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ofirm-my.sharepoint.com/personal/gerald_wuetcher_skofirm_com/Documents/McCrearyCountyWaterDistrict_2025RateApplication/Application_Water/FinalDocuments/"/>
    </mc:Choice>
  </mc:AlternateContent>
  <xr:revisionPtr revIDLastSave="0" documentId="8_{1456844A-6F5B-44B7-AFDF-3F63B3F0EB5B}" xr6:coauthVersionLast="47" xr6:coauthVersionMax="47" xr10:uidLastSave="{00000000-0000-0000-0000-000000000000}"/>
  <bookViews>
    <workbookView xWindow="-110" yWindow="-110" windowWidth="19420" windowHeight="11500" xr2:uid="{7C2C1939-B1E2-473F-B511-AFF22B6F1B74}"/>
  </bookViews>
  <sheets>
    <sheet name="Water" sheetId="1" r:id="rId1"/>
  </sheets>
  <definedNames>
    <definedName name="_xlnm.Print_Area" localSheetId="0">Water!$A$1:$BG$426</definedName>
    <definedName name="_xlnm.Print_Titles" localSheetId="0">Water!$1:$5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425" i="1" l="1"/>
  <c r="BC425" i="1" s="1"/>
  <c r="AX425" i="1"/>
  <c r="AV425" i="1"/>
  <c r="AU425" i="1"/>
  <c r="AS425" i="1"/>
  <c r="AO425" i="1"/>
  <c r="AM425" i="1"/>
  <c r="AN425" i="1" s="1"/>
  <c r="BD421" i="1"/>
  <c r="BG420" i="1"/>
  <c r="AO420" i="1"/>
  <c r="AN420" i="1"/>
  <c r="AE420" i="1"/>
  <c r="Y420" i="1"/>
  <c r="X420" i="1"/>
  <c r="Q420" i="1"/>
  <c r="M420" i="1"/>
  <c r="BG419" i="1"/>
  <c r="BG418" i="1"/>
  <c r="AN418" i="1"/>
  <c r="M418" i="1"/>
  <c r="BG417" i="1"/>
  <c r="AN417" i="1"/>
  <c r="M417" i="1"/>
  <c r="AW416" i="1"/>
  <c r="AT416" i="1"/>
  <c r="AS416" i="1"/>
  <c r="AR416" i="1"/>
  <c r="AQ416" i="1"/>
  <c r="C416" i="1"/>
  <c r="BG415" i="1"/>
  <c r="BA414" i="1"/>
  <c r="BG414" i="1" s="1"/>
  <c r="AX414" i="1"/>
  <c r="AY414" i="1" s="1"/>
  <c r="BA413" i="1"/>
  <c r="BG413" i="1" s="1"/>
  <c r="AX413" i="1"/>
  <c r="AY413" i="1" s="1"/>
  <c r="BA412" i="1"/>
  <c r="BA416" i="1" s="1"/>
  <c r="AX412" i="1"/>
  <c r="AX416" i="1" s="1"/>
  <c r="AW412" i="1"/>
  <c r="AV412" i="1"/>
  <c r="AU412" i="1"/>
  <c r="AU416" i="1" s="1"/>
  <c r="AJ412" i="1"/>
  <c r="AL412" i="1" s="1"/>
  <c r="AO412" i="1" s="1"/>
  <c r="AF412" i="1"/>
  <c r="AD412" i="1"/>
  <c r="V412" i="1"/>
  <c r="X412" i="1" s="1"/>
  <c r="Z412" i="1" s="1"/>
  <c r="S412" i="1"/>
  <c r="U412" i="1" s="1"/>
  <c r="W412" i="1" s="1"/>
  <c r="Y412" i="1" s="1"/>
  <c r="AA412" i="1" s="1"/>
  <c r="AC412" i="1" s="1"/>
  <c r="AE412" i="1" s="1"/>
  <c r="AG412" i="1" s="1"/>
  <c r="AI412" i="1" s="1"/>
  <c r="AK412" i="1" s="1"/>
  <c r="AM412" i="1" s="1"/>
  <c r="BG411" i="1"/>
  <c r="M411" i="1"/>
  <c r="H410" i="1"/>
  <c r="G410" i="1"/>
  <c r="C410" i="1"/>
  <c r="BG409" i="1"/>
  <c r="BG408" i="1"/>
  <c r="BC408" i="1"/>
  <c r="AZ408" i="1"/>
  <c r="AU408" i="1"/>
  <c r="AL408" i="1"/>
  <c r="AD408" i="1"/>
  <c r="AF408" i="1" s="1"/>
  <c r="AH408" i="1" s="1"/>
  <c r="AJ408" i="1" s="1"/>
  <c r="Y408" i="1"/>
  <c r="AA408" i="1" s="1"/>
  <c r="AC408" i="1" s="1"/>
  <c r="AE408" i="1" s="1"/>
  <c r="AG408" i="1" s="1"/>
  <c r="AI408" i="1" s="1"/>
  <c r="AK408" i="1" s="1"/>
  <c r="AM408" i="1" s="1"/>
  <c r="V408" i="1"/>
  <c r="X408" i="1" s="1"/>
  <c r="Z408" i="1" s="1"/>
  <c r="AB408" i="1" s="1"/>
  <c r="BA407" i="1"/>
  <c r="BG407" i="1" s="1"/>
  <c r="AX407" i="1"/>
  <c r="AU407" i="1"/>
  <c r="AV407" i="1" s="1"/>
  <c r="BA406" i="1"/>
  <c r="BG406" i="1" s="1"/>
  <c r="AY406" i="1"/>
  <c r="AX406" i="1"/>
  <c r="AU406" i="1"/>
  <c r="AV406" i="1" s="1"/>
  <c r="AW406" i="1" s="1"/>
  <c r="BG405" i="1"/>
  <c r="BA405" i="1"/>
  <c r="BA410" i="1" s="1"/>
  <c r="BG410" i="1" s="1"/>
  <c r="AY405" i="1"/>
  <c r="AX405" i="1"/>
  <c r="AW405" i="1"/>
  <c r="AV405" i="1"/>
  <c r="AU405" i="1"/>
  <c r="AL405" i="1"/>
  <c r="AO405" i="1" s="1"/>
  <c r="AK405" i="1"/>
  <c r="AM405" i="1" s="1"/>
  <c r="AJ405" i="1"/>
  <c r="BG404" i="1"/>
  <c r="AX404" i="1"/>
  <c r="AX410" i="1" s="1"/>
  <c r="AV404" i="1"/>
  <c r="AU404" i="1"/>
  <c r="AF404" i="1"/>
  <c r="AH404" i="1" s="1"/>
  <c r="AJ404" i="1" s="1"/>
  <c r="AL404" i="1" s="1"/>
  <c r="AO404" i="1" s="1"/>
  <c r="AD404" i="1"/>
  <c r="AC404" i="1"/>
  <c r="AE404" i="1" s="1"/>
  <c r="AB404" i="1"/>
  <c r="BG403" i="1"/>
  <c r="AU403" i="1"/>
  <c r="AV403" i="1" s="1"/>
  <c r="AB403" i="1"/>
  <c r="AA403" i="1"/>
  <c r="BG402" i="1"/>
  <c r="AU402" i="1"/>
  <c r="AV402" i="1" s="1"/>
  <c r="AB402" i="1"/>
  <c r="AD402" i="1" s="1"/>
  <c r="AF402" i="1" s="1"/>
  <c r="AH402" i="1" s="1"/>
  <c r="AJ402" i="1" s="1"/>
  <c r="AL402" i="1" s="1"/>
  <c r="AO402" i="1" s="1"/>
  <c r="Z402" i="1"/>
  <c r="X402" i="1"/>
  <c r="Y402" i="1" s="1"/>
  <c r="AA402" i="1" s="1"/>
  <c r="W402" i="1"/>
  <c r="V402" i="1"/>
  <c r="BG401" i="1"/>
  <c r="BB401" i="1"/>
  <c r="BC401" i="1" s="1"/>
  <c r="AZ401" i="1"/>
  <c r="AY401" i="1"/>
  <c r="AW401" i="1"/>
  <c r="AV401" i="1"/>
  <c r="AH401" i="1"/>
  <c r="AJ401" i="1" s="1"/>
  <c r="AL401" i="1" s="1"/>
  <c r="AC401" i="1"/>
  <c r="AE401" i="1" s="1"/>
  <c r="AG401" i="1" s="1"/>
  <c r="AB401" i="1"/>
  <c r="AD401" i="1" s="1"/>
  <c r="AF401" i="1" s="1"/>
  <c r="V401" i="1"/>
  <c r="W401" i="1" s="1"/>
  <c r="Y401" i="1" s="1"/>
  <c r="AA401" i="1" s="1"/>
  <c r="BG400" i="1"/>
  <c r="AW400" i="1"/>
  <c r="AV400" i="1"/>
  <c r="AY400" i="1" s="1"/>
  <c r="AO400" i="1"/>
  <c r="AJ400" i="1"/>
  <c r="AF400" i="1"/>
  <c r="AH400" i="1" s="1"/>
  <c r="AD400" i="1"/>
  <c r="W400" i="1"/>
  <c r="Y400" i="1" s="1"/>
  <c r="AA400" i="1" s="1"/>
  <c r="AC400" i="1" s="1"/>
  <c r="AE400" i="1" s="1"/>
  <c r="V400" i="1"/>
  <c r="X400" i="1" s="1"/>
  <c r="Z400" i="1" s="1"/>
  <c r="AB400" i="1" s="1"/>
  <c r="U400" i="1"/>
  <c r="BG399" i="1"/>
  <c r="AU399" i="1"/>
  <c r="AW399" i="1" s="1"/>
  <c r="AN399" i="1"/>
  <c r="AL399" i="1"/>
  <c r="AK399" i="1"/>
  <c r="AM399" i="1" s="1"/>
  <c r="AP399" i="1" s="1"/>
  <c r="AB399" i="1"/>
  <c r="AD399" i="1" s="1"/>
  <c r="AF399" i="1" s="1"/>
  <c r="AH399" i="1" s="1"/>
  <c r="AJ399" i="1" s="1"/>
  <c r="Y399" i="1"/>
  <c r="AA399" i="1" s="1"/>
  <c r="AC399" i="1" s="1"/>
  <c r="AE399" i="1" s="1"/>
  <c r="AG399" i="1" s="1"/>
  <c r="AI399" i="1" s="1"/>
  <c r="W399" i="1"/>
  <c r="V399" i="1"/>
  <c r="X399" i="1" s="1"/>
  <c r="Z399" i="1" s="1"/>
  <c r="U399" i="1"/>
  <c r="S399" i="1"/>
  <c r="R399" i="1"/>
  <c r="BG398" i="1"/>
  <c r="AU398" i="1"/>
  <c r="AO398" i="1"/>
  <c r="AJ398" i="1"/>
  <c r="AF398" i="1"/>
  <c r="AH398" i="1" s="1"/>
  <c r="T398" i="1"/>
  <c r="V398" i="1" s="1"/>
  <c r="X398" i="1" s="1"/>
  <c r="Z398" i="1" s="1"/>
  <c r="AB398" i="1" s="1"/>
  <c r="AD398" i="1" s="1"/>
  <c r="R398" i="1"/>
  <c r="P398" i="1"/>
  <c r="Q398" i="1" s="1"/>
  <c r="S398" i="1" s="1"/>
  <c r="U398" i="1" s="1"/>
  <c r="W398" i="1" s="1"/>
  <c r="Y398" i="1" s="1"/>
  <c r="AA398" i="1" s="1"/>
  <c r="AC398" i="1" s="1"/>
  <c r="AE398" i="1" s="1"/>
  <c r="BG397" i="1"/>
  <c r="AU397" i="1"/>
  <c r="AO397" i="1"/>
  <c r="AJ397" i="1"/>
  <c r="AH397" i="1"/>
  <c r="R397" i="1"/>
  <c r="T397" i="1" s="1"/>
  <c r="V397" i="1" s="1"/>
  <c r="X397" i="1" s="1"/>
  <c r="P397" i="1"/>
  <c r="BG396" i="1"/>
  <c r="AW396" i="1"/>
  <c r="AV396" i="1"/>
  <c r="AY396" i="1" s="1"/>
  <c r="AU396" i="1"/>
  <c r="AL396" i="1"/>
  <c r="X396" i="1"/>
  <c r="V396" i="1"/>
  <c r="BG395" i="1"/>
  <c r="AU395" i="1"/>
  <c r="AO395" i="1"/>
  <c r="AF395" i="1"/>
  <c r="R395" i="1"/>
  <c r="T395" i="1" s="1"/>
  <c r="V395" i="1" s="1"/>
  <c r="X395" i="1" s="1"/>
  <c r="P395" i="1"/>
  <c r="N395" i="1"/>
  <c r="O395" i="1" s="1"/>
  <c r="L395" i="1"/>
  <c r="BG394" i="1"/>
  <c r="AW394" i="1"/>
  <c r="AU394" i="1"/>
  <c r="AV394" i="1" s="1"/>
  <c r="AY394" i="1" s="1"/>
  <c r="AL394" i="1"/>
  <c r="AO394" i="1" s="1"/>
  <c r="AJ394" i="1"/>
  <c r="AH394" i="1"/>
  <c r="R394" i="1"/>
  <c r="T394" i="1" s="1"/>
  <c r="V394" i="1" s="1"/>
  <c r="X394" i="1" s="1"/>
  <c r="Z394" i="1" s="1"/>
  <c r="P394" i="1"/>
  <c r="L394" i="1"/>
  <c r="N394" i="1" s="1"/>
  <c r="J394" i="1"/>
  <c r="BG393" i="1"/>
  <c r="AY393" i="1"/>
  <c r="AV393" i="1"/>
  <c r="AU393" i="1"/>
  <c r="AW393" i="1" s="1"/>
  <c r="AH393" i="1"/>
  <c r="AJ393" i="1" s="1"/>
  <c r="AL393" i="1" s="1"/>
  <c r="AO393" i="1" s="1"/>
  <c r="AF393" i="1"/>
  <c r="AB393" i="1"/>
  <c r="Z393" i="1"/>
  <c r="U393" i="1"/>
  <c r="W393" i="1" s="1"/>
  <c r="Y393" i="1" s="1"/>
  <c r="AA393" i="1" s="1"/>
  <c r="AC393" i="1" s="1"/>
  <c r="AE393" i="1" s="1"/>
  <c r="AG393" i="1" s="1"/>
  <c r="AI393" i="1" s="1"/>
  <c r="AK393" i="1" s="1"/>
  <c r="AM393" i="1" s="1"/>
  <c r="S393" i="1"/>
  <c r="R393" i="1"/>
  <c r="T393" i="1" s="1"/>
  <c r="V393" i="1" s="1"/>
  <c r="X393" i="1" s="1"/>
  <c r="P393" i="1"/>
  <c r="N393" i="1"/>
  <c r="L393" i="1"/>
  <c r="K393" i="1"/>
  <c r="M393" i="1" s="1"/>
  <c r="O393" i="1" s="1"/>
  <c r="Q393" i="1" s="1"/>
  <c r="I393" i="1"/>
  <c r="BG392" i="1"/>
  <c r="AU392" i="1"/>
  <c r="AJ392" i="1"/>
  <c r="AL392" i="1" s="1"/>
  <c r="AD392" i="1"/>
  <c r="AF392" i="1" s="1"/>
  <c r="AH392" i="1" s="1"/>
  <c r="Z392" i="1"/>
  <c r="T392" i="1"/>
  <c r="R392" i="1"/>
  <c r="P392" i="1"/>
  <c r="N392" i="1"/>
  <c r="M392" i="1"/>
  <c r="O392" i="1" s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AM392" i="1" s="1"/>
  <c r="L392" i="1"/>
  <c r="K392" i="1"/>
  <c r="I392" i="1"/>
  <c r="BG391" i="1"/>
  <c r="AW391" i="1"/>
  <c r="AV391" i="1"/>
  <c r="AY391" i="1" s="1"/>
  <c r="AU391" i="1"/>
  <c r="AD391" i="1"/>
  <c r="AF391" i="1" s="1"/>
  <c r="AH391" i="1" s="1"/>
  <c r="AJ391" i="1" s="1"/>
  <c r="AL391" i="1" s="1"/>
  <c r="AO391" i="1" s="1"/>
  <c r="T391" i="1"/>
  <c r="V391" i="1" s="1"/>
  <c r="X391" i="1" s="1"/>
  <c r="Z391" i="1" s="1"/>
  <c r="N391" i="1"/>
  <c r="P391" i="1" s="1"/>
  <c r="K391" i="1"/>
  <c r="M391" i="1" s="1"/>
  <c r="I391" i="1"/>
  <c r="BG390" i="1"/>
  <c r="AW390" i="1"/>
  <c r="AV390" i="1"/>
  <c r="AY390" i="1" s="1"/>
  <c r="AU390" i="1"/>
  <c r="AD390" i="1"/>
  <c r="AF390" i="1" s="1"/>
  <c r="AH390" i="1" s="1"/>
  <c r="AJ390" i="1" s="1"/>
  <c r="AL390" i="1" s="1"/>
  <c r="AO390" i="1" s="1"/>
  <c r="V390" i="1"/>
  <c r="X390" i="1" s="1"/>
  <c r="Z390" i="1" s="1"/>
  <c r="T390" i="1"/>
  <c r="P390" i="1"/>
  <c r="N390" i="1"/>
  <c r="J390" i="1"/>
  <c r="I390" i="1"/>
  <c r="K390" i="1" s="1"/>
  <c r="M390" i="1" s="1"/>
  <c r="O390" i="1" s="1"/>
  <c r="Q390" i="1" s="1"/>
  <c r="S390" i="1" s="1"/>
  <c r="U390" i="1" s="1"/>
  <c r="BG389" i="1"/>
  <c r="AU389" i="1"/>
  <c r="AO389" i="1"/>
  <c r="AP389" i="1" s="1"/>
  <c r="BG388" i="1"/>
  <c r="AU388" i="1"/>
  <c r="AW388" i="1" s="1"/>
  <c r="AK388" i="1"/>
  <c r="AM388" i="1" s="1"/>
  <c r="AD388" i="1"/>
  <c r="AF388" i="1" s="1"/>
  <c r="AH388" i="1" s="1"/>
  <c r="AJ388" i="1" s="1"/>
  <c r="AL388" i="1" s="1"/>
  <c r="AO388" i="1" s="1"/>
  <c r="Z388" i="1"/>
  <c r="X388" i="1"/>
  <c r="V388" i="1"/>
  <c r="T388" i="1"/>
  <c r="P388" i="1"/>
  <c r="N388" i="1"/>
  <c r="L388" i="1"/>
  <c r="K388" i="1"/>
  <c r="M388" i="1" s="1"/>
  <c r="O388" i="1" s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I388" i="1"/>
  <c r="BG387" i="1"/>
  <c r="AP387" i="1"/>
  <c r="BG386" i="1"/>
  <c r="AP386" i="1"/>
  <c r="BG385" i="1"/>
  <c r="AY385" i="1"/>
  <c r="AV385" i="1"/>
  <c r="AF385" i="1"/>
  <c r="AH385" i="1" s="1"/>
  <c r="AD385" i="1"/>
  <c r="Z385" i="1"/>
  <c r="V385" i="1"/>
  <c r="T385" i="1"/>
  <c r="R385" i="1"/>
  <c r="P385" i="1"/>
  <c r="N385" i="1"/>
  <c r="L385" i="1"/>
  <c r="L410" i="1" s="1"/>
  <c r="I385" i="1"/>
  <c r="BG384" i="1"/>
  <c r="BG383" i="1"/>
  <c r="BG382" i="1"/>
  <c r="AP382" i="1"/>
  <c r="AN382" i="1"/>
  <c r="AD382" i="1"/>
  <c r="AC382" i="1"/>
  <c r="AE382" i="1" s="1"/>
  <c r="AA382" i="1"/>
  <c r="R382" i="1"/>
  <c r="O382" i="1"/>
  <c r="N382" i="1"/>
  <c r="C382" i="1"/>
  <c r="BG381" i="1"/>
  <c r="V381" i="1"/>
  <c r="S381" i="1"/>
  <c r="Q381" i="1"/>
  <c r="P381" i="1"/>
  <c r="BG380" i="1"/>
  <c r="AY380" i="1"/>
  <c r="AU380" i="1"/>
  <c r="AV380" i="1" s="1"/>
  <c r="AO380" i="1"/>
  <c r="AN380" i="1"/>
  <c r="AD380" i="1"/>
  <c r="R380" i="1"/>
  <c r="T380" i="1" s="1"/>
  <c r="P380" i="1"/>
  <c r="O380" i="1"/>
  <c r="L380" i="1"/>
  <c r="L382" i="1" s="1"/>
  <c r="K380" i="1"/>
  <c r="K382" i="1" s="1"/>
  <c r="J380" i="1"/>
  <c r="J382" i="1" s="1"/>
  <c r="BG379" i="1"/>
  <c r="X379" i="1"/>
  <c r="M379" i="1"/>
  <c r="BG378" i="1"/>
  <c r="AU378" i="1"/>
  <c r="AN378" i="1"/>
  <c r="AE378" i="1"/>
  <c r="AD378" i="1"/>
  <c r="AF378" i="1" s="1"/>
  <c r="AH378" i="1" s="1"/>
  <c r="AI378" i="1" s="1"/>
  <c r="AC378" i="1"/>
  <c r="V378" i="1"/>
  <c r="T378" i="1"/>
  <c r="R378" i="1"/>
  <c r="L378" i="1"/>
  <c r="J378" i="1"/>
  <c r="H378" i="1"/>
  <c r="G378" i="1"/>
  <c r="C378" i="1"/>
  <c r="BG377" i="1"/>
  <c r="X377" i="1"/>
  <c r="V377" i="1"/>
  <c r="T377" i="1"/>
  <c r="P377" i="1"/>
  <c r="O377" i="1"/>
  <c r="N377" i="1"/>
  <c r="M377" i="1"/>
  <c r="BG376" i="1"/>
  <c r="AV376" i="1"/>
  <c r="AU376" i="1"/>
  <c r="AO376" i="1"/>
  <c r="AN376" i="1"/>
  <c r="AF376" i="1"/>
  <c r="AH376" i="1" s="1"/>
  <c r="AD376" i="1"/>
  <c r="AC376" i="1"/>
  <c r="AE376" i="1" s="1"/>
  <c r="X376" i="1"/>
  <c r="V376" i="1"/>
  <c r="T376" i="1"/>
  <c r="P376" i="1"/>
  <c r="P378" i="1" s="1"/>
  <c r="N376" i="1"/>
  <c r="N378" i="1" s="1"/>
  <c r="I376" i="1"/>
  <c r="BG375" i="1"/>
  <c r="AE375" i="1"/>
  <c r="M375" i="1"/>
  <c r="BG374" i="1"/>
  <c r="AE374" i="1"/>
  <c r="M374" i="1"/>
  <c r="J373" i="1"/>
  <c r="I373" i="1"/>
  <c r="H373" i="1"/>
  <c r="G373" i="1"/>
  <c r="C373" i="1"/>
  <c r="BG372" i="1"/>
  <c r="AO372" i="1"/>
  <c r="BA371" i="1"/>
  <c r="BG371" i="1" s="1"/>
  <c r="BA370" i="1"/>
  <c r="BG369" i="1"/>
  <c r="C369" i="1"/>
  <c r="BG368" i="1"/>
  <c r="BA368" i="1"/>
  <c r="AZ368" i="1"/>
  <c r="AY368" i="1"/>
  <c r="BB368" i="1" s="1"/>
  <c r="BC368" i="1" s="1"/>
  <c r="AX368" i="1"/>
  <c r="BB367" i="1"/>
  <c r="BC367" i="1" s="1"/>
  <c r="BA367" i="1"/>
  <c r="BG367" i="1" s="1"/>
  <c r="AZ367" i="1"/>
  <c r="AY367" i="1"/>
  <c r="AX367" i="1"/>
  <c r="AU367" i="1"/>
  <c r="AV367" i="1" s="1"/>
  <c r="AW367" i="1" s="1"/>
  <c r="BG366" i="1"/>
  <c r="BA366" i="1"/>
  <c r="AX366" i="1"/>
  <c r="AV366" i="1"/>
  <c r="AU366" i="1"/>
  <c r="BG365" i="1"/>
  <c r="BA365" i="1"/>
  <c r="AX365" i="1"/>
  <c r="AU365" i="1"/>
  <c r="AV365" i="1" s="1"/>
  <c r="BG364" i="1"/>
  <c r="BA364" i="1"/>
  <c r="AX364" i="1"/>
  <c r="AV364" i="1"/>
  <c r="AU364" i="1"/>
  <c r="BG363" i="1"/>
  <c r="BA363" i="1"/>
  <c r="AX363" i="1"/>
  <c r="AV363" i="1"/>
  <c r="AU363" i="1"/>
  <c r="AO363" i="1"/>
  <c r="AM363" i="1"/>
  <c r="BG362" i="1"/>
  <c r="BA362" i="1"/>
  <c r="AX362" i="1"/>
  <c r="AV362" i="1"/>
  <c r="AU362" i="1"/>
  <c r="AO362" i="1"/>
  <c r="AM362" i="1"/>
  <c r="AN362" i="1" s="1"/>
  <c r="AL362" i="1"/>
  <c r="BG361" i="1"/>
  <c r="AX361" i="1"/>
  <c r="AV361" i="1"/>
  <c r="AU361" i="1"/>
  <c r="AO361" i="1"/>
  <c r="AM361" i="1"/>
  <c r="AP361" i="1" s="1"/>
  <c r="AL361" i="1"/>
  <c r="BG360" i="1"/>
  <c r="AZ360" i="1"/>
  <c r="AX360" i="1"/>
  <c r="AU360" i="1"/>
  <c r="AV360" i="1" s="1"/>
  <c r="AY360" i="1" s="1"/>
  <c r="BB360" i="1" s="1"/>
  <c r="BC360" i="1" s="1"/>
  <c r="AO360" i="1"/>
  <c r="AP360" i="1" s="1"/>
  <c r="AN360" i="1"/>
  <c r="AM360" i="1"/>
  <c r="AL360" i="1"/>
  <c r="BG359" i="1"/>
  <c r="AY359" i="1"/>
  <c r="AU359" i="1"/>
  <c r="AV359" i="1" s="1"/>
  <c r="AW359" i="1" s="1"/>
  <c r="AO359" i="1"/>
  <c r="AL359" i="1"/>
  <c r="AJ359" i="1"/>
  <c r="AK359" i="1" s="1"/>
  <c r="BG358" i="1"/>
  <c r="AY358" i="1"/>
  <c r="AZ358" i="1" s="1"/>
  <c r="AW358" i="1"/>
  <c r="AV358" i="1"/>
  <c r="AL358" i="1"/>
  <c r="AO358" i="1" s="1"/>
  <c r="AJ358" i="1"/>
  <c r="AK358" i="1" s="1"/>
  <c r="AM358" i="1" s="1"/>
  <c r="BG357" i="1"/>
  <c r="BC357" i="1"/>
  <c r="AY357" i="1"/>
  <c r="BB357" i="1" s="1"/>
  <c r="AW357" i="1"/>
  <c r="AV357" i="1"/>
  <c r="AH357" i="1"/>
  <c r="AI357" i="1" s="1"/>
  <c r="BG356" i="1"/>
  <c r="AY356" i="1"/>
  <c r="AV356" i="1"/>
  <c r="AJ356" i="1"/>
  <c r="AL356" i="1" s="1"/>
  <c r="AO356" i="1" s="1"/>
  <c r="AI356" i="1"/>
  <c r="AK356" i="1" s="1"/>
  <c r="AH356" i="1"/>
  <c r="AG356" i="1"/>
  <c r="AF356" i="1"/>
  <c r="BG355" i="1"/>
  <c r="AU355" i="1"/>
  <c r="AV355" i="1" s="1"/>
  <c r="AO355" i="1"/>
  <c r="AF355" i="1"/>
  <c r="AE355" i="1"/>
  <c r="AD355" i="1"/>
  <c r="BG354" i="1"/>
  <c r="AW354" i="1"/>
  <c r="AU354" i="1"/>
  <c r="AV354" i="1" s="1"/>
  <c r="AY354" i="1" s="1"/>
  <c r="AO354" i="1"/>
  <c r="AJ354" i="1"/>
  <c r="AE354" i="1"/>
  <c r="AG354" i="1" s="1"/>
  <c r="AI354" i="1" s="1"/>
  <c r="AK354" i="1" s="1"/>
  <c r="AM354" i="1" s="1"/>
  <c r="AC354" i="1"/>
  <c r="AB354" i="1"/>
  <c r="AD354" i="1" s="1"/>
  <c r="AF354" i="1" s="1"/>
  <c r="AH354" i="1" s="1"/>
  <c r="BG353" i="1"/>
  <c r="AU353" i="1"/>
  <c r="AV353" i="1" s="1"/>
  <c r="AO353" i="1"/>
  <c r="AJ353" i="1"/>
  <c r="AB353" i="1"/>
  <c r="AD353" i="1" s="1"/>
  <c r="AF353" i="1" s="1"/>
  <c r="AH353" i="1" s="1"/>
  <c r="BG352" i="1"/>
  <c r="BC352" i="1"/>
  <c r="AZ352" i="1"/>
  <c r="AY352" i="1"/>
  <c r="BB352" i="1" s="1"/>
  <c r="AW352" i="1"/>
  <c r="AU352" i="1"/>
  <c r="AV352" i="1" s="1"/>
  <c r="AO352" i="1"/>
  <c r="AP352" i="1" s="1"/>
  <c r="AN352" i="1"/>
  <c r="AH352" i="1"/>
  <c r="Z352" i="1"/>
  <c r="X352" i="1"/>
  <c r="Y352" i="1" s="1"/>
  <c r="BG351" i="1"/>
  <c r="AW351" i="1"/>
  <c r="AV351" i="1"/>
  <c r="AY351" i="1" s="1"/>
  <c r="AU351" i="1"/>
  <c r="AJ351" i="1"/>
  <c r="AL351" i="1" s="1"/>
  <c r="AO351" i="1" s="1"/>
  <c r="Z351" i="1"/>
  <c r="AB351" i="1" s="1"/>
  <c r="AD351" i="1" s="1"/>
  <c r="V351" i="1"/>
  <c r="V373" i="1" s="1"/>
  <c r="BA350" i="1"/>
  <c r="BG350" i="1" s="1"/>
  <c r="AX350" i="1"/>
  <c r="AU350" i="1"/>
  <c r="AV350" i="1" s="1"/>
  <c r="AO350" i="1"/>
  <c r="BG349" i="1"/>
  <c r="AY349" i="1"/>
  <c r="AU349" i="1"/>
  <c r="AV349" i="1" s="1"/>
  <c r="AW349" i="1" s="1"/>
  <c r="AO349" i="1"/>
  <c r="AJ349" i="1"/>
  <c r="AL349" i="1" s="1"/>
  <c r="X349" i="1"/>
  <c r="Z349" i="1" s="1"/>
  <c r="U349" i="1"/>
  <c r="W349" i="1" s="1"/>
  <c r="Y349" i="1" s="1"/>
  <c r="AA349" i="1" s="1"/>
  <c r="AC349" i="1" s="1"/>
  <c r="AE349" i="1" s="1"/>
  <c r="AG349" i="1" s="1"/>
  <c r="AI349" i="1" s="1"/>
  <c r="AK349" i="1" s="1"/>
  <c r="AM349" i="1" s="1"/>
  <c r="S349" i="1"/>
  <c r="O349" i="1"/>
  <c r="BG348" i="1"/>
  <c r="AW348" i="1"/>
  <c r="AU348" i="1"/>
  <c r="AV348" i="1" s="1"/>
  <c r="AY348" i="1" s="1"/>
  <c r="AB348" i="1"/>
  <c r="AD348" i="1" s="1"/>
  <c r="AA348" i="1"/>
  <c r="AC348" i="1" s="1"/>
  <c r="W348" i="1"/>
  <c r="Y348" i="1" s="1"/>
  <c r="T348" i="1"/>
  <c r="R348" i="1"/>
  <c r="BG347" i="1"/>
  <c r="AY347" i="1"/>
  <c r="AU347" i="1"/>
  <c r="AV347" i="1" s="1"/>
  <c r="AW347" i="1" s="1"/>
  <c r="AJ347" i="1"/>
  <c r="AL347" i="1" s="1"/>
  <c r="AO347" i="1" s="1"/>
  <c r="X347" i="1"/>
  <c r="Z347" i="1" s="1"/>
  <c r="AB347" i="1" s="1"/>
  <c r="AD347" i="1" s="1"/>
  <c r="AF347" i="1" s="1"/>
  <c r="AH347" i="1" s="1"/>
  <c r="T347" i="1"/>
  <c r="R347" i="1"/>
  <c r="Q347" i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AM347" i="1" s="1"/>
  <c r="P347" i="1"/>
  <c r="O347" i="1"/>
  <c r="N347" i="1"/>
  <c r="L347" i="1"/>
  <c r="L373" i="1" s="1"/>
  <c r="BG346" i="1"/>
  <c r="AU346" i="1"/>
  <c r="AV346" i="1" s="1"/>
  <c r="AF346" i="1"/>
  <c r="AH346" i="1" s="1"/>
  <c r="AJ346" i="1" s="1"/>
  <c r="AL346" i="1" s="1"/>
  <c r="AO346" i="1" s="1"/>
  <c r="X346" i="1"/>
  <c r="Z346" i="1" s="1"/>
  <c r="AB346" i="1" s="1"/>
  <c r="AD346" i="1" s="1"/>
  <c r="R346" i="1"/>
  <c r="T346" i="1" s="1"/>
  <c r="P346" i="1"/>
  <c r="O346" i="1"/>
  <c r="Q346" i="1" s="1"/>
  <c r="S346" i="1" s="1"/>
  <c r="U346" i="1" s="1"/>
  <c r="W346" i="1" s="1"/>
  <c r="Y346" i="1" s="1"/>
  <c r="AA346" i="1" s="1"/>
  <c r="AC346" i="1" s="1"/>
  <c r="AE346" i="1" s="1"/>
  <c r="L346" i="1"/>
  <c r="BG345" i="1"/>
  <c r="AV345" i="1"/>
  <c r="AU345" i="1"/>
  <c r="V345" i="1"/>
  <c r="X345" i="1" s="1"/>
  <c r="Z345" i="1" s="1"/>
  <c r="AB345" i="1" s="1"/>
  <c r="AD345" i="1" s="1"/>
  <c r="AF345" i="1" s="1"/>
  <c r="AH345" i="1" s="1"/>
  <c r="AJ345" i="1" s="1"/>
  <c r="AL345" i="1" s="1"/>
  <c r="AO345" i="1" s="1"/>
  <c r="S345" i="1"/>
  <c r="U345" i="1" s="1"/>
  <c r="W345" i="1" s="1"/>
  <c r="Y345" i="1" s="1"/>
  <c r="AA345" i="1" s="1"/>
  <c r="AC345" i="1" s="1"/>
  <c r="AE345" i="1" s="1"/>
  <c r="AG345" i="1" s="1"/>
  <c r="AI345" i="1" s="1"/>
  <c r="AK345" i="1" s="1"/>
  <c r="AM345" i="1" s="1"/>
  <c r="P345" i="1"/>
  <c r="O345" i="1"/>
  <c r="Q345" i="1" s="1"/>
  <c r="N345" i="1"/>
  <c r="I345" i="1"/>
  <c r="K345" i="1" s="1"/>
  <c r="M345" i="1" s="1"/>
  <c r="BG344" i="1"/>
  <c r="AV344" i="1"/>
  <c r="AJ344" i="1"/>
  <c r="AL344" i="1" s="1"/>
  <c r="AO344" i="1" s="1"/>
  <c r="AF344" i="1"/>
  <c r="AH344" i="1" s="1"/>
  <c r="AD344" i="1"/>
  <c r="N344" i="1"/>
  <c r="P344" i="1" s="1"/>
  <c r="R344" i="1" s="1"/>
  <c r="T344" i="1" s="1"/>
  <c r="V344" i="1" s="1"/>
  <c r="X344" i="1" s="1"/>
  <c r="Z344" i="1" s="1"/>
  <c r="AB344" i="1" s="1"/>
  <c r="I344" i="1"/>
  <c r="K344" i="1" s="1"/>
  <c r="M344" i="1" s="1"/>
  <c r="BG343" i="1"/>
  <c r="AY343" i="1"/>
  <c r="AW343" i="1"/>
  <c r="AV343" i="1"/>
  <c r="T343" i="1"/>
  <c r="V343" i="1" s="1"/>
  <c r="X343" i="1" s="1"/>
  <c r="R343" i="1"/>
  <c r="R373" i="1" s="1"/>
  <c r="P343" i="1"/>
  <c r="N343" i="1"/>
  <c r="K343" i="1"/>
  <c r="I343" i="1"/>
  <c r="BG342" i="1"/>
  <c r="AE342" i="1"/>
  <c r="BG341" i="1"/>
  <c r="AE341" i="1"/>
  <c r="BG340" i="1"/>
  <c r="AE340" i="1"/>
  <c r="M340" i="1"/>
  <c r="BG339" i="1"/>
  <c r="AE339" i="1"/>
  <c r="M339" i="1"/>
  <c r="H338" i="1"/>
  <c r="G338" i="1"/>
  <c r="C338" i="1"/>
  <c r="BG337" i="1"/>
  <c r="AE337" i="1"/>
  <c r="BG336" i="1"/>
  <c r="BB336" i="1"/>
  <c r="BC336" i="1" s="1"/>
  <c r="BA336" i="1"/>
  <c r="BG335" i="1"/>
  <c r="BA335" i="1"/>
  <c r="AX335" i="1"/>
  <c r="AX338" i="1" s="1"/>
  <c r="AU335" i="1"/>
  <c r="AV335" i="1" s="1"/>
  <c r="AE335" i="1"/>
  <c r="BG334" i="1"/>
  <c r="BA334" i="1"/>
  <c r="BA338" i="1" s="1"/>
  <c r="BG338" i="1" s="1"/>
  <c r="AX334" i="1"/>
  <c r="AU334" i="1"/>
  <c r="AV334" i="1" s="1"/>
  <c r="AF334" i="1"/>
  <c r="AH334" i="1" s="1"/>
  <c r="AJ334" i="1" s="1"/>
  <c r="AL334" i="1" s="1"/>
  <c r="AO334" i="1" s="1"/>
  <c r="AE334" i="1"/>
  <c r="AG334" i="1" s="1"/>
  <c r="AI334" i="1" s="1"/>
  <c r="AK334" i="1" s="1"/>
  <c r="AM334" i="1" s="1"/>
  <c r="BG333" i="1"/>
  <c r="AU333" i="1"/>
  <c r="AV333" i="1" s="1"/>
  <c r="X333" i="1"/>
  <c r="Z333" i="1" s="1"/>
  <c r="AB333" i="1" s="1"/>
  <c r="AD333" i="1" s="1"/>
  <c r="AF333" i="1" s="1"/>
  <c r="AH333" i="1" s="1"/>
  <c r="AJ333" i="1" s="1"/>
  <c r="AL333" i="1" s="1"/>
  <c r="V333" i="1"/>
  <c r="T333" i="1"/>
  <c r="U333" i="1" s="1"/>
  <c r="W333" i="1" s="1"/>
  <c r="BG332" i="1"/>
  <c r="AY332" i="1"/>
  <c r="AV332" i="1"/>
  <c r="AW332" i="1" s="1"/>
  <c r="AN332" i="1"/>
  <c r="V332" i="1"/>
  <c r="X332" i="1" s="1"/>
  <c r="Z332" i="1" s="1"/>
  <c r="AB332" i="1" s="1"/>
  <c r="AD332" i="1" s="1"/>
  <c r="AF332" i="1" s="1"/>
  <c r="AH332" i="1" s="1"/>
  <c r="AJ332" i="1" s="1"/>
  <c r="AL332" i="1" s="1"/>
  <c r="AO332" i="1" s="1"/>
  <c r="AP332" i="1" s="1"/>
  <c r="U332" i="1"/>
  <c r="W332" i="1" s="1"/>
  <c r="Y332" i="1" s="1"/>
  <c r="AA332" i="1" s="1"/>
  <c r="AC332" i="1" s="1"/>
  <c r="AE332" i="1" s="1"/>
  <c r="AG332" i="1" s="1"/>
  <c r="T332" i="1"/>
  <c r="BG331" i="1"/>
  <c r="AV331" i="1"/>
  <c r="AU331" i="1"/>
  <c r="AL331" i="1"/>
  <c r="V331" i="1"/>
  <c r="X331" i="1" s="1"/>
  <c r="U331" i="1"/>
  <c r="W331" i="1" s="1"/>
  <c r="S331" i="1"/>
  <c r="R331" i="1"/>
  <c r="BG330" i="1"/>
  <c r="AV330" i="1"/>
  <c r="AW330" i="1" s="1"/>
  <c r="AU330" i="1"/>
  <c r="AP330" i="1"/>
  <c r="AO330" i="1"/>
  <c r="AH330" i="1"/>
  <c r="AD330" i="1"/>
  <c r="AF330" i="1" s="1"/>
  <c r="Z330" i="1"/>
  <c r="AB330" i="1" s="1"/>
  <c r="R330" i="1"/>
  <c r="T330" i="1" s="1"/>
  <c r="V330" i="1" s="1"/>
  <c r="P330" i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AM330" i="1" s="1"/>
  <c r="AN330" i="1" s="1"/>
  <c r="N330" i="1"/>
  <c r="BG329" i="1"/>
  <c r="AU329" i="1"/>
  <c r="AV329" i="1" s="1"/>
  <c r="AO329" i="1"/>
  <c r="Z329" i="1"/>
  <c r="AB329" i="1" s="1"/>
  <c r="AD329" i="1" s="1"/>
  <c r="AF329" i="1" s="1"/>
  <c r="V329" i="1"/>
  <c r="R329" i="1"/>
  <c r="T329" i="1" s="1"/>
  <c r="P329" i="1"/>
  <c r="N329" i="1"/>
  <c r="M329" i="1"/>
  <c r="O329" i="1" s="1"/>
  <c r="Q329" i="1" s="1"/>
  <c r="L329" i="1"/>
  <c r="BG328" i="1"/>
  <c r="BC328" i="1"/>
  <c r="AZ328" i="1"/>
  <c r="AW328" i="1"/>
  <c r="AV328" i="1"/>
  <c r="AY328" i="1" s="1"/>
  <c r="BB328" i="1" s="1"/>
  <c r="AU328" i="1"/>
  <c r="AO328" i="1"/>
  <c r="AF328" i="1"/>
  <c r="AD328" i="1"/>
  <c r="W328" i="1"/>
  <c r="Y328" i="1" s="1"/>
  <c r="AA328" i="1" s="1"/>
  <c r="AC328" i="1" s="1"/>
  <c r="AE328" i="1" s="1"/>
  <c r="AG328" i="1" s="1"/>
  <c r="AI328" i="1" s="1"/>
  <c r="AK328" i="1" s="1"/>
  <c r="AM328" i="1" s="1"/>
  <c r="R328" i="1"/>
  <c r="T328" i="1" s="1"/>
  <c r="V328" i="1" s="1"/>
  <c r="X328" i="1" s="1"/>
  <c r="Z328" i="1" s="1"/>
  <c r="AB328" i="1" s="1"/>
  <c r="P328" i="1"/>
  <c r="L328" i="1"/>
  <c r="N328" i="1" s="1"/>
  <c r="K328" i="1"/>
  <c r="M328" i="1" s="1"/>
  <c r="O328" i="1" s="1"/>
  <c r="Q328" i="1" s="1"/>
  <c r="S328" i="1" s="1"/>
  <c r="U328" i="1" s="1"/>
  <c r="BG327" i="1"/>
  <c r="AY327" i="1"/>
  <c r="AU327" i="1"/>
  <c r="AV327" i="1" s="1"/>
  <c r="AW327" i="1" s="1"/>
  <c r="AJ327" i="1"/>
  <c r="AL327" i="1" s="1"/>
  <c r="AO327" i="1" s="1"/>
  <c r="AH327" i="1"/>
  <c r="AF327" i="1"/>
  <c r="AD327" i="1"/>
  <c r="AB327" i="1"/>
  <c r="V327" i="1"/>
  <c r="S327" i="1"/>
  <c r="U327" i="1" s="1"/>
  <c r="W327" i="1" s="1"/>
  <c r="Y327" i="1" s="1"/>
  <c r="AA327" i="1" s="1"/>
  <c r="AC327" i="1" s="1"/>
  <c r="AE327" i="1" s="1"/>
  <c r="AG327" i="1" s="1"/>
  <c r="AI327" i="1" s="1"/>
  <c r="AK327" i="1" s="1"/>
  <c r="AM327" i="1" s="1"/>
  <c r="R327" i="1"/>
  <c r="T327" i="1" s="1"/>
  <c r="Q327" i="1"/>
  <c r="P327" i="1"/>
  <c r="O327" i="1"/>
  <c r="N327" i="1"/>
  <c r="L327" i="1"/>
  <c r="I327" i="1"/>
  <c r="K327" i="1" s="1"/>
  <c r="M327" i="1" s="1"/>
  <c r="BG326" i="1"/>
  <c r="AW326" i="1"/>
  <c r="AU326" i="1"/>
  <c r="AV326" i="1" s="1"/>
  <c r="AY326" i="1" s="1"/>
  <c r="AL326" i="1"/>
  <c r="AO326" i="1" s="1"/>
  <c r="W326" i="1"/>
  <c r="Y326" i="1" s="1"/>
  <c r="AA326" i="1" s="1"/>
  <c r="AC326" i="1" s="1"/>
  <c r="AE326" i="1" s="1"/>
  <c r="AG326" i="1" s="1"/>
  <c r="AI326" i="1" s="1"/>
  <c r="AK326" i="1" s="1"/>
  <c r="V326" i="1"/>
  <c r="X326" i="1" s="1"/>
  <c r="Z326" i="1" s="1"/>
  <c r="AB326" i="1" s="1"/>
  <c r="AD326" i="1" s="1"/>
  <c r="AF326" i="1" s="1"/>
  <c r="AH326" i="1" s="1"/>
  <c r="AJ326" i="1" s="1"/>
  <c r="T326" i="1"/>
  <c r="P326" i="1"/>
  <c r="L326" i="1"/>
  <c r="N326" i="1" s="1"/>
  <c r="I326" i="1"/>
  <c r="K326" i="1" s="1"/>
  <c r="M326" i="1" s="1"/>
  <c r="O326" i="1" s="1"/>
  <c r="Q326" i="1" s="1"/>
  <c r="S326" i="1" s="1"/>
  <c r="U326" i="1" s="1"/>
  <c r="BG325" i="1"/>
  <c r="AY325" i="1"/>
  <c r="BB325" i="1" s="1"/>
  <c r="BC325" i="1" s="1"/>
  <c r="AU325" i="1"/>
  <c r="AV325" i="1" s="1"/>
  <c r="AW325" i="1" s="1"/>
  <c r="R325" i="1"/>
  <c r="T325" i="1" s="1"/>
  <c r="V325" i="1" s="1"/>
  <c r="X325" i="1" s="1"/>
  <c r="Z325" i="1" s="1"/>
  <c r="AB325" i="1" s="1"/>
  <c r="AD325" i="1" s="1"/>
  <c r="AF325" i="1" s="1"/>
  <c r="AH325" i="1" s="1"/>
  <c r="AJ325" i="1" s="1"/>
  <c r="AL325" i="1" s="1"/>
  <c r="AO325" i="1" s="1"/>
  <c r="N325" i="1"/>
  <c r="L325" i="1"/>
  <c r="I325" i="1"/>
  <c r="K325" i="1" s="1"/>
  <c r="M325" i="1" s="1"/>
  <c r="O325" i="1" s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AM325" i="1" s="1"/>
  <c r="BG324" i="1"/>
  <c r="AU324" i="1"/>
  <c r="AV324" i="1" s="1"/>
  <c r="R324" i="1"/>
  <c r="T324" i="1" s="1"/>
  <c r="V324" i="1" s="1"/>
  <c r="X324" i="1" s="1"/>
  <c r="Z324" i="1" s="1"/>
  <c r="AB324" i="1" s="1"/>
  <c r="AD324" i="1" s="1"/>
  <c r="AF324" i="1" s="1"/>
  <c r="AH324" i="1" s="1"/>
  <c r="AJ324" i="1" s="1"/>
  <c r="AL324" i="1" s="1"/>
  <c r="AO324" i="1" s="1"/>
  <c r="Q324" i="1"/>
  <c r="L324" i="1"/>
  <c r="M324" i="1" s="1"/>
  <c r="O324" i="1" s="1"/>
  <c r="I324" i="1"/>
  <c r="K324" i="1" s="1"/>
  <c r="BG323" i="1"/>
  <c r="AV323" i="1"/>
  <c r="AU323" i="1"/>
  <c r="AO323" i="1"/>
  <c r="X323" i="1"/>
  <c r="Z323" i="1" s="1"/>
  <c r="AB323" i="1" s="1"/>
  <c r="AD323" i="1" s="1"/>
  <c r="AF323" i="1" s="1"/>
  <c r="AH323" i="1" s="1"/>
  <c r="AJ323" i="1" s="1"/>
  <c r="AL323" i="1" s="1"/>
  <c r="U323" i="1"/>
  <c r="W323" i="1" s="1"/>
  <c r="Y323" i="1" s="1"/>
  <c r="AA323" i="1" s="1"/>
  <c r="AC323" i="1" s="1"/>
  <c r="AE323" i="1" s="1"/>
  <c r="AG323" i="1" s="1"/>
  <c r="AI323" i="1" s="1"/>
  <c r="AK323" i="1" s="1"/>
  <c r="AM323" i="1" s="1"/>
  <c r="R323" i="1"/>
  <c r="T323" i="1" s="1"/>
  <c r="V323" i="1" s="1"/>
  <c r="L323" i="1"/>
  <c r="N323" i="1" s="1"/>
  <c r="P323" i="1" s="1"/>
  <c r="I323" i="1"/>
  <c r="K323" i="1" s="1"/>
  <c r="M323" i="1" s="1"/>
  <c r="O323" i="1" s="1"/>
  <c r="Q323" i="1" s="1"/>
  <c r="S323" i="1" s="1"/>
  <c r="BG322" i="1"/>
  <c r="AU322" i="1"/>
  <c r="AV322" i="1" s="1"/>
  <c r="AO322" i="1"/>
  <c r="AL322" i="1"/>
  <c r="R322" i="1"/>
  <c r="T322" i="1" s="1"/>
  <c r="V322" i="1" s="1"/>
  <c r="X322" i="1" s="1"/>
  <c r="Z322" i="1" s="1"/>
  <c r="AB322" i="1" s="1"/>
  <c r="AD322" i="1" s="1"/>
  <c r="AF322" i="1" s="1"/>
  <c r="AH322" i="1" s="1"/>
  <c r="AJ322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AM322" i="1" s="1"/>
  <c r="N322" i="1"/>
  <c r="M322" i="1"/>
  <c r="L322" i="1"/>
  <c r="I322" i="1"/>
  <c r="K322" i="1" s="1"/>
  <c r="BG321" i="1"/>
  <c r="AY321" i="1"/>
  <c r="AU321" i="1"/>
  <c r="AV321" i="1" s="1"/>
  <c r="AW321" i="1" s="1"/>
  <c r="T321" i="1"/>
  <c r="V321" i="1" s="1"/>
  <c r="X321" i="1" s="1"/>
  <c r="Z321" i="1" s="1"/>
  <c r="AB321" i="1" s="1"/>
  <c r="AD321" i="1" s="1"/>
  <c r="AF321" i="1" s="1"/>
  <c r="AH321" i="1" s="1"/>
  <c r="AJ321" i="1" s="1"/>
  <c r="AL321" i="1" s="1"/>
  <c r="AO321" i="1" s="1"/>
  <c r="R321" i="1"/>
  <c r="N321" i="1"/>
  <c r="L321" i="1"/>
  <c r="I321" i="1"/>
  <c r="K321" i="1" s="1"/>
  <c r="M321" i="1" s="1"/>
  <c r="BG320" i="1"/>
  <c r="AW320" i="1"/>
  <c r="AU320" i="1"/>
  <c r="AV320" i="1" s="1"/>
  <c r="AY320" i="1" s="1"/>
  <c r="AA320" i="1"/>
  <c r="AC320" i="1" s="1"/>
  <c r="AE320" i="1" s="1"/>
  <c r="AG320" i="1" s="1"/>
  <c r="AI320" i="1" s="1"/>
  <c r="AK320" i="1" s="1"/>
  <c r="AM320" i="1" s="1"/>
  <c r="X320" i="1"/>
  <c r="Z320" i="1" s="1"/>
  <c r="AB320" i="1" s="1"/>
  <c r="AD320" i="1" s="1"/>
  <c r="AF320" i="1" s="1"/>
  <c r="AH320" i="1" s="1"/>
  <c r="AJ320" i="1" s="1"/>
  <c r="AL320" i="1" s="1"/>
  <c r="AO320" i="1" s="1"/>
  <c r="V320" i="1"/>
  <c r="R320" i="1"/>
  <c r="T320" i="1" s="1"/>
  <c r="L320" i="1"/>
  <c r="I320" i="1"/>
  <c r="K320" i="1" s="1"/>
  <c r="M320" i="1" s="1"/>
  <c r="O320" i="1" s="1"/>
  <c r="Q320" i="1" s="1"/>
  <c r="S320" i="1" s="1"/>
  <c r="U320" i="1" s="1"/>
  <c r="W320" i="1" s="1"/>
  <c r="Y320" i="1" s="1"/>
  <c r="BG319" i="1"/>
  <c r="BB319" i="1"/>
  <c r="BC319" i="1" s="1"/>
  <c r="AY319" i="1"/>
  <c r="AZ319" i="1" s="1"/>
  <c r="AW319" i="1"/>
  <c r="AV319" i="1"/>
  <c r="AU319" i="1"/>
  <c r="AB319" i="1"/>
  <c r="AD319" i="1" s="1"/>
  <c r="AF319" i="1" s="1"/>
  <c r="AH319" i="1" s="1"/>
  <c r="AJ319" i="1" s="1"/>
  <c r="AL319" i="1" s="1"/>
  <c r="AO319" i="1" s="1"/>
  <c r="V319" i="1"/>
  <c r="X319" i="1" s="1"/>
  <c r="Z319" i="1" s="1"/>
  <c r="T319" i="1"/>
  <c r="R319" i="1"/>
  <c r="L319" i="1"/>
  <c r="K319" i="1"/>
  <c r="M319" i="1" s="1"/>
  <c r="O319" i="1" s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AM319" i="1" s="1"/>
  <c r="I319" i="1"/>
  <c r="BG318" i="1"/>
  <c r="AW318" i="1"/>
  <c r="AU318" i="1"/>
  <c r="AV318" i="1" s="1"/>
  <c r="AY318" i="1" s="1"/>
  <c r="AZ318" i="1" s="1"/>
  <c r="R318" i="1"/>
  <c r="T318" i="1" s="1"/>
  <c r="V318" i="1" s="1"/>
  <c r="X318" i="1" s="1"/>
  <c r="Z318" i="1" s="1"/>
  <c r="AB318" i="1" s="1"/>
  <c r="AD318" i="1" s="1"/>
  <c r="AF318" i="1" s="1"/>
  <c r="AH318" i="1" s="1"/>
  <c r="AJ318" i="1" s="1"/>
  <c r="AL318" i="1" s="1"/>
  <c r="AO318" i="1" s="1"/>
  <c r="L318" i="1"/>
  <c r="N318" i="1" s="1"/>
  <c r="P318" i="1" s="1"/>
  <c r="I318" i="1"/>
  <c r="K318" i="1" s="1"/>
  <c r="M318" i="1" s="1"/>
  <c r="O318" i="1" s="1"/>
  <c r="Q318" i="1" s="1"/>
  <c r="BG317" i="1"/>
  <c r="BB317" i="1"/>
  <c r="BC317" i="1" s="1"/>
  <c r="AY317" i="1"/>
  <c r="AZ317" i="1" s="1"/>
  <c r="AV317" i="1"/>
  <c r="AW317" i="1" s="1"/>
  <c r="AU317" i="1"/>
  <c r="V317" i="1"/>
  <c r="X317" i="1" s="1"/>
  <c r="Z317" i="1" s="1"/>
  <c r="AB317" i="1" s="1"/>
  <c r="AD317" i="1" s="1"/>
  <c r="AF317" i="1" s="1"/>
  <c r="AH317" i="1" s="1"/>
  <c r="AJ317" i="1" s="1"/>
  <c r="AL317" i="1" s="1"/>
  <c r="AO317" i="1" s="1"/>
  <c r="O317" i="1"/>
  <c r="Q317" i="1" s="1"/>
  <c r="M317" i="1"/>
  <c r="L317" i="1"/>
  <c r="N317" i="1" s="1"/>
  <c r="P317" i="1" s="1"/>
  <c r="R317" i="1" s="1"/>
  <c r="T317" i="1" s="1"/>
  <c r="I317" i="1"/>
  <c r="K317" i="1" s="1"/>
  <c r="BG316" i="1"/>
  <c r="AW316" i="1"/>
  <c r="AV316" i="1"/>
  <c r="AY316" i="1" s="1"/>
  <c r="AU316" i="1"/>
  <c r="AG316" i="1"/>
  <c r="AI316" i="1" s="1"/>
  <c r="AK316" i="1" s="1"/>
  <c r="AM316" i="1" s="1"/>
  <c r="R316" i="1"/>
  <c r="T316" i="1" s="1"/>
  <c r="V316" i="1" s="1"/>
  <c r="X316" i="1" s="1"/>
  <c r="Z316" i="1" s="1"/>
  <c r="AB316" i="1" s="1"/>
  <c r="AD316" i="1" s="1"/>
  <c r="AF316" i="1" s="1"/>
  <c r="AH316" i="1" s="1"/>
  <c r="AJ316" i="1" s="1"/>
  <c r="AL316" i="1" s="1"/>
  <c r="AO316" i="1" s="1"/>
  <c r="Q316" i="1"/>
  <c r="S316" i="1" s="1"/>
  <c r="U316" i="1" s="1"/>
  <c r="W316" i="1" s="1"/>
  <c r="Y316" i="1" s="1"/>
  <c r="AA316" i="1" s="1"/>
  <c r="AC316" i="1" s="1"/>
  <c r="AE316" i="1" s="1"/>
  <c r="O316" i="1"/>
  <c r="M316" i="1"/>
  <c r="L316" i="1"/>
  <c r="N316" i="1" s="1"/>
  <c r="P316" i="1" s="1"/>
  <c r="K316" i="1"/>
  <c r="I316" i="1"/>
  <c r="BG315" i="1"/>
  <c r="AY315" i="1"/>
  <c r="AV315" i="1"/>
  <c r="AW315" i="1" s="1"/>
  <c r="AU315" i="1"/>
  <c r="N315" i="1"/>
  <c r="P315" i="1" s="1"/>
  <c r="R315" i="1" s="1"/>
  <c r="T315" i="1" s="1"/>
  <c r="V315" i="1" s="1"/>
  <c r="X315" i="1" s="1"/>
  <c r="Z315" i="1" s="1"/>
  <c r="AB315" i="1" s="1"/>
  <c r="AD315" i="1" s="1"/>
  <c r="AF315" i="1" s="1"/>
  <c r="AH315" i="1" s="1"/>
  <c r="AJ315" i="1" s="1"/>
  <c r="AL315" i="1" s="1"/>
  <c r="AO315" i="1" s="1"/>
  <c r="M315" i="1"/>
  <c r="L315" i="1"/>
  <c r="K315" i="1"/>
  <c r="I315" i="1"/>
  <c r="BG314" i="1"/>
  <c r="AU314" i="1"/>
  <c r="AV314" i="1" s="1"/>
  <c r="AO314" i="1"/>
  <c r="P314" i="1"/>
  <c r="R314" i="1" s="1"/>
  <c r="T314" i="1" s="1"/>
  <c r="V314" i="1" s="1"/>
  <c r="X314" i="1" s="1"/>
  <c r="Z314" i="1" s="1"/>
  <c r="AB314" i="1" s="1"/>
  <c r="AD314" i="1" s="1"/>
  <c r="AF314" i="1" s="1"/>
  <c r="AH314" i="1" s="1"/>
  <c r="AJ314" i="1" s="1"/>
  <c r="AL314" i="1" s="1"/>
  <c r="N314" i="1"/>
  <c r="M314" i="1"/>
  <c r="O314" i="1" s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AM314" i="1" s="1"/>
  <c r="L314" i="1"/>
  <c r="K314" i="1"/>
  <c r="I314" i="1"/>
  <c r="BG313" i="1"/>
  <c r="AY313" i="1"/>
  <c r="AV313" i="1"/>
  <c r="AW313" i="1" s="1"/>
  <c r="AU313" i="1"/>
  <c r="N313" i="1"/>
  <c r="P313" i="1" s="1"/>
  <c r="R313" i="1" s="1"/>
  <c r="L313" i="1"/>
  <c r="I313" i="1"/>
  <c r="K313" i="1" s="1"/>
  <c r="M313" i="1" s="1"/>
  <c r="BG312" i="1"/>
  <c r="AU312" i="1"/>
  <c r="T312" i="1"/>
  <c r="P312" i="1"/>
  <c r="K312" i="1"/>
  <c r="J312" i="1"/>
  <c r="J338" i="1" s="1"/>
  <c r="I312" i="1"/>
  <c r="BG311" i="1"/>
  <c r="AE311" i="1"/>
  <c r="BG310" i="1"/>
  <c r="AE310" i="1"/>
  <c r="BG309" i="1"/>
  <c r="AE309" i="1"/>
  <c r="BG308" i="1"/>
  <c r="AE308" i="1"/>
  <c r="AX307" i="1"/>
  <c r="R307" i="1"/>
  <c r="I307" i="1"/>
  <c r="H307" i="1"/>
  <c r="G307" i="1"/>
  <c r="C307" i="1"/>
  <c r="BG306" i="1"/>
  <c r="AP306" i="1"/>
  <c r="BG305" i="1"/>
  <c r="BA305" i="1"/>
  <c r="AX305" i="1"/>
  <c r="AW305" i="1"/>
  <c r="AU305" i="1"/>
  <c r="AV305" i="1" s="1"/>
  <c r="AY305" i="1" s="1"/>
  <c r="AO305" i="1"/>
  <c r="AC305" i="1"/>
  <c r="AB305" i="1"/>
  <c r="AD305" i="1" s="1"/>
  <c r="AF305" i="1" s="1"/>
  <c r="AH305" i="1" s="1"/>
  <c r="AJ305" i="1" s="1"/>
  <c r="AL305" i="1" s="1"/>
  <c r="BG304" i="1"/>
  <c r="BA304" i="1"/>
  <c r="AX304" i="1"/>
  <c r="AV304" i="1"/>
  <c r="AU304" i="1"/>
  <c r="AO304" i="1"/>
  <c r="AB304" i="1"/>
  <c r="AD304" i="1" s="1"/>
  <c r="AF304" i="1" s="1"/>
  <c r="AH304" i="1" s="1"/>
  <c r="AJ304" i="1" s="1"/>
  <c r="AL304" i="1" s="1"/>
  <c r="BG303" i="1"/>
  <c r="BC303" i="1"/>
  <c r="BB303" i="1"/>
  <c r="AY303" i="1"/>
  <c r="AZ303" i="1" s="1"/>
  <c r="AV303" i="1"/>
  <c r="AW303" i="1" s="1"/>
  <c r="AO303" i="1"/>
  <c r="AL303" i="1"/>
  <c r="AJ303" i="1"/>
  <c r="AF303" i="1"/>
  <c r="V303" i="1"/>
  <c r="X303" i="1" s="1"/>
  <c r="Z303" i="1" s="1"/>
  <c r="AB303" i="1" s="1"/>
  <c r="AD303" i="1" s="1"/>
  <c r="U303" i="1"/>
  <c r="W303" i="1" s="1"/>
  <c r="Y303" i="1" s="1"/>
  <c r="AA303" i="1" s="1"/>
  <c r="AC303" i="1" s="1"/>
  <c r="AE303" i="1" s="1"/>
  <c r="AG303" i="1" s="1"/>
  <c r="AI303" i="1" s="1"/>
  <c r="AK303" i="1" s="1"/>
  <c r="AM303" i="1" s="1"/>
  <c r="T303" i="1"/>
  <c r="R303" i="1"/>
  <c r="P303" i="1"/>
  <c r="N303" i="1"/>
  <c r="L303" i="1"/>
  <c r="M303" i="1" s="1"/>
  <c r="O303" i="1" s="1"/>
  <c r="Q303" i="1" s="1"/>
  <c r="S303" i="1" s="1"/>
  <c r="BG302" i="1"/>
  <c r="BA302" i="1"/>
  <c r="BA307" i="1" s="1"/>
  <c r="BG307" i="1" s="1"/>
  <c r="AX302" i="1"/>
  <c r="AU302" i="1"/>
  <c r="AE302" i="1"/>
  <c r="AG302" i="1" s="1"/>
  <c r="AI302" i="1" s="1"/>
  <c r="AK302" i="1" s="1"/>
  <c r="AM302" i="1" s="1"/>
  <c r="AD302" i="1"/>
  <c r="AF302" i="1" s="1"/>
  <c r="AH302" i="1" s="1"/>
  <c r="AJ302" i="1" s="1"/>
  <c r="AL302" i="1" s="1"/>
  <c r="AO302" i="1" s="1"/>
  <c r="AB302" i="1"/>
  <c r="Z302" i="1"/>
  <c r="R302" i="1"/>
  <c r="T302" i="1" s="1"/>
  <c r="V302" i="1" s="1"/>
  <c r="X302" i="1" s="1"/>
  <c r="P302" i="1"/>
  <c r="N302" i="1"/>
  <c r="O302" i="1" s="1"/>
  <c r="Q302" i="1" s="1"/>
  <c r="S302" i="1" s="1"/>
  <c r="U302" i="1" s="1"/>
  <c r="W302" i="1" s="1"/>
  <c r="Y302" i="1" s="1"/>
  <c r="AA302" i="1" s="1"/>
  <c r="AC302" i="1" s="1"/>
  <c r="M302" i="1"/>
  <c r="L302" i="1"/>
  <c r="K302" i="1"/>
  <c r="J302" i="1"/>
  <c r="J307" i="1" s="1"/>
  <c r="BG301" i="1"/>
  <c r="AZ301" i="1"/>
  <c r="AV301" i="1"/>
  <c r="AY301" i="1" s="1"/>
  <c r="BB301" i="1" s="1"/>
  <c r="BC301" i="1" s="1"/>
  <c r="AO301" i="1"/>
  <c r="AH301" i="1"/>
  <c r="W301" i="1"/>
  <c r="T301" i="1"/>
  <c r="V301" i="1" s="1"/>
  <c r="R301" i="1"/>
  <c r="P301" i="1"/>
  <c r="P307" i="1" s="1"/>
  <c r="O301" i="1"/>
  <c r="Q301" i="1" s="1"/>
  <c r="S301" i="1" s="1"/>
  <c r="U301" i="1" s="1"/>
  <c r="M301" i="1"/>
  <c r="L301" i="1"/>
  <c r="N301" i="1" s="1"/>
  <c r="K301" i="1"/>
  <c r="BG300" i="1"/>
  <c r="AZ300" i="1"/>
  <c r="AW300" i="1"/>
  <c r="AV300" i="1"/>
  <c r="AY300" i="1" s="1"/>
  <c r="BB300" i="1" s="1"/>
  <c r="BC300" i="1" s="1"/>
  <c r="AD300" i="1"/>
  <c r="AF300" i="1" s="1"/>
  <c r="AH300" i="1" s="1"/>
  <c r="AJ300" i="1" s="1"/>
  <c r="AL300" i="1" s="1"/>
  <c r="AO300" i="1" s="1"/>
  <c r="AA300" i="1"/>
  <c r="AC300" i="1" s="1"/>
  <c r="AE300" i="1" s="1"/>
  <c r="AG300" i="1" s="1"/>
  <c r="AI300" i="1" s="1"/>
  <c r="AK300" i="1" s="1"/>
  <c r="AM300" i="1" s="1"/>
  <c r="Z300" i="1"/>
  <c r="V300" i="1"/>
  <c r="T300" i="1"/>
  <c r="R300" i="1"/>
  <c r="P300" i="1"/>
  <c r="L300" i="1"/>
  <c r="N300" i="1" s="1"/>
  <c r="I300" i="1"/>
  <c r="K300" i="1" s="1"/>
  <c r="M300" i="1" s="1"/>
  <c r="O300" i="1" s="1"/>
  <c r="Q300" i="1" s="1"/>
  <c r="S300" i="1" s="1"/>
  <c r="U300" i="1" s="1"/>
  <c r="BG299" i="1"/>
  <c r="BC299" i="1"/>
  <c r="BB299" i="1"/>
  <c r="AZ299" i="1"/>
  <c r="AY299" i="1"/>
  <c r="AV299" i="1"/>
  <c r="AW299" i="1" s="1"/>
  <c r="AU299" i="1"/>
  <c r="AB299" i="1"/>
  <c r="Z299" i="1"/>
  <c r="X299" i="1"/>
  <c r="V299" i="1"/>
  <c r="R299" i="1"/>
  <c r="P299" i="1"/>
  <c r="L299" i="1"/>
  <c r="K299" i="1"/>
  <c r="I299" i="1"/>
  <c r="BG298" i="1"/>
  <c r="AO298" i="1"/>
  <c r="BG297" i="1"/>
  <c r="AO297" i="1"/>
  <c r="BG296" i="1"/>
  <c r="AO296" i="1"/>
  <c r="H295" i="1"/>
  <c r="G295" i="1"/>
  <c r="C295" i="1"/>
  <c r="BG294" i="1"/>
  <c r="BA293" i="1"/>
  <c r="BG293" i="1" s="1"/>
  <c r="BG292" i="1"/>
  <c r="BC292" i="1"/>
  <c r="BA292" i="1"/>
  <c r="AX292" i="1"/>
  <c r="AY292" i="1" s="1"/>
  <c r="BB292" i="1" s="1"/>
  <c r="BB291" i="1"/>
  <c r="BC291" i="1" s="1"/>
  <c r="BA291" i="1"/>
  <c r="BG291" i="1" s="1"/>
  <c r="AX291" i="1"/>
  <c r="AW291" i="1"/>
  <c r="AU291" i="1"/>
  <c r="AV291" i="1" s="1"/>
  <c r="AY291" i="1" s="1"/>
  <c r="AZ291" i="1" s="1"/>
  <c r="BA290" i="1"/>
  <c r="BG290" i="1" s="1"/>
  <c r="AX290" i="1"/>
  <c r="AV290" i="1"/>
  <c r="AU290" i="1"/>
  <c r="AP290" i="1"/>
  <c r="BG289" i="1"/>
  <c r="BA289" i="1"/>
  <c r="AX289" i="1"/>
  <c r="AW289" i="1"/>
  <c r="AU289" i="1"/>
  <c r="AV289" i="1" s="1"/>
  <c r="AY289" i="1" s="1"/>
  <c r="AP289" i="1"/>
  <c r="AO289" i="1"/>
  <c r="BG288" i="1"/>
  <c r="BA288" i="1"/>
  <c r="AZ288" i="1"/>
  <c r="AY288" i="1"/>
  <c r="BB288" i="1" s="1"/>
  <c r="BC288" i="1" s="1"/>
  <c r="AX288" i="1"/>
  <c r="AW288" i="1"/>
  <c r="AU288" i="1"/>
  <c r="AV288" i="1" s="1"/>
  <c r="AO288" i="1"/>
  <c r="AL288" i="1"/>
  <c r="AM288" i="1" s="1"/>
  <c r="BA287" i="1"/>
  <c r="BG287" i="1" s="1"/>
  <c r="AX287" i="1"/>
  <c r="AU287" i="1"/>
  <c r="AV287" i="1" s="1"/>
  <c r="AL287" i="1"/>
  <c r="AO287" i="1" s="1"/>
  <c r="BA286" i="1"/>
  <c r="BG286" i="1" s="1"/>
  <c r="AX286" i="1"/>
  <c r="AV286" i="1"/>
  <c r="AU286" i="1"/>
  <c r="AO286" i="1"/>
  <c r="AL286" i="1"/>
  <c r="AK286" i="1"/>
  <c r="AM286" i="1" s="1"/>
  <c r="AJ286" i="1"/>
  <c r="BA285" i="1"/>
  <c r="BG285" i="1" s="1"/>
  <c r="AX285" i="1"/>
  <c r="AW285" i="1"/>
  <c r="AU285" i="1"/>
  <c r="AV285" i="1" s="1"/>
  <c r="AH285" i="1"/>
  <c r="AJ285" i="1" s="1"/>
  <c r="AL285" i="1" s="1"/>
  <c r="AO285" i="1" s="1"/>
  <c r="AG285" i="1"/>
  <c r="AF285" i="1"/>
  <c r="BG284" i="1"/>
  <c r="BA284" i="1"/>
  <c r="AX284" i="1"/>
  <c r="AV284" i="1"/>
  <c r="AU284" i="1"/>
  <c r="AL284" i="1"/>
  <c r="AO284" i="1" s="1"/>
  <c r="AJ284" i="1"/>
  <c r="AH284" i="1"/>
  <c r="AF284" i="1"/>
  <c r="AE284" i="1"/>
  <c r="AG284" i="1" s="1"/>
  <c r="AI284" i="1" s="1"/>
  <c r="AD284" i="1"/>
  <c r="BA283" i="1"/>
  <c r="BG283" i="1" s="1"/>
  <c r="AY283" i="1"/>
  <c r="AZ283" i="1" s="1"/>
  <c r="AX283" i="1"/>
  <c r="AU283" i="1"/>
  <c r="AV283" i="1" s="1"/>
  <c r="AW283" i="1" s="1"/>
  <c r="AO283" i="1"/>
  <c r="AF283" i="1"/>
  <c r="AH283" i="1" s="1"/>
  <c r="AJ283" i="1" s="1"/>
  <c r="AL283" i="1" s="1"/>
  <c r="AE283" i="1"/>
  <c r="AG283" i="1" s="1"/>
  <c r="BA282" i="1"/>
  <c r="BG282" i="1" s="1"/>
  <c r="AX282" i="1"/>
  <c r="AU282" i="1"/>
  <c r="AV282" i="1" s="1"/>
  <c r="AY282" i="1" s="1"/>
  <c r="AB282" i="1"/>
  <c r="BA281" i="1"/>
  <c r="BG281" i="1" s="1"/>
  <c r="AX281" i="1"/>
  <c r="AV281" i="1"/>
  <c r="AU281" i="1"/>
  <c r="Z281" i="1"/>
  <c r="AB281" i="1" s="1"/>
  <c r="AD281" i="1" s="1"/>
  <c r="AF281" i="1" s="1"/>
  <c r="AH281" i="1" s="1"/>
  <c r="AJ281" i="1" s="1"/>
  <c r="AL281" i="1" s="1"/>
  <c r="AO281" i="1" s="1"/>
  <c r="Y281" i="1"/>
  <c r="X281" i="1"/>
  <c r="BA280" i="1"/>
  <c r="BG280" i="1" s="1"/>
  <c r="AX280" i="1"/>
  <c r="AU280" i="1"/>
  <c r="AV280" i="1" s="1"/>
  <c r="AO280" i="1"/>
  <c r="AE280" i="1"/>
  <c r="AG280" i="1" s="1"/>
  <c r="AI280" i="1" s="1"/>
  <c r="AK280" i="1" s="1"/>
  <c r="AM280" i="1" s="1"/>
  <c r="AN280" i="1" s="1"/>
  <c r="AD280" i="1"/>
  <c r="AF280" i="1" s="1"/>
  <c r="AH280" i="1" s="1"/>
  <c r="AJ280" i="1" s="1"/>
  <c r="AL280" i="1" s="1"/>
  <c r="AC280" i="1"/>
  <c r="AA280" i="1"/>
  <c r="Z280" i="1"/>
  <c r="AB280" i="1" s="1"/>
  <c r="Y280" i="1"/>
  <c r="BA279" i="1"/>
  <c r="BG279" i="1" s="1"/>
  <c r="AY279" i="1"/>
  <c r="AX279" i="1"/>
  <c r="AU279" i="1"/>
  <c r="AV279" i="1" s="1"/>
  <c r="AW279" i="1" s="1"/>
  <c r="AH279" i="1"/>
  <c r="AJ279" i="1" s="1"/>
  <c r="AL279" i="1" s="1"/>
  <c r="AO279" i="1" s="1"/>
  <c r="AG279" i="1"/>
  <c r="Y279" i="1"/>
  <c r="AA279" i="1" s="1"/>
  <c r="AC279" i="1" s="1"/>
  <c r="AE279" i="1" s="1"/>
  <c r="X279" i="1"/>
  <c r="Z279" i="1" s="1"/>
  <c r="AB279" i="1" s="1"/>
  <c r="AD279" i="1" s="1"/>
  <c r="AF279" i="1" s="1"/>
  <c r="W279" i="1"/>
  <c r="BG278" i="1"/>
  <c r="BA278" i="1"/>
  <c r="AX278" i="1"/>
  <c r="AV278" i="1"/>
  <c r="AU278" i="1"/>
  <c r="AN278" i="1"/>
  <c r="AF278" i="1"/>
  <c r="AH278" i="1" s="1"/>
  <c r="AJ278" i="1" s="1"/>
  <c r="AL278" i="1" s="1"/>
  <c r="AO278" i="1" s="1"/>
  <c r="AD278" i="1"/>
  <c r="AB278" i="1"/>
  <c r="V278" i="1"/>
  <c r="X278" i="1" s="1"/>
  <c r="Z278" i="1" s="1"/>
  <c r="U278" i="1"/>
  <c r="W278" i="1" s="1"/>
  <c r="Y278" i="1" s="1"/>
  <c r="AA278" i="1" s="1"/>
  <c r="AC278" i="1" s="1"/>
  <c r="AE278" i="1" s="1"/>
  <c r="AG278" i="1" s="1"/>
  <c r="AI278" i="1" s="1"/>
  <c r="AK278" i="1" s="1"/>
  <c r="AM278" i="1" s="1"/>
  <c r="AP278" i="1" s="1"/>
  <c r="BG277" i="1"/>
  <c r="BB277" i="1"/>
  <c r="BC277" i="1" s="1"/>
  <c r="BA277" i="1"/>
  <c r="AZ277" i="1"/>
  <c r="AY277" i="1"/>
  <c r="AX277" i="1"/>
  <c r="AW277" i="1"/>
  <c r="AU277" i="1"/>
  <c r="AV277" i="1" s="1"/>
  <c r="AB277" i="1"/>
  <c r="AD277" i="1" s="1"/>
  <c r="AF277" i="1" s="1"/>
  <c r="AH277" i="1" s="1"/>
  <c r="AJ277" i="1" s="1"/>
  <c r="AL277" i="1" s="1"/>
  <c r="AO277" i="1" s="1"/>
  <c r="X277" i="1"/>
  <c r="Z277" i="1" s="1"/>
  <c r="V277" i="1"/>
  <c r="U277" i="1"/>
  <c r="W277" i="1" s="1"/>
  <c r="Y277" i="1" s="1"/>
  <c r="AA277" i="1" s="1"/>
  <c r="AC277" i="1" s="1"/>
  <c r="AE277" i="1" s="1"/>
  <c r="AG277" i="1" s="1"/>
  <c r="AI277" i="1" s="1"/>
  <c r="AK277" i="1" s="1"/>
  <c r="AM277" i="1" s="1"/>
  <c r="R277" i="1"/>
  <c r="S277" i="1" s="1"/>
  <c r="BA276" i="1"/>
  <c r="BG276" i="1" s="1"/>
  <c r="AY276" i="1"/>
  <c r="AX276" i="1"/>
  <c r="AW276" i="1"/>
  <c r="AU276" i="1"/>
  <c r="AV276" i="1" s="1"/>
  <c r="AH276" i="1"/>
  <c r="AJ276" i="1" s="1"/>
  <c r="AL276" i="1" s="1"/>
  <c r="AO276" i="1" s="1"/>
  <c r="V276" i="1"/>
  <c r="X276" i="1" s="1"/>
  <c r="Z276" i="1" s="1"/>
  <c r="AB276" i="1" s="1"/>
  <c r="AD276" i="1" s="1"/>
  <c r="AF276" i="1" s="1"/>
  <c r="R276" i="1"/>
  <c r="T276" i="1" s="1"/>
  <c r="Q276" i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AM276" i="1" s="1"/>
  <c r="P276" i="1"/>
  <c r="BG275" i="1"/>
  <c r="BA275" i="1"/>
  <c r="AX275" i="1"/>
  <c r="AV275" i="1"/>
  <c r="AU275" i="1"/>
  <c r="R275" i="1"/>
  <c r="T275" i="1" s="1"/>
  <c r="V275" i="1" s="1"/>
  <c r="X275" i="1" s="1"/>
  <c r="Z275" i="1" s="1"/>
  <c r="AB275" i="1" s="1"/>
  <c r="AD275" i="1" s="1"/>
  <c r="AF275" i="1" s="1"/>
  <c r="AH275" i="1" s="1"/>
  <c r="AJ275" i="1" s="1"/>
  <c r="AL275" i="1" s="1"/>
  <c r="AO275" i="1" s="1"/>
  <c r="Q275" i="1"/>
  <c r="P275" i="1"/>
  <c r="O275" i="1"/>
  <c r="N275" i="1"/>
  <c r="BG274" i="1"/>
  <c r="BA274" i="1"/>
  <c r="AX274" i="1"/>
  <c r="AV274" i="1"/>
  <c r="AW274" i="1" s="1"/>
  <c r="AU274" i="1"/>
  <c r="R274" i="1"/>
  <c r="P274" i="1"/>
  <c r="O274" i="1"/>
  <c r="Q274" i="1" s="1"/>
  <c r="N274" i="1"/>
  <c r="M274" i="1"/>
  <c r="L274" i="1"/>
  <c r="BG273" i="1"/>
  <c r="BA273" i="1"/>
  <c r="AZ273" i="1"/>
  <c r="AY273" i="1"/>
  <c r="BB273" i="1" s="1"/>
  <c r="BC273" i="1" s="1"/>
  <c r="AX273" i="1"/>
  <c r="AV273" i="1"/>
  <c r="AW273" i="1" s="1"/>
  <c r="AU273" i="1"/>
  <c r="T273" i="1"/>
  <c r="V273" i="1" s="1"/>
  <c r="X273" i="1" s="1"/>
  <c r="Z273" i="1" s="1"/>
  <c r="AB273" i="1" s="1"/>
  <c r="AD273" i="1" s="1"/>
  <c r="AF273" i="1" s="1"/>
  <c r="AH273" i="1" s="1"/>
  <c r="AJ273" i="1" s="1"/>
  <c r="AL273" i="1" s="1"/>
  <c r="AO273" i="1" s="1"/>
  <c r="R273" i="1"/>
  <c r="P273" i="1"/>
  <c r="N273" i="1"/>
  <c r="L273" i="1"/>
  <c r="K273" i="1"/>
  <c r="M273" i="1" s="1"/>
  <c r="O273" i="1" s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AM273" i="1" s="1"/>
  <c r="BA272" i="1"/>
  <c r="BG272" i="1" s="1"/>
  <c r="AX272" i="1"/>
  <c r="AV272" i="1"/>
  <c r="AU272" i="1"/>
  <c r="R272" i="1"/>
  <c r="T272" i="1" s="1"/>
  <c r="V272" i="1" s="1"/>
  <c r="X272" i="1" s="1"/>
  <c r="Z272" i="1" s="1"/>
  <c r="AB272" i="1" s="1"/>
  <c r="AD272" i="1" s="1"/>
  <c r="AF272" i="1" s="1"/>
  <c r="AH272" i="1" s="1"/>
  <c r="AJ272" i="1" s="1"/>
  <c r="AL272" i="1" s="1"/>
  <c r="AO272" i="1" s="1"/>
  <c r="P272" i="1"/>
  <c r="O272" i="1"/>
  <c r="N272" i="1"/>
  <c r="L272" i="1"/>
  <c r="J272" i="1"/>
  <c r="I272" i="1"/>
  <c r="K272" i="1" s="1"/>
  <c r="M272" i="1" s="1"/>
  <c r="BG271" i="1"/>
  <c r="BC271" i="1"/>
  <c r="BB271" i="1"/>
  <c r="BA271" i="1"/>
  <c r="AZ271" i="1"/>
  <c r="AX271" i="1"/>
  <c r="AY271" i="1" s="1"/>
  <c r="AW271" i="1"/>
  <c r="AV271" i="1"/>
  <c r="AU271" i="1"/>
  <c r="AO271" i="1"/>
  <c r="AL271" i="1"/>
  <c r="Z271" i="1"/>
  <c r="AB271" i="1" s="1"/>
  <c r="AD271" i="1" s="1"/>
  <c r="AF271" i="1" s="1"/>
  <c r="AH271" i="1" s="1"/>
  <c r="AJ271" i="1" s="1"/>
  <c r="T271" i="1"/>
  <c r="V271" i="1" s="1"/>
  <c r="X271" i="1" s="1"/>
  <c r="R271" i="1"/>
  <c r="P271" i="1"/>
  <c r="J271" i="1"/>
  <c r="L271" i="1" s="1"/>
  <c r="N271" i="1" s="1"/>
  <c r="I271" i="1"/>
  <c r="BG270" i="1"/>
  <c r="BB270" i="1"/>
  <c r="BC270" i="1" s="1"/>
  <c r="BA270" i="1"/>
  <c r="AX270" i="1"/>
  <c r="AW270" i="1"/>
  <c r="AV270" i="1"/>
  <c r="AY270" i="1" s="1"/>
  <c r="AZ270" i="1" s="1"/>
  <c r="AU270" i="1"/>
  <c r="AD270" i="1"/>
  <c r="AF270" i="1" s="1"/>
  <c r="AH270" i="1" s="1"/>
  <c r="AJ270" i="1" s="1"/>
  <c r="AL270" i="1" s="1"/>
  <c r="AO270" i="1" s="1"/>
  <c r="Z270" i="1"/>
  <c r="AB270" i="1" s="1"/>
  <c r="V270" i="1"/>
  <c r="X270" i="1" s="1"/>
  <c r="T270" i="1"/>
  <c r="R270" i="1"/>
  <c r="P270" i="1"/>
  <c r="N270" i="1"/>
  <c r="M270" i="1"/>
  <c r="O270" i="1" s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L270" i="1"/>
  <c r="J270" i="1"/>
  <c r="I270" i="1"/>
  <c r="K270" i="1" s="1"/>
  <c r="BG269" i="1"/>
  <c r="BA269" i="1"/>
  <c r="AX269" i="1"/>
  <c r="AV269" i="1"/>
  <c r="AU269" i="1"/>
  <c r="AF269" i="1"/>
  <c r="AH269" i="1" s="1"/>
  <c r="AJ269" i="1" s="1"/>
  <c r="AL269" i="1" s="1"/>
  <c r="AO269" i="1" s="1"/>
  <c r="X269" i="1"/>
  <c r="Z269" i="1" s="1"/>
  <c r="AB269" i="1" s="1"/>
  <c r="AD269" i="1" s="1"/>
  <c r="R269" i="1"/>
  <c r="T269" i="1" s="1"/>
  <c r="V269" i="1" s="1"/>
  <c r="P269" i="1"/>
  <c r="N269" i="1"/>
  <c r="J269" i="1"/>
  <c r="L269" i="1" s="1"/>
  <c r="I269" i="1"/>
  <c r="BA268" i="1"/>
  <c r="BG268" i="1" s="1"/>
  <c r="AY268" i="1"/>
  <c r="AX268" i="1"/>
  <c r="AV268" i="1"/>
  <c r="AW268" i="1" s="1"/>
  <c r="AU268" i="1"/>
  <c r="R268" i="1"/>
  <c r="T268" i="1" s="1"/>
  <c r="V268" i="1" s="1"/>
  <c r="X268" i="1" s="1"/>
  <c r="Z268" i="1" s="1"/>
  <c r="AB268" i="1" s="1"/>
  <c r="AD268" i="1" s="1"/>
  <c r="AF268" i="1" s="1"/>
  <c r="AH268" i="1" s="1"/>
  <c r="AJ268" i="1" s="1"/>
  <c r="AL268" i="1" s="1"/>
  <c r="AO268" i="1" s="1"/>
  <c r="P268" i="1"/>
  <c r="N268" i="1"/>
  <c r="L268" i="1"/>
  <c r="J268" i="1"/>
  <c r="I268" i="1"/>
  <c r="K268" i="1" s="1"/>
  <c r="M268" i="1" s="1"/>
  <c r="O268" i="1" s="1"/>
  <c r="Q268" i="1" s="1"/>
  <c r="BA267" i="1"/>
  <c r="BG267" i="1" s="1"/>
  <c r="AX267" i="1"/>
  <c r="AV267" i="1"/>
  <c r="AU267" i="1"/>
  <c r="R267" i="1"/>
  <c r="T267" i="1" s="1"/>
  <c r="V267" i="1" s="1"/>
  <c r="X267" i="1" s="1"/>
  <c r="Z267" i="1" s="1"/>
  <c r="AB267" i="1" s="1"/>
  <c r="AD267" i="1" s="1"/>
  <c r="AF267" i="1" s="1"/>
  <c r="AH267" i="1" s="1"/>
  <c r="AJ267" i="1" s="1"/>
  <c r="AL267" i="1" s="1"/>
  <c r="AO267" i="1" s="1"/>
  <c r="P267" i="1"/>
  <c r="N267" i="1"/>
  <c r="J267" i="1"/>
  <c r="L267" i="1" s="1"/>
  <c r="I267" i="1"/>
  <c r="K267" i="1" s="1"/>
  <c r="M267" i="1" s="1"/>
  <c r="BA266" i="1"/>
  <c r="AX266" i="1"/>
  <c r="AV266" i="1"/>
  <c r="AU266" i="1"/>
  <c r="T266" i="1"/>
  <c r="V266" i="1" s="1"/>
  <c r="X266" i="1" s="1"/>
  <c r="Z266" i="1" s="1"/>
  <c r="AB266" i="1" s="1"/>
  <c r="AD266" i="1" s="1"/>
  <c r="AF266" i="1" s="1"/>
  <c r="AH266" i="1" s="1"/>
  <c r="AJ266" i="1" s="1"/>
  <c r="AL266" i="1" s="1"/>
  <c r="AO266" i="1" s="1"/>
  <c r="R266" i="1"/>
  <c r="P266" i="1"/>
  <c r="J266" i="1"/>
  <c r="L266" i="1" s="1"/>
  <c r="N266" i="1" s="1"/>
  <c r="I266" i="1"/>
  <c r="K266" i="1" s="1"/>
  <c r="BG265" i="1"/>
  <c r="BA265" i="1"/>
  <c r="AX265" i="1"/>
  <c r="AY265" i="1" s="1"/>
  <c r="AW265" i="1"/>
  <c r="AV265" i="1"/>
  <c r="AU265" i="1"/>
  <c r="AB265" i="1"/>
  <c r="AD265" i="1" s="1"/>
  <c r="AF265" i="1" s="1"/>
  <c r="AH265" i="1" s="1"/>
  <c r="AJ265" i="1" s="1"/>
  <c r="AL265" i="1" s="1"/>
  <c r="AO265" i="1" s="1"/>
  <c r="T265" i="1"/>
  <c r="V265" i="1" s="1"/>
  <c r="X265" i="1" s="1"/>
  <c r="Z265" i="1" s="1"/>
  <c r="R265" i="1"/>
  <c r="P265" i="1"/>
  <c r="M265" i="1"/>
  <c r="O265" i="1" s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AM265" i="1" s="1"/>
  <c r="L265" i="1"/>
  <c r="N265" i="1" s="1"/>
  <c r="K265" i="1"/>
  <c r="J265" i="1"/>
  <c r="I265" i="1"/>
  <c r="BA264" i="1"/>
  <c r="BG264" i="1" s="1"/>
  <c r="AX264" i="1"/>
  <c r="AV264" i="1"/>
  <c r="AU264" i="1"/>
  <c r="X264" i="1"/>
  <c r="Z264" i="1" s="1"/>
  <c r="AB264" i="1" s="1"/>
  <c r="AD264" i="1" s="1"/>
  <c r="AF264" i="1" s="1"/>
  <c r="AH264" i="1" s="1"/>
  <c r="AJ264" i="1" s="1"/>
  <c r="AL264" i="1" s="1"/>
  <c r="AO264" i="1" s="1"/>
  <c r="V264" i="1"/>
  <c r="T264" i="1"/>
  <c r="R264" i="1"/>
  <c r="P264" i="1"/>
  <c r="L264" i="1"/>
  <c r="N264" i="1" s="1"/>
  <c r="J264" i="1"/>
  <c r="K264" i="1" s="1"/>
  <c r="I264" i="1"/>
  <c r="BG263" i="1"/>
  <c r="BA263" i="1"/>
  <c r="AX263" i="1"/>
  <c r="AX295" i="1" s="1"/>
  <c r="AU263" i="1"/>
  <c r="AV263" i="1" s="1"/>
  <c r="X263" i="1"/>
  <c r="Z263" i="1" s="1"/>
  <c r="AB263" i="1" s="1"/>
  <c r="AD263" i="1" s="1"/>
  <c r="AF263" i="1" s="1"/>
  <c r="AH263" i="1" s="1"/>
  <c r="AJ263" i="1" s="1"/>
  <c r="AL263" i="1" s="1"/>
  <c r="AO263" i="1" s="1"/>
  <c r="V263" i="1"/>
  <c r="R263" i="1"/>
  <c r="T263" i="1" s="1"/>
  <c r="P263" i="1"/>
  <c r="N263" i="1"/>
  <c r="M263" i="1"/>
  <c r="L263" i="1"/>
  <c r="J263" i="1"/>
  <c r="I263" i="1"/>
  <c r="K263" i="1" s="1"/>
  <c r="BG262" i="1"/>
  <c r="BA262" i="1"/>
  <c r="AY262" i="1"/>
  <c r="AX262" i="1"/>
  <c r="AW262" i="1"/>
  <c r="AV262" i="1"/>
  <c r="AU262" i="1"/>
  <c r="AP262" i="1"/>
  <c r="R262" i="1"/>
  <c r="T262" i="1" s="1"/>
  <c r="V262" i="1" s="1"/>
  <c r="X262" i="1" s="1"/>
  <c r="Z262" i="1" s="1"/>
  <c r="AB262" i="1" s="1"/>
  <c r="AD262" i="1" s="1"/>
  <c r="AF262" i="1" s="1"/>
  <c r="AH262" i="1" s="1"/>
  <c r="AJ262" i="1" s="1"/>
  <c r="AL262" i="1" s="1"/>
  <c r="AO262" i="1" s="1"/>
  <c r="P262" i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AM262" i="1" s="1"/>
  <c r="AN262" i="1" s="1"/>
  <c r="L262" i="1"/>
  <c r="N262" i="1" s="1"/>
  <c r="K262" i="1"/>
  <c r="M262" i="1" s="1"/>
  <c r="J262" i="1"/>
  <c r="I262" i="1"/>
  <c r="BA261" i="1"/>
  <c r="BG261" i="1" s="1"/>
  <c r="AX261" i="1"/>
  <c r="AU261" i="1"/>
  <c r="AJ261" i="1"/>
  <c r="AL261" i="1" s="1"/>
  <c r="AO261" i="1" s="1"/>
  <c r="AH261" i="1"/>
  <c r="V261" i="1"/>
  <c r="X261" i="1" s="1"/>
  <c r="Z261" i="1" s="1"/>
  <c r="AB261" i="1" s="1"/>
  <c r="AD261" i="1" s="1"/>
  <c r="AF261" i="1" s="1"/>
  <c r="T261" i="1"/>
  <c r="R261" i="1"/>
  <c r="P261" i="1"/>
  <c r="J261" i="1"/>
  <c r="I261" i="1"/>
  <c r="BG260" i="1"/>
  <c r="AZ260" i="1"/>
  <c r="AY260" i="1"/>
  <c r="AW260" i="1"/>
  <c r="AV260" i="1"/>
  <c r="X260" i="1"/>
  <c r="V260" i="1"/>
  <c r="T260" i="1"/>
  <c r="R260" i="1"/>
  <c r="P260" i="1"/>
  <c r="L260" i="1"/>
  <c r="J260" i="1"/>
  <c r="I260" i="1"/>
  <c r="BG259" i="1"/>
  <c r="M259" i="1"/>
  <c r="BG258" i="1"/>
  <c r="M258" i="1"/>
  <c r="BG257" i="1"/>
  <c r="AT256" i="1"/>
  <c r="AS256" i="1"/>
  <c r="AR256" i="1"/>
  <c r="AQ256" i="1"/>
  <c r="C256" i="1"/>
  <c r="BB255" i="1"/>
  <c r="BC255" i="1" s="1"/>
  <c r="BA255" i="1"/>
  <c r="BG255" i="1" s="1"/>
  <c r="BA254" i="1"/>
  <c r="BG254" i="1" s="1"/>
  <c r="AX254" i="1"/>
  <c r="AY254" i="1" s="1"/>
  <c r="BG253" i="1"/>
  <c r="BA253" i="1"/>
  <c r="AX253" i="1"/>
  <c r="AU253" i="1"/>
  <c r="AV253" i="1" s="1"/>
  <c r="BG252" i="1"/>
  <c r="BA252" i="1"/>
  <c r="AY252" i="1"/>
  <c r="AX252" i="1"/>
  <c r="AW252" i="1"/>
  <c r="AU252" i="1"/>
  <c r="AV252" i="1" s="1"/>
  <c r="BA251" i="1"/>
  <c r="BG251" i="1" s="1"/>
  <c r="AX251" i="1"/>
  <c r="AU251" i="1"/>
  <c r="AV251" i="1" s="1"/>
  <c r="AO251" i="1"/>
  <c r="AP251" i="1" s="1"/>
  <c r="BA250" i="1"/>
  <c r="BG250" i="1" s="1"/>
  <c r="AX250" i="1"/>
  <c r="AW250" i="1"/>
  <c r="AU250" i="1"/>
  <c r="AV250" i="1" s="1"/>
  <c r="AY250" i="1" s="1"/>
  <c r="AP250" i="1"/>
  <c r="BA249" i="1"/>
  <c r="BG249" i="1" s="1"/>
  <c r="AX249" i="1"/>
  <c r="AV249" i="1"/>
  <c r="AU249" i="1"/>
  <c r="AP249" i="1"/>
  <c r="BA248" i="1"/>
  <c r="BG248" i="1" s="1"/>
  <c r="AX248" i="1"/>
  <c r="AW248" i="1"/>
  <c r="AU248" i="1"/>
  <c r="AV248" i="1" s="1"/>
  <c r="AY248" i="1" s="1"/>
  <c r="AP248" i="1"/>
  <c r="AO248" i="1"/>
  <c r="V248" i="1"/>
  <c r="T248" i="1"/>
  <c r="Q248" i="1"/>
  <c r="P248" i="1"/>
  <c r="O248" i="1"/>
  <c r="N248" i="1"/>
  <c r="M248" i="1"/>
  <c r="L248" i="1"/>
  <c r="K248" i="1"/>
  <c r="J248" i="1"/>
  <c r="I248" i="1"/>
  <c r="H248" i="1"/>
  <c r="G248" i="1"/>
  <c r="BA247" i="1"/>
  <c r="BG247" i="1" s="1"/>
  <c r="AX247" i="1"/>
  <c r="AV247" i="1"/>
  <c r="AU247" i="1"/>
  <c r="AP247" i="1"/>
  <c r="AO247" i="1"/>
  <c r="BA246" i="1"/>
  <c r="BG246" i="1" s="1"/>
  <c r="AX246" i="1"/>
  <c r="AW246" i="1"/>
  <c r="AU246" i="1"/>
  <c r="AV246" i="1" s="1"/>
  <c r="AY246" i="1" s="1"/>
  <c r="AO246" i="1"/>
  <c r="AP246" i="1" s="1"/>
  <c r="AL246" i="1"/>
  <c r="AM246" i="1" s="1"/>
  <c r="AN246" i="1" s="1"/>
  <c r="BA245" i="1"/>
  <c r="BG245" i="1" s="1"/>
  <c r="AX245" i="1"/>
  <c r="AV245" i="1"/>
  <c r="AU245" i="1"/>
  <c r="AO245" i="1"/>
  <c r="AN245" i="1"/>
  <c r="AM245" i="1"/>
  <c r="AP245" i="1" s="1"/>
  <c r="AL245" i="1"/>
  <c r="BG244" i="1"/>
  <c r="BA244" i="1"/>
  <c r="AX244" i="1"/>
  <c r="AU244" i="1"/>
  <c r="AV244" i="1" s="1"/>
  <c r="AW244" i="1" s="1"/>
  <c r="AL244" i="1"/>
  <c r="AO244" i="1" s="1"/>
  <c r="BG243" i="1"/>
  <c r="BA243" i="1"/>
  <c r="AX243" i="1"/>
  <c r="AU243" i="1"/>
  <c r="AV243" i="1" s="1"/>
  <c r="AO243" i="1"/>
  <c r="AM243" i="1"/>
  <c r="AN243" i="1" s="1"/>
  <c r="AL243" i="1"/>
  <c r="BA242" i="1"/>
  <c r="BG242" i="1" s="1"/>
  <c r="AX242" i="1"/>
  <c r="AV242" i="1"/>
  <c r="AU242" i="1"/>
  <c r="AO242" i="1"/>
  <c r="AN242" i="1"/>
  <c r="AL242" i="1"/>
  <c r="AM242" i="1" s="1"/>
  <c r="BG241" i="1"/>
  <c r="BA241" i="1"/>
  <c r="AX241" i="1"/>
  <c r="AY241" i="1" s="1"/>
  <c r="AW241" i="1"/>
  <c r="AU241" i="1"/>
  <c r="AV241" i="1" s="1"/>
  <c r="AP241" i="1"/>
  <c r="AN241" i="1"/>
  <c r="AM241" i="1"/>
  <c r="AL241" i="1"/>
  <c r="AO241" i="1" s="1"/>
  <c r="BG240" i="1"/>
  <c r="BA240" i="1"/>
  <c r="AX240" i="1"/>
  <c r="AV240" i="1"/>
  <c r="AU240" i="1"/>
  <c r="AO240" i="1"/>
  <c r="AL240" i="1"/>
  <c r="AM240" i="1" s="1"/>
  <c r="BA239" i="1"/>
  <c r="BG239" i="1" s="1"/>
  <c r="AX239" i="1"/>
  <c r="AV239" i="1"/>
  <c r="AU239" i="1"/>
  <c r="AO239" i="1"/>
  <c r="AM239" i="1"/>
  <c r="AL239" i="1"/>
  <c r="BA238" i="1"/>
  <c r="BG238" i="1" s="1"/>
  <c r="AX238" i="1"/>
  <c r="AV238" i="1"/>
  <c r="AU238" i="1"/>
  <c r="AO238" i="1"/>
  <c r="AN238" i="1"/>
  <c r="AL238" i="1"/>
  <c r="AM238" i="1" s="1"/>
  <c r="AP238" i="1" s="1"/>
  <c r="BG237" i="1"/>
  <c r="BA237" i="1"/>
  <c r="AX237" i="1"/>
  <c r="AV237" i="1"/>
  <c r="AU237" i="1"/>
  <c r="AO237" i="1"/>
  <c r="AN237" i="1"/>
  <c r="AL237" i="1"/>
  <c r="BG236" i="1"/>
  <c r="BA236" i="1"/>
  <c r="AX236" i="1"/>
  <c r="AW236" i="1"/>
  <c r="AV236" i="1"/>
  <c r="AP236" i="1"/>
  <c r="AL236" i="1"/>
  <c r="AO236" i="1" s="1"/>
  <c r="AK236" i="1"/>
  <c r="AM236" i="1" s="1"/>
  <c r="AN236" i="1" s="1"/>
  <c r="AJ236" i="1"/>
  <c r="AG236" i="1"/>
  <c r="AI236" i="1" s="1"/>
  <c r="BA235" i="1"/>
  <c r="AX235" i="1"/>
  <c r="AW235" i="1"/>
  <c r="AV235" i="1"/>
  <c r="AY235" i="1" s="1"/>
  <c r="AZ235" i="1" s="1"/>
  <c r="AU235" i="1"/>
  <c r="AO235" i="1"/>
  <c r="AM235" i="1"/>
  <c r="AL235" i="1"/>
  <c r="AK235" i="1"/>
  <c r="AJ235" i="1"/>
  <c r="BA234" i="1"/>
  <c r="BG234" i="1" s="1"/>
  <c r="AX234" i="1"/>
  <c r="AU234" i="1"/>
  <c r="AV234" i="1" s="1"/>
  <c r="AO234" i="1"/>
  <c r="AL234" i="1"/>
  <c r="AK234" i="1"/>
  <c r="AM234" i="1" s="1"/>
  <c r="AP234" i="1" s="1"/>
  <c r="AH234" i="1"/>
  <c r="AJ234" i="1" s="1"/>
  <c r="AF234" i="1"/>
  <c r="AG234" i="1" s="1"/>
  <c r="AI234" i="1" s="1"/>
  <c r="BA233" i="1"/>
  <c r="BG233" i="1" s="1"/>
  <c r="AX233" i="1"/>
  <c r="AV233" i="1"/>
  <c r="AU233" i="1"/>
  <c r="AH233" i="1"/>
  <c r="AF233" i="1"/>
  <c r="AD233" i="1"/>
  <c r="AE233" i="1" s="1"/>
  <c r="AG233" i="1" s="1"/>
  <c r="BA232" i="1"/>
  <c r="BG232" i="1" s="1"/>
  <c r="AX232" i="1"/>
  <c r="AU232" i="1"/>
  <c r="AD232" i="1"/>
  <c r="BG231" i="1"/>
  <c r="BA231" i="1"/>
  <c r="AX231" i="1"/>
  <c r="AV231" i="1"/>
  <c r="AU231" i="1"/>
  <c r="AB231" i="1"/>
  <c r="Y231" i="1"/>
  <c r="BG230" i="1"/>
  <c r="BA230" i="1"/>
  <c r="AX230" i="1"/>
  <c r="AV230" i="1"/>
  <c r="AU230" i="1"/>
  <c r="AF230" i="1"/>
  <c r="AH230" i="1" s="1"/>
  <c r="AJ230" i="1" s="1"/>
  <c r="AL230" i="1" s="1"/>
  <c r="AO230" i="1" s="1"/>
  <c r="AB230" i="1"/>
  <c r="AD230" i="1" s="1"/>
  <c r="AA230" i="1"/>
  <c r="Z230" i="1"/>
  <c r="Y230" i="1"/>
  <c r="X230" i="1"/>
  <c r="BG229" i="1"/>
  <c r="BA229" i="1"/>
  <c r="AX229" i="1"/>
  <c r="AV229" i="1"/>
  <c r="AU229" i="1"/>
  <c r="AD229" i="1"/>
  <c r="AF229" i="1" s="1"/>
  <c r="AH229" i="1" s="1"/>
  <c r="AJ229" i="1" s="1"/>
  <c r="AL229" i="1" s="1"/>
  <c r="AO229" i="1" s="1"/>
  <c r="AB229" i="1"/>
  <c r="X229" i="1"/>
  <c r="Z229" i="1" s="1"/>
  <c r="W229" i="1"/>
  <c r="Y229" i="1" s="1"/>
  <c r="AA229" i="1" s="1"/>
  <c r="AC229" i="1" s="1"/>
  <c r="AE229" i="1" s="1"/>
  <c r="AG229" i="1" s="1"/>
  <c r="AI229" i="1" s="1"/>
  <c r="AK229" i="1" s="1"/>
  <c r="AM229" i="1" s="1"/>
  <c r="BA228" i="1"/>
  <c r="AX228" i="1"/>
  <c r="AY228" i="1" s="1"/>
  <c r="AW228" i="1"/>
  <c r="AU228" i="1"/>
  <c r="AV228" i="1" s="1"/>
  <c r="Z228" i="1"/>
  <c r="AB228" i="1" s="1"/>
  <c r="AD228" i="1" s="1"/>
  <c r="AF228" i="1" s="1"/>
  <c r="AH228" i="1" s="1"/>
  <c r="AJ228" i="1" s="1"/>
  <c r="AL228" i="1" s="1"/>
  <c r="AO228" i="1" s="1"/>
  <c r="W228" i="1"/>
  <c r="Y228" i="1" s="1"/>
  <c r="V228" i="1"/>
  <c r="X228" i="1" s="1"/>
  <c r="U228" i="1"/>
  <c r="BA227" i="1"/>
  <c r="BG227" i="1" s="1"/>
  <c r="AX227" i="1"/>
  <c r="AU227" i="1"/>
  <c r="AV227" i="1" s="1"/>
  <c r="AN227" i="1"/>
  <c r="X227" i="1"/>
  <c r="V227" i="1"/>
  <c r="R227" i="1"/>
  <c r="BG226" i="1"/>
  <c r="M226" i="1"/>
  <c r="BG225" i="1"/>
  <c r="BG224" i="1"/>
  <c r="H223" i="1"/>
  <c r="G223" i="1"/>
  <c r="C223" i="1"/>
  <c r="BG222" i="1"/>
  <c r="BA221" i="1"/>
  <c r="BG220" i="1"/>
  <c r="BA220" i="1"/>
  <c r="AX220" i="1"/>
  <c r="AY220" i="1" s="1"/>
  <c r="BA219" i="1"/>
  <c r="BG219" i="1" s="1"/>
  <c r="AX219" i="1"/>
  <c r="AV219" i="1"/>
  <c r="AU219" i="1"/>
  <c r="BG218" i="1"/>
  <c r="BA218" i="1"/>
  <c r="AX218" i="1"/>
  <c r="AW218" i="1"/>
  <c r="AU218" i="1"/>
  <c r="AV218" i="1" s="1"/>
  <c r="AY218" i="1" s="1"/>
  <c r="AP218" i="1"/>
  <c r="BG217" i="1"/>
  <c r="BA217" i="1"/>
  <c r="AX217" i="1"/>
  <c r="AV217" i="1"/>
  <c r="AU217" i="1"/>
  <c r="AP217" i="1"/>
  <c r="AO217" i="1"/>
  <c r="BG216" i="1"/>
  <c r="BA216" i="1"/>
  <c r="AX216" i="1"/>
  <c r="AU216" i="1"/>
  <c r="AV216" i="1" s="1"/>
  <c r="AO216" i="1"/>
  <c r="AM216" i="1"/>
  <c r="AL216" i="1"/>
  <c r="BG215" i="1"/>
  <c r="BA215" i="1"/>
  <c r="AX215" i="1"/>
  <c r="AY215" i="1" s="1"/>
  <c r="AW215" i="1"/>
  <c r="AU215" i="1"/>
  <c r="AV215" i="1" s="1"/>
  <c r="AL215" i="1"/>
  <c r="BA214" i="1"/>
  <c r="BG214" i="1" s="1"/>
  <c r="AX214" i="1"/>
  <c r="AU214" i="1"/>
  <c r="AV214" i="1" s="1"/>
  <c r="AL214" i="1"/>
  <c r="AO214" i="1" s="1"/>
  <c r="AK214" i="1"/>
  <c r="AJ214" i="1"/>
  <c r="BA213" i="1"/>
  <c r="BG213" i="1" s="1"/>
  <c r="AX213" i="1"/>
  <c r="AV213" i="1"/>
  <c r="AU213" i="1"/>
  <c r="AL213" i="1"/>
  <c r="AO213" i="1" s="1"/>
  <c r="AJ213" i="1"/>
  <c r="AH213" i="1"/>
  <c r="AG213" i="1"/>
  <c r="AI213" i="1" s="1"/>
  <c r="AK213" i="1" s="1"/>
  <c r="AF213" i="1"/>
  <c r="BG212" i="1"/>
  <c r="BA212" i="1"/>
  <c r="AX212" i="1"/>
  <c r="AU212" i="1"/>
  <c r="AV212" i="1" s="1"/>
  <c r="AJ212" i="1"/>
  <c r="AL212" i="1" s="1"/>
  <c r="AO212" i="1" s="1"/>
  <c r="AH212" i="1"/>
  <c r="AF212" i="1"/>
  <c r="AD212" i="1"/>
  <c r="AE212" i="1" s="1"/>
  <c r="AG212" i="1" s="1"/>
  <c r="AI212" i="1" s="1"/>
  <c r="BG211" i="1"/>
  <c r="BA211" i="1"/>
  <c r="AZ211" i="1"/>
  <c r="AX211" i="1"/>
  <c r="AY211" i="1" s="1"/>
  <c r="BB211" i="1" s="1"/>
  <c r="BC211" i="1" s="1"/>
  <c r="AW211" i="1"/>
  <c r="AV211" i="1"/>
  <c r="AU211" i="1"/>
  <c r="AH211" i="1"/>
  <c r="AJ211" i="1" s="1"/>
  <c r="AL211" i="1" s="1"/>
  <c r="AO211" i="1" s="1"/>
  <c r="AG211" i="1"/>
  <c r="AF211" i="1"/>
  <c r="AE211" i="1"/>
  <c r="BA210" i="1"/>
  <c r="BG210" i="1" s="1"/>
  <c r="AX210" i="1"/>
  <c r="AV210" i="1"/>
  <c r="AY210" i="1" s="1"/>
  <c r="AU210" i="1"/>
  <c r="AB210" i="1"/>
  <c r="Y210" i="1"/>
  <c r="BA209" i="1"/>
  <c r="BG209" i="1" s="1"/>
  <c r="AX209" i="1"/>
  <c r="AV209" i="1"/>
  <c r="AU209" i="1"/>
  <c r="AB209" i="1"/>
  <c r="AD209" i="1" s="1"/>
  <c r="AF209" i="1" s="1"/>
  <c r="AH209" i="1" s="1"/>
  <c r="AJ209" i="1" s="1"/>
  <c r="AL209" i="1" s="1"/>
  <c r="AO209" i="1" s="1"/>
  <c r="Z209" i="1"/>
  <c r="Y209" i="1"/>
  <c r="AA209" i="1" s="1"/>
  <c r="AC209" i="1" s="1"/>
  <c r="AE209" i="1" s="1"/>
  <c r="AG209" i="1" s="1"/>
  <c r="X209" i="1"/>
  <c r="BA208" i="1"/>
  <c r="AY208" i="1"/>
  <c r="AZ208" i="1" s="1"/>
  <c r="AX208" i="1"/>
  <c r="AW208" i="1"/>
  <c r="AU208" i="1"/>
  <c r="AV208" i="1" s="1"/>
  <c r="AD208" i="1"/>
  <c r="AF208" i="1" s="1"/>
  <c r="AH208" i="1" s="1"/>
  <c r="AJ208" i="1" s="1"/>
  <c r="AL208" i="1" s="1"/>
  <c r="AO208" i="1" s="1"/>
  <c r="AA208" i="1"/>
  <c r="AC208" i="1" s="1"/>
  <c r="AE208" i="1" s="1"/>
  <c r="AG208" i="1" s="1"/>
  <c r="AI208" i="1" s="1"/>
  <c r="AK208" i="1" s="1"/>
  <c r="AM208" i="1" s="1"/>
  <c r="Z208" i="1"/>
  <c r="AB208" i="1" s="1"/>
  <c r="X208" i="1"/>
  <c r="W208" i="1"/>
  <c r="Y208" i="1" s="1"/>
  <c r="BG207" i="1"/>
  <c r="BA207" i="1"/>
  <c r="AY207" i="1"/>
  <c r="AZ207" i="1" s="1"/>
  <c r="AX207" i="1"/>
  <c r="AV207" i="1"/>
  <c r="AW207" i="1" s="1"/>
  <c r="AU207" i="1"/>
  <c r="AF207" i="1"/>
  <c r="AH207" i="1" s="1"/>
  <c r="AJ207" i="1" s="1"/>
  <c r="AL207" i="1" s="1"/>
  <c r="AO207" i="1" s="1"/>
  <c r="V207" i="1"/>
  <c r="X207" i="1" s="1"/>
  <c r="Z207" i="1" s="1"/>
  <c r="AB207" i="1" s="1"/>
  <c r="AD207" i="1" s="1"/>
  <c r="U207" i="1"/>
  <c r="T207" i="1"/>
  <c r="BG206" i="1"/>
  <c r="BA206" i="1"/>
  <c r="AX206" i="1"/>
  <c r="AU206" i="1"/>
  <c r="AV206" i="1" s="1"/>
  <c r="AH206" i="1"/>
  <c r="AJ206" i="1" s="1"/>
  <c r="AL206" i="1" s="1"/>
  <c r="AO206" i="1" s="1"/>
  <c r="X206" i="1"/>
  <c r="Z206" i="1" s="1"/>
  <c r="AB206" i="1" s="1"/>
  <c r="AD206" i="1" s="1"/>
  <c r="AF206" i="1" s="1"/>
  <c r="V206" i="1"/>
  <c r="S206" i="1"/>
  <c r="U206" i="1" s="1"/>
  <c r="W206" i="1" s="1"/>
  <c r="R206" i="1"/>
  <c r="BG205" i="1"/>
  <c r="BA205" i="1"/>
  <c r="AX205" i="1"/>
  <c r="AU205" i="1"/>
  <c r="AV205" i="1" s="1"/>
  <c r="V205" i="1"/>
  <c r="X205" i="1" s="1"/>
  <c r="Z205" i="1" s="1"/>
  <c r="AB205" i="1" s="1"/>
  <c r="AD205" i="1" s="1"/>
  <c r="AF205" i="1" s="1"/>
  <c r="AH205" i="1" s="1"/>
  <c r="AJ205" i="1" s="1"/>
  <c r="AL205" i="1" s="1"/>
  <c r="AO205" i="1" s="1"/>
  <c r="T205" i="1"/>
  <c r="R205" i="1"/>
  <c r="Q205" i="1"/>
  <c r="S205" i="1" s="1"/>
  <c r="U205" i="1" s="1"/>
  <c r="P205" i="1"/>
  <c r="BG204" i="1"/>
  <c r="BA204" i="1"/>
  <c r="AX204" i="1"/>
  <c r="AW204" i="1"/>
  <c r="AV204" i="1"/>
  <c r="AU204" i="1"/>
  <c r="AO204" i="1"/>
  <c r="R204" i="1"/>
  <c r="T204" i="1" s="1"/>
  <c r="V204" i="1" s="1"/>
  <c r="X204" i="1" s="1"/>
  <c r="Z204" i="1" s="1"/>
  <c r="AB204" i="1" s="1"/>
  <c r="AD204" i="1" s="1"/>
  <c r="AF204" i="1" s="1"/>
  <c r="AH204" i="1" s="1"/>
  <c r="AJ204" i="1" s="1"/>
  <c r="AL204" i="1" s="1"/>
  <c r="P204" i="1"/>
  <c r="Q204" i="1" s="1"/>
  <c r="N204" i="1"/>
  <c r="BA203" i="1"/>
  <c r="BG203" i="1" s="1"/>
  <c r="AY203" i="1"/>
  <c r="AX203" i="1"/>
  <c r="AU203" i="1"/>
  <c r="AV203" i="1" s="1"/>
  <c r="AW203" i="1" s="1"/>
  <c r="X203" i="1"/>
  <c r="Z203" i="1" s="1"/>
  <c r="AB203" i="1" s="1"/>
  <c r="AD203" i="1" s="1"/>
  <c r="AF203" i="1" s="1"/>
  <c r="AH203" i="1" s="1"/>
  <c r="AJ203" i="1" s="1"/>
  <c r="AL203" i="1" s="1"/>
  <c r="AO203" i="1" s="1"/>
  <c r="V203" i="1"/>
  <c r="S203" i="1"/>
  <c r="U203" i="1" s="1"/>
  <c r="W203" i="1" s="1"/>
  <c r="Y203" i="1" s="1"/>
  <c r="AA203" i="1" s="1"/>
  <c r="AC203" i="1" s="1"/>
  <c r="AE203" i="1" s="1"/>
  <c r="AG203" i="1" s="1"/>
  <c r="AI203" i="1" s="1"/>
  <c r="AK203" i="1" s="1"/>
  <c r="AM203" i="1" s="1"/>
  <c r="R203" i="1"/>
  <c r="T203" i="1" s="1"/>
  <c r="Q203" i="1"/>
  <c r="P203" i="1"/>
  <c r="N203" i="1"/>
  <c r="BG202" i="1"/>
  <c r="BB202" i="1"/>
  <c r="BC202" i="1" s="1"/>
  <c r="BA202" i="1"/>
  <c r="AY202" i="1"/>
  <c r="AZ202" i="1" s="1"/>
  <c r="AX202" i="1"/>
  <c r="AW202" i="1"/>
  <c r="AV202" i="1"/>
  <c r="AU202" i="1"/>
  <c r="T202" i="1"/>
  <c r="V202" i="1" s="1"/>
  <c r="X202" i="1" s="1"/>
  <c r="Z202" i="1" s="1"/>
  <c r="AB202" i="1" s="1"/>
  <c r="AD202" i="1" s="1"/>
  <c r="AF202" i="1" s="1"/>
  <c r="AH202" i="1" s="1"/>
  <c r="AJ202" i="1" s="1"/>
  <c r="AL202" i="1" s="1"/>
  <c r="AO202" i="1" s="1"/>
  <c r="R202" i="1"/>
  <c r="P202" i="1"/>
  <c r="N202" i="1"/>
  <c r="L202" i="1"/>
  <c r="M202" i="1" s="1"/>
  <c r="O202" i="1" s="1"/>
  <c r="Q202" i="1" s="1"/>
  <c r="S202" i="1" s="1"/>
  <c r="BA201" i="1"/>
  <c r="BG201" i="1" s="1"/>
  <c r="AX201" i="1"/>
  <c r="AU201" i="1"/>
  <c r="AV201" i="1" s="1"/>
  <c r="AD201" i="1"/>
  <c r="AF201" i="1" s="1"/>
  <c r="AH201" i="1" s="1"/>
  <c r="AJ201" i="1" s="1"/>
  <c r="AL201" i="1" s="1"/>
  <c r="AO201" i="1" s="1"/>
  <c r="V201" i="1"/>
  <c r="X201" i="1" s="1"/>
  <c r="Z201" i="1" s="1"/>
  <c r="AB201" i="1" s="1"/>
  <c r="T201" i="1"/>
  <c r="R201" i="1"/>
  <c r="P201" i="1"/>
  <c r="M201" i="1"/>
  <c r="O201" i="1" s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L201" i="1"/>
  <c r="N201" i="1" s="1"/>
  <c r="J201" i="1"/>
  <c r="K201" i="1" s="1"/>
  <c r="BA200" i="1"/>
  <c r="BG200" i="1" s="1"/>
  <c r="AY200" i="1"/>
  <c r="AX200" i="1"/>
  <c r="AW200" i="1"/>
  <c r="AU200" i="1"/>
  <c r="AV200" i="1" s="1"/>
  <c r="AB200" i="1"/>
  <c r="AD200" i="1" s="1"/>
  <c r="AF200" i="1" s="1"/>
  <c r="AH200" i="1" s="1"/>
  <c r="AJ200" i="1" s="1"/>
  <c r="AL200" i="1" s="1"/>
  <c r="AO200" i="1" s="1"/>
  <c r="AA200" i="1"/>
  <c r="X200" i="1"/>
  <c r="Z200" i="1" s="1"/>
  <c r="U200" i="1"/>
  <c r="W200" i="1" s="1"/>
  <c r="Y200" i="1" s="1"/>
  <c r="T200" i="1"/>
  <c r="V200" i="1" s="1"/>
  <c r="R200" i="1"/>
  <c r="P200" i="1"/>
  <c r="L200" i="1"/>
  <c r="N200" i="1" s="1"/>
  <c r="K200" i="1"/>
  <c r="M200" i="1" s="1"/>
  <c r="O200" i="1" s="1"/>
  <c r="Q200" i="1" s="1"/>
  <c r="S200" i="1" s="1"/>
  <c r="J200" i="1"/>
  <c r="I200" i="1"/>
  <c r="BG199" i="1"/>
  <c r="BB199" i="1"/>
  <c r="BC199" i="1" s="1"/>
  <c r="BA199" i="1"/>
  <c r="AX199" i="1"/>
  <c r="AY199" i="1" s="1"/>
  <c r="AZ199" i="1" s="1"/>
  <c r="AU199" i="1"/>
  <c r="AV199" i="1" s="1"/>
  <c r="AW199" i="1" s="1"/>
  <c r="T199" i="1"/>
  <c r="V199" i="1" s="1"/>
  <c r="X199" i="1" s="1"/>
  <c r="Z199" i="1" s="1"/>
  <c r="AB199" i="1" s="1"/>
  <c r="AD199" i="1" s="1"/>
  <c r="AF199" i="1" s="1"/>
  <c r="AH199" i="1" s="1"/>
  <c r="AJ199" i="1" s="1"/>
  <c r="AL199" i="1" s="1"/>
  <c r="AO199" i="1" s="1"/>
  <c r="S199" i="1"/>
  <c r="U199" i="1" s="1"/>
  <c r="W199" i="1" s="1"/>
  <c r="Y199" i="1" s="1"/>
  <c r="AA199" i="1" s="1"/>
  <c r="AC199" i="1" s="1"/>
  <c r="AE199" i="1" s="1"/>
  <c r="AG199" i="1" s="1"/>
  <c r="AI199" i="1" s="1"/>
  <c r="AK199" i="1" s="1"/>
  <c r="AM199" i="1" s="1"/>
  <c r="R199" i="1"/>
  <c r="P199" i="1"/>
  <c r="L199" i="1"/>
  <c r="N199" i="1" s="1"/>
  <c r="J199" i="1"/>
  <c r="I199" i="1"/>
  <c r="K199" i="1" s="1"/>
  <c r="M199" i="1" s="1"/>
  <c r="O199" i="1" s="1"/>
  <c r="Q199" i="1" s="1"/>
  <c r="BA198" i="1"/>
  <c r="BG198" i="1" s="1"/>
  <c r="AX198" i="1"/>
  <c r="AU198" i="1"/>
  <c r="AV198" i="1" s="1"/>
  <c r="V198" i="1"/>
  <c r="X198" i="1" s="1"/>
  <c r="Z198" i="1" s="1"/>
  <c r="AB198" i="1" s="1"/>
  <c r="AD198" i="1" s="1"/>
  <c r="AF198" i="1" s="1"/>
  <c r="AH198" i="1" s="1"/>
  <c r="AJ198" i="1" s="1"/>
  <c r="AL198" i="1" s="1"/>
  <c r="AO198" i="1" s="1"/>
  <c r="T198" i="1"/>
  <c r="R198" i="1"/>
  <c r="P198" i="1"/>
  <c r="L198" i="1"/>
  <c r="N198" i="1" s="1"/>
  <c r="J198" i="1"/>
  <c r="I198" i="1"/>
  <c r="BG197" i="1"/>
  <c r="BA197" i="1"/>
  <c r="AX197" i="1"/>
  <c r="AV197" i="1"/>
  <c r="AU197" i="1"/>
  <c r="Z197" i="1"/>
  <c r="AB197" i="1" s="1"/>
  <c r="AD197" i="1" s="1"/>
  <c r="AF197" i="1" s="1"/>
  <c r="AH197" i="1" s="1"/>
  <c r="AJ197" i="1" s="1"/>
  <c r="AL197" i="1" s="1"/>
  <c r="AO197" i="1" s="1"/>
  <c r="Y197" i="1"/>
  <c r="AA197" i="1" s="1"/>
  <c r="AC197" i="1" s="1"/>
  <c r="AE197" i="1" s="1"/>
  <c r="AG197" i="1" s="1"/>
  <c r="AI197" i="1" s="1"/>
  <c r="AK197" i="1" s="1"/>
  <c r="AM197" i="1" s="1"/>
  <c r="X197" i="1"/>
  <c r="R197" i="1"/>
  <c r="T197" i="1" s="1"/>
  <c r="V197" i="1" s="1"/>
  <c r="P197" i="1"/>
  <c r="N197" i="1"/>
  <c r="M197" i="1"/>
  <c r="O197" i="1" s="1"/>
  <c r="Q197" i="1" s="1"/>
  <c r="S197" i="1" s="1"/>
  <c r="U197" i="1" s="1"/>
  <c r="W197" i="1" s="1"/>
  <c r="L197" i="1"/>
  <c r="K197" i="1"/>
  <c r="J197" i="1"/>
  <c r="I197" i="1"/>
  <c r="BA196" i="1"/>
  <c r="BG196" i="1" s="1"/>
  <c r="AX196" i="1"/>
  <c r="AV196" i="1"/>
  <c r="AW196" i="1" s="1"/>
  <c r="AU196" i="1"/>
  <c r="T196" i="1"/>
  <c r="V196" i="1" s="1"/>
  <c r="X196" i="1" s="1"/>
  <c r="Z196" i="1" s="1"/>
  <c r="AB196" i="1" s="1"/>
  <c r="AD196" i="1" s="1"/>
  <c r="AF196" i="1" s="1"/>
  <c r="AH196" i="1" s="1"/>
  <c r="AJ196" i="1" s="1"/>
  <c r="AL196" i="1" s="1"/>
  <c r="AO196" i="1" s="1"/>
  <c r="S196" i="1"/>
  <c r="R196" i="1"/>
  <c r="P196" i="1"/>
  <c r="Q196" i="1" s="1"/>
  <c r="O196" i="1"/>
  <c r="M196" i="1"/>
  <c r="L196" i="1"/>
  <c r="N196" i="1" s="1"/>
  <c r="J196" i="1"/>
  <c r="I196" i="1"/>
  <c r="K196" i="1" s="1"/>
  <c r="BA195" i="1"/>
  <c r="BG195" i="1" s="1"/>
  <c r="AX195" i="1"/>
  <c r="AX223" i="1" s="1"/>
  <c r="AU195" i="1"/>
  <c r="AV195" i="1" s="1"/>
  <c r="R195" i="1"/>
  <c r="T195" i="1" s="1"/>
  <c r="V195" i="1" s="1"/>
  <c r="X195" i="1" s="1"/>
  <c r="Z195" i="1" s="1"/>
  <c r="AB195" i="1" s="1"/>
  <c r="AD195" i="1" s="1"/>
  <c r="AF195" i="1" s="1"/>
  <c r="AH195" i="1" s="1"/>
  <c r="AJ195" i="1" s="1"/>
  <c r="AL195" i="1" s="1"/>
  <c r="AO195" i="1" s="1"/>
  <c r="P195" i="1"/>
  <c r="J195" i="1"/>
  <c r="L195" i="1" s="1"/>
  <c r="N195" i="1" s="1"/>
  <c r="I195" i="1"/>
  <c r="BG194" i="1"/>
  <c r="BA194" i="1"/>
  <c r="AX194" i="1"/>
  <c r="AV194" i="1"/>
  <c r="AW194" i="1" s="1"/>
  <c r="AU194" i="1"/>
  <c r="T194" i="1"/>
  <c r="V194" i="1" s="1"/>
  <c r="X194" i="1" s="1"/>
  <c r="Z194" i="1" s="1"/>
  <c r="AB194" i="1" s="1"/>
  <c r="AD194" i="1" s="1"/>
  <c r="AF194" i="1" s="1"/>
  <c r="AH194" i="1" s="1"/>
  <c r="AJ194" i="1" s="1"/>
  <c r="AL194" i="1" s="1"/>
  <c r="AO194" i="1" s="1"/>
  <c r="R194" i="1"/>
  <c r="P194" i="1"/>
  <c r="N194" i="1"/>
  <c r="M194" i="1"/>
  <c r="O194" i="1" s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AM194" i="1" s="1"/>
  <c r="L194" i="1"/>
  <c r="K194" i="1"/>
  <c r="J194" i="1"/>
  <c r="I194" i="1"/>
  <c r="BB193" i="1"/>
  <c r="BC193" i="1" s="1"/>
  <c r="BA193" i="1"/>
  <c r="BG193" i="1" s="1"/>
  <c r="AX193" i="1"/>
  <c r="AY193" i="1" s="1"/>
  <c r="AZ193" i="1" s="1"/>
  <c r="AW193" i="1"/>
  <c r="AU193" i="1"/>
  <c r="AV193" i="1" s="1"/>
  <c r="AL193" i="1"/>
  <c r="AO193" i="1" s="1"/>
  <c r="AJ193" i="1"/>
  <c r="Z193" i="1"/>
  <c r="AB193" i="1" s="1"/>
  <c r="AD193" i="1" s="1"/>
  <c r="AF193" i="1" s="1"/>
  <c r="AH193" i="1" s="1"/>
  <c r="Y193" i="1"/>
  <c r="AA193" i="1" s="1"/>
  <c r="AC193" i="1" s="1"/>
  <c r="AE193" i="1" s="1"/>
  <c r="AG193" i="1" s="1"/>
  <c r="AI193" i="1" s="1"/>
  <c r="AK193" i="1" s="1"/>
  <c r="AM193" i="1" s="1"/>
  <c r="V193" i="1"/>
  <c r="X193" i="1" s="1"/>
  <c r="T193" i="1"/>
  <c r="R193" i="1"/>
  <c r="P193" i="1"/>
  <c r="L193" i="1"/>
  <c r="N193" i="1" s="1"/>
  <c r="K193" i="1"/>
  <c r="M193" i="1" s="1"/>
  <c r="O193" i="1" s="1"/>
  <c r="Q193" i="1" s="1"/>
  <c r="S193" i="1" s="1"/>
  <c r="U193" i="1" s="1"/>
  <c r="W193" i="1" s="1"/>
  <c r="J193" i="1"/>
  <c r="I193" i="1"/>
  <c r="BG192" i="1"/>
  <c r="BA192" i="1"/>
  <c r="AX192" i="1"/>
  <c r="AW192" i="1"/>
  <c r="AV192" i="1"/>
  <c r="AU192" i="1"/>
  <c r="AO192" i="1"/>
  <c r="AB192" i="1"/>
  <c r="AD192" i="1" s="1"/>
  <c r="AF192" i="1" s="1"/>
  <c r="AH192" i="1" s="1"/>
  <c r="AJ192" i="1" s="1"/>
  <c r="AL192" i="1" s="1"/>
  <c r="X192" i="1"/>
  <c r="Z192" i="1" s="1"/>
  <c r="R192" i="1"/>
  <c r="T192" i="1" s="1"/>
  <c r="V192" i="1" s="1"/>
  <c r="P192" i="1"/>
  <c r="L192" i="1"/>
  <c r="K192" i="1"/>
  <c r="J192" i="1"/>
  <c r="I192" i="1"/>
  <c r="BG191" i="1"/>
  <c r="BC191" i="1"/>
  <c r="BA191" i="1"/>
  <c r="AZ191" i="1"/>
  <c r="AX191" i="1"/>
  <c r="AV191" i="1"/>
  <c r="AY191" i="1" s="1"/>
  <c r="BB191" i="1" s="1"/>
  <c r="AU191" i="1"/>
  <c r="AF191" i="1"/>
  <c r="AH191" i="1" s="1"/>
  <c r="AJ191" i="1" s="1"/>
  <c r="AL191" i="1" s="1"/>
  <c r="AO191" i="1" s="1"/>
  <c r="AB191" i="1"/>
  <c r="AD191" i="1" s="1"/>
  <c r="R191" i="1"/>
  <c r="T191" i="1" s="1"/>
  <c r="V191" i="1" s="1"/>
  <c r="X191" i="1" s="1"/>
  <c r="Z191" i="1" s="1"/>
  <c r="P191" i="1"/>
  <c r="N191" i="1"/>
  <c r="L191" i="1"/>
  <c r="J191" i="1"/>
  <c r="I191" i="1"/>
  <c r="K191" i="1" s="1"/>
  <c r="M191" i="1" s="1"/>
  <c r="O191" i="1" s="1"/>
  <c r="Q191" i="1" s="1"/>
  <c r="S191" i="1" s="1"/>
  <c r="U191" i="1" s="1"/>
  <c r="W191" i="1" s="1"/>
  <c r="Y191" i="1" s="1"/>
  <c r="AA191" i="1" s="1"/>
  <c r="AC191" i="1" s="1"/>
  <c r="AE191" i="1" s="1"/>
  <c r="BG190" i="1"/>
  <c r="BA190" i="1"/>
  <c r="AX190" i="1"/>
  <c r="AU190" i="1"/>
  <c r="AV190" i="1" s="1"/>
  <c r="AH190" i="1"/>
  <c r="AJ190" i="1" s="1"/>
  <c r="AL190" i="1" s="1"/>
  <c r="AO190" i="1" s="1"/>
  <c r="AF190" i="1"/>
  <c r="T190" i="1"/>
  <c r="V190" i="1" s="1"/>
  <c r="X190" i="1" s="1"/>
  <c r="Z190" i="1" s="1"/>
  <c r="AB190" i="1" s="1"/>
  <c r="AD190" i="1" s="1"/>
  <c r="R190" i="1"/>
  <c r="P190" i="1"/>
  <c r="N190" i="1"/>
  <c r="L190" i="1"/>
  <c r="K190" i="1"/>
  <c r="M190" i="1" s="1"/>
  <c r="J190" i="1"/>
  <c r="I190" i="1"/>
  <c r="BG189" i="1"/>
  <c r="BA189" i="1"/>
  <c r="AX189" i="1"/>
  <c r="AW189" i="1"/>
  <c r="AU189" i="1"/>
  <c r="AV189" i="1" s="1"/>
  <c r="V189" i="1"/>
  <c r="T189" i="1"/>
  <c r="R189" i="1"/>
  <c r="P189" i="1"/>
  <c r="L189" i="1"/>
  <c r="N189" i="1" s="1"/>
  <c r="K189" i="1"/>
  <c r="M189" i="1" s="1"/>
  <c r="O189" i="1" s="1"/>
  <c r="Q189" i="1" s="1"/>
  <c r="S189" i="1" s="1"/>
  <c r="U189" i="1" s="1"/>
  <c r="J189" i="1"/>
  <c r="I189" i="1"/>
  <c r="BG188" i="1"/>
  <c r="BC188" i="1"/>
  <c r="BB188" i="1"/>
  <c r="AY188" i="1"/>
  <c r="AW188" i="1"/>
  <c r="AU188" i="1"/>
  <c r="AV188" i="1" s="1"/>
  <c r="AB188" i="1"/>
  <c r="Z188" i="1"/>
  <c r="X188" i="1"/>
  <c r="V188" i="1"/>
  <c r="R188" i="1"/>
  <c r="T188" i="1" s="1"/>
  <c r="P188" i="1"/>
  <c r="L188" i="1"/>
  <c r="K188" i="1"/>
  <c r="J188" i="1"/>
  <c r="I188" i="1"/>
  <c r="I223" i="1" s="1"/>
  <c r="BG187" i="1"/>
  <c r="BG186" i="1"/>
  <c r="BG185" i="1"/>
  <c r="AT184" i="1"/>
  <c r="AS184" i="1"/>
  <c r="AR184" i="1"/>
  <c r="AQ184" i="1"/>
  <c r="H184" i="1"/>
  <c r="G184" i="1"/>
  <c r="C184" i="1"/>
  <c r="BG183" i="1"/>
  <c r="BB182" i="1"/>
  <c r="BC182" i="1" s="1"/>
  <c r="BA182" i="1"/>
  <c r="BG182" i="1" s="1"/>
  <c r="BA181" i="1"/>
  <c r="BG181" i="1" s="1"/>
  <c r="AY181" i="1"/>
  <c r="AX181" i="1"/>
  <c r="BG180" i="1"/>
  <c r="BA180" i="1"/>
  <c r="AY180" i="1"/>
  <c r="AX180" i="1"/>
  <c r="BA179" i="1"/>
  <c r="BG179" i="1" s="1"/>
  <c r="AX179" i="1"/>
  <c r="AY179" i="1" s="1"/>
  <c r="BA178" i="1"/>
  <c r="BG178" i="1" s="1"/>
  <c r="AX178" i="1"/>
  <c r="AY178" i="1" s="1"/>
  <c r="BG177" i="1"/>
  <c r="BA177" i="1"/>
  <c r="AY177" i="1"/>
  <c r="BB177" i="1" s="1"/>
  <c r="BC177" i="1" s="1"/>
  <c r="AX177" i="1"/>
  <c r="BG176" i="1"/>
  <c r="BA176" i="1"/>
  <c r="AY176" i="1"/>
  <c r="AX176" i="1"/>
  <c r="BG175" i="1"/>
  <c r="BC175" i="1"/>
  <c r="BB175" i="1"/>
  <c r="BG174" i="1"/>
  <c r="BA174" i="1"/>
  <c r="AX174" i="1"/>
  <c r="AV174" i="1"/>
  <c r="AU174" i="1"/>
  <c r="BA173" i="1"/>
  <c r="BG173" i="1" s="1"/>
  <c r="AZ173" i="1"/>
  <c r="AY173" i="1"/>
  <c r="AX173" i="1"/>
  <c r="AV173" i="1"/>
  <c r="AW173" i="1" s="1"/>
  <c r="AU173" i="1"/>
  <c r="AP173" i="1"/>
  <c r="BA172" i="1"/>
  <c r="BG172" i="1" s="1"/>
  <c r="AX172" i="1"/>
  <c r="AY172" i="1" s="1"/>
  <c r="AW172" i="1"/>
  <c r="AU172" i="1"/>
  <c r="AV172" i="1" s="1"/>
  <c r="AP172" i="1"/>
  <c r="AO172" i="1"/>
  <c r="BG171" i="1"/>
  <c r="BA171" i="1"/>
  <c r="AX171" i="1"/>
  <c r="AU171" i="1"/>
  <c r="AV171" i="1" s="1"/>
  <c r="AY171" i="1" s="1"/>
  <c r="AO171" i="1"/>
  <c r="AM171" i="1"/>
  <c r="AP171" i="1" s="1"/>
  <c r="BA170" i="1"/>
  <c r="BG170" i="1" s="1"/>
  <c r="AX170" i="1"/>
  <c r="AU170" i="1"/>
  <c r="AV170" i="1" s="1"/>
  <c r="AN170" i="1"/>
  <c r="AM170" i="1"/>
  <c r="AP170" i="1" s="1"/>
  <c r="AL170" i="1"/>
  <c r="AO170" i="1" s="1"/>
  <c r="AK170" i="1"/>
  <c r="BG169" i="1"/>
  <c r="BC169" i="1"/>
  <c r="BA169" i="1"/>
  <c r="AZ169" i="1"/>
  <c r="AX169" i="1"/>
  <c r="AW169" i="1"/>
  <c r="AU169" i="1"/>
  <c r="AV169" i="1" s="1"/>
  <c r="AY169" i="1" s="1"/>
  <c r="BB169" i="1" s="1"/>
  <c r="AO169" i="1"/>
  <c r="AN169" i="1"/>
  <c r="AL169" i="1"/>
  <c r="AK169" i="1"/>
  <c r="AM169" i="1" s="1"/>
  <c r="BA168" i="1"/>
  <c r="BG168" i="1" s="1"/>
  <c r="AX168" i="1"/>
  <c r="AU168" i="1"/>
  <c r="AV168" i="1" s="1"/>
  <c r="AO168" i="1"/>
  <c r="AP168" i="1" s="1"/>
  <c r="AN168" i="1"/>
  <c r="BA167" i="1"/>
  <c r="BG167" i="1" s="1"/>
  <c r="AX167" i="1"/>
  <c r="AV167" i="1"/>
  <c r="AU167" i="1"/>
  <c r="AL167" i="1"/>
  <c r="AO167" i="1" s="1"/>
  <c r="AJ167" i="1"/>
  <c r="AK167" i="1" s="1"/>
  <c r="AM167" i="1" s="1"/>
  <c r="AP167" i="1" s="1"/>
  <c r="AH167" i="1"/>
  <c r="BG166" i="1"/>
  <c r="BA166" i="1"/>
  <c r="AY166" i="1"/>
  <c r="AX166" i="1"/>
  <c r="AV166" i="1"/>
  <c r="AW166" i="1" s="1"/>
  <c r="AU166" i="1"/>
  <c r="AJ166" i="1"/>
  <c r="AL166" i="1" s="1"/>
  <c r="AO166" i="1" s="1"/>
  <c r="AH166" i="1"/>
  <c r="AI166" i="1" s="1"/>
  <c r="AK166" i="1" s="1"/>
  <c r="AG166" i="1"/>
  <c r="AF166" i="1"/>
  <c r="BA165" i="1"/>
  <c r="BG165" i="1" s="1"/>
  <c r="AX165" i="1"/>
  <c r="AV165" i="1"/>
  <c r="AU165" i="1"/>
  <c r="AF165" i="1"/>
  <c r="AH165" i="1" s="1"/>
  <c r="AJ165" i="1" s="1"/>
  <c r="AL165" i="1" s="1"/>
  <c r="AO165" i="1" s="1"/>
  <c r="AD165" i="1"/>
  <c r="AE165" i="1" s="1"/>
  <c r="AG165" i="1" s="1"/>
  <c r="AI165" i="1" s="1"/>
  <c r="AK165" i="1" s="1"/>
  <c r="AM165" i="1" s="1"/>
  <c r="BA164" i="1"/>
  <c r="BG164" i="1" s="1"/>
  <c r="AZ164" i="1"/>
  <c r="AX164" i="1"/>
  <c r="AW164" i="1"/>
  <c r="AV164" i="1"/>
  <c r="AY164" i="1" s="1"/>
  <c r="BB164" i="1" s="1"/>
  <c r="BC164" i="1" s="1"/>
  <c r="AU164" i="1"/>
  <c r="AF164" i="1"/>
  <c r="AH164" i="1" s="1"/>
  <c r="AJ164" i="1" s="1"/>
  <c r="AL164" i="1" s="1"/>
  <c r="AO164" i="1" s="1"/>
  <c r="AD164" i="1"/>
  <c r="AE164" i="1" s="1"/>
  <c r="AG164" i="1" s="1"/>
  <c r="AI164" i="1" s="1"/>
  <c r="AK164" i="1" s="1"/>
  <c r="AM164" i="1" s="1"/>
  <c r="AN164" i="1" s="1"/>
  <c r="BA163" i="1"/>
  <c r="BG163" i="1" s="1"/>
  <c r="AX163" i="1"/>
  <c r="AW163" i="1"/>
  <c r="AU163" i="1"/>
  <c r="AV163" i="1" s="1"/>
  <c r="AD163" i="1"/>
  <c r="AE163" i="1" s="1"/>
  <c r="BA162" i="1"/>
  <c r="BG162" i="1" s="1"/>
  <c r="AY162" i="1"/>
  <c r="AX162" i="1"/>
  <c r="AW162" i="1"/>
  <c r="AU162" i="1"/>
  <c r="AV162" i="1" s="1"/>
  <c r="AF162" i="1"/>
  <c r="AH162" i="1" s="1"/>
  <c r="AJ162" i="1" s="1"/>
  <c r="AL162" i="1" s="1"/>
  <c r="AO162" i="1" s="1"/>
  <c r="AD162" i="1"/>
  <c r="AC162" i="1"/>
  <c r="AE162" i="1" s="1"/>
  <c r="AB162" i="1"/>
  <c r="Y162" i="1"/>
  <c r="BA161" i="1"/>
  <c r="BG161" i="1" s="1"/>
  <c r="AX161" i="1"/>
  <c r="AU161" i="1"/>
  <c r="AV161" i="1" s="1"/>
  <c r="AW161" i="1" s="1"/>
  <c r="Z161" i="1"/>
  <c r="AB161" i="1" s="1"/>
  <c r="AD161" i="1" s="1"/>
  <c r="AF161" i="1" s="1"/>
  <c r="AH161" i="1" s="1"/>
  <c r="AJ161" i="1" s="1"/>
  <c r="AL161" i="1" s="1"/>
  <c r="AO161" i="1" s="1"/>
  <c r="X161" i="1"/>
  <c r="W161" i="1"/>
  <c r="BG160" i="1"/>
  <c r="BA160" i="1"/>
  <c r="AX160" i="1"/>
  <c r="AV160" i="1"/>
  <c r="AU160" i="1"/>
  <c r="AL160" i="1"/>
  <c r="AO160" i="1" s="1"/>
  <c r="AD160" i="1"/>
  <c r="AF160" i="1" s="1"/>
  <c r="AH160" i="1" s="1"/>
  <c r="AJ160" i="1" s="1"/>
  <c r="AC160" i="1"/>
  <c r="AE160" i="1" s="1"/>
  <c r="AG160" i="1" s="1"/>
  <c r="AI160" i="1" s="1"/>
  <c r="AK160" i="1" s="1"/>
  <c r="AM160" i="1" s="1"/>
  <c r="AB160" i="1"/>
  <c r="AA160" i="1"/>
  <c r="Y160" i="1"/>
  <c r="BG159" i="1"/>
  <c r="BA159" i="1"/>
  <c r="AX159" i="1"/>
  <c r="AV159" i="1"/>
  <c r="AU159" i="1"/>
  <c r="AJ159" i="1"/>
  <c r="AL159" i="1" s="1"/>
  <c r="AO159" i="1" s="1"/>
  <c r="AF159" i="1"/>
  <c r="AH159" i="1" s="1"/>
  <c r="AD159" i="1"/>
  <c r="AB159" i="1"/>
  <c r="AA159" i="1"/>
  <c r="AC159" i="1" s="1"/>
  <c r="AE159" i="1" s="1"/>
  <c r="AG159" i="1" s="1"/>
  <c r="AI159" i="1" s="1"/>
  <c r="Z159" i="1"/>
  <c r="W159" i="1"/>
  <c r="Y159" i="1" s="1"/>
  <c r="BA158" i="1"/>
  <c r="BG158" i="1" s="1"/>
  <c r="AX158" i="1"/>
  <c r="AU158" i="1"/>
  <c r="AV158" i="1" s="1"/>
  <c r="AW158" i="1" s="1"/>
  <c r="AC158" i="1"/>
  <c r="AE158" i="1" s="1"/>
  <c r="AG158" i="1" s="1"/>
  <c r="AI158" i="1" s="1"/>
  <c r="AK158" i="1" s="1"/>
  <c r="AM158" i="1" s="1"/>
  <c r="AB158" i="1"/>
  <c r="AD158" i="1" s="1"/>
  <c r="AF158" i="1" s="1"/>
  <c r="AH158" i="1" s="1"/>
  <c r="AJ158" i="1" s="1"/>
  <c r="AL158" i="1" s="1"/>
  <c r="AO158" i="1" s="1"/>
  <c r="Z158" i="1"/>
  <c r="Y158" i="1"/>
  <c r="AA158" i="1" s="1"/>
  <c r="W158" i="1"/>
  <c r="BG157" i="1"/>
  <c r="BA157" i="1"/>
  <c r="AX157" i="1"/>
  <c r="AV157" i="1"/>
  <c r="AU157" i="1"/>
  <c r="AL157" i="1"/>
  <c r="AO157" i="1" s="1"/>
  <c r="AB157" i="1"/>
  <c r="AD157" i="1" s="1"/>
  <c r="AF157" i="1" s="1"/>
  <c r="AH157" i="1" s="1"/>
  <c r="AJ157" i="1" s="1"/>
  <c r="Z157" i="1"/>
  <c r="Y157" i="1"/>
  <c r="AA157" i="1" s="1"/>
  <c r="AC157" i="1" s="1"/>
  <c r="AE157" i="1" s="1"/>
  <c r="AG157" i="1" s="1"/>
  <c r="AI157" i="1" s="1"/>
  <c r="AK157" i="1" s="1"/>
  <c r="W157" i="1"/>
  <c r="BA156" i="1"/>
  <c r="BG156" i="1" s="1"/>
  <c r="AX156" i="1"/>
  <c r="AV156" i="1"/>
  <c r="AU156" i="1"/>
  <c r="Z156" i="1"/>
  <c r="AB156" i="1" s="1"/>
  <c r="AD156" i="1" s="1"/>
  <c r="AF156" i="1" s="1"/>
  <c r="AH156" i="1" s="1"/>
  <c r="AJ156" i="1" s="1"/>
  <c r="AL156" i="1" s="1"/>
  <c r="AO156" i="1" s="1"/>
  <c r="Y156" i="1"/>
  <c r="AA156" i="1" s="1"/>
  <c r="AC156" i="1" s="1"/>
  <c r="AE156" i="1" s="1"/>
  <c r="AG156" i="1" s="1"/>
  <c r="AI156" i="1" s="1"/>
  <c r="AK156" i="1" s="1"/>
  <c r="AM156" i="1" s="1"/>
  <c r="W156" i="1"/>
  <c r="BG155" i="1"/>
  <c r="BA155" i="1"/>
  <c r="AX155" i="1"/>
  <c r="AU155" i="1"/>
  <c r="AV155" i="1" s="1"/>
  <c r="AW155" i="1" s="1"/>
  <c r="AC155" i="1"/>
  <c r="AB155" i="1"/>
  <c r="AD155" i="1" s="1"/>
  <c r="AF155" i="1" s="1"/>
  <c r="AH155" i="1" s="1"/>
  <c r="AJ155" i="1" s="1"/>
  <c r="AL155" i="1" s="1"/>
  <c r="AO155" i="1" s="1"/>
  <c r="Z155" i="1"/>
  <c r="AA155" i="1" s="1"/>
  <c r="W155" i="1"/>
  <c r="Y155" i="1" s="1"/>
  <c r="BA154" i="1"/>
  <c r="BG154" i="1" s="1"/>
  <c r="AX154" i="1"/>
  <c r="AV154" i="1"/>
  <c r="AA154" i="1"/>
  <c r="Z154" i="1"/>
  <c r="AB154" i="1" s="1"/>
  <c r="AD154" i="1" s="1"/>
  <c r="AF154" i="1" s="1"/>
  <c r="AH154" i="1" s="1"/>
  <c r="AJ154" i="1" s="1"/>
  <c r="AL154" i="1" s="1"/>
  <c r="AO154" i="1" s="1"/>
  <c r="W154" i="1"/>
  <c r="Y154" i="1" s="1"/>
  <c r="BG153" i="1"/>
  <c r="BA153" i="1"/>
  <c r="AX153" i="1"/>
  <c r="AW153" i="1"/>
  <c r="AU153" i="1"/>
  <c r="AV153" i="1" s="1"/>
  <c r="AY153" i="1" s="1"/>
  <c r="AH153" i="1"/>
  <c r="AJ153" i="1" s="1"/>
  <c r="AL153" i="1" s="1"/>
  <c r="AO153" i="1" s="1"/>
  <c r="AF153" i="1"/>
  <c r="Z153" i="1"/>
  <c r="AB153" i="1" s="1"/>
  <c r="AD153" i="1" s="1"/>
  <c r="Y153" i="1"/>
  <c r="W153" i="1"/>
  <c r="BG152" i="1"/>
  <c r="BA152" i="1"/>
  <c r="AX152" i="1"/>
  <c r="AW152" i="1"/>
  <c r="AV152" i="1"/>
  <c r="AU152" i="1"/>
  <c r="X152" i="1"/>
  <c r="Y152" i="1" s="1"/>
  <c r="V152" i="1"/>
  <c r="U152" i="1"/>
  <c r="W152" i="1" s="1"/>
  <c r="BG151" i="1"/>
  <c r="BA151" i="1"/>
  <c r="AX151" i="1"/>
  <c r="AW151" i="1"/>
  <c r="AV151" i="1"/>
  <c r="AY151" i="1" s="1"/>
  <c r="AU151" i="1"/>
  <c r="Z151" i="1"/>
  <c r="AB151" i="1" s="1"/>
  <c r="AD151" i="1" s="1"/>
  <c r="AF151" i="1" s="1"/>
  <c r="AH151" i="1" s="1"/>
  <c r="AJ151" i="1" s="1"/>
  <c r="AL151" i="1" s="1"/>
  <c r="AO151" i="1" s="1"/>
  <c r="Y151" i="1"/>
  <c r="W151" i="1"/>
  <c r="V151" i="1"/>
  <c r="X151" i="1" s="1"/>
  <c r="S151" i="1"/>
  <c r="U151" i="1" s="1"/>
  <c r="R151" i="1"/>
  <c r="BB150" i="1"/>
  <c r="BC150" i="1" s="1"/>
  <c r="BA150" i="1"/>
  <c r="BG150" i="1" s="1"/>
  <c r="AY150" i="1"/>
  <c r="AZ150" i="1" s="1"/>
  <c r="AX150" i="1"/>
  <c r="AW150" i="1"/>
  <c r="AV150" i="1"/>
  <c r="AU150" i="1"/>
  <c r="V150" i="1"/>
  <c r="X150" i="1" s="1"/>
  <c r="Z150" i="1" s="1"/>
  <c r="AB150" i="1" s="1"/>
  <c r="AD150" i="1" s="1"/>
  <c r="AF150" i="1" s="1"/>
  <c r="AH150" i="1" s="1"/>
  <c r="AJ150" i="1" s="1"/>
  <c r="AL150" i="1" s="1"/>
  <c r="AO150" i="1" s="1"/>
  <c r="R150" i="1"/>
  <c r="T150" i="1" s="1"/>
  <c r="P150" i="1"/>
  <c r="Q150" i="1" s="1"/>
  <c r="BG149" i="1"/>
  <c r="BA149" i="1"/>
  <c r="AZ149" i="1"/>
  <c r="AX149" i="1"/>
  <c r="AW149" i="1"/>
  <c r="AU149" i="1"/>
  <c r="AV149" i="1" s="1"/>
  <c r="AY149" i="1" s="1"/>
  <c r="BB149" i="1" s="1"/>
  <c r="BC149" i="1" s="1"/>
  <c r="Y149" i="1"/>
  <c r="AA149" i="1" s="1"/>
  <c r="V149" i="1"/>
  <c r="X149" i="1" s="1"/>
  <c r="Z149" i="1" s="1"/>
  <c r="AB149" i="1" s="1"/>
  <c r="AD149" i="1" s="1"/>
  <c r="AF149" i="1" s="1"/>
  <c r="AH149" i="1" s="1"/>
  <c r="AJ149" i="1" s="1"/>
  <c r="AL149" i="1" s="1"/>
  <c r="AO149" i="1" s="1"/>
  <c r="T149" i="1"/>
  <c r="R149" i="1"/>
  <c r="Q149" i="1"/>
  <c r="S149" i="1" s="1"/>
  <c r="U149" i="1" s="1"/>
  <c r="W149" i="1" s="1"/>
  <c r="P149" i="1"/>
  <c r="BC148" i="1"/>
  <c r="BB148" i="1"/>
  <c r="BA148" i="1"/>
  <c r="BG148" i="1" s="1"/>
  <c r="AZ148" i="1"/>
  <c r="AY148" i="1"/>
  <c r="AX148" i="1"/>
  <c r="AW148" i="1"/>
  <c r="AV148" i="1"/>
  <c r="AU148" i="1"/>
  <c r="AK148" i="1"/>
  <c r="AM148" i="1" s="1"/>
  <c r="AJ148" i="1"/>
  <c r="AL148" i="1" s="1"/>
  <c r="AO148" i="1" s="1"/>
  <c r="R148" i="1"/>
  <c r="T148" i="1" s="1"/>
  <c r="V148" i="1" s="1"/>
  <c r="X148" i="1" s="1"/>
  <c r="Z148" i="1" s="1"/>
  <c r="AB148" i="1" s="1"/>
  <c r="AD148" i="1" s="1"/>
  <c r="AF148" i="1" s="1"/>
  <c r="AH148" i="1" s="1"/>
  <c r="P148" i="1"/>
  <c r="N148" i="1"/>
  <c r="M148" i="1"/>
  <c r="O148" i="1" s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BG147" i="1"/>
  <c r="BA147" i="1"/>
  <c r="AX147" i="1"/>
  <c r="AW147" i="1"/>
  <c r="AV147" i="1"/>
  <c r="AJ147" i="1"/>
  <c r="AL147" i="1" s="1"/>
  <c r="AO147" i="1" s="1"/>
  <c r="T147" i="1"/>
  <c r="V147" i="1" s="1"/>
  <c r="X147" i="1" s="1"/>
  <c r="Z147" i="1" s="1"/>
  <c r="AB147" i="1" s="1"/>
  <c r="AD147" i="1" s="1"/>
  <c r="AF147" i="1" s="1"/>
  <c r="AH147" i="1" s="1"/>
  <c r="R147" i="1"/>
  <c r="P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AM147" i="1" s="1"/>
  <c r="N147" i="1"/>
  <c r="BA146" i="1"/>
  <c r="BG146" i="1" s="1"/>
  <c r="AX146" i="1"/>
  <c r="AU146" i="1"/>
  <c r="AV146" i="1" s="1"/>
  <c r="V146" i="1"/>
  <c r="X146" i="1" s="1"/>
  <c r="T146" i="1"/>
  <c r="R146" i="1"/>
  <c r="P146" i="1"/>
  <c r="N146" i="1"/>
  <c r="M146" i="1"/>
  <c r="O146" i="1" s="1"/>
  <c r="Q146" i="1" s="1"/>
  <c r="S146" i="1" s="1"/>
  <c r="U146" i="1" s="1"/>
  <c r="L146" i="1"/>
  <c r="BA145" i="1"/>
  <c r="BG145" i="1" s="1"/>
  <c r="AY145" i="1"/>
  <c r="AX145" i="1"/>
  <c r="AV145" i="1"/>
  <c r="AW145" i="1" s="1"/>
  <c r="AU145" i="1"/>
  <c r="V145" i="1"/>
  <c r="X145" i="1" s="1"/>
  <c r="T145" i="1"/>
  <c r="R145" i="1"/>
  <c r="P145" i="1"/>
  <c r="N145" i="1"/>
  <c r="L145" i="1"/>
  <c r="J145" i="1"/>
  <c r="K145" i="1" s="1"/>
  <c r="M145" i="1" s="1"/>
  <c r="O145" i="1" s="1"/>
  <c r="Q145" i="1" s="1"/>
  <c r="S145" i="1" s="1"/>
  <c r="BG144" i="1"/>
  <c r="BA144" i="1"/>
  <c r="AX144" i="1"/>
  <c r="AV144" i="1"/>
  <c r="AW144" i="1" s="1"/>
  <c r="AU144" i="1"/>
  <c r="AJ144" i="1"/>
  <c r="R144" i="1"/>
  <c r="T144" i="1" s="1"/>
  <c r="V144" i="1" s="1"/>
  <c r="X144" i="1" s="1"/>
  <c r="Z144" i="1" s="1"/>
  <c r="AB144" i="1" s="1"/>
  <c r="AD144" i="1" s="1"/>
  <c r="AF144" i="1" s="1"/>
  <c r="AH144" i="1" s="1"/>
  <c r="P144" i="1"/>
  <c r="N144" i="1"/>
  <c r="O144" i="1" s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M144" i="1"/>
  <c r="L144" i="1"/>
  <c r="K144" i="1"/>
  <c r="J144" i="1"/>
  <c r="BA143" i="1"/>
  <c r="BG143" i="1" s="1"/>
  <c r="AX143" i="1"/>
  <c r="AU143" i="1"/>
  <c r="AV143" i="1" s="1"/>
  <c r="T143" i="1"/>
  <c r="V143" i="1" s="1"/>
  <c r="X143" i="1" s="1"/>
  <c r="Y143" i="1" s="1"/>
  <c r="R143" i="1"/>
  <c r="P143" i="1"/>
  <c r="N143" i="1"/>
  <c r="L143" i="1"/>
  <c r="K143" i="1"/>
  <c r="M143" i="1" s="1"/>
  <c r="J143" i="1"/>
  <c r="BA142" i="1"/>
  <c r="BG142" i="1" s="1"/>
  <c r="AX142" i="1"/>
  <c r="AU142" i="1"/>
  <c r="AV142" i="1" s="1"/>
  <c r="T142" i="1"/>
  <c r="V142" i="1" s="1"/>
  <c r="X142" i="1" s="1"/>
  <c r="Z142" i="1" s="1"/>
  <c r="AB142" i="1" s="1"/>
  <c r="AD142" i="1" s="1"/>
  <c r="AF142" i="1" s="1"/>
  <c r="AH142" i="1" s="1"/>
  <c r="AJ142" i="1" s="1"/>
  <c r="AL142" i="1" s="1"/>
  <c r="AO142" i="1" s="1"/>
  <c r="R142" i="1"/>
  <c r="P142" i="1"/>
  <c r="J142" i="1"/>
  <c r="BA141" i="1"/>
  <c r="BG141" i="1" s="1"/>
  <c r="AZ141" i="1"/>
  <c r="AY141" i="1"/>
  <c r="AX141" i="1"/>
  <c r="AW141" i="1"/>
  <c r="AV141" i="1"/>
  <c r="AU141" i="1"/>
  <c r="V141" i="1"/>
  <c r="X141" i="1" s="1"/>
  <c r="T141" i="1"/>
  <c r="R141" i="1"/>
  <c r="P141" i="1"/>
  <c r="N141" i="1"/>
  <c r="M141" i="1"/>
  <c r="L141" i="1"/>
  <c r="J141" i="1"/>
  <c r="I141" i="1"/>
  <c r="K141" i="1" s="1"/>
  <c r="BG140" i="1"/>
  <c r="BA140" i="1"/>
  <c r="AX140" i="1"/>
  <c r="AW140" i="1"/>
  <c r="AU140" i="1"/>
  <c r="AV140" i="1" s="1"/>
  <c r="V140" i="1"/>
  <c r="X140" i="1" s="1"/>
  <c r="R140" i="1"/>
  <c r="T140" i="1" s="1"/>
  <c r="P140" i="1"/>
  <c r="N140" i="1"/>
  <c r="J140" i="1"/>
  <c r="L140" i="1" s="1"/>
  <c r="I140" i="1"/>
  <c r="K140" i="1" s="1"/>
  <c r="M140" i="1" s="1"/>
  <c r="O140" i="1" s="1"/>
  <c r="Q140" i="1" s="1"/>
  <c r="S140" i="1" s="1"/>
  <c r="U140" i="1" s="1"/>
  <c r="BG139" i="1"/>
  <c r="BA139" i="1"/>
  <c r="AX139" i="1"/>
  <c r="AU139" i="1"/>
  <c r="AV139" i="1" s="1"/>
  <c r="V139" i="1"/>
  <c r="X139" i="1" s="1"/>
  <c r="Z139" i="1" s="1"/>
  <c r="AB139" i="1" s="1"/>
  <c r="AD139" i="1" s="1"/>
  <c r="AF139" i="1" s="1"/>
  <c r="AH139" i="1" s="1"/>
  <c r="AJ139" i="1" s="1"/>
  <c r="AL139" i="1" s="1"/>
  <c r="AO139" i="1" s="1"/>
  <c r="R139" i="1"/>
  <c r="T139" i="1" s="1"/>
  <c r="P139" i="1"/>
  <c r="K139" i="1"/>
  <c r="M139" i="1" s="1"/>
  <c r="J139" i="1"/>
  <c r="L139" i="1" s="1"/>
  <c r="N139" i="1" s="1"/>
  <c r="I139" i="1"/>
  <c r="BA138" i="1"/>
  <c r="BG138" i="1" s="1"/>
  <c r="AZ138" i="1"/>
  <c r="AY138" i="1"/>
  <c r="AX138" i="1"/>
  <c r="AV138" i="1"/>
  <c r="AW138" i="1" s="1"/>
  <c r="AU138" i="1"/>
  <c r="V138" i="1"/>
  <c r="X138" i="1" s="1"/>
  <c r="Z138" i="1" s="1"/>
  <c r="AB138" i="1" s="1"/>
  <c r="AD138" i="1" s="1"/>
  <c r="AF138" i="1" s="1"/>
  <c r="AH138" i="1" s="1"/>
  <c r="AJ138" i="1" s="1"/>
  <c r="AL138" i="1" s="1"/>
  <c r="AO138" i="1" s="1"/>
  <c r="R138" i="1"/>
  <c r="T138" i="1" s="1"/>
  <c r="P138" i="1"/>
  <c r="J138" i="1"/>
  <c r="L138" i="1" s="1"/>
  <c r="N138" i="1" s="1"/>
  <c r="I138" i="1"/>
  <c r="K138" i="1" s="1"/>
  <c r="M138" i="1" s="1"/>
  <c r="O138" i="1" s="1"/>
  <c r="Q138" i="1" s="1"/>
  <c r="S138" i="1" s="1"/>
  <c r="U138" i="1" s="1"/>
  <c r="W138" i="1" s="1"/>
  <c r="Y138" i="1" s="1"/>
  <c r="AA138" i="1" s="1"/>
  <c r="AC138" i="1" s="1"/>
  <c r="AE138" i="1" s="1"/>
  <c r="AG138" i="1" s="1"/>
  <c r="BG137" i="1"/>
  <c r="BA137" i="1"/>
  <c r="AY137" i="1"/>
  <c r="AZ137" i="1" s="1"/>
  <c r="AX137" i="1"/>
  <c r="AV137" i="1"/>
  <c r="AW137" i="1" s="1"/>
  <c r="AU137" i="1"/>
  <c r="R137" i="1"/>
  <c r="T137" i="1" s="1"/>
  <c r="V137" i="1" s="1"/>
  <c r="X137" i="1" s="1"/>
  <c r="Z137" i="1" s="1"/>
  <c r="AB137" i="1" s="1"/>
  <c r="AD137" i="1" s="1"/>
  <c r="AF137" i="1" s="1"/>
  <c r="AH137" i="1" s="1"/>
  <c r="AJ137" i="1" s="1"/>
  <c r="AL137" i="1" s="1"/>
  <c r="AO137" i="1" s="1"/>
  <c r="P137" i="1"/>
  <c r="N137" i="1"/>
  <c r="K137" i="1"/>
  <c r="M137" i="1" s="1"/>
  <c r="O137" i="1" s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AM137" i="1" s="1"/>
  <c r="J137" i="1"/>
  <c r="L137" i="1" s="1"/>
  <c r="I137" i="1"/>
  <c r="BA136" i="1"/>
  <c r="BG136" i="1" s="1"/>
  <c r="AY136" i="1"/>
  <c r="BB136" i="1" s="1"/>
  <c r="BC136" i="1" s="1"/>
  <c r="AX136" i="1"/>
  <c r="AW136" i="1"/>
  <c r="AU136" i="1"/>
  <c r="AV136" i="1" s="1"/>
  <c r="R136" i="1"/>
  <c r="T136" i="1" s="1"/>
  <c r="V136" i="1" s="1"/>
  <c r="X136" i="1" s="1"/>
  <c r="P136" i="1"/>
  <c r="N136" i="1"/>
  <c r="L136" i="1"/>
  <c r="J136" i="1"/>
  <c r="I136" i="1"/>
  <c r="K136" i="1" s="1"/>
  <c r="M136" i="1" s="1"/>
  <c r="O136" i="1" s="1"/>
  <c r="Q136" i="1" s="1"/>
  <c r="S136" i="1" s="1"/>
  <c r="BA135" i="1"/>
  <c r="BG135" i="1" s="1"/>
  <c r="AX135" i="1"/>
  <c r="AW135" i="1"/>
  <c r="AU135" i="1"/>
  <c r="AV135" i="1" s="1"/>
  <c r="AF135" i="1"/>
  <c r="AH135" i="1" s="1"/>
  <c r="AJ135" i="1" s="1"/>
  <c r="AL135" i="1" s="1"/>
  <c r="AO135" i="1" s="1"/>
  <c r="AD135" i="1"/>
  <c r="T135" i="1"/>
  <c r="V135" i="1" s="1"/>
  <c r="X135" i="1" s="1"/>
  <c r="Z135" i="1" s="1"/>
  <c r="AB135" i="1" s="1"/>
  <c r="R135" i="1"/>
  <c r="P135" i="1"/>
  <c r="J135" i="1"/>
  <c r="I135" i="1"/>
  <c r="BG134" i="1"/>
  <c r="BA134" i="1"/>
  <c r="AX134" i="1"/>
  <c r="AW134" i="1"/>
  <c r="AU134" i="1"/>
  <c r="AV134" i="1" s="1"/>
  <c r="AY134" i="1" s="1"/>
  <c r="AZ134" i="1" s="1"/>
  <c r="R134" i="1"/>
  <c r="T134" i="1" s="1"/>
  <c r="V134" i="1" s="1"/>
  <c r="X134" i="1" s="1"/>
  <c r="P134" i="1"/>
  <c r="N134" i="1"/>
  <c r="L134" i="1"/>
  <c r="K134" i="1"/>
  <c r="M134" i="1" s="1"/>
  <c r="O134" i="1" s="1"/>
  <c r="Q134" i="1" s="1"/>
  <c r="S134" i="1" s="1"/>
  <c r="U134" i="1" s="1"/>
  <c r="J134" i="1"/>
  <c r="I134" i="1"/>
  <c r="BG133" i="1"/>
  <c r="BA133" i="1"/>
  <c r="AX133" i="1"/>
  <c r="AU133" i="1"/>
  <c r="AV133" i="1" s="1"/>
  <c r="AW133" i="1" s="1"/>
  <c r="T133" i="1"/>
  <c r="V133" i="1" s="1"/>
  <c r="X133" i="1" s="1"/>
  <c r="Z133" i="1" s="1"/>
  <c r="AB133" i="1" s="1"/>
  <c r="AD133" i="1" s="1"/>
  <c r="AF133" i="1" s="1"/>
  <c r="AH133" i="1" s="1"/>
  <c r="AJ133" i="1" s="1"/>
  <c r="AL133" i="1" s="1"/>
  <c r="AO133" i="1" s="1"/>
  <c r="R133" i="1"/>
  <c r="P133" i="1"/>
  <c r="J133" i="1"/>
  <c r="L133" i="1" s="1"/>
  <c r="N133" i="1" s="1"/>
  <c r="I133" i="1"/>
  <c r="BG132" i="1"/>
  <c r="BA132" i="1"/>
  <c r="AX132" i="1"/>
  <c r="AU132" i="1"/>
  <c r="AV132" i="1" s="1"/>
  <c r="AW132" i="1" s="1"/>
  <c r="AO132" i="1"/>
  <c r="R132" i="1"/>
  <c r="T132" i="1" s="1"/>
  <c r="V132" i="1" s="1"/>
  <c r="X132" i="1" s="1"/>
  <c r="Z132" i="1" s="1"/>
  <c r="AB132" i="1" s="1"/>
  <c r="AD132" i="1" s="1"/>
  <c r="AF132" i="1" s="1"/>
  <c r="AH132" i="1" s="1"/>
  <c r="AJ132" i="1" s="1"/>
  <c r="AL132" i="1" s="1"/>
  <c r="P132" i="1"/>
  <c r="J132" i="1"/>
  <c r="K132" i="1" s="1"/>
  <c r="I132" i="1"/>
  <c r="BA131" i="1"/>
  <c r="BG131" i="1" s="1"/>
  <c r="AX131" i="1"/>
  <c r="AU131" i="1"/>
  <c r="AV131" i="1" s="1"/>
  <c r="R131" i="1"/>
  <c r="P131" i="1"/>
  <c r="N131" i="1"/>
  <c r="L131" i="1"/>
  <c r="J131" i="1"/>
  <c r="I131" i="1"/>
  <c r="BA130" i="1"/>
  <c r="BG130" i="1" s="1"/>
  <c r="AX130" i="1"/>
  <c r="AV130" i="1"/>
  <c r="AU130" i="1"/>
  <c r="Z130" i="1"/>
  <c r="AB130" i="1" s="1"/>
  <c r="AD130" i="1" s="1"/>
  <c r="AF130" i="1" s="1"/>
  <c r="AH130" i="1" s="1"/>
  <c r="AJ130" i="1" s="1"/>
  <c r="AL130" i="1" s="1"/>
  <c r="AO130" i="1" s="1"/>
  <c r="X130" i="1"/>
  <c r="V130" i="1"/>
  <c r="T130" i="1"/>
  <c r="R130" i="1"/>
  <c r="P130" i="1"/>
  <c r="J130" i="1"/>
  <c r="I130" i="1"/>
  <c r="BG129" i="1"/>
  <c r="BA129" i="1"/>
  <c r="AX129" i="1"/>
  <c r="AU129" i="1"/>
  <c r="AV129" i="1" s="1"/>
  <c r="AW129" i="1" s="1"/>
  <c r="R129" i="1"/>
  <c r="T129" i="1" s="1"/>
  <c r="V129" i="1" s="1"/>
  <c r="X129" i="1" s="1"/>
  <c r="Z129" i="1" s="1"/>
  <c r="AB129" i="1" s="1"/>
  <c r="AD129" i="1" s="1"/>
  <c r="AF129" i="1" s="1"/>
  <c r="AH129" i="1" s="1"/>
  <c r="AJ129" i="1" s="1"/>
  <c r="AL129" i="1" s="1"/>
  <c r="AO129" i="1" s="1"/>
  <c r="P129" i="1"/>
  <c r="L129" i="1"/>
  <c r="N129" i="1" s="1"/>
  <c r="J129" i="1"/>
  <c r="I129" i="1"/>
  <c r="BA128" i="1"/>
  <c r="AX128" i="1"/>
  <c r="AV128" i="1"/>
  <c r="AY128" i="1" s="1"/>
  <c r="AU128" i="1"/>
  <c r="R128" i="1"/>
  <c r="T128" i="1" s="1"/>
  <c r="P128" i="1"/>
  <c r="N128" i="1"/>
  <c r="L128" i="1"/>
  <c r="J128" i="1"/>
  <c r="I128" i="1"/>
  <c r="BG127" i="1"/>
  <c r="BG126" i="1"/>
  <c r="H125" i="1"/>
  <c r="G125" i="1"/>
  <c r="C125" i="1"/>
  <c r="BG124" i="1"/>
  <c r="AP124" i="1"/>
  <c r="BG123" i="1"/>
  <c r="BC123" i="1"/>
  <c r="BA123" i="1"/>
  <c r="BB123" i="1" s="1"/>
  <c r="BG122" i="1"/>
  <c r="BA122" i="1"/>
  <c r="AX122" i="1"/>
  <c r="AU122" i="1"/>
  <c r="AV122" i="1" s="1"/>
  <c r="AY122" i="1" s="1"/>
  <c r="BB122" i="1" s="1"/>
  <c r="BC122" i="1" s="1"/>
  <c r="AO122" i="1"/>
  <c r="AB122" i="1"/>
  <c r="BG121" i="1"/>
  <c r="BA121" i="1"/>
  <c r="AX121" i="1"/>
  <c r="AU121" i="1"/>
  <c r="AV121" i="1" s="1"/>
  <c r="AN121" i="1"/>
  <c r="AK121" i="1"/>
  <c r="Z121" i="1"/>
  <c r="AB121" i="1" s="1"/>
  <c r="AD121" i="1" s="1"/>
  <c r="AF121" i="1" s="1"/>
  <c r="AH121" i="1" s="1"/>
  <c r="AJ121" i="1" s="1"/>
  <c r="AL121" i="1" s="1"/>
  <c r="AO121" i="1" s="1"/>
  <c r="AP121" i="1" s="1"/>
  <c r="X121" i="1"/>
  <c r="Y121" i="1" s="1"/>
  <c r="AA121" i="1" s="1"/>
  <c r="BA120" i="1"/>
  <c r="BG120" i="1" s="1"/>
  <c r="AX120" i="1"/>
  <c r="AV120" i="1"/>
  <c r="AU120" i="1"/>
  <c r="AC120" i="1"/>
  <c r="AE120" i="1" s="1"/>
  <c r="AG120" i="1" s="1"/>
  <c r="AI120" i="1" s="1"/>
  <c r="AK120" i="1" s="1"/>
  <c r="AM120" i="1" s="1"/>
  <c r="AB120" i="1"/>
  <c r="AD120" i="1" s="1"/>
  <c r="AF120" i="1" s="1"/>
  <c r="AH120" i="1" s="1"/>
  <c r="AJ120" i="1" s="1"/>
  <c r="AL120" i="1" s="1"/>
  <c r="AO120" i="1" s="1"/>
  <c r="AA120" i="1"/>
  <c r="Y120" i="1"/>
  <c r="X120" i="1"/>
  <c r="Z120" i="1" s="1"/>
  <c r="BG119" i="1"/>
  <c r="BA119" i="1"/>
  <c r="AX119" i="1"/>
  <c r="AV119" i="1"/>
  <c r="AW119" i="1" s="1"/>
  <c r="AU119" i="1"/>
  <c r="R119" i="1"/>
  <c r="T119" i="1" s="1"/>
  <c r="V119" i="1" s="1"/>
  <c r="X119" i="1" s="1"/>
  <c r="Z119" i="1" s="1"/>
  <c r="AB119" i="1" s="1"/>
  <c r="AD119" i="1" s="1"/>
  <c r="AF119" i="1" s="1"/>
  <c r="AH119" i="1" s="1"/>
  <c r="AJ119" i="1" s="1"/>
  <c r="AL119" i="1" s="1"/>
  <c r="AO119" i="1" s="1"/>
  <c r="P119" i="1"/>
  <c r="N119" i="1"/>
  <c r="M119" i="1"/>
  <c r="L119" i="1"/>
  <c r="K119" i="1"/>
  <c r="BG118" i="1"/>
  <c r="BA118" i="1"/>
  <c r="AX118" i="1"/>
  <c r="AU118" i="1"/>
  <c r="AV118" i="1" s="1"/>
  <c r="Z118" i="1"/>
  <c r="AB118" i="1" s="1"/>
  <c r="AD118" i="1" s="1"/>
  <c r="AF118" i="1" s="1"/>
  <c r="AH118" i="1" s="1"/>
  <c r="AJ118" i="1" s="1"/>
  <c r="AL118" i="1" s="1"/>
  <c r="AO118" i="1" s="1"/>
  <c r="V118" i="1"/>
  <c r="X118" i="1" s="1"/>
  <c r="T118" i="1"/>
  <c r="R118" i="1"/>
  <c r="P118" i="1"/>
  <c r="L118" i="1"/>
  <c r="N118" i="1" s="1"/>
  <c r="K118" i="1"/>
  <c r="M118" i="1" s="1"/>
  <c r="O118" i="1" s="1"/>
  <c r="Q118" i="1" s="1"/>
  <c r="S118" i="1" s="1"/>
  <c r="BA117" i="1"/>
  <c r="BG117" i="1" s="1"/>
  <c r="AY117" i="1"/>
  <c r="AX117" i="1"/>
  <c r="AV117" i="1"/>
  <c r="AW117" i="1" s="1"/>
  <c r="AU117" i="1"/>
  <c r="AH117" i="1"/>
  <c r="AJ117" i="1" s="1"/>
  <c r="AL117" i="1" s="1"/>
  <c r="AO117" i="1" s="1"/>
  <c r="R117" i="1"/>
  <c r="T117" i="1" s="1"/>
  <c r="V117" i="1" s="1"/>
  <c r="X117" i="1" s="1"/>
  <c r="Z117" i="1" s="1"/>
  <c r="AB117" i="1" s="1"/>
  <c r="AD117" i="1" s="1"/>
  <c r="AF117" i="1" s="1"/>
  <c r="P117" i="1"/>
  <c r="L117" i="1"/>
  <c r="N117" i="1" s="1"/>
  <c r="K117" i="1"/>
  <c r="J117" i="1"/>
  <c r="I117" i="1"/>
  <c r="BG116" i="1"/>
  <c r="BA116" i="1"/>
  <c r="AX116" i="1"/>
  <c r="AU116" i="1"/>
  <c r="AV116" i="1" s="1"/>
  <c r="AY116" i="1" s="1"/>
  <c r="R116" i="1"/>
  <c r="T116" i="1" s="1"/>
  <c r="V116" i="1" s="1"/>
  <c r="X116" i="1" s="1"/>
  <c r="Z116" i="1" s="1"/>
  <c r="AB116" i="1" s="1"/>
  <c r="AD116" i="1" s="1"/>
  <c r="AF116" i="1" s="1"/>
  <c r="AH116" i="1" s="1"/>
  <c r="AJ116" i="1" s="1"/>
  <c r="AL116" i="1" s="1"/>
  <c r="AO116" i="1" s="1"/>
  <c r="P116" i="1"/>
  <c r="J116" i="1"/>
  <c r="L116" i="1" s="1"/>
  <c r="N116" i="1" s="1"/>
  <c r="I116" i="1"/>
  <c r="BA115" i="1"/>
  <c r="BG115" i="1" s="1"/>
  <c r="AX115" i="1"/>
  <c r="AV115" i="1"/>
  <c r="AU115" i="1"/>
  <c r="T115" i="1"/>
  <c r="V115" i="1" s="1"/>
  <c r="X115" i="1" s="1"/>
  <c r="Z115" i="1" s="1"/>
  <c r="AB115" i="1" s="1"/>
  <c r="AD115" i="1" s="1"/>
  <c r="AF115" i="1" s="1"/>
  <c r="AH115" i="1" s="1"/>
  <c r="AJ115" i="1" s="1"/>
  <c r="AL115" i="1" s="1"/>
  <c r="AO115" i="1" s="1"/>
  <c r="R115" i="1"/>
  <c r="P115" i="1"/>
  <c r="P125" i="1" s="1"/>
  <c r="N115" i="1"/>
  <c r="J115" i="1"/>
  <c r="L115" i="1" s="1"/>
  <c r="I115" i="1"/>
  <c r="BA114" i="1"/>
  <c r="BG114" i="1" s="1"/>
  <c r="AX114" i="1"/>
  <c r="AV114" i="1"/>
  <c r="AW114" i="1" s="1"/>
  <c r="AU114" i="1"/>
  <c r="AB114" i="1"/>
  <c r="AD114" i="1" s="1"/>
  <c r="AF114" i="1" s="1"/>
  <c r="AH114" i="1" s="1"/>
  <c r="AJ114" i="1" s="1"/>
  <c r="AL114" i="1" s="1"/>
  <c r="AO114" i="1" s="1"/>
  <c r="V114" i="1"/>
  <c r="X114" i="1" s="1"/>
  <c r="Z114" i="1" s="1"/>
  <c r="R114" i="1"/>
  <c r="T114" i="1" s="1"/>
  <c r="P114" i="1"/>
  <c r="J114" i="1"/>
  <c r="I114" i="1"/>
  <c r="BA113" i="1"/>
  <c r="BG113" i="1" s="1"/>
  <c r="AX113" i="1"/>
  <c r="AV113" i="1"/>
  <c r="AU113" i="1"/>
  <c r="Z113" i="1"/>
  <c r="AB113" i="1" s="1"/>
  <c r="AD113" i="1" s="1"/>
  <c r="AF113" i="1" s="1"/>
  <c r="AH113" i="1" s="1"/>
  <c r="AJ113" i="1" s="1"/>
  <c r="V113" i="1"/>
  <c r="X113" i="1" s="1"/>
  <c r="T113" i="1"/>
  <c r="R113" i="1"/>
  <c r="P113" i="1"/>
  <c r="J113" i="1"/>
  <c r="I113" i="1"/>
  <c r="BA112" i="1"/>
  <c r="BA125" i="1" s="1"/>
  <c r="BG125" i="1" s="1"/>
  <c r="AX112" i="1"/>
  <c r="AU112" i="1"/>
  <c r="AV112" i="1" s="1"/>
  <c r="AO112" i="1"/>
  <c r="R112" i="1"/>
  <c r="T112" i="1" s="1"/>
  <c r="V112" i="1" s="1"/>
  <c r="X112" i="1" s="1"/>
  <c r="Z112" i="1" s="1"/>
  <c r="AB112" i="1" s="1"/>
  <c r="AD112" i="1" s="1"/>
  <c r="AF112" i="1" s="1"/>
  <c r="AH112" i="1" s="1"/>
  <c r="P112" i="1"/>
  <c r="L112" i="1"/>
  <c r="K112" i="1"/>
  <c r="J112" i="1"/>
  <c r="I112" i="1"/>
  <c r="BG111" i="1"/>
  <c r="AU111" i="1"/>
  <c r="AO111" i="1"/>
  <c r="AH111" i="1"/>
  <c r="R111" i="1"/>
  <c r="P111" i="1"/>
  <c r="J111" i="1"/>
  <c r="I111" i="1"/>
  <c r="I125" i="1" s="1"/>
  <c r="BG110" i="1"/>
  <c r="BG109" i="1"/>
  <c r="Z108" i="1"/>
  <c r="H108" i="1"/>
  <c r="G108" i="1"/>
  <c r="C108" i="1"/>
  <c r="BG107" i="1"/>
  <c r="BG106" i="1"/>
  <c r="AP106" i="1"/>
  <c r="BA105" i="1"/>
  <c r="BG105" i="1" s="1"/>
  <c r="AY105" i="1"/>
  <c r="AZ105" i="1" s="1"/>
  <c r="AX105" i="1"/>
  <c r="AU105" i="1"/>
  <c r="AV105" i="1" s="1"/>
  <c r="AW105" i="1" s="1"/>
  <c r="R105" i="1"/>
  <c r="T105" i="1" s="1"/>
  <c r="V105" i="1" s="1"/>
  <c r="X105" i="1" s="1"/>
  <c r="Z105" i="1" s="1"/>
  <c r="AB105" i="1" s="1"/>
  <c r="P105" i="1"/>
  <c r="N105" i="1"/>
  <c r="L105" i="1"/>
  <c r="M105" i="1" s="1"/>
  <c r="K105" i="1"/>
  <c r="BG104" i="1"/>
  <c r="BA104" i="1"/>
  <c r="AX104" i="1"/>
  <c r="AU104" i="1"/>
  <c r="AV104" i="1" s="1"/>
  <c r="T104" i="1"/>
  <c r="V104" i="1" s="1"/>
  <c r="X104" i="1" s="1"/>
  <c r="Z104" i="1" s="1"/>
  <c r="AB104" i="1" s="1"/>
  <c r="AD104" i="1" s="1"/>
  <c r="AF104" i="1" s="1"/>
  <c r="AH104" i="1" s="1"/>
  <c r="AJ104" i="1" s="1"/>
  <c r="AL104" i="1" s="1"/>
  <c r="AO104" i="1" s="1"/>
  <c r="R104" i="1"/>
  <c r="P104" i="1"/>
  <c r="J104" i="1"/>
  <c r="L104" i="1" s="1"/>
  <c r="N104" i="1" s="1"/>
  <c r="I104" i="1"/>
  <c r="K104" i="1" s="1"/>
  <c r="BG103" i="1"/>
  <c r="BA103" i="1"/>
  <c r="AX103" i="1"/>
  <c r="AW103" i="1"/>
  <c r="AV103" i="1"/>
  <c r="AY103" i="1" s="1"/>
  <c r="AU103" i="1"/>
  <c r="R103" i="1"/>
  <c r="T103" i="1" s="1"/>
  <c r="V103" i="1" s="1"/>
  <c r="X103" i="1" s="1"/>
  <c r="Z103" i="1" s="1"/>
  <c r="AB103" i="1" s="1"/>
  <c r="AD103" i="1" s="1"/>
  <c r="AF103" i="1" s="1"/>
  <c r="AH103" i="1" s="1"/>
  <c r="AJ103" i="1" s="1"/>
  <c r="AL103" i="1" s="1"/>
  <c r="AO103" i="1" s="1"/>
  <c r="P103" i="1"/>
  <c r="N103" i="1"/>
  <c r="M103" i="1"/>
  <c r="L103" i="1"/>
  <c r="K103" i="1"/>
  <c r="J103" i="1"/>
  <c r="I103" i="1"/>
  <c r="BA102" i="1"/>
  <c r="BG102" i="1" s="1"/>
  <c r="AX102" i="1"/>
  <c r="AW102" i="1"/>
  <c r="AU102" i="1"/>
  <c r="AV102" i="1" s="1"/>
  <c r="AY102" i="1" s="1"/>
  <c r="AF102" i="1"/>
  <c r="AH102" i="1" s="1"/>
  <c r="AJ102" i="1" s="1"/>
  <c r="AL102" i="1" s="1"/>
  <c r="AO102" i="1" s="1"/>
  <c r="AD102" i="1"/>
  <c r="AB102" i="1"/>
  <c r="T102" i="1"/>
  <c r="V102" i="1" s="1"/>
  <c r="X102" i="1" s="1"/>
  <c r="Z102" i="1" s="1"/>
  <c r="R102" i="1"/>
  <c r="P102" i="1"/>
  <c r="N102" i="1"/>
  <c r="M102" i="1"/>
  <c r="L102" i="1"/>
  <c r="K102" i="1"/>
  <c r="J102" i="1"/>
  <c r="I102" i="1"/>
  <c r="BG101" i="1"/>
  <c r="BA101" i="1"/>
  <c r="AX101" i="1"/>
  <c r="AU101" i="1"/>
  <c r="AV101" i="1" s="1"/>
  <c r="AY101" i="1" s="1"/>
  <c r="T101" i="1"/>
  <c r="V101" i="1" s="1"/>
  <c r="X101" i="1" s="1"/>
  <c r="Z101" i="1" s="1"/>
  <c r="AB101" i="1" s="1"/>
  <c r="AD101" i="1" s="1"/>
  <c r="AF101" i="1" s="1"/>
  <c r="AH101" i="1" s="1"/>
  <c r="AJ101" i="1" s="1"/>
  <c r="AL101" i="1" s="1"/>
  <c r="AO101" i="1" s="1"/>
  <c r="R101" i="1"/>
  <c r="P101" i="1"/>
  <c r="N101" i="1"/>
  <c r="K101" i="1"/>
  <c r="M101" i="1" s="1"/>
  <c r="J101" i="1"/>
  <c r="L101" i="1" s="1"/>
  <c r="I101" i="1"/>
  <c r="I108" i="1" s="1"/>
  <c r="BA100" i="1"/>
  <c r="BG100" i="1" s="1"/>
  <c r="AX100" i="1"/>
  <c r="AV100" i="1"/>
  <c r="AU100" i="1"/>
  <c r="R100" i="1"/>
  <c r="T100" i="1" s="1"/>
  <c r="V100" i="1" s="1"/>
  <c r="X100" i="1" s="1"/>
  <c r="Z100" i="1" s="1"/>
  <c r="AB100" i="1" s="1"/>
  <c r="AD100" i="1" s="1"/>
  <c r="AF100" i="1" s="1"/>
  <c r="AH100" i="1" s="1"/>
  <c r="AJ100" i="1" s="1"/>
  <c r="AL100" i="1" s="1"/>
  <c r="AO100" i="1" s="1"/>
  <c r="P100" i="1"/>
  <c r="K100" i="1"/>
  <c r="J100" i="1"/>
  <c r="L100" i="1" s="1"/>
  <c r="N100" i="1" s="1"/>
  <c r="I100" i="1"/>
  <c r="BA99" i="1"/>
  <c r="BA108" i="1" s="1"/>
  <c r="BG108" i="1" s="1"/>
  <c r="AX99" i="1"/>
  <c r="AU99" i="1"/>
  <c r="AV99" i="1" s="1"/>
  <c r="AY99" i="1" s="1"/>
  <c r="V99" i="1"/>
  <c r="X99" i="1" s="1"/>
  <c r="Z99" i="1" s="1"/>
  <c r="AB99" i="1" s="1"/>
  <c r="AD99" i="1" s="1"/>
  <c r="AF99" i="1" s="1"/>
  <c r="AH99" i="1" s="1"/>
  <c r="AJ99" i="1" s="1"/>
  <c r="AL99" i="1" s="1"/>
  <c r="AO99" i="1" s="1"/>
  <c r="T99" i="1"/>
  <c r="R99" i="1"/>
  <c r="P99" i="1"/>
  <c r="N99" i="1"/>
  <c r="J99" i="1"/>
  <c r="L99" i="1" s="1"/>
  <c r="I99" i="1"/>
  <c r="BG98" i="1"/>
  <c r="BA98" i="1"/>
  <c r="AX98" i="1"/>
  <c r="AU98" i="1"/>
  <c r="AB98" i="1"/>
  <c r="AD98" i="1" s="1"/>
  <c r="Z98" i="1"/>
  <c r="X98" i="1"/>
  <c r="V98" i="1"/>
  <c r="T98" i="1"/>
  <c r="R98" i="1"/>
  <c r="P98" i="1"/>
  <c r="L98" i="1"/>
  <c r="J98" i="1"/>
  <c r="I98" i="1"/>
  <c r="BG97" i="1"/>
  <c r="M97" i="1"/>
  <c r="BG96" i="1"/>
  <c r="M96" i="1"/>
  <c r="BG95" i="1"/>
  <c r="M95" i="1"/>
  <c r="BA94" i="1"/>
  <c r="BG94" i="1" s="1"/>
  <c r="AX94" i="1"/>
  <c r="AO94" i="1"/>
  <c r="AK94" i="1"/>
  <c r="AM94" i="1" s="1"/>
  <c r="AI94" i="1"/>
  <c r="AD94" i="1"/>
  <c r="AF94" i="1" s="1"/>
  <c r="Z94" i="1"/>
  <c r="AA94" i="1" s="1"/>
  <c r="AC94" i="1" s="1"/>
  <c r="AE94" i="1" s="1"/>
  <c r="Y94" i="1"/>
  <c r="X94" i="1"/>
  <c r="BG93" i="1"/>
  <c r="BG92" i="1"/>
  <c r="BK91" i="1"/>
  <c r="BJ91" i="1"/>
  <c r="J91" i="1"/>
  <c r="H91" i="1"/>
  <c r="G91" i="1"/>
  <c r="C91" i="1"/>
  <c r="BI90" i="1"/>
  <c r="BG90" i="1"/>
  <c r="BC90" i="1"/>
  <c r="BB90" i="1"/>
  <c r="BA90" i="1"/>
  <c r="BI89" i="1"/>
  <c r="BG89" i="1"/>
  <c r="BA89" i="1"/>
  <c r="AX89" i="1"/>
  <c r="AW89" i="1"/>
  <c r="AU89" i="1"/>
  <c r="AV89" i="1" s="1"/>
  <c r="AY89" i="1" s="1"/>
  <c r="AO89" i="1"/>
  <c r="AM89" i="1"/>
  <c r="AN89" i="1" s="1"/>
  <c r="AK89" i="1"/>
  <c r="Z89" i="1"/>
  <c r="AB89" i="1" s="1"/>
  <c r="AD89" i="1" s="1"/>
  <c r="AF89" i="1" s="1"/>
  <c r="AH89" i="1" s="1"/>
  <c r="AJ89" i="1" s="1"/>
  <c r="AL89" i="1" s="1"/>
  <c r="X89" i="1"/>
  <c r="Y89" i="1" s="1"/>
  <c r="AA89" i="1" s="1"/>
  <c r="AC89" i="1" s="1"/>
  <c r="AE89" i="1" s="1"/>
  <c r="AG89" i="1" s="1"/>
  <c r="AI89" i="1" s="1"/>
  <c r="BI88" i="1"/>
  <c r="BA88" i="1"/>
  <c r="BG88" i="1" s="1"/>
  <c r="AY88" i="1"/>
  <c r="AX88" i="1"/>
  <c r="AW88" i="1"/>
  <c r="AV88" i="1"/>
  <c r="AU88" i="1"/>
  <c r="AO88" i="1"/>
  <c r="AB88" i="1"/>
  <c r="AD88" i="1" s="1"/>
  <c r="AF88" i="1" s="1"/>
  <c r="AH88" i="1" s="1"/>
  <c r="Z88" i="1"/>
  <c r="X88" i="1"/>
  <c r="Y88" i="1" s="1"/>
  <c r="AA88" i="1" s="1"/>
  <c r="AC88" i="1" s="1"/>
  <c r="AE88" i="1" s="1"/>
  <c r="AG88" i="1" s="1"/>
  <c r="AI88" i="1" s="1"/>
  <c r="AK88" i="1" s="1"/>
  <c r="AM88" i="1" s="1"/>
  <c r="BG87" i="1"/>
  <c r="AU87" i="1"/>
  <c r="AV87" i="1" s="1"/>
  <c r="AO87" i="1"/>
  <c r="AH87" i="1"/>
  <c r="T87" i="1"/>
  <c r="V87" i="1" s="1"/>
  <c r="X87" i="1" s="1"/>
  <c r="Z87" i="1" s="1"/>
  <c r="AB87" i="1" s="1"/>
  <c r="AD87" i="1" s="1"/>
  <c r="AF87" i="1" s="1"/>
  <c r="R87" i="1"/>
  <c r="P87" i="1"/>
  <c r="O87" i="1"/>
  <c r="N87" i="1"/>
  <c r="BH86" i="1"/>
  <c r="BA86" i="1"/>
  <c r="BG86" i="1" s="1"/>
  <c r="AX86" i="1"/>
  <c r="AU86" i="1"/>
  <c r="AV86" i="1" s="1"/>
  <c r="X86" i="1"/>
  <c r="Z86" i="1" s="1"/>
  <c r="AB86" i="1" s="1"/>
  <c r="AD86" i="1" s="1"/>
  <c r="AF86" i="1" s="1"/>
  <c r="AH86" i="1" s="1"/>
  <c r="AJ86" i="1" s="1"/>
  <c r="AL86" i="1" s="1"/>
  <c r="V86" i="1"/>
  <c r="T86" i="1"/>
  <c r="R86" i="1"/>
  <c r="P86" i="1"/>
  <c r="L86" i="1"/>
  <c r="K86" i="1"/>
  <c r="BI85" i="1"/>
  <c r="BA85" i="1"/>
  <c r="BG85" i="1" s="1"/>
  <c r="AX85" i="1"/>
  <c r="AV85" i="1"/>
  <c r="AU85" i="1"/>
  <c r="AD85" i="1"/>
  <c r="AF85" i="1" s="1"/>
  <c r="AH85" i="1" s="1"/>
  <c r="AJ85" i="1" s="1"/>
  <c r="AL85" i="1" s="1"/>
  <c r="AO85" i="1" s="1"/>
  <c r="AC85" i="1"/>
  <c r="AE85" i="1" s="1"/>
  <c r="AG85" i="1" s="1"/>
  <c r="AI85" i="1" s="1"/>
  <c r="AK85" i="1" s="1"/>
  <c r="AM85" i="1" s="1"/>
  <c r="T85" i="1"/>
  <c r="V85" i="1" s="1"/>
  <c r="X85" i="1" s="1"/>
  <c r="Z85" i="1" s="1"/>
  <c r="AB85" i="1" s="1"/>
  <c r="R85" i="1"/>
  <c r="P85" i="1"/>
  <c r="N85" i="1"/>
  <c r="M85" i="1"/>
  <c r="O85" i="1" s="1"/>
  <c r="Q85" i="1" s="1"/>
  <c r="S85" i="1" s="1"/>
  <c r="U85" i="1" s="1"/>
  <c r="W85" i="1" s="1"/>
  <c r="Y85" i="1" s="1"/>
  <c r="AA85" i="1" s="1"/>
  <c r="L85" i="1"/>
  <c r="K85" i="1"/>
  <c r="BH84" i="1"/>
  <c r="BA84" i="1"/>
  <c r="BG84" i="1" s="1"/>
  <c r="AX84" i="1"/>
  <c r="AV84" i="1"/>
  <c r="AY84" i="1" s="1"/>
  <c r="AU84" i="1"/>
  <c r="Y84" i="1"/>
  <c r="AA84" i="1" s="1"/>
  <c r="AC84" i="1" s="1"/>
  <c r="AE84" i="1" s="1"/>
  <c r="AG84" i="1" s="1"/>
  <c r="AI84" i="1" s="1"/>
  <c r="AK84" i="1" s="1"/>
  <c r="AM84" i="1" s="1"/>
  <c r="V84" i="1"/>
  <c r="X84" i="1" s="1"/>
  <c r="Z84" i="1" s="1"/>
  <c r="AB84" i="1" s="1"/>
  <c r="AD84" i="1" s="1"/>
  <c r="AF84" i="1" s="1"/>
  <c r="AH84" i="1" s="1"/>
  <c r="AJ84" i="1" s="1"/>
  <c r="AL84" i="1" s="1"/>
  <c r="AO84" i="1" s="1"/>
  <c r="R84" i="1"/>
  <c r="T84" i="1" s="1"/>
  <c r="P84" i="1"/>
  <c r="N84" i="1"/>
  <c r="L84" i="1"/>
  <c r="K84" i="1"/>
  <c r="M84" i="1" s="1"/>
  <c r="O84" i="1" s="1"/>
  <c r="Q84" i="1" s="1"/>
  <c r="S84" i="1" s="1"/>
  <c r="U84" i="1" s="1"/>
  <c r="W84" i="1" s="1"/>
  <c r="BH83" i="1"/>
  <c r="BA83" i="1"/>
  <c r="BG83" i="1" s="1"/>
  <c r="AX83" i="1"/>
  <c r="AU83" i="1"/>
  <c r="X83" i="1"/>
  <c r="Z83" i="1" s="1"/>
  <c r="AB83" i="1" s="1"/>
  <c r="AD83" i="1" s="1"/>
  <c r="AF83" i="1" s="1"/>
  <c r="AH83" i="1" s="1"/>
  <c r="AJ83" i="1" s="1"/>
  <c r="AL83" i="1" s="1"/>
  <c r="AO83" i="1" s="1"/>
  <c r="U83" i="1"/>
  <c r="W83" i="1" s="1"/>
  <c r="Y83" i="1" s="1"/>
  <c r="AA83" i="1" s="1"/>
  <c r="AC83" i="1" s="1"/>
  <c r="AE83" i="1" s="1"/>
  <c r="AG83" i="1" s="1"/>
  <c r="AI83" i="1" s="1"/>
  <c r="AK83" i="1" s="1"/>
  <c r="AM83" i="1" s="1"/>
  <c r="R83" i="1"/>
  <c r="T83" i="1" s="1"/>
  <c r="V83" i="1" s="1"/>
  <c r="P83" i="1"/>
  <c r="N83" i="1"/>
  <c r="L83" i="1"/>
  <c r="M83" i="1" s="1"/>
  <c r="O83" i="1" s="1"/>
  <c r="Q83" i="1" s="1"/>
  <c r="S83" i="1" s="1"/>
  <c r="K83" i="1"/>
  <c r="BH82" i="1"/>
  <c r="BG82" i="1"/>
  <c r="BA82" i="1"/>
  <c r="AX82" i="1"/>
  <c r="AU82" i="1"/>
  <c r="AV82" i="1" s="1"/>
  <c r="AW82" i="1" s="1"/>
  <c r="X82" i="1"/>
  <c r="Z82" i="1" s="1"/>
  <c r="AB82" i="1" s="1"/>
  <c r="AD82" i="1" s="1"/>
  <c r="AF82" i="1" s="1"/>
  <c r="AH82" i="1" s="1"/>
  <c r="AJ82" i="1" s="1"/>
  <c r="AL82" i="1" s="1"/>
  <c r="AO82" i="1" s="1"/>
  <c r="V82" i="1"/>
  <c r="T82" i="1"/>
  <c r="R82" i="1"/>
  <c r="P82" i="1"/>
  <c r="L82" i="1"/>
  <c r="M82" i="1" s="1"/>
  <c r="I82" i="1"/>
  <c r="K82" i="1" s="1"/>
  <c r="BI81" i="1"/>
  <c r="BG81" i="1"/>
  <c r="BA81" i="1"/>
  <c r="AY81" i="1"/>
  <c r="AX81" i="1"/>
  <c r="AV81" i="1"/>
  <c r="AW81" i="1" s="1"/>
  <c r="T81" i="1"/>
  <c r="V81" i="1" s="1"/>
  <c r="X81" i="1" s="1"/>
  <c r="Z81" i="1" s="1"/>
  <c r="AB81" i="1" s="1"/>
  <c r="AD81" i="1" s="1"/>
  <c r="AF81" i="1" s="1"/>
  <c r="AH81" i="1" s="1"/>
  <c r="AJ81" i="1" s="1"/>
  <c r="AL81" i="1" s="1"/>
  <c r="AO81" i="1" s="1"/>
  <c r="R81" i="1"/>
  <c r="P81" i="1"/>
  <c r="P91" i="1" s="1"/>
  <c r="L81" i="1"/>
  <c r="N81" i="1" s="1"/>
  <c r="I81" i="1"/>
  <c r="K81" i="1" s="1"/>
  <c r="BI80" i="1"/>
  <c r="BA80" i="1"/>
  <c r="BG80" i="1" s="1"/>
  <c r="AX80" i="1"/>
  <c r="AY80" i="1" s="1"/>
  <c r="AV80" i="1"/>
  <c r="AW80" i="1" s="1"/>
  <c r="R80" i="1"/>
  <c r="T80" i="1" s="1"/>
  <c r="V80" i="1" s="1"/>
  <c r="X80" i="1" s="1"/>
  <c r="Z80" i="1" s="1"/>
  <c r="AB80" i="1" s="1"/>
  <c r="AD80" i="1" s="1"/>
  <c r="AF80" i="1" s="1"/>
  <c r="AH80" i="1" s="1"/>
  <c r="AJ80" i="1" s="1"/>
  <c r="AL80" i="1" s="1"/>
  <c r="AO80" i="1" s="1"/>
  <c r="P80" i="1"/>
  <c r="N80" i="1"/>
  <c r="L80" i="1"/>
  <c r="I80" i="1"/>
  <c r="K80" i="1" s="1"/>
  <c r="M80" i="1" s="1"/>
  <c r="O80" i="1" s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BI79" i="1"/>
  <c r="BA79" i="1"/>
  <c r="AY79" i="1"/>
  <c r="AX79" i="1"/>
  <c r="AW79" i="1"/>
  <c r="AV79" i="1"/>
  <c r="R79" i="1"/>
  <c r="T79" i="1" s="1"/>
  <c r="V79" i="1" s="1"/>
  <c r="X79" i="1" s="1"/>
  <c r="Z79" i="1" s="1"/>
  <c r="AB79" i="1" s="1"/>
  <c r="AD79" i="1" s="1"/>
  <c r="AF79" i="1" s="1"/>
  <c r="AH79" i="1" s="1"/>
  <c r="AJ79" i="1" s="1"/>
  <c r="P79" i="1"/>
  <c r="M79" i="1"/>
  <c r="O79" i="1" s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L79" i="1"/>
  <c r="N79" i="1" s="1"/>
  <c r="I79" i="1"/>
  <c r="K79" i="1" s="1"/>
  <c r="BG78" i="1"/>
  <c r="AY78" i="1"/>
  <c r="AU78" i="1"/>
  <c r="AV78" i="1" s="1"/>
  <c r="AW78" i="1" s="1"/>
  <c r="AO78" i="1"/>
  <c r="AJ78" i="1"/>
  <c r="R78" i="1"/>
  <c r="P78" i="1"/>
  <c r="L78" i="1"/>
  <c r="N78" i="1" s="1"/>
  <c r="I78" i="1"/>
  <c r="BG77" i="1"/>
  <c r="M77" i="1"/>
  <c r="BG76" i="1"/>
  <c r="M76" i="1"/>
  <c r="BG75" i="1"/>
  <c r="M75" i="1"/>
  <c r="BG74" i="1"/>
  <c r="BG73" i="1"/>
  <c r="BA73" i="1"/>
  <c r="AY73" i="1"/>
  <c r="AX73" i="1"/>
  <c r="AU73" i="1"/>
  <c r="AV73" i="1" s="1"/>
  <c r="AW73" i="1" s="1"/>
  <c r="AO73" i="1"/>
  <c r="AG73" i="1"/>
  <c r="AI73" i="1" s="1"/>
  <c r="AK73" i="1" s="1"/>
  <c r="AM73" i="1" s="1"/>
  <c r="AD73" i="1"/>
  <c r="AA73" i="1"/>
  <c r="AC73" i="1" s="1"/>
  <c r="AE73" i="1" s="1"/>
  <c r="X73" i="1"/>
  <c r="Y73" i="1" s="1"/>
  <c r="BG72" i="1"/>
  <c r="BG71" i="1"/>
  <c r="BB71" i="1"/>
  <c r="BC71" i="1" s="1"/>
  <c r="AY71" i="1"/>
  <c r="AZ71" i="1" s="1"/>
  <c r="AW71" i="1"/>
  <c r="AV71" i="1"/>
  <c r="AU71" i="1"/>
  <c r="AO71" i="1"/>
  <c r="AN71" i="1"/>
  <c r="AF71" i="1"/>
  <c r="AD71" i="1"/>
  <c r="T71" i="1"/>
  <c r="V71" i="1" s="1"/>
  <c r="X71" i="1" s="1"/>
  <c r="R71" i="1"/>
  <c r="P71" i="1"/>
  <c r="I71" i="1"/>
  <c r="K71" i="1" s="1"/>
  <c r="M71" i="1" s="1"/>
  <c r="O71" i="1" s="1"/>
  <c r="Q71" i="1" s="1"/>
  <c r="S71" i="1" s="1"/>
  <c r="U71" i="1" s="1"/>
  <c r="W71" i="1" s="1"/>
  <c r="Y71" i="1" s="1"/>
  <c r="AA71" i="1" s="1"/>
  <c r="AC71" i="1" s="1"/>
  <c r="AE71" i="1" s="1"/>
  <c r="AG71" i="1" s="1"/>
  <c r="BG70" i="1"/>
  <c r="M70" i="1"/>
  <c r="BG69" i="1"/>
  <c r="M69" i="1"/>
  <c r="BG68" i="1"/>
  <c r="M68" i="1"/>
  <c r="BG67" i="1"/>
  <c r="AX67" i="1"/>
  <c r="AU67" i="1"/>
  <c r="AW67" i="1" s="1"/>
  <c r="AZ67" i="1" s="1"/>
  <c r="BC67" i="1" s="1"/>
  <c r="AN67" i="1"/>
  <c r="M67" i="1"/>
  <c r="BG66" i="1"/>
  <c r="BG65" i="1"/>
  <c r="BB65" i="1"/>
  <c r="BA65" i="1"/>
  <c r="AO65" i="1"/>
  <c r="AB65" i="1"/>
  <c r="H65" i="1"/>
  <c r="G65" i="1"/>
  <c r="C65" i="1"/>
  <c r="BG64" i="1"/>
  <c r="BB64" i="1"/>
  <c r="BC64" i="1" s="1"/>
  <c r="BG63" i="1"/>
  <c r="BC63" i="1"/>
  <c r="BB63" i="1"/>
  <c r="AV63" i="1"/>
  <c r="AU63" i="1"/>
  <c r="AO63" i="1"/>
  <c r="AD63" i="1"/>
  <c r="Z63" i="1"/>
  <c r="V63" i="1"/>
  <c r="X63" i="1" s="1"/>
  <c r="T63" i="1"/>
  <c r="R63" i="1"/>
  <c r="P63" i="1"/>
  <c r="P65" i="1" s="1"/>
  <c r="L63" i="1"/>
  <c r="N63" i="1" s="1"/>
  <c r="J63" i="1"/>
  <c r="K63" i="1" s="1"/>
  <c r="M63" i="1" s="1"/>
  <c r="O63" i="1" s="1"/>
  <c r="Q63" i="1" s="1"/>
  <c r="S63" i="1" s="1"/>
  <c r="U63" i="1" s="1"/>
  <c r="W63" i="1" s="1"/>
  <c r="Y63" i="1" s="1"/>
  <c r="AA63" i="1" s="1"/>
  <c r="AC63" i="1" s="1"/>
  <c r="AE63" i="1" s="1"/>
  <c r="I63" i="1"/>
  <c r="BG62" i="1"/>
  <c r="BC62" i="1"/>
  <c r="BB62" i="1"/>
  <c r="AU62" i="1"/>
  <c r="AU65" i="1" s="1"/>
  <c r="AP62" i="1"/>
  <c r="AN62" i="1"/>
  <c r="AH62" i="1"/>
  <c r="AF62" i="1"/>
  <c r="R62" i="1"/>
  <c r="R65" i="1" s="1"/>
  <c r="P62" i="1"/>
  <c r="J62" i="1"/>
  <c r="J65" i="1" s="1"/>
  <c r="I62" i="1"/>
  <c r="BG61" i="1"/>
  <c r="AC61" i="1"/>
  <c r="M61" i="1"/>
  <c r="BG60" i="1"/>
  <c r="AC60" i="1"/>
  <c r="M60" i="1"/>
  <c r="R59" i="1"/>
  <c r="H59" i="1"/>
  <c r="G59" i="1"/>
  <c r="G421" i="1" s="1"/>
  <c r="BJ58" i="1"/>
  <c r="BI58" i="1"/>
  <c r="BG58" i="1"/>
  <c r="AO58" i="1"/>
  <c r="AP58" i="1" s="1"/>
  <c r="BK57" i="1"/>
  <c r="BA57" i="1"/>
  <c r="BG57" i="1" s="1"/>
  <c r="AY57" i="1"/>
  <c r="AZ57" i="1" s="1"/>
  <c r="AX57" i="1"/>
  <c r="AW57" i="1"/>
  <c r="AV57" i="1"/>
  <c r="AU57" i="1"/>
  <c r="AO57" i="1"/>
  <c r="AP57" i="1" s="1"/>
  <c r="BK56" i="1"/>
  <c r="BG56" i="1"/>
  <c r="BA56" i="1"/>
  <c r="AX56" i="1"/>
  <c r="AU56" i="1"/>
  <c r="AV56" i="1" s="1"/>
  <c r="AY56" i="1" s="1"/>
  <c r="AO56" i="1"/>
  <c r="AP56" i="1" s="1"/>
  <c r="AN56" i="1"/>
  <c r="AM56" i="1"/>
  <c r="BK55" i="1"/>
  <c r="BA55" i="1"/>
  <c r="BG55" i="1" s="1"/>
  <c r="AX55" i="1"/>
  <c r="AU55" i="1"/>
  <c r="AV55" i="1" s="1"/>
  <c r="AY55" i="1" s="1"/>
  <c r="AP55" i="1"/>
  <c r="AO55" i="1"/>
  <c r="AM55" i="1"/>
  <c r="AN55" i="1" s="1"/>
  <c r="BK54" i="1"/>
  <c r="BG54" i="1"/>
  <c r="BA54" i="1"/>
  <c r="AX54" i="1"/>
  <c r="AV54" i="1"/>
  <c r="AW54" i="1" s="1"/>
  <c r="AU54" i="1"/>
  <c r="AO54" i="1"/>
  <c r="AM54" i="1"/>
  <c r="BH53" i="1"/>
  <c r="BG53" i="1"/>
  <c r="BA53" i="1"/>
  <c r="AX53" i="1"/>
  <c r="AW53" i="1"/>
  <c r="AU53" i="1"/>
  <c r="AV53" i="1" s="1"/>
  <c r="AY53" i="1" s="1"/>
  <c r="BB53" i="1" s="1"/>
  <c r="BC53" i="1" s="1"/>
  <c r="AO53" i="1"/>
  <c r="AL53" i="1"/>
  <c r="AM53" i="1" s="1"/>
  <c r="BK52" i="1"/>
  <c r="AO52" i="1"/>
  <c r="AL52" i="1"/>
  <c r="AK52" i="1"/>
  <c r="AM52" i="1" s="1"/>
  <c r="AP52" i="1" s="1"/>
  <c r="AJ52" i="1"/>
  <c r="C52" i="1"/>
  <c r="BK51" i="1"/>
  <c r="BG51" i="1"/>
  <c r="BA51" i="1"/>
  <c r="AY51" i="1"/>
  <c r="BB51" i="1" s="1"/>
  <c r="BC51" i="1" s="1"/>
  <c r="AX51" i="1"/>
  <c r="AU51" i="1"/>
  <c r="AV51" i="1" s="1"/>
  <c r="AW51" i="1" s="1"/>
  <c r="AO51" i="1"/>
  <c r="AL51" i="1"/>
  <c r="AK51" i="1"/>
  <c r="AM51" i="1" s="1"/>
  <c r="AP51" i="1" s="1"/>
  <c r="AJ51" i="1"/>
  <c r="BK50" i="1"/>
  <c r="BA50" i="1"/>
  <c r="BG50" i="1" s="1"/>
  <c r="AZ50" i="1"/>
  <c r="AX50" i="1"/>
  <c r="AU50" i="1"/>
  <c r="AV50" i="1" s="1"/>
  <c r="AY50" i="1" s="1"/>
  <c r="BB50" i="1" s="1"/>
  <c r="BC50" i="1" s="1"/>
  <c r="AN50" i="1"/>
  <c r="AL50" i="1"/>
  <c r="AO50" i="1" s="1"/>
  <c r="AK50" i="1"/>
  <c r="AM50" i="1" s="1"/>
  <c r="AP50" i="1" s="1"/>
  <c r="AJ50" i="1"/>
  <c r="BH49" i="1"/>
  <c r="BA49" i="1"/>
  <c r="BG49" i="1" s="1"/>
  <c r="AX49" i="1"/>
  <c r="AU49" i="1"/>
  <c r="AV49" i="1" s="1"/>
  <c r="AO49" i="1"/>
  <c r="AJ49" i="1"/>
  <c r="AL49" i="1" s="1"/>
  <c r="AH49" i="1"/>
  <c r="AF49" i="1"/>
  <c r="AE49" i="1"/>
  <c r="AG49" i="1" s="1"/>
  <c r="AI49" i="1" s="1"/>
  <c r="AK49" i="1" s="1"/>
  <c r="AM49" i="1" s="1"/>
  <c r="AD49" i="1"/>
  <c r="BK48" i="1"/>
  <c r="BG48" i="1"/>
  <c r="BB48" i="1"/>
  <c r="BC48" i="1" s="1"/>
  <c r="BA48" i="1"/>
  <c r="AZ48" i="1"/>
  <c r="AY48" i="1"/>
  <c r="AX48" i="1"/>
  <c r="AV48" i="1"/>
  <c r="AW48" i="1" s="1"/>
  <c r="AU48" i="1"/>
  <c r="AI48" i="1"/>
  <c r="AK48" i="1" s="1"/>
  <c r="AH48" i="1"/>
  <c r="AJ48" i="1" s="1"/>
  <c r="AL48" i="1" s="1"/>
  <c r="AO48" i="1" s="1"/>
  <c r="AF48" i="1"/>
  <c r="AE48" i="1"/>
  <c r="AG48" i="1" s="1"/>
  <c r="BK47" i="1"/>
  <c r="BA47" i="1"/>
  <c r="BG47" i="1" s="1"/>
  <c r="AX47" i="1"/>
  <c r="AU47" i="1"/>
  <c r="AV47" i="1" s="1"/>
  <c r="AD47" i="1"/>
  <c r="AF47" i="1" s="1"/>
  <c r="AH47" i="1" s="1"/>
  <c r="AJ47" i="1" s="1"/>
  <c r="AL47" i="1" s="1"/>
  <c r="AO47" i="1" s="1"/>
  <c r="AC47" i="1"/>
  <c r="AB47" i="1"/>
  <c r="BK46" i="1"/>
  <c r="BA46" i="1"/>
  <c r="BG46" i="1" s="1"/>
  <c r="AX46" i="1"/>
  <c r="AU46" i="1"/>
  <c r="AV46" i="1" s="1"/>
  <c r="AF46" i="1"/>
  <c r="AD46" i="1"/>
  <c r="AC46" i="1"/>
  <c r="AE46" i="1" s="1"/>
  <c r="AB46" i="1"/>
  <c r="AA46" i="1"/>
  <c r="BK45" i="1"/>
  <c r="BG45" i="1"/>
  <c r="BA45" i="1"/>
  <c r="AZ45" i="1"/>
  <c r="AY45" i="1"/>
  <c r="BB45" i="1" s="1"/>
  <c r="BC45" i="1" s="1"/>
  <c r="AX45" i="1"/>
  <c r="AV45" i="1"/>
  <c r="AW45" i="1" s="1"/>
  <c r="AU45" i="1"/>
  <c r="AH45" i="1"/>
  <c r="AJ45" i="1" s="1"/>
  <c r="AL45" i="1" s="1"/>
  <c r="AO45" i="1" s="1"/>
  <c r="AF45" i="1"/>
  <c r="AE45" i="1"/>
  <c r="AG45" i="1" s="1"/>
  <c r="AB45" i="1"/>
  <c r="AD45" i="1" s="1"/>
  <c r="AA45" i="1"/>
  <c r="AC45" i="1" s="1"/>
  <c r="BK44" i="1"/>
  <c r="BA44" i="1"/>
  <c r="BG44" i="1" s="1"/>
  <c r="AX44" i="1"/>
  <c r="AU44" i="1"/>
  <c r="AV44" i="1" s="1"/>
  <c r="AF44" i="1"/>
  <c r="AH44" i="1" s="1"/>
  <c r="AJ44" i="1" s="1"/>
  <c r="AL44" i="1" s="1"/>
  <c r="AO44" i="1" s="1"/>
  <c r="AD44" i="1"/>
  <c r="AB44" i="1"/>
  <c r="AA44" i="1"/>
  <c r="AC44" i="1" s="1"/>
  <c r="AE44" i="1" s="1"/>
  <c r="AG44" i="1" s="1"/>
  <c r="AI44" i="1" s="1"/>
  <c r="AK44" i="1" s="1"/>
  <c r="AM44" i="1" s="1"/>
  <c r="BK43" i="1"/>
  <c r="BG43" i="1"/>
  <c r="BA43" i="1"/>
  <c r="AX43" i="1"/>
  <c r="AV43" i="1"/>
  <c r="AW43" i="1" s="1"/>
  <c r="AU43" i="1"/>
  <c r="AB43" i="1"/>
  <c r="AD43" i="1" s="1"/>
  <c r="AF43" i="1" s="1"/>
  <c r="AH43" i="1" s="1"/>
  <c r="AJ43" i="1" s="1"/>
  <c r="AL43" i="1" s="1"/>
  <c r="AO43" i="1" s="1"/>
  <c r="AA43" i="1"/>
  <c r="AC43" i="1" s="1"/>
  <c r="AE43" i="1" s="1"/>
  <c r="AG43" i="1" s="1"/>
  <c r="AI43" i="1" s="1"/>
  <c r="AK43" i="1" s="1"/>
  <c r="BK42" i="1"/>
  <c r="BA42" i="1"/>
  <c r="BG42" i="1" s="1"/>
  <c r="AX42" i="1"/>
  <c r="AV42" i="1"/>
  <c r="AU42" i="1"/>
  <c r="AD42" i="1"/>
  <c r="AF42" i="1" s="1"/>
  <c r="AH42" i="1" s="1"/>
  <c r="AJ42" i="1" s="1"/>
  <c r="AL42" i="1" s="1"/>
  <c r="AO42" i="1" s="1"/>
  <c r="R42" i="1"/>
  <c r="T42" i="1" s="1"/>
  <c r="V42" i="1" s="1"/>
  <c r="X42" i="1" s="1"/>
  <c r="Z42" i="1" s="1"/>
  <c r="AB42" i="1" s="1"/>
  <c r="P42" i="1"/>
  <c r="M42" i="1"/>
  <c r="O42" i="1" s="1"/>
  <c r="Q42" i="1" s="1"/>
  <c r="S42" i="1" s="1"/>
  <c r="U42" i="1" s="1"/>
  <c r="BI41" i="1"/>
  <c r="BG41" i="1"/>
  <c r="BA41" i="1"/>
  <c r="AX41" i="1"/>
  <c r="AV41" i="1"/>
  <c r="AY41" i="1" s="1"/>
  <c r="AU41" i="1"/>
  <c r="AF41" i="1"/>
  <c r="AH41" i="1" s="1"/>
  <c r="AJ41" i="1" s="1"/>
  <c r="AL41" i="1" s="1"/>
  <c r="AO41" i="1" s="1"/>
  <c r="R41" i="1"/>
  <c r="T41" i="1" s="1"/>
  <c r="V41" i="1" s="1"/>
  <c r="X41" i="1" s="1"/>
  <c r="Z41" i="1" s="1"/>
  <c r="AB41" i="1" s="1"/>
  <c r="AD41" i="1" s="1"/>
  <c r="P41" i="1"/>
  <c r="N41" i="1"/>
  <c r="L41" i="1"/>
  <c r="M41" i="1" s="1"/>
  <c r="O41" i="1" s="1"/>
  <c r="Q41" i="1" s="1"/>
  <c r="S41" i="1" s="1"/>
  <c r="U41" i="1" s="1"/>
  <c r="W41" i="1" s="1"/>
  <c r="Y41" i="1" s="1"/>
  <c r="AA41" i="1" s="1"/>
  <c r="AC41" i="1" s="1"/>
  <c r="AE41" i="1" s="1"/>
  <c r="AG41" i="1" s="1"/>
  <c r="BH40" i="1"/>
  <c r="BA40" i="1"/>
  <c r="BG40" i="1" s="1"/>
  <c r="AX40" i="1"/>
  <c r="AY40" i="1" s="1"/>
  <c r="AW40" i="1"/>
  <c r="AU40" i="1"/>
  <c r="AV40" i="1" s="1"/>
  <c r="R40" i="1"/>
  <c r="T40" i="1" s="1"/>
  <c r="V40" i="1" s="1"/>
  <c r="X40" i="1" s="1"/>
  <c r="Z40" i="1" s="1"/>
  <c r="AB40" i="1" s="1"/>
  <c r="AD40" i="1" s="1"/>
  <c r="AF40" i="1" s="1"/>
  <c r="AH40" i="1" s="1"/>
  <c r="AJ40" i="1" s="1"/>
  <c r="AL40" i="1" s="1"/>
  <c r="AO40" i="1" s="1"/>
  <c r="P40" i="1"/>
  <c r="N40" i="1"/>
  <c r="L40" i="1"/>
  <c r="M40" i="1" s="1"/>
  <c r="O40" i="1" s="1"/>
  <c r="BH39" i="1"/>
  <c r="BA39" i="1"/>
  <c r="BG39" i="1" s="1"/>
  <c r="AX39" i="1"/>
  <c r="AV39" i="1"/>
  <c r="AY39" i="1" s="1"/>
  <c r="BB39" i="1" s="1"/>
  <c r="BC39" i="1" s="1"/>
  <c r="AU39" i="1"/>
  <c r="R39" i="1"/>
  <c r="T39" i="1" s="1"/>
  <c r="V39" i="1" s="1"/>
  <c r="X39" i="1" s="1"/>
  <c r="Z39" i="1" s="1"/>
  <c r="AB39" i="1" s="1"/>
  <c r="AD39" i="1" s="1"/>
  <c r="AF39" i="1" s="1"/>
  <c r="AH39" i="1" s="1"/>
  <c r="AJ39" i="1" s="1"/>
  <c r="AL39" i="1" s="1"/>
  <c r="AO39" i="1" s="1"/>
  <c r="P39" i="1"/>
  <c r="L39" i="1"/>
  <c r="N39" i="1" s="1"/>
  <c r="K39" i="1"/>
  <c r="M39" i="1" s="1"/>
  <c r="O39" i="1" s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AM39" i="1" s="1"/>
  <c r="J39" i="1"/>
  <c r="BH38" i="1"/>
  <c r="BH58" i="1" s="1"/>
  <c r="BA38" i="1"/>
  <c r="BG38" i="1" s="1"/>
  <c r="AX38" i="1"/>
  <c r="AU38" i="1"/>
  <c r="AV38" i="1" s="1"/>
  <c r="R38" i="1"/>
  <c r="T38" i="1" s="1"/>
  <c r="V38" i="1" s="1"/>
  <c r="X38" i="1" s="1"/>
  <c r="Z38" i="1" s="1"/>
  <c r="AB38" i="1" s="1"/>
  <c r="AD38" i="1" s="1"/>
  <c r="AF38" i="1" s="1"/>
  <c r="AH38" i="1" s="1"/>
  <c r="AJ38" i="1" s="1"/>
  <c r="AL38" i="1" s="1"/>
  <c r="AO38" i="1" s="1"/>
  <c r="P38" i="1"/>
  <c r="N38" i="1"/>
  <c r="L38" i="1"/>
  <c r="K38" i="1"/>
  <c r="J38" i="1"/>
  <c r="BH37" i="1"/>
  <c r="BG37" i="1"/>
  <c r="BA37" i="1"/>
  <c r="AY37" i="1"/>
  <c r="AX37" i="1"/>
  <c r="AV37" i="1"/>
  <c r="AW37" i="1" s="1"/>
  <c r="AU37" i="1"/>
  <c r="Z37" i="1"/>
  <c r="AB37" i="1" s="1"/>
  <c r="AD37" i="1" s="1"/>
  <c r="AF37" i="1" s="1"/>
  <c r="AH37" i="1" s="1"/>
  <c r="AJ37" i="1" s="1"/>
  <c r="AL37" i="1" s="1"/>
  <c r="AO37" i="1" s="1"/>
  <c r="T37" i="1"/>
  <c r="V37" i="1" s="1"/>
  <c r="X37" i="1" s="1"/>
  <c r="R37" i="1"/>
  <c r="P37" i="1"/>
  <c r="N37" i="1"/>
  <c r="L37" i="1"/>
  <c r="J37" i="1"/>
  <c r="K37" i="1" s="1"/>
  <c r="M37" i="1" s="1"/>
  <c r="O37" i="1" s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AM37" i="1" s="1"/>
  <c r="BK36" i="1"/>
  <c r="BA36" i="1"/>
  <c r="BG36" i="1" s="1"/>
  <c r="AX36" i="1"/>
  <c r="AU36" i="1"/>
  <c r="AV36" i="1" s="1"/>
  <c r="R36" i="1"/>
  <c r="T36" i="1" s="1"/>
  <c r="V36" i="1" s="1"/>
  <c r="X36" i="1" s="1"/>
  <c r="Z36" i="1" s="1"/>
  <c r="AB36" i="1" s="1"/>
  <c r="AD36" i="1" s="1"/>
  <c r="AF36" i="1" s="1"/>
  <c r="AH36" i="1" s="1"/>
  <c r="AJ36" i="1" s="1"/>
  <c r="AL36" i="1" s="1"/>
  <c r="AO36" i="1" s="1"/>
  <c r="P36" i="1"/>
  <c r="L36" i="1"/>
  <c r="N36" i="1" s="1"/>
  <c r="J36" i="1"/>
  <c r="K36" i="1" s="1"/>
  <c r="M36" i="1" s="1"/>
  <c r="O36" i="1" s="1"/>
  <c r="Q36" i="1" s="1"/>
  <c r="S36" i="1" s="1"/>
  <c r="U36" i="1" s="1"/>
  <c r="BK35" i="1"/>
  <c r="BB35" i="1"/>
  <c r="BC35" i="1" s="1"/>
  <c r="BA35" i="1"/>
  <c r="BG35" i="1" s="1"/>
  <c r="AX35" i="1"/>
  <c r="AW35" i="1"/>
  <c r="AV35" i="1"/>
  <c r="AY35" i="1" s="1"/>
  <c r="AZ35" i="1" s="1"/>
  <c r="AU35" i="1"/>
  <c r="T35" i="1"/>
  <c r="V35" i="1" s="1"/>
  <c r="X35" i="1" s="1"/>
  <c r="Z35" i="1" s="1"/>
  <c r="AB35" i="1" s="1"/>
  <c r="AD35" i="1" s="1"/>
  <c r="AF35" i="1" s="1"/>
  <c r="AH35" i="1" s="1"/>
  <c r="AJ35" i="1" s="1"/>
  <c r="AL35" i="1" s="1"/>
  <c r="AO35" i="1" s="1"/>
  <c r="S35" i="1"/>
  <c r="U35" i="1" s="1"/>
  <c r="W35" i="1" s="1"/>
  <c r="Y35" i="1" s="1"/>
  <c r="AA35" i="1" s="1"/>
  <c r="AC35" i="1" s="1"/>
  <c r="AE35" i="1" s="1"/>
  <c r="AG35" i="1" s="1"/>
  <c r="AI35" i="1" s="1"/>
  <c r="AK35" i="1" s="1"/>
  <c r="AM35" i="1" s="1"/>
  <c r="R35" i="1"/>
  <c r="P35" i="1"/>
  <c r="L35" i="1"/>
  <c r="N35" i="1" s="1"/>
  <c r="K35" i="1"/>
  <c r="M35" i="1" s="1"/>
  <c r="O35" i="1" s="1"/>
  <c r="Q35" i="1" s="1"/>
  <c r="J35" i="1"/>
  <c r="BK34" i="1"/>
  <c r="BG34" i="1"/>
  <c r="BA34" i="1"/>
  <c r="AX34" i="1"/>
  <c r="AV34" i="1"/>
  <c r="AY34" i="1" s="1"/>
  <c r="AU34" i="1"/>
  <c r="V34" i="1"/>
  <c r="X34" i="1" s="1"/>
  <c r="Z34" i="1" s="1"/>
  <c r="AB34" i="1" s="1"/>
  <c r="AD34" i="1" s="1"/>
  <c r="AF34" i="1" s="1"/>
  <c r="AH34" i="1" s="1"/>
  <c r="AJ34" i="1" s="1"/>
  <c r="AL34" i="1" s="1"/>
  <c r="AO34" i="1" s="1"/>
  <c r="T34" i="1"/>
  <c r="R34" i="1"/>
  <c r="P34" i="1"/>
  <c r="J34" i="1"/>
  <c r="L34" i="1" s="1"/>
  <c r="N34" i="1" s="1"/>
  <c r="I34" i="1"/>
  <c r="K34" i="1" s="1"/>
  <c r="BH33" i="1"/>
  <c r="BG33" i="1"/>
  <c r="BA33" i="1"/>
  <c r="AX33" i="1"/>
  <c r="AV33" i="1"/>
  <c r="AY33" i="1" s="1"/>
  <c r="AU33" i="1"/>
  <c r="R33" i="1"/>
  <c r="T33" i="1" s="1"/>
  <c r="V33" i="1" s="1"/>
  <c r="X33" i="1" s="1"/>
  <c r="Z33" i="1" s="1"/>
  <c r="AB33" i="1" s="1"/>
  <c r="AD33" i="1" s="1"/>
  <c r="AF33" i="1" s="1"/>
  <c r="AH33" i="1" s="1"/>
  <c r="AJ33" i="1" s="1"/>
  <c r="AL33" i="1" s="1"/>
  <c r="AO33" i="1" s="1"/>
  <c r="P33" i="1"/>
  <c r="J33" i="1"/>
  <c r="L33" i="1" s="1"/>
  <c r="N33" i="1" s="1"/>
  <c r="I33" i="1"/>
  <c r="K33" i="1" s="1"/>
  <c r="M33" i="1" s="1"/>
  <c r="O33" i="1" s="1"/>
  <c r="Q33" i="1" s="1"/>
  <c r="S33" i="1" s="1"/>
  <c r="U33" i="1" s="1"/>
  <c r="BK32" i="1"/>
  <c r="BG32" i="1"/>
  <c r="BA32" i="1"/>
  <c r="AX32" i="1"/>
  <c r="AU32" i="1"/>
  <c r="AV32" i="1" s="1"/>
  <c r="R32" i="1"/>
  <c r="T32" i="1" s="1"/>
  <c r="V32" i="1" s="1"/>
  <c r="X32" i="1" s="1"/>
  <c r="Z32" i="1" s="1"/>
  <c r="AB32" i="1" s="1"/>
  <c r="AD32" i="1" s="1"/>
  <c r="AF32" i="1" s="1"/>
  <c r="AH32" i="1" s="1"/>
  <c r="AJ32" i="1" s="1"/>
  <c r="AL32" i="1" s="1"/>
  <c r="AO32" i="1" s="1"/>
  <c r="P32" i="1"/>
  <c r="J32" i="1"/>
  <c r="L32" i="1" s="1"/>
  <c r="N32" i="1" s="1"/>
  <c r="I32" i="1"/>
  <c r="BK31" i="1"/>
  <c r="BG31" i="1"/>
  <c r="BA31" i="1"/>
  <c r="AX31" i="1"/>
  <c r="AU31" i="1"/>
  <c r="AV31" i="1" s="1"/>
  <c r="T31" i="1"/>
  <c r="V31" i="1" s="1"/>
  <c r="X31" i="1" s="1"/>
  <c r="Z31" i="1" s="1"/>
  <c r="AB31" i="1" s="1"/>
  <c r="AD31" i="1" s="1"/>
  <c r="AF31" i="1" s="1"/>
  <c r="AH31" i="1" s="1"/>
  <c r="AJ31" i="1" s="1"/>
  <c r="AL31" i="1" s="1"/>
  <c r="AO31" i="1" s="1"/>
  <c r="R31" i="1"/>
  <c r="P31" i="1"/>
  <c r="J31" i="1"/>
  <c r="L31" i="1" s="1"/>
  <c r="N31" i="1" s="1"/>
  <c r="I31" i="1"/>
  <c r="BK30" i="1"/>
  <c r="BG30" i="1"/>
  <c r="BA30" i="1"/>
  <c r="AX30" i="1"/>
  <c r="AV30" i="1"/>
  <c r="AW30" i="1" s="1"/>
  <c r="AU30" i="1"/>
  <c r="R30" i="1"/>
  <c r="T30" i="1" s="1"/>
  <c r="V30" i="1" s="1"/>
  <c r="X30" i="1" s="1"/>
  <c r="Z30" i="1" s="1"/>
  <c r="AB30" i="1" s="1"/>
  <c r="AD30" i="1" s="1"/>
  <c r="AF30" i="1" s="1"/>
  <c r="AH30" i="1" s="1"/>
  <c r="AJ30" i="1" s="1"/>
  <c r="AL30" i="1" s="1"/>
  <c r="AO30" i="1" s="1"/>
  <c r="P30" i="1"/>
  <c r="J30" i="1"/>
  <c r="L30" i="1" s="1"/>
  <c r="N30" i="1" s="1"/>
  <c r="I30" i="1"/>
  <c r="BK29" i="1"/>
  <c r="BA29" i="1"/>
  <c r="BG29" i="1" s="1"/>
  <c r="AX29" i="1"/>
  <c r="AU29" i="1"/>
  <c r="AV29" i="1" s="1"/>
  <c r="T29" i="1"/>
  <c r="V29" i="1" s="1"/>
  <c r="X29" i="1" s="1"/>
  <c r="Z29" i="1" s="1"/>
  <c r="AB29" i="1" s="1"/>
  <c r="AD29" i="1" s="1"/>
  <c r="AF29" i="1" s="1"/>
  <c r="AH29" i="1" s="1"/>
  <c r="AJ29" i="1" s="1"/>
  <c r="AL29" i="1" s="1"/>
  <c r="AO29" i="1" s="1"/>
  <c r="R29" i="1"/>
  <c r="P29" i="1"/>
  <c r="L29" i="1"/>
  <c r="N29" i="1" s="1"/>
  <c r="J29" i="1"/>
  <c r="K29" i="1" s="1"/>
  <c r="I29" i="1"/>
  <c r="BK28" i="1"/>
  <c r="BA28" i="1"/>
  <c r="BG28" i="1" s="1"/>
  <c r="AX28" i="1"/>
  <c r="AV28" i="1"/>
  <c r="AY28" i="1" s="1"/>
  <c r="AU28" i="1"/>
  <c r="T28" i="1"/>
  <c r="V28" i="1" s="1"/>
  <c r="X28" i="1" s="1"/>
  <c r="Z28" i="1" s="1"/>
  <c r="AB28" i="1" s="1"/>
  <c r="AD28" i="1" s="1"/>
  <c r="AF28" i="1" s="1"/>
  <c r="AH28" i="1" s="1"/>
  <c r="AJ28" i="1" s="1"/>
  <c r="AL28" i="1" s="1"/>
  <c r="AO28" i="1" s="1"/>
  <c r="R28" i="1"/>
  <c r="P28" i="1"/>
  <c r="J28" i="1"/>
  <c r="L28" i="1" s="1"/>
  <c r="N28" i="1" s="1"/>
  <c r="I28" i="1"/>
  <c r="K28" i="1" s="1"/>
  <c r="M28" i="1" s="1"/>
  <c r="O28" i="1" s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AM28" i="1" s="1"/>
  <c r="BK27" i="1"/>
  <c r="BA27" i="1"/>
  <c r="BG27" i="1" s="1"/>
  <c r="AX27" i="1"/>
  <c r="AY27" i="1" s="1"/>
  <c r="AU27" i="1"/>
  <c r="AV27" i="1" s="1"/>
  <c r="AW27" i="1" s="1"/>
  <c r="T27" i="1"/>
  <c r="V27" i="1" s="1"/>
  <c r="X27" i="1" s="1"/>
  <c r="Z27" i="1" s="1"/>
  <c r="AB27" i="1" s="1"/>
  <c r="AD27" i="1" s="1"/>
  <c r="AF27" i="1" s="1"/>
  <c r="AH27" i="1" s="1"/>
  <c r="AJ27" i="1" s="1"/>
  <c r="AL27" i="1" s="1"/>
  <c r="AO27" i="1" s="1"/>
  <c r="S27" i="1"/>
  <c r="U27" i="1" s="1"/>
  <c r="R27" i="1"/>
  <c r="P27" i="1"/>
  <c r="J27" i="1"/>
  <c r="L27" i="1" s="1"/>
  <c r="N27" i="1" s="1"/>
  <c r="I27" i="1"/>
  <c r="K27" i="1" s="1"/>
  <c r="M27" i="1" s="1"/>
  <c r="O27" i="1" s="1"/>
  <c r="Q27" i="1" s="1"/>
  <c r="BK26" i="1"/>
  <c r="BA26" i="1"/>
  <c r="AX26" i="1"/>
  <c r="AU26" i="1"/>
  <c r="AV26" i="1" s="1"/>
  <c r="R26" i="1"/>
  <c r="T26" i="1" s="1"/>
  <c r="V26" i="1" s="1"/>
  <c r="X26" i="1" s="1"/>
  <c r="Z26" i="1" s="1"/>
  <c r="AB26" i="1" s="1"/>
  <c r="P26" i="1"/>
  <c r="J26" i="1"/>
  <c r="L26" i="1" s="1"/>
  <c r="N26" i="1" s="1"/>
  <c r="I26" i="1"/>
  <c r="K26" i="1" s="1"/>
  <c r="M26" i="1" s="1"/>
  <c r="O26" i="1" s="1"/>
  <c r="Q26" i="1" s="1"/>
  <c r="S26" i="1" s="1"/>
  <c r="U26" i="1" s="1"/>
  <c r="AU25" i="1"/>
  <c r="AV25" i="1" s="1"/>
  <c r="AY25" i="1" s="1"/>
  <c r="BB25" i="1" s="1"/>
  <c r="AD25" i="1"/>
  <c r="AF25" i="1" s="1"/>
  <c r="AH25" i="1" s="1"/>
  <c r="AJ25" i="1" s="1"/>
  <c r="AL25" i="1" s="1"/>
  <c r="AO25" i="1" s="1"/>
  <c r="Z25" i="1"/>
  <c r="T25" i="1"/>
  <c r="V25" i="1" s="1"/>
  <c r="L25" i="1"/>
  <c r="J25" i="1"/>
  <c r="I25" i="1"/>
  <c r="K25" i="1" s="1"/>
  <c r="M25" i="1" s="1"/>
  <c r="O25" i="1" s="1"/>
  <c r="Q25" i="1" s="1"/>
  <c r="S25" i="1" s="1"/>
  <c r="U25" i="1" s="1"/>
  <c r="W25" i="1" s="1"/>
  <c r="Y25" i="1" s="1"/>
  <c r="AA25" i="1" s="1"/>
  <c r="AC25" i="1" s="1"/>
  <c r="AU24" i="1"/>
  <c r="AD24" i="1"/>
  <c r="AE24" i="1" s="1"/>
  <c r="Z24" i="1"/>
  <c r="R24" i="1"/>
  <c r="T24" i="1" s="1"/>
  <c r="V24" i="1" s="1"/>
  <c r="P24" i="1"/>
  <c r="J24" i="1"/>
  <c r="K24" i="1" s="1"/>
  <c r="I24" i="1"/>
  <c r="AV22" i="1"/>
  <c r="AU22" i="1"/>
  <c r="C22" i="1"/>
  <c r="AZ20" i="1"/>
  <c r="BC20" i="1" s="1"/>
  <c r="AW20" i="1"/>
  <c r="AN20" i="1"/>
  <c r="AW19" i="1"/>
  <c r="AZ19" i="1" s="1"/>
  <c r="BC19" i="1" s="1"/>
  <c r="AN19" i="1"/>
  <c r="AW18" i="1"/>
  <c r="AZ18" i="1" s="1"/>
  <c r="BC18" i="1" s="1"/>
  <c r="AN18" i="1"/>
  <c r="AZ17" i="1"/>
  <c r="BC17" i="1" s="1"/>
  <c r="AW17" i="1"/>
  <c r="AN17" i="1"/>
  <c r="AW16" i="1"/>
  <c r="AZ16" i="1" s="1"/>
  <c r="BC16" i="1" s="1"/>
  <c r="AN16" i="1"/>
  <c r="AW15" i="1"/>
  <c r="AZ15" i="1" s="1"/>
  <c r="BC15" i="1" s="1"/>
  <c r="AN15" i="1"/>
  <c r="AZ14" i="1"/>
  <c r="BC14" i="1" s="1"/>
  <c r="AW14" i="1"/>
  <c r="AN14" i="1"/>
  <c r="BC13" i="1"/>
  <c r="AW13" i="1"/>
  <c r="AZ13" i="1" s="1"/>
  <c r="AN13" i="1"/>
  <c r="AZ12" i="1"/>
  <c r="BC12" i="1" s="1"/>
  <c r="AW12" i="1"/>
  <c r="C12" i="1"/>
  <c r="AN12" i="1" s="1"/>
  <c r="AW11" i="1"/>
  <c r="AZ11" i="1" s="1"/>
  <c r="BC11" i="1" s="1"/>
  <c r="AN11" i="1"/>
  <c r="AW10" i="1"/>
  <c r="AZ10" i="1" s="1"/>
  <c r="BC10" i="1" s="1"/>
  <c r="AN10" i="1"/>
  <c r="AW9" i="1"/>
  <c r="AZ9" i="1" s="1"/>
  <c r="BC9" i="1" s="1"/>
  <c r="AN9" i="1"/>
  <c r="AW8" i="1"/>
  <c r="AZ8" i="1" s="1"/>
  <c r="AN8" i="1"/>
  <c r="AE25" i="1" l="1"/>
  <c r="AG25" i="1" s="1"/>
  <c r="AI25" i="1" s="1"/>
  <c r="AK25" i="1" s="1"/>
  <c r="AM25" i="1" s="1"/>
  <c r="AN25" i="1" s="1"/>
  <c r="AN84" i="1"/>
  <c r="AP84" i="1"/>
  <c r="AP39" i="1"/>
  <c r="AN39" i="1"/>
  <c r="AN160" i="1"/>
  <c r="AP160" i="1"/>
  <c r="AP28" i="1"/>
  <c r="AN28" i="1"/>
  <c r="V59" i="1"/>
  <c r="X24" i="1"/>
  <c r="AP85" i="1"/>
  <c r="AN85" i="1"/>
  <c r="AB59" i="1"/>
  <c r="AD26" i="1"/>
  <c r="AZ27" i="1"/>
  <c r="BB27" i="1"/>
  <c r="BC27" i="1" s="1"/>
  <c r="AP37" i="1"/>
  <c r="AN37" i="1"/>
  <c r="AP49" i="1"/>
  <c r="AN49" i="1"/>
  <c r="AN35" i="1"/>
  <c r="AP35" i="1"/>
  <c r="AI41" i="1"/>
  <c r="AK41" i="1" s="1"/>
  <c r="AM41" i="1" s="1"/>
  <c r="W26" i="1"/>
  <c r="Y26" i="1" s="1"/>
  <c r="AA26" i="1" s="1"/>
  <c r="W27" i="1"/>
  <c r="Y27" i="1" s="1"/>
  <c r="AA27" i="1" s="1"/>
  <c r="AC27" i="1" s="1"/>
  <c r="AE27" i="1" s="1"/>
  <c r="AG27" i="1" s="1"/>
  <c r="AI27" i="1" s="1"/>
  <c r="AK27" i="1" s="1"/>
  <c r="AM27" i="1" s="1"/>
  <c r="BB28" i="1"/>
  <c r="BC28" i="1" s="1"/>
  <c r="AZ28" i="1"/>
  <c r="AY44" i="1"/>
  <c r="AW44" i="1"/>
  <c r="AP83" i="1"/>
  <c r="AN83" i="1"/>
  <c r="AP120" i="1"/>
  <c r="AN120" i="1"/>
  <c r="Z141" i="1"/>
  <c r="AB141" i="1" s="1"/>
  <c r="AD141" i="1" s="1"/>
  <c r="AF141" i="1" s="1"/>
  <c r="AH141" i="1" s="1"/>
  <c r="AJ141" i="1" s="1"/>
  <c r="AL141" i="1" s="1"/>
  <c r="AO141" i="1" s="1"/>
  <c r="Y141" i="1"/>
  <c r="AA141" i="1" s="1"/>
  <c r="AC141" i="1" s="1"/>
  <c r="AE141" i="1" s="1"/>
  <c r="AG141" i="1" s="1"/>
  <c r="AI141" i="1" s="1"/>
  <c r="AK141" i="1" s="1"/>
  <c r="AM141" i="1" s="1"/>
  <c r="I59" i="1"/>
  <c r="BB37" i="1"/>
  <c r="BC37" i="1" s="1"/>
  <c r="AZ37" i="1"/>
  <c r="AW38" i="1"/>
  <c r="AY38" i="1"/>
  <c r="T59" i="1"/>
  <c r="M81" i="1"/>
  <c r="O81" i="1" s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AM81" i="1" s="1"/>
  <c r="BB73" i="1"/>
  <c r="BC73" i="1" s="1"/>
  <c r="AZ73" i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AM82" i="1" s="1"/>
  <c r="AZ84" i="1"/>
  <c r="BB84" i="1"/>
  <c r="BC84" i="1" s="1"/>
  <c r="L91" i="1"/>
  <c r="AW118" i="1"/>
  <c r="AY118" i="1"/>
  <c r="W36" i="1"/>
  <c r="Y36" i="1" s="1"/>
  <c r="AA36" i="1" s="1"/>
  <c r="AC36" i="1" s="1"/>
  <c r="AE36" i="1" s="1"/>
  <c r="AG36" i="1" s="1"/>
  <c r="AI36" i="1" s="1"/>
  <c r="AK36" i="1" s="1"/>
  <c r="AM36" i="1" s="1"/>
  <c r="AZ34" i="1"/>
  <c r="BB34" i="1"/>
  <c r="BC34" i="1" s="1"/>
  <c r="AZ39" i="1"/>
  <c r="N82" i="1"/>
  <c r="AM86" i="1"/>
  <c r="AO86" i="1"/>
  <c r="AZ88" i="1"/>
  <c r="BB88" i="1"/>
  <c r="BC88" i="1" s="1"/>
  <c r="AZ102" i="1"/>
  <c r="BB102" i="1"/>
  <c r="BC102" i="1" s="1"/>
  <c r="AN148" i="1"/>
  <c r="AP148" i="1"/>
  <c r="BB41" i="1"/>
  <c r="BC41" i="1" s="1"/>
  <c r="AZ41" i="1"/>
  <c r="AY42" i="1"/>
  <c r="AW42" i="1"/>
  <c r="BB56" i="1"/>
  <c r="BC56" i="1" s="1"/>
  <c r="AZ56" i="1"/>
  <c r="AL79" i="1"/>
  <c r="AJ91" i="1"/>
  <c r="AI45" i="1"/>
  <c r="AK45" i="1" s="1"/>
  <c r="AM45" i="1" s="1"/>
  <c r="AW86" i="1"/>
  <c r="AY86" i="1"/>
  <c r="AZ117" i="1"/>
  <c r="BB117" i="1"/>
  <c r="BC117" i="1" s="1"/>
  <c r="AP158" i="1"/>
  <c r="AN158" i="1"/>
  <c r="AM48" i="1"/>
  <c r="W33" i="1"/>
  <c r="Y33" i="1" s="1"/>
  <c r="AA33" i="1" s="1"/>
  <c r="AC33" i="1" s="1"/>
  <c r="AE33" i="1" s="1"/>
  <c r="AG33" i="1" s="1"/>
  <c r="AI33" i="1" s="1"/>
  <c r="AK33" i="1" s="1"/>
  <c r="AM33" i="1" s="1"/>
  <c r="AW28" i="1"/>
  <c r="M34" i="1"/>
  <c r="O34" i="1" s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AM34" i="1" s="1"/>
  <c r="AN44" i="1"/>
  <c r="AP44" i="1"/>
  <c r="BB105" i="1"/>
  <c r="BC105" i="1" s="1"/>
  <c r="N112" i="1"/>
  <c r="M112" i="1"/>
  <c r="O112" i="1" s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AM112" i="1" s="1"/>
  <c r="M29" i="1"/>
  <c r="O29" i="1" s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AM29" i="1" s="1"/>
  <c r="AW49" i="1"/>
  <c r="AY49" i="1"/>
  <c r="AD65" i="1"/>
  <c r="AF63" i="1"/>
  <c r="AP88" i="1"/>
  <c r="AN88" i="1"/>
  <c r="T131" i="1"/>
  <c r="V131" i="1" s="1"/>
  <c r="X131" i="1" s="1"/>
  <c r="Z131" i="1" s="1"/>
  <c r="AB131" i="1" s="1"/>
  <c r="AD131" i="1" s="1"/>
  <c r="AF131" i="1" s="1"/>
  <c r="AH131" i="1" s="1"/>
  <c r="AJ131" i="1" s="1"/>
  <c r="AL131" i="1" s="1"/>
  <c r="AO131" i="1" s="1"/>
  <c r="R184" i="1"/>
  <c r="AI138" i="1"/>
  <c r="AK138" i="1" s="1"/>
  <c r="AM138" i="1" s="1"/>
  <c r="AW29" i="1"/>
  <c r="AY29" i="1"/>
  <c r="BA59" i="1"/>
  <c r="BG59" i="1" s="1"/>
  <c r="BB55" i="1"/>
  <c r="BC55" i="1" s="1"/>
  <c r="AZ55" i="1"/>
  <c r="AL113" i="1"/>
  <c r="AJ125" i="1"/>
  <c r="AY121" i="1"/>
  <c r="AW121" i="1"/>
  <c r="AL144" i="1"/>
  <c r="AO144" i="1" s="1"/>
  <c r="AK144" i="1"/>
  <c r="AD188" i="1"/>
  <c r="AP193" i="1"/>
  <c r="AN193" i="1"/>
  <c r="AX59" i="1"/>
  <c r="AW32" i="1"/>
  <c r="AY32" i="1"/>
  <c r="L24" i="1"/>
  <c r="J59" i="1"/>
  <c r="J421" i="1" s="1"/>
  <c r="AK80" i="1"/>
  <c r="AM80" i="1" s="1"/>
  <c r="AV83" i="1"/>
  <c r="AU91" i="1"/>
  <c r="AV91" i="1" s="1"/>
  <c r="AC105" i="1"/>
  <c r="AE105" i="1" s="1"/>
  <c r="AG105" i="1" s="1"/>
  <c r="AI105" i="1" s="1"/>
  <c r="AK105" i="1" s="1"/>
  <c r="AM105" i="1" s="1"/>
  <c r="AD105" i="1"/>
  <c r="AF105" i="1" s="1"/>
  <c r="AH105" i="1" s="1"/>
  <c r="AJ105" i="1" s="1"/>
  <c r="AL105" i="1" s="1"/>
  <c r="AO105" i="1" s="1"/>
  <c r="Z136" i="1"/>
  <c r="AB136" i="1" s="1"/>
  <c r="AD136" i="1" s="1"/>
  <c r="AF136" i="1" s="1"/>
  <c r="AH136" i="1" s="1"/>
  <c r="AJ136" i="1" s="1"/>
  <c r="AL136" i="1" s="1"/>
  <c r="AO136" i="1" s="1"/>
  <c r="Y136" i="1"/>
  <c r="AA136" i="1" s="1"/>
  <c r="AC136" i="1" s="1"/>
  <c r="AE136" i="1" s="1"/>
  <c r="AG136" i="1" s="1"/>
  <c r="AI136" i="1" s="1"/>
  <c r="AK136" i="1" s="1"/>
  <c r="AM136" i="1" s="1"/>
  <c r="AZ40" i="1"/>
  <c r="BB40" i="1"/>
  <c r="BC40" i="1" s="1"/>
  <c r="AV24" i="1"/>
  <c r="AZ22" i="1"/>
  <c r="BG26" i="1"/>
  <c r="AY47" i="1"/>
  <c r="AW47" i="1"/>
  <c r="AM43" i="1"/>
  <c r="K30" i="1"/>
  <c r="M30" i="1" s="1"/>
  <c r="O30" i="1" s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AM30" i="1" s="1"/>
  <c r="AY36" i="1"/>
  <c r="AW36" i="1"/>
  <c r="AP54" i="1"/>
  <c r="AN54" i="1"/>
  <c r="I65" i="1"/>
  <c r="K65" i="1" s="1"/>
  <c r="K62" i="1"/>
  <c r="AZ78" i="1"/>
  <c r="AZ80" i="1"/>
  <c r="BB80" i="1"/>
  <c r="BC80" i="1" s="1"/>
  <c r="AP137" i="1"/>
  <c r="AN137" i="1"/>
  <c r="AN156" i="1"/>
  <c r="AP156" i="1"/>
  <c r="AN194" i="1"/>
  <c r="AP194" i="1"/>
  <c r="BB33" i="1"/>
  <c r="BC33" i="1" s="1"/>
  <c r="AZ33" i="1"/>
  <c r="AP53" i="1"/>
  <c r="AN53" i="1"/>
  <c r="N91" i="1"/>
  <c r="AN203" i="1"/>
  <c r="AP203" i="1"/>
  <c r="AW26" i="1"/>
  <c r="AY26" i="1"/>
  <c r="BK58" i="1"/>
  <c r="BL58" i="1" s="1"/>
  <c r="AH46" i="1"/>
  <c r="AJ46" i="1" s="1"/>
  <c r="AL46" i="1" s="1"/>
  <c r="AO46" i="1" s="1"/>
  <c r="AG46" i="1"/>
  <c r="AW25" i="1"/>
  <c r="AZ25" i="1" s="1"/>
  <c r="BC25" i="1" s="1"/>
  <c r="Z59" i="1"/>
  <c r="AW31" i="1"/>
  <c r="AY31" i="1"/>
  <c r="W42" i="1"/>
  <c r="Y42" i="1" s="1"/>
  <c r="AA42" i="1" s="1"/>
  <c r="AC42" i="1" s="1"/>
  <c r="AE42" i="1" s="1"/>
  <c r="AG42" i="1" s="1"/>
  <c r="AI42" i="1" s="1"/>
  <c r="AK42" i="1" s="1"/>
  <c r="AM42" i="1" s="1"/>
  <c r="AW46" i="1"/>
  <c r="AY46" i="1"/>
  <c r="AP73" i="1"/>
  <c r="AN73" i="1"/>
  <c r="BB78" i="1"/>
  <c r="BB79" i="1"/>
  <c r="BC79" i="1" s="1"/>
  <c r="AZ79" i="1"/>
  <c r="N86" i="1"/>
  <c r="M86" i="1"/>
  <c r="O86" i="1" s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O105" i="1"/>
  <c r="Q105" i="1" s="1"/>
  <c r="S105" i="1" s="1"/>
  <c r="U105" i="1" s="1"/>
  <c r="W105" i="1" s="1"/>
  <c r="Y105" i="1" s="1"/>
  <c r="AX52" i="1"/>
  <c r="AW52" i="1"/>
  <c r="BA52" i="1"/>
  <c r="BG52" i="1" s="1"/>
  <c r="AP94" i="1"/>
  <c r="AN94" i="1"/>
  <c r="AD108" i="1"/>
  <c r="AF98" i="1"/>
  <c r="AZ99" i="1"/>
  <c r="BB99" i="1"/>
  <c r="BC99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AM102" i="1" s="1"/>
  <c r="BB128" i="1"/>
  <c r="AZ128" i="1"/>
  <c r="AN208" i="1"/>
  <c r="AP208" i="1"/>
  <c r="AN51" i="1"/>
  <c r="I91" i="1"/>
  <c r="K78" i="1"/>
  <c r="L108" i="1"/>
  <c r="BB101" i="1"/>
  <c r="BC101" i="1" s="1"/>
  <c r="AZ101" i="1"/>
  <c r="AB108" i="1"/>
  <c r="BG112" i="1"/>
  <c r="AW113" i="1"/>
  <c r="AY113" i="1"/>
  <c r="BA184" i="1"/>
  <c r="BG184" i="1" s="1"/>
  <c r="BG128" i="1"/>
  <c r="Z145" i="1"/>
  <c r="AB145" i="1" s="1"/>
  <c r="AD145" i="1" s="1"/>
  <c r="AF145" i="1" s="1"/>
  <c r="AH145" i="1" s="1"/>
  <c r="AJ145" i="1" s="1"/>
  <c r="AL145" i="1" s="1"/>
  <c r="AO145" i="1" s="1"/>
  <c r="Y145" i="1"/>
  <c r="AA145" i="1" s="1"/>
  <c r="AC145" i="1" s="1"/>
  <c r="AE145" i="1" s="1"/>
  <c r="AG145" i="1" s="1"/>
  <c r="AI145" i="1" s="1"/>
  <c r="AK145" i="1" s="1"/>
  <c r="AM145" i="1" s="1"/>
  <c r="AC149" i="1"/>
  <c r="AE149" i="1" s="1"/>
  <c r="AG149" i="1" s="1"/>
  <c r="AI149" i="1" s="1"/>
  <c r="AK149" i="1" s="1"/>
  <c r="AM149" i="1" s="1"/>
  <c r="BB151" i="1"/>
  <c r="BC151" i="1" s="1"/>
  <c r="AZ151" i="1"/>
  <c r="X189" i="1"/>
  <c r="Z189" i="1" s="1"/>
  <c r="AB189" i="1" s="1"/>
  <c r="AD189" i="1" s="1"/>
  <c r="AF189" i="1" s="1"/>
  <c r="AH189" i="1" s="1"/>
  <c r="AJ189" i="1" s="1"/>
  <c r="AL189" i="1" s="1"/>
  <c r="AO189" i="1" s="1"/>
  <c r="V223" i="1"/>
  <c r="AC231" i="1"/>
  <c r="AD231" i="1"/>
  <c r="AF231" i="1" s="1"/>
  <c r="AH231" i="1" s="1"/>
  <c r="AJ231" i="1" s="1"/>
  <c r="AL231" i="1" s="1"/>
  <c r="AO231" i="1" s="1"/>
  <c r="AJ233" i="1"/>
  <c r="AL233" i="1" s="1"/>
  <c r="AO233" i="1" s="1"/>
  <c r="AI233" i="1"/>
  <c r="AK233" i="1" s="1"/>
  <c r="AM233" i="1" s="1"/>
  <c r="K32" i="1"/>
  <c r="M32" i="1" s="1"/>
  <c r="O32" i="1" s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AM32" i="1" s="1"/>
  <c r="C59" i="1"/>
  <c r="N98" i="1"/>
  <c r="N108" i="1" s="1"/>
  <c r="AV98" i="1"/>
  <c r="AU108" i="1"/>
  <c r="BG99" i="1"/>
  <c r="AW101" i="1"/>
  <c r="AW130" i="1"/>
  <c r="AY130" i="1"/>
  <c r="AW131" i="1"/>
  <c r="AY131" i="1"/>
  <c r="AY143" i="1"/>
  <c r="AW143" i="1"/>
  <c r="K31" i="1"/>
  <c r="M31" i="1" s="1"/>
  <c r="O31" i="1" s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AM31" i="1" s="1"/>
  <c r="Q40" i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AM40" i="1" s="1"/>
  <c r="AW50" i="1"/>
  <c r="AN52" i="1"/>
  <c r="L62" i="1"/>
  <c r="BH91" i="1"/>
  <c r="BL91" i="1" s="1"/>
  <c r="AY104" i="1"/>
  <c r="AW104" i="1"/>
  <c r="K113" i="1"/>
  <c r="L113" i="1"/>
  <c r="N113" i="1" s="1"/>
  <c r="AX125" i="1"/>
  <c r="M117" i="1"/>
  <c r="O117" i="1" s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AM117" i="1" s="1"/>
  <c r="K130" i="1"/>
  <c r="M130" i="1" s="1"/>
  <c r="O130" i="1" s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AM130" i="1" s="1"/>
  <c r="L130" i="1"/>
  <c r="N130" i="1" s="1"/>
  <c r="M188" i="1"/>
  <c r="AW33" i="1"/>
  <c r="AE47" i="1"/>
  <c r="AG47" i="1" s="1"/>
  <c r="AI47" i="1" s="1"/>
  <c r="AK47" i="1" s="1"/>
  <c r="AM47" i="1" s="1"/>
  <c r="AW55" i="1"/>
  <c r="AW56" i="1"/>
  <c r="AD59" i="1"/>
  <c r="AX108" i="1"/>
  <c r="M104" i="1"/>
  <c r="O104" i="1" s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AM104" i="1" s="1"/>
  <c r="U196" i="1"/>
  <c r="W196" i="1" s="1"/>
  <c r="Y196" i="1" s="1"/>
  <c r="AA196" i="1" s="1"/>
  <c r="AC196" i="1" s="1"/>
  <c r="AE196" i="1" s="1"/>
  <c r="AG196" i="1" s="1"/>
  <c r="AI196" i="1" s="1"/>
  <c r="AK196" i="1" s="1"/>
  <c r="AM196" i="1" s="1"/>
  <c r="AF24" i="1"/>
  <c r="AG24" i="1" s="1"/>
  <c r="AU52" i="1"/>
  <c r="AV52" i="1" s="1"/>
  <c r="AY52" i="1" s="1"/>
  <c r="BB52" i="1" s="1"/>
  <c r="BI91" i="1"/>
  <c r="BB81" i="1"/>
  <c r="BC81" i="1" s="1"/>
  <c r="AZ81" i="1"/>
  <c r="M100" i="1"/>
  <c r="O100" i="1" s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AM100" i="1" s="1"/>
  <c r="AW100" i="1"/>
  <c r="AY100" i="1"/>
  <c r="AW34" i="1"/>
  <c r="AW41" i="1"/>
  <c r="AY43" i="1"/>
  <c r="AZ51" i="1"/>
  <c r="AY54" i="1"/>
  <c r="R91" i="1"/>
  <c r="R421" i="1" s="1"/>
  <c r="K133" i="1"/>
  <c r="M133" i="1" s="1"/>
  <c r="O133" i="1" s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AM133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AM139" i="1" s="1"/>
  <c r="AM215" i="1"/>
  <c r="AO215" i="1"/>
  <c r="AW39" i="1"/>
  <c r="AZ53" i="1"/>
  <c r="BB57" i="1"/>
  <c r="BC57" i="1" s="1"/>
  <c r="T62" i="1"/>
  <c r="AV62" i="1"/>
  <c r="AV65" i="1" s="1"/>
  <c r="T78" i="1"/>
  <c r="AW84" i="1"/>
  <c r="P59" i="1"/>
  <c r="AZ52" i="1"/>
  <c r="AW87" i="1"/>
  <c r="AY87" i="1"/>
  <c r="AW91" i="1"/>
  <c r="L111" i="1"/>
  <c r="J125" i="1"/>
  <c r="O143" i="1"/>
  <c r="Q143" i="1" s="1"/>
  <c r="S143" i="1" s="1"/>
  <c r="U143" i="1" s="1"/>
  <c r="AN147" i="1"/>
  <c r="AP147" i="1"/>
  <c r="AY30" i="1"/>
  <c r="BC8" i="1"/>
  <c r="BC22" i="1" s="1"/>
  <c r="AW22" i="1"/>
  <c r="BC52" i="1"/>
  <c r="BC65" i="1"/>
  <c r="AY82" i="1"/>
  <c r="BB89" i="1"/>
  <c r="BC89" i="1" s="1"/>
  <c r="AZ89" i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AM103" i="1" s="1"/>
  <c r="AZ103" i="1"/>
  <c r="BB103" i="1"/>
  <c r="BC103" i="1" s="1"/>
  <c r="T108" i="1"/>
  <c r="AY112" i="1"/>
  <c r="AW112" i="1"/>
  <c r="BB116" i="1"/>
  <c r="BC116" i="1" s="1"/>
  <c r="AZ116" i="1"/>
  <c r="BB153" i="1"/>
  <c r="BC153" i="1" s="1"/>
  <c r="AZ153" i="1"/>
  <c r="M38" i="1"/>
  <c r="O38" i="1" s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AM38" i="1" s="1"/>
  <c r="BA91" i="1"/>
  <c r="BG91" i="1" s="1"/>
  <c r="BG79" i="1"/>
  <c r="AY85" i="1"/>
  <c r="AW85" i="1"/>
  <c r="AC121" i="1"/>
  <c r="AE121" i="1" s="1"/>
  <c r="AG121" i="1" s="1"/>
  <c r="AI121" i="1" s="1"/>
  <c r="AZ136" i="1"/>
  <c r="BB138" i="1"/>
  <c r="BC138" i="1" s="1"/>
  <c r="AY140" i="1"/>
  <c r="K142" i="1"/>
  <c r="M142" i="1" s="1"/>
  <c r="O142" i="1" s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AM142" i="1" s="1"/>
  <c r="L142" i="1"/>
  <c r="N142" i="1" s="1"/>
  <c r="AY154" i="1"/>
  <c r="AW154" i="1"/>
  <c r="AM157" i="1"/>
  <c r="W189" i="1"/>
  <c r="Y189" i="1" s="1"/>
  <c r="AA189" i="1" s="1"/>
  <c r="AC189" i="1" s="1"/>
  <c r="AE189" i="1" s="1"/>
  <c r="AG189" i="1" s="1"/>
  <c r="AI189" i="1" s="1"/>
  <c r="AK189" i="1" s="1"/>
  <c r="AM189" i="1" s="1"/>
  <c r="BG235" i="1"/>
  <c r="BB235" i="1"/>
  <c r="BC235" i="1" s="1"/>
  <c r="AW195" i="1"/>
  <c r="AY195" i="1"/>
  <c r="BB162" i="1"/>
  <c r="BC162" i="1" s="1"/>
  <c r="AZ162" i="1"/>
  <c r="AP197" i="1"/>
  <c r="AN197" i="1"/>
  <c r="AN229" i="1"/>
  <c r="AP229" i="1"/>
  <c r="BG266" i="1"/>
  <c r="BA295" i="1"/>
  <c r="BG295" i="1" s="1"/>
  <c r="AE155" i="1"/>
  <c r="AG155" i="1" s="1"/>
  <c r="AI155" i="1" s="1"/>
  <c r="AK155" i="1" s="1"/>
  <c r="AM155" i="1" s="1"/>
  <c r="AY157" i="1"/>
  <c r="AW157" i="1"/>
  <c r="AY159" i="1"/>
  <c r="AW159" i="1"/>
  <c r="BB181" i="1"/>
  <c r="BC181" i="1" s="1"/>
  <c r="AZ181" i="1"/>
  <c r="L223" i="1"/>
  <c r="N188" i="1"/>
  <c r="N223" i="1" s="1"/>
  <c r="AG191" i="1"/>
  <c r="AI191" i="1" s="1"/>
  <c r="AK191" i="1" s="1"/>
  <c r="AM191" i="1" s="1"/>
  <c r="AY196" i="1"/>
  <c r="Z146" i="1"/>
  <c r="AB146" i="1" s="1"/>
  <c r="AD146" i="1" s="1"/>
  <c r="AF146" i="1" s="1"/>
  <c r="AH146" i="1" s="1"/>
  <c r="AJ146" i="1" s="1"/>
  <c r="AL146" i="1" s="1"/>
  <c r="AO146" i="1" s="1"/>
  <c r="Y146" i="1"/>
  <c r="AZ172" i="1"/>
  <c r="BB172" i="1"/>
  <c r="BC172" i="1" s="1"/>
  <c r="AP199" i="1"/>
  <c r="AN199" i="1"/>
  <c r="BG208" i="1"/>
  <c r="BB208" i="1"/>
  <c r="BC208" i="1" s="1"/>
  <c r="AA152" i="1"/>
  <c r="AC152" i="1" s="1"/>
  <c r="AE152" i="1" s="1"/>
  <c r="AG152" i="1" s="1"/>
  <c r="AI152" i="1" s="1"/>
  <c r="AK152" i="1" s="1"/>
  <c r="AM152" i="1" s="1"/>
  <c r="AC154" i="1"/>
  <c r="AE154" i="1" s="1"/>
  <c r="AG154" i="1" s="1"/>
  <c r="AI154" i="1" s="1"/>
  <c r="AK154" i="1" s="1"/>
  <c r="AM154" i="1" s="1"/>
  <c r="U118" i="1"/>
  <c r="W118" i="1" s="1"/>
  <c r="Y118" i="1" s="1"/>
  <c r="AA118" i="1" s="1"/>
  <c r="AC118" i="1" s="1"/>
  <c r="AE118" i="1" s="1"/>
  <c r="AG118" i="1" s="1"/>
  <c r="AI118" i="1" s="1"/>
  <c r="AK118" i="1" s="1"/>
  <c r="AM118" i="1" s="1"/>
  <c r="AY120" i="1"/>
  <c r="AW120" i="1"/>
  <c r="L135" i="1"/>
  <c r="N135" i="1" s="1"/>
  <c r="K135" i="1"/>
  <c r="M135" i="1" s="1"/>
  <c r="O135" i="1" s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AM135" i="1" s="1"/>
  <c r="Z152" i="1"/>
  <c r="AB152" i="1" s="1"/>
  <c r="AD152" i="1" s="1"/>
  <c r="AF152" i="1" s="1"/>
  <c r="AH152" i="1" s="1"/>
  <c r="AJ152" i="1" s="1"/>
  <c r="AL152" i="1" s="1"/>
  <c r="AO152" i="1" s="1"/>
  <c r="AN165" i="1"/>
  <c r="AP165" i="1"/>
  <c r="K195" i="1"/>
  <c r="M195" i="1" s="1"/>
  <c r="O195" i="1" s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AM195" i="1" s="1"/>
  <c r="U202" i="1"/>
  <c r="W202" i="1" s="1"/>
  <c r="Y202" i="1" s="1"/>
  <c r="AA202" i="1" s="1"/>
  <c r="AC202" i="1" s="1"/>
  <c r="AE202" i="1" s="1"/>
  <c r="AG202" i="1" s="1"/>
  <c r="AI202" i="1" s="1"/>
  <c r="AK202" i="1" s="1"/>
  <c r="AM202" i="1" s="1"/>
  <c r="AI209" i="1"/>
  <c r="AK209" i="1" s="1"/>
  <c r="AM209" i="1" s="1"/>
  <c r="AC122" i="1"/>
  <c r="AD122" i="1"/>
  <c r="AF122" i="1" s="1"/>
  <c r="AH122" i="1" s="1"/>
  <c r="AH125" i="1" s="1"/>
  <c r="Z134" i="1"/>
  <c r="AB134" i="1" s="1"/>
  <c r="AD134" i="1" s="1"/>
  <c r="AF134" i="1" s="1"/>
  <c r="AH134" i="1" s="1"/>
  <c r="AJ134" i="1" s="1"/>
  <c r="AL134" i="1" s="1"/>
  <c r="AO134" i="1" s="1"/>
  <c r="Y134" i="1"/>
  <c r="AA134" i="1" s="1"/>
  <c r="AC134" i="1" s="1"/>
  <c r="AE134" i="1" s="1"/>
  <c r="AG134" i="1" s="1"/>
  <c r="AI134" i="1" s="1"/>
  <c r="AK134" i="1" s="1"/>
  <c r="AM134" i="1" s="1"/>
  <c r="Y140" i="1"/>
  <c r="Z140" i="1"/>
  <c r="AB140" i="1" s="1"/>
  <c r="AD140" i="1" s="1"/>
  <c r="AF140" i="1" s="1"/>
  <c r="AH140" i="1" s="1"/>
  <c r="AJ140" i="1" s="1"/>
  <c r="AL140" i="1" s="1"/>
  <c r="AO140" i="1" s="1"/>
  <c r="AY142" i="1"/>
  <c r="AW142" i="1"/>
  <c r="AK201" i="1"/>
  <c r="AM201" i="1" s="1"/>
  <c r="AY114" i="1"/>
  <c r="U136" i="1"/>
  <c r="U145" i="1"/>
  <c r="AZ145" i="1"/>
  <c r="BB145" i="1"/>
  <c r="BC145" i="1" s="1"/>
  <c r="AY146" i="1"/>
  <c r="AW146" i="1"/>
  <c r="AK159" i="1"/>
  <c r="AM159" i="1" s="1"/>
  <c r="AY168" i="1"/>
  <c r="AW168" i="1"/>
  <c r="BB179" i="1"/>
  <c r="BC179" i="1" s="1"/>
  <c r="AZ179" i="1"/>
  <c r="AC200" i="1"/>
  <c r="AE200" i="1" s="1"/>
  <c r="AG200" i="1" s="1"/>
  <c r="AI200" i="1" s="1"/>
  <c r="AK200" i="1" s="1"/>
  <c r="AM200" i="1" s="1"/>
  <c r="AZ203" i="1"/>
  <c r="BB203" i="1"/>
  <c r="BC203" i="1" s="1"/>
  <c r="BB218" i="1"/>
  <c r="BC218" i="1" s="1"/>
  <c r="AZ218" i="1"/>
  <c r="AX91" i="1"/>
  <c r="Q87" i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AM87" i="1" s="1"/>
  <c r="K111" i="1"/>
  <c r="BB134" i="1"/>
  <c r="BC134" i="1" s="1"/>
  <c r="Y161" i="1"/>
  <c r="AA161" i="1" s="1"/>
  <c r="AC161" i="1" s="1"/>
  <c r="AE161" i="1" s="1"/>
  <c r="AG161" i="1" s="1"/>
  <c r="AI161" i="1" s="1"/>
  <c r="AK161" i="1" s="1"/>
  <c r="AM161" i="1" s="1"/>
  <c r="AZ166" i="1"/>
  <c r="BB166" i="1"/>
  <c r="BC166" i="1" s="1"/>
  <c r="BB178" i="1"/>
  <c r="BC178" i="1" s="1"/>
  <c r="AZ178" i="1"/>
  <c r="AY201" i="1"/>
  <c r="AW201" i="1"/>
  <c r="AY216" i="1"/>
  <c r="AW216" i="1"/>
  <c r="BB220" i="1"/>
  <c r="BC220" i="1" s="1"/>
  <c r="AZ220" i="1"/>
  <c r="K385" i="1"/>
  <c r="I410" i="1"/>
  <c r="AP412" i="1"/>
  <c r="AN412" i="1"/>
  <c r="AN300" i="1"/>
  <c r="AP300" i="1"/>
  <c r="BB305" i="1"/>
  <c r="BC305" i="1" s="1"/>
  <c r="AZ305" i="1"/>
  <c r="AY115" i="1"/>
  <c r="AW115" i="1"/>
  <c r="V128" i="1"/>
  <c r="T184" i="1"/>
  <c r="AZ176" i="1"/>
  <c r="BB176" i="1"/>
  <c r="BC176" i="1" s="1"/>
  <c r="AV184" i="1"/>
  <c r="N192" i="1"/>
  <c r="M192" i="1"/>
  <c r="O192" i="1" s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AM192" i="1" s="1"/>
  <c r="BG221" i="1"/>
  <c r="BB221" i="1"/>
  <c r="BC221" i="1" s="1"/>
  <c r="AW238" i="1"/>
  <c r="AY238" i="1"/>
  <c r="AP265" i="1"/>
  <c r="AN265" i="1"/>
  <c r="L114" i="1"/>
  <c r="N114" i="1" s="1"/>
  <c r="K114" i="1"/>
  <c r="AW116" i="1"/>
  <c r="AM166" i="1"/>
  <c r="AY198" i="1"/>
  <c r="AW198" i="1"/>
  <c r="AW205" i="1"/>
  <c r="AY205" i="1"/>
  <c r="AY206" i="1"/>
  <c r="AW206" i="1"/>
  <c r="AY212" i="1"/>
  <c r="AW212" i="1"/>
  <c r="AP277" i="1"/>
  <c r="AN277" i="1"/>
  <c r="BB321" i="1"/>
  <c r="BC321" i="1" s="1"/>
  <c r="AZ321" i="1"/>
  <c r="AU125" i="1"/>
  <c r="AV111" i="1"/>
  <c r="AY119" i="1"/>
  <c r="AY132" i="1"/>
  <c r="AA151" i="1"/>
  <c r="AC151" i="1" s="1"/>
  <c r="AE151" i="1" s="1"/>
  <c r="AG151" i="1" s="1"/>
  <c r="AI151" i="1" s="1"/>
  <c r="AK151" i="1" s="1"/>
  <c r="AM151" i="1" s="1"/>
  <c r="AN167" i="1"/>
  <c r="AN171" i="1"/>
  <c r="BB210" i="1"/>
  <c r="BC210" i="1" s="1"/>
  <c r="AZ210" i="1"/>
  <c r="BB215" i="1"/>
  <c r="BC215" i="1" s="1"/>
  <c r="AZ215" i="1"/>
  <c r="L307" i="1"/>
  <c r="N299" i="1"/>
  <c r="N307" i="1" s="1"/>
  <c r="P108" i="1"/>
  <c r="AW122" i="1"/>
  <c r="AW128" i="1"/>
  <c r="I184" i="1"/>
  <c r="AY133" i="1"/>
  <c r="AY155" i="1"/>
  <c r="AW160" i="1"/>
  <c r="AY160" i="1"/>
  <c r="AF163" i="1"/>
  <c r="AH163" i="1" s="1"/>
  <c r="AJ163" i="1" s="1"/>
  <c r="AL163" i="1" s="1"/>
  <c r="AO163" i="1" s="1"/>
  <c r="AY174" i="1"/>
  <c r="AW174" i="1"/>
  <c r="AY192" i="1"/>
  <c r="AV223" i="1"/>
  <c r="S204" i="1"/>
  <c r="U204" i="1" s="1"/>
  <c r="W204" i="1" s="1"/>
  <c r="Y204" i="1" s="1"/>
  <c r="AA204" i="1" s="1"/>
  <c r="AC204" i="1" s="1"/>
  <c r="AE204" i="1" s="1"/>
  <c r="AG204" i="1" s="1"/>
  <c r="AI204" i="1" s="1"/>
  <c r="AK204" i="1" s="1"/>
  <c r="AM204" i="1" s="1"/>
  <c r="AW210" i="1"/>
  <c r="AP276" i="1"/>
  <c r="AN276" i="1"/>
  <c r="AP164" i="1"/>
  <c r="AW167" i="1"/>
  <c r="AY167" i="1"/>
  <c r="BB171" i="1"/>
  <c r="BC171" i="1" s="1"/>
  <c r="AZ171" i="1"/>
  <c r="R248" i="1"/>
  <c r="S227" i="1"/>
  <c r="U227" i="1" s="1"/>
  <c r="AP273" i="1"/>
  <c r="AN273" i="1"/>
  <c r="H421" i="1"/>
  <c r="AW99" i="1"/>
  <c r="R108" i="1"/>
  <c r="K99" i="1"/>
  <c r="M99" i="1" s="1"/>
  <c r="O99" i="1" s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AM99" i="1" s="1"/>
  <c r="AZ122" i="1"/>
  <c r="AX184" i="1"/>
  <c r="K131" i="1"/>
  <c r="M131" i="1" s="1"/>
  <c r="O131" i="1" s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AM131" i="1" s="1"/>
  <c r="Z143" i="1"/>
  <c r="AB143" i="1" s="1"/>
  <c r="AD143" i="1" s="1"/>
  <c r="AF143" i="1" s="1"/>
  <c r="AH143" i="1" s="1"/>
  <c r="AJ143" i="1" s="1"/>
  <c r="AL143" i="1" s="1"/>
  <c r="AO143" i="1" s="1"/>
  <c r="AY152" i="1"/>
  <c r="AP169" i="1"/>
  <c r="AW171" i="1"/>
  <c r="AZ177" i="1"/>
  <c r="AZ188" i="1"/>
  <c r="AY194" i="1"/>
  <c r="AY209" i="1"/>
  <c r="AW209" i="1"/>
  <c r="R223" i="1"/>
  <c r="AN235" i="1"/>
  <c r="AP235" i="1"/>
  <c r="N260" i="1"/>
  <c r="L295" i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AM101" i="1" s="1"/>
  <c r="K116" i="1"/>
  <c r="M116" i="1" s="1"/>
  <c r="O116" i="1" s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AM116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AM119" i="1" s="1"/>
  <c r="J184" i="1"/>
  <c r="K128" i="1"/>
  <c r="AY129" i="1"/>
  <c r="BB137" i="1"/>
  <c r="BC137" i="1" s="1"/>
  <c r="O141" i="1"/>
  <c r="Q141" i="1" s="1"/>
  <c r="S141" i="1" s="1"/>
  <c r="U141" i="1" s="1"/>
  <c r="AY144" i="1"/>
  <c r="AY158" i="1"/>
  <c r="AY161" i="1"/>
  <c r="AY163" i="1"/>
  <c r="AW165" i="1"/>
  <c r="AY165" i="1"/>
  <c r="Y206" i="1"/>
  <c r="AA206" i="1" s="1"/>
  <c r="AC206" i="1" s="1"/>
  <c r="AE206" i="1" s="1"/>
  <c r="AG206" i="1" s="1"/>
  <c r="AI206" i="1" s="1"/>
  <c r="AK206" i="1" s="1"/>
  <c r="AM206" i="1" s="1"/>
  <c r="BB207" i="1"/>
  <c r="BC207" i="1" s="1"/>
  <c r="T223" i="1"/>
  <c r="AV232" i="1"/>
  <c r="AU256" i="1"/>
  <c r="AY253" i="1"/>
  <c r="AW253" i="1"/>
  <c r="P295" i="1"/>
  <c r="AM270" i="1"/>
  <c r="AW240" i="1"/>
  <c r="AY240" i="1"/>
  <c r="AP302" i="1"/>
  <c r="AN302" i="1"/>
  <c r="AW237" i="1"/>
  <c r="AY237" i="1"/>
  <c r="AY245" i="1"/>
  <c r="AW245" i="1"/>
  <c r="AY264" i="1"/>
  <c r="AW264" i="1"/>
  <c r="AY278" i="1"/>
  <c r="AW278" i="1"/>
  <c r="AP286" i="1"/>
  <c r="AN286" i="1"/>
  <c r="W205" i="1"/>
  <c r="Y205" i="1" s="1"/>
  <c r="AA205" i="1" s="1"/>
  <c r="AC205" i="1" s="1"/>
  <c r="AE205" i="1" s="1"/>
  <c r="AG205" i="1" s="1"/>
  <c r="AI205" i="1" s="1"/>
  <c r="AK205" i="1" s="1"/>
  <c r="AM205" i="1" s="1"/>
  <c r="AK212" i="1"/>
  <c r="AM212" i="1" s="1"/>
  <c r="AM213" i="1"/>
  <c r="AW217" i="1"/>
  <c r="AY217" i="1"/>
  <c r="AY219" i="1"/>
  <c r="AW219" i="1"/>
  <c r="AW227" i="1"/>
  <c r="AP239" i="1"/>
  <c r="AN239" i="1"/>
  <c r="AY247" i="1"/>
  <c r="AW247" i="1"/>
  <c r="BB254" i="1"/>
  <c r="BC254" i="1" s="1"/>
  <c r="AZ254" i="1"/>
  <c r="T274" i="1"/>
  <c r="V274" i="1" s="1"/>
  <c r="X274" i="1" s="1"/>
  <c r="Z274" i="1" s="1"/>
  <c r="AB274" i="1" s="1"/>
  <c r="AD274" i="1" s="1"/>
  <c r="AF274" i="1" s="1"/>
  <c r="AH274" i="1" s="1"/>
  <c r="AJ274" i="1" s="1"/>
  <c r="AL274" i="1" s="1"/>
  <c r="AO274" i="1" s="1"/>
  <c r="S274" i="1"/>
  <c r="U274" i="1" s="1"/>
  <c r="W274" i="1" s="1"/>
  <c r="Y274" i="1" s="1"/>
  <c r="AA274" i="1" s="1"/>
  <c r="AC274" i="1" s="1"/>
  <c r="AE274" i="1" s="1"/>
  <c r="AG274" i="1" s="1"/>
  <c r="AI274" i="1" s="1"/>
  <c r="AK274" i="1" s="1"/>
  <c r="AM274" i="1" s="1"/>
  <c r="AP322" i="1"/>
  <c r="AN322" i="1"/>
  <c r="AP347" i="1"/>
  <c r="AN347" i="1"/>
  <c r="AF348" i="1"/>
  <c r="AH348" i="1" s="1"/>
  <c r="AJ348" i="1" s="1"/>
  <c r="AL348" i="1" s="1"/>
  <c r="AO348" i="1" s="1"/>
  <c r="J108" i="1"/>
  <c r="AY139" i="1"/>
  <c r="BA223" i="1"/>
  <c r="BG223" i="1" s="1"/>
  <c r="AW190" i="1"/>
  <c r="AW223" i="1" s="1"/>
  <c r="AY190" i="1"/>
  <c r="AP216" i="1"/>
  <c r="AN216" i="1"/>
  <c r="AY249" i="1"/>
  <c r="AW249" i="1"/>
  <c r="AZ276" i="1"/>
  <c r="BB276" i="1"/>
  <c r="BC276" i="1" s="1"/>
  <c r="K98" i="1"/>
  <c r="L132" i="1"/>
  <c r="AW139" i="1"/>
  <c r="BB141" i="1"/>
  <c r="BC141" i="1" s="1"/>
  <c r="S150" i="1"/>
  <c r="U150" i="1" s="1"/>
  <c r="W150" i="1" s="1"/>
  <c r="Y150" i="1" s="1"/>
  <c r="AA150" i="1" s="1"/>
  <c r="AC150" i="1" s="1"/>
  <c r="AE150" i="1" s="1"/>
  <c r="AG150" i="1" s="1"/>
  <c r="AI150" i="1" s="1"/>
  <c r="AK150" i="1" s="1"/>
  <c r="AM150" i="1" s="1"/>
  <c r="AW156" i="1"/>
  <c r="AY156" i="1"/>
  <c r="AY170" i="1"/>
  <c r="AW170" i="1"/>
  <c r="P223" i="1"/>
  <c r="AW191" i="1"/>
  <c r="AZ200" i="1"/>
  <c r="BB200" i="1"/>
  <c r="BC200" i="1" s="1"/>
  <c r="AY214" i="1"/>
  <c r="AW214" i="1"/>
  <c r="AY227" i="1"/>
  <c r="BB228" i="1"/>
  <c r="BC228" i="1" s="1"/>
  <c r="AZ228" i="1"/>
  <c r="AW230" i="1"/>
  <c r="AY230" i="1"/>
  <c r="AN234" i="1"/>
  <c r="AY242" i="1"/>
  <c r="AW242" i="1"/>
  <c r="S248" i="1"/>
  <c r="V108" i="1"/>
  <c r="X108" i="1" s="1"/>
  <c r="R125" i="1"/>
  <c r="T111" i="1"/>
  <c r="K129" i="1"/>
  <c r="M129" i="1" s="1"/>
  <c r="O129" i="1" s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AM129" i="1" s="1"/>
  <c r="AG162" i="1"/>
  <c r="AI162" i="1" s="1"/>
  <c r="AK162" i="1" s="1"/>
  <c r="AM162" i="1" s="1"/>
  <c r="BB173" i="1"/>
  <c r="BC173" i="1" s="1"/>
  <c r="AZ180" i="1"/>
  <c r="BB180" i="1"/>
  <c r="BC180" i="1" s="1"/>
  <c r="J223" i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AM190" i="1" s="1"/>
  <c r="AW197" i="1"/>
  <c r="AY197" i="1"/>
  <c r="W207" i="1"/>
  <c r="Y207" i="1" s="1"/>
  <c r="AA207" i="1" s="1"/>
  <c r="AC207" i="1" s="1"/>
  <c r="AE207" i="1" s="1"/>
  <c r="AG207" i="1" s="1"/>
  <c r="AI207" i="1" s="1"/>
  <c r="AK207" i="1" s="1"/>
  <c r="AM207" i="1" s="1"/>
  <c r="AY213" i="1"/>
  <c r="AW213" i="1"/>
  <c r="AW231" i="1"/>
  <c r="AY231" i="1"/>
  <c r="AI211" i="1"/>
  <c r="AK211" i="1" s="1"/>
  <c r="AM211" i="1" s="1"/>
  <c r="AA228" i="1"/>
  <c r="AC228" i="1" s="1"/>
  <c r="AE228" i="1" s="1"/>
  <c r="AG228" i="1" s="1"/>
  <c r="AI228" i="1" s="1"/>
  <c r="AK228" i="1" s="1"/>
  <c r="BB248" i="1"/>
  <c r="BC248" i="1" s="1"/>
  <c r="AZ248" i="1"/>
  <c r="J295" i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AM263" i="1" s="1"/>
  <c r="AN314" i="1"/>
  <c r="AP314" i="1"/>
  <c r="AY234" i="1"/>
  <c r="AW234" i="1"/>
  <c r="AW251" i="1"/>
  <c r="AY251" i="1"/>
  <c r="AY266" i="1"/>
  <c r="AW266" i="1"/>
  <c r="BB268" i="1"/>
  <c r="BC268" i="1" s="1"/>
  <c r="AZ268" i="1"/>
  <c r="AY269" i="1"/>
  <c r="AW269" i="1"/>
  <c r="AZ282" i="1"/>
  <c r="BB282" i="1"/>
  <c r="BC282" i="1" s="1"/>
  <c r="K115" i="1"/>
  <c r="M115" i="1" s="1"/>
  <c r="O115" i="1" s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AM115" i="1" s="1"/>
  <c r="AA153" i="1"/>
  <c r="AC153" i="1" s="1"/>
  <c r="AE153" i="1" s="1"/>
  <c r="AG153" i="1" s="1"/>
  <c r="AI153" i="1" s="1"/>
  <c r="AK153" i="1" s="1"/>
  <c r="AM153" i="1" s="1"/>
  <c r="X223" i="1"/>
  <c r="AN240" i="1"/>
  <c r="AP240" i="1"/>
  <c r="AY189" i="1"/>
  <c r="AC210" i="1"/>
  <c r="AD210" i="1"/>
  <c r="AF210" i="1" s="1"/>
  <c r="AH210" i="1" s="1"/>
  <c r="AJ210" i="1" s="1"/>
  <c r="AL210" i="1" s="1"/>
  <c r="AO210" i="1" s="1"/>
  <c r="AM214" i="1"/>
  <c r="AC230" i="1"/>
  <c r="AE230" i="1" s="1"/>
  <c r="AG230" i="1" s="1"/>
  <c r="AI230" i="1" s="1"/>
  <c r="AK230" i="1" s="1"/>
  <c r="AM230" i="1" s="1"/>
  <c r="AW233" i="1"/>
  <c r="AY233" i="1"/>
  <c r="AY243" i="1"/>
  <c r="AW243" i="1"/>
  <c r="AZ250" i="1"/>
  <c r="BB250" i="1"/>
  <c r="BC250" i="1" s="1"/>
  <c r="AP288" i="1"/>
  <c r="AN288" i="1"/>
  <c r="AP303" i="1"/>
  <c r="AN303" i="1"/>
  <c r="AN316" i="1"/>
  <c r="AP316" i="1"/>
  <c r="AW229" i="1"/>
  <c r="AY229" i="1"/>
  <c r="AF232" i="1"/>
  <c r="AH232" i="1" s="1"/>
  <c r="AJ232" i="1" s="1"/>
  <c r="AL232" i="1" s="1"/>
  <c r="AO232" i="1" s="1"/>
  <c r="AE232" i="1"/>
  <c r="AG232" i="1" s="1"/>
  <c r="AI232" i="1" s="1"/>
  <c r="AK232" i="1" s="1"/>
  <c r="AM232" i="1" s="1"/>
  <c r="AW239" i="1"/>
  <c r="AY239" i="1"/>
  <c r="AY263" i="1"/>
  <c r="AW263" i="1"/>
  <c r="AY280" i="1"/>
  <c r="AW280" i="1"/>
  <c r="BB320" i="1"/>
  <c r="BC320" i="1" s="1"/>
  <c r="AZ320" i="1"/>
  <c r="AN323" i="1"/>
  <c r="AP323" i="1"/>
  <c r="AP325" i="1"/>
  <c r="AN325" i="1"/>
  <c r="AN327" i="1"/>
  <c r="AP327" i="1"/>
  <c r="AN388" i="1"/>
  <c r="AP388" i="1"/>
  <c r="AY402" i="1"/>
  <c r="AW402" i="1"/>
  <c r="K198" i="1"/>
  <c r="M198" i="1" s="1"/>
  <c r="O198" i="1" s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AM198" i="1" s="1"/>
  <c r="AU223" i="1"/>
  <c r="S268" i="1"/>
  <c r="U268" i="1" s="1"/>
  <c r="W268" i="1" s="1"/>
  <c r="Y268" i="1" s="1"/>
  <c r="AA268" i="1" s="1"/>
  <c r="AC268" i="1" s="1"/>
  <c r="AE268" i="1" s="1"/>
  <c r="AG268" i="1" s="1"/>
  <c r="AI268" i="1" s="1"/>
  <c r="AK268" i="1" s="1"/>
  <c r="AM268" i="1" s="1"/>
  <c r="AY135" i="1"/>
  <c r="AY236" i="1"/>
  <c r="AZ241" i="1"/>
  <c r="BB241" i="1"/>
  <c r="BC241" i="1" s="1"/>
  <c r="BB246" i="1"/>
  <c r="BC246" i="1" s="1"/>
  <c r="AZ246" i="1"/>
  <c r="AP319" i="1"/>
  <c r="AN319" i="1"/>
  <c r="AY147" i="1"/>
  <c r="AW267" i="1"/>
  <c r="AY267" i="1"/>
  <c r="AW275" i="1"/>
  <c r="AY275" i="1"/>
  <c r="AZ279" i="1"/>
  <c r="BB279" i="1"/>
  <c r="BC279" i="1" s="1"/>
  <c r="AD282" i="1"/>
  <c r="AF282" i="1" s="1"/>
  <c r="AH282" i="1" s="1"/>
  <c r="AJ282" i="1" s="1"/>
  <c r="AL282" i="1" s="1"/>
  <c r="AO282" i="1" s="1"/>
  <c r="AC282" i="1"/>
  <c r="AE282" i="1" s="1"/>
  <c r="AG282" i="1" s="1"/>
  <c r="AI282" i="1" s="1"/>
  <c r="AK282" i="1" s="1"/>
  <c r="AM282" i="1" s="1"/>
  <c r="AN345" i="1"/>
  <c r="AP345" i="1"/>
  <c r="AZ252" i="1"/>
  <c r="BB252" i="1"/>
  <c r="BC252" i="1" s="1"/>
  <c r="S317" i="1"/>
  <c r="U317" i="1" s="1"/>
  <c r="W317" i="1" s="1"/>
  <c r="Y317" i="1" s="1"/>
  <c r="AA317" i="1" s="1"/>
  <c r="AC317" i="1" s="1"/>
  <c r="AE317" i="1" s="1"/>
  <c r="AG317" i="1" s="1"/>
  <c r="AI317" i="1" s="1"/>
  <c r="AK317" i="1" s="1"/>
  <c r="AM317" i="1" s="1"/>
  <c r="Z227" i="1"/>
  <c r="X248" i="1"/>
  <c r="AY244" i="1"/>
  <c r="V295" i="1"/>
  <c r="M264" i="1"/>
  <c r="O264" i="1" s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AM264" i="1" s="1"/>
  <c r="AZ265" i="1"/>
  <c r="BB265" i="1"/>
  <c r="BC265" i="1" s="1"/>
  <c r="AA281" i="1"/>
  <c r="AC281" i="1" s="1"/>
  <c r="AE281" i="1" s="1"/>
  <c r="AG281" i="1" s="1"/>
  <c r="AI281" i="1" s="1"/>
  <c r="AK281" i="1" s="1"/>
  <c r="AM281" i="1" s="1"/>
  <c r="AI285" i="1"/>
  <c r="AK285" i="1" s="1"/>
  <c r="AM285" i="1" s="1"/>
  <c r="AY323" i="1"/>
  <c r="AW323" i="1"/>
  <c r="AY345" i="1"/>
  <c r="AW345" i="1"/>
  <c r="Z260" i="1"/>
  <c r="X295" i="1"/>
  <c r="L261" i="1"/>
  <c r="N261" i="1" s="1"/>
  <c r="K261" i="1"/>
  <c r="M261" i="1" s="1"/>
  <c r="O261" i="1" s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AM261" i="1" s="1"/>
  <c r="BB262" i="1"/>
  <c r="BC262" i="1" s="1"/>
  <c r="AZ262" i="1"/>
  <c r="K271" i="1"/>
  <c r="M271" i="1" s="1"/>
  <c r="O271" i="1" s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AM271" i="1" s="1"/>
  <c r="AV312" i="1"/>
  <c r="AU338" i="1"/>
  <c r="AM356" i="1"/>
  <c r="AY204" i="1"/>
  <c r="AX256" i="1"/>
  <c r="BG228" i="1"/>
  <c r="BA256" i="1"/>
  <c r="BG256" i="1" s="1"/>
  <c r="M266" i="1"/>
  <c r="O266" i="1" s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AM266" i="1" s="1"/>
  <c r="Q272" i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AM272" i="1" s="1"/>
  <c r="X300" i="1"/>
  <c r="W300" i="1"/>
  <c r="Y300" i="1" s="1"/>
  <c r="AW322" i="1"/>
  <c r="AY322" i="1"/>
  <c r="AI279" i="1"/>
  <c r="AK279" i="1" s="1"/>
  <c r="AM279" i="1" s="1"/>
  <c r="BB316" i="1"/>
  <c r="BC316" i="1" s="1"/>
  <c r="AZ316" i="1"/>
  <c r="AZ327" i="1"/>
  <c r="BB327" i="1"/>
  <c r="BC327" i="1" s="1"/>
  <c r="AI332" i="1"/>
  <c r="AK332" i="1" s="1"/>
  <c r="AP334" i="1"/>
  <c r="AN334" i="1"/>
  <c r="P184" i="1"/>
  <c r="AU184" i="1"/>
  <c r="I295" i="1"/>
  <c r="K260" i="1"/>
  <c r="AY274" i="1"/>
  <c r="AP280" i="1"/>
  <c r="BB289" i="1"/>
  <c r="BC289" i="1" s="1"/>
  <c r="AZ289" i="1"/>
  <c r="AN320" i="1"/>
  <c r="AP320" i="1"/>
  <c r="AY324" i="1"/>
  <c r="AW324" i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AM267" i="1" s="1"/>
  <c r="S275" i="1"/>
  <c r="U275" i="1" s="1"/>
  <c r="W275" i="1" s="1"/>
  <c r="Y275" i="1" s="1"/>
  <c r="AA275" i="1" s="1"/>
  <c r="AC275" i="1" s="1"/>
  <c r="AE275" i="1" s="1"/>
  <c r="AG275" i="1" s="1"/>
  <c r="AI275" i="1" s="1"/>
  <c r="AK275" i="1" s="1"/>
  <c r="AM275" i="1" s="1"/>
  <c r="AY281" i="1"/>
  <c r="K307" i="1"/>
  <c r="M299" i="1"/>
  <c r="AZ315" i="1"/>
  <c r="BB315" i="1"/>
  <c r="BC315" i="1" s="1"/>
  <c r="AP354" i="1"/>
  <c r="AN354" i="1"/>
  <c r="BB260" i="1"/>
  <c r="AY286" i="1"/>
  <c r="Y301" i="1"/>
  <c r="AA301" i="1" s="1"/>
  <c r="AC301" i="1" s="1"/>
  <c r="AE301" i="1" s="1"/>
  <c r="AG301" i="1" s="1"/>
  <c r="AI301" i="1" s="1"/>
  <c r="AK301" i="1" s="1"/>
  <c r="AM301" i="1" s="1"/>
  <c r="X301" i="1"/>
  <c r="Z301" i="1" s="1"/>
  <c r="AB301" i="1" s="1"/>
  <c r="AD301" i="1" s="1"/>
  <c r="AF301" i="1" s="1"/>
  <c r="AM326" i="1"/>
  <c r="AE348" i="1"/>
  <c r="AG348" i="1" s="1"/>
  <c r="AI348" i="1" s="1"/>
  <c r="AK348" i="1" s="1"/>
  <c r="AM348" i="1" s="1"/>
  <c r="BB349" i="1"/>
  <c r="BC349" i="1" s="1"/>
  <c r="AZ349" i="1"/>
  <c r="AU295" i="1"/>
  <c r="AV261" i="1"/>
  <c r="K269" i="1"/>
  <c r="M269" i="1" s="1"/>
  <c r="O269" i="1" s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AM269" i="1" s="1"/>
  <c r="AV302" i="1"/>
  <c r="AU307" i="1"/>
  <c r="R338" i="1"/>
  <c r="T313" i="1"/>
  <c r="V313" i="1" s="1"/>
  <c r="X313" i="1" s="1"/>
  <c r="Z313" i="1" s="1"/>
  <c r="AB313" i="1" s="1"/>
  <c r="AD313" i="1" s="1"/>
  <c r="AF313" i="1" s="1"/>
  <c r="AH313" i="1" s="1"/>
  <c r="AJ313" i="1" s="1"/>
  <c r="AL313" i="1" s="1"/>
  <c r="AO313" i="1" s="1"/>
  <c r="X373" i="1"/>
  <c r="Z343" i="1"/>
  <c r="AY272" i="1"/>
  <c r="AW272" i="1"/>
  <c r="AY285" i="1"/>
  <c r="Z307" i="1"/>
  <c r="AY304" i="1"/>
  <c r="AW304" i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AM315" i="1" s="1"/>
  <c r="S318" i="1"/>
  <c r="U318" i="1" s="1"/>
  <c r="W318" i="1" s="1"/>
  <c r="Y318" i="1" s="1"/>
  <c r="AA318" i="1" s="1"/>
  <c r="AC318" i="1" s="1"/>
  <c r="AE318" i="1" s="1"/>
  <c r="AG318" i="1" s="1"/>
  <c r="AI318" i="1" s="1"/>
  <c r="AK318" i="1" s="1"/>
  <c r="AM318" i="1" s="1"/>
  <c r="S324" i="1"/>
  <c r="U324" i="1" s="1"/>
  <c r="W324" i="1" s="1"/>
  <c r="Y324" i="1" s="1"/>
  <c r="AA324" i="1" s="1"/>
  <c r="AC324" i="1" s="1"/>
  <c r="AE324" i="1" s="1"/>
  <c r="AG324" i="1" s="1"/>
  <c r="AI324" i="1" s="1"/>
  <c r="AK324" i="1" s="1"/>
  <c r="AM324" i="1" s="1"/>
  <c r="BB326" i="1"/>
  <c r="BC326" i="1" s="1"/>
  <c r="AZ326" i="1"/>
  <c r="T338" i="1"/>
  <c r="V312" i="1"/>
  <c r="AP328" i="1"/>
  <c r="AN328" i="1"/>
  <c r="AW287" i="1"/>
  <c r="AY287" i="1"/>
  <c r="AY290" i="1"/>
  <c r="AW290" i="1"/>
  <c r="AD299" i="1"/>
  <c r="AF299" i="1" s="1"/>
  <c r="AZ325" i="1"/>
  <c r="AY335" i="1"/>
  <c r="AW335" i="1"/>
  <c r="AM244" i="1"/>
  <c r="BB283" i="1"/>
  <c r="BC283" i="1" s="1"/>
  <c r="BB293" i="1"/>
  <c r="BC293" i="1" s="1"/>
  <c r="T307" i="1"/>
  <c r="AK284" i="1"/>
  <c r="AM284" i="1" s="1"/>
  <c r="AE305" i="1"/>
  <c r="AG305" i="1" s="1"/>
  <c r="AI305" i="1" s="1"/>
  <c r="AK305" i="1" s="1"/>
  <c r="AM305" i="1" s="1"/>
  <c r="AY353" i="1"/>
  <c r="AW353" i="1"/>
  <c r="AH355" i="1"/>
  <c r="AG355" i="1"/>
  <c r="AI355" i="1" s="1"/>
  <c r="AK355" i="1" s="1"/>
  <c r="AM355" i="1" s="1"/>
  <c r="AV295" i="1"/>
  <c r="AI283" i="1"/>
  <c r="AK283" i="1" s="1"/>
  <c r="AM283" i="1" s="1"/>
  <c r="AV307" i="1"/>
  <c r="AJ385" i="1"/>
  <c r="AH410" i="1"/>
  <c r="AN392" i="1"/>
  <c r="AN407" i="1" s="1"/>
  <c r="AZ393" i="1"/>
  <c r="BB393" i="1"/>
  <c r="BC393" i="1" s="1"/>
  <c r="R295" i="1"/>
  <c r="P338" i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AM313" i="1" s="1"/>
  <c r="AZ313" i="1"/>
  <c r="BB313" i="1"/>
  <c r="BC313" i="1" s="1"/>
  <c r="BB332" i="1"/>
  <c r="BC332" i="1" s="1"/>
  <c r="AZ332" i="1"/>
  <c r="P373" i="1"/>
  <c r="V307" i="1"/>
  <c r="X307" i="1" s="1"/>
  <c r="AY314" i="1"/>
  <c r="AW314" i="1"/>
  <c r="AW331" i="1"/>
  <c r="AY331" i="1"/>
  <c r="AP358" i="1"/>
  <c r="AN358" i="1"/>
  <c r="AY361" i="1"/>
  <c r="AW361" i="1"/>
  <c r="AY334" i="1"/>
  <c r="AW334" i="1"/>
  <c r="AY350" i="1"/>
  <c r="AW350" i="1"/>
  <c r="AA331" i="1"/>
  <c r="Z331" i="1"/>
  <c r="AB331" i="1" s="1"/>
  <c r="AD331" i="1" s="1"/>
  <c r="AF331" i="1" s="1"/>
  <c r="AH331" i="1" s="1"/>
  <c r="AJ331" i="1" s="1"/>
  <c r="AY284" i="1"/>
  <c r="AW284" i="1"/>
  <c r="AW301" i="1"/>
  <c r="AC304" i="1"/>
  <c r="AE304" i="1" s="1"/>
  <c r="AG304" i="1" s="1"/>
  <c r="AI304" i="1" s="1"/>
  <c r="AK304" i="1" s="1"/>
  <c r="AM304" i="1" s="1"/>
  <c r="BB347" i="1"/>
  <c r="BC347" i="1" s="1"/>
  <c r="AZ347" i="1"/>
  <c r="AP349" i="1"/>
  <c r="AN349" i="1"/>
  <c r="BB356" i="1"/>
  <c r="BC356" i="1" s="1"/>
  <c r="AZ356" i="1"/>
  <c r="AY366" i="1"/>
  <c r="AW282" i="1"/>
  <c r="AM287" i="1"/>
  <c r="AZ292" i="1"/>
  <c r="AY329" i="1"/>
  <c r="AW329" i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AM344" i="1" s="1"/>
  <c r="AG346" i="1"/>
  <c r="AI346" i="1" s="1"/>
  <c r="AK346" i="1" s="1"/>
  <c r="AM346" i="1" s="1"/>
  <c r="AW366" i="1"/>
  <c r="AY362" i="1"/>
  <c r="AW362" i="1"/>
  <c r="AY364" i="1"/>
  <c r="AW364" i="1"/>
  <c r="AP393" i="1"/>
  <c r="AN393" i="1"/>
  <c r="AW346" i="1"/>
  <c r="AY346" i="1"/>
  <c r="AB352" i="1"/>
  <c r="AD352" i="1" s="1"/>
  <c r="AF352" i="1" s="1"/>
  <c r="AA352" i="1"/>
  <c r="AC352" i="1" s="1"/>
  <c r="AE352" i="1" s="1"/>
  <c r="AG352" i="1" s="1"/>
  <c r="AI352" i="1" s="1"/>
  <c r="AP363" i="1"/>
  <c r="AN363" i="1"/>
  <c r="AW376" i="1"/>
  <c r="AW378" i="1" s="1"/>
  <c r="AV378" i="1"/>
  <c r="AY378" i="1" s="1"/>
  <c r="K338" i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AM321" i="1" s="1"/>
  <c r="AY333" i="1"/>
  <c r="AW333" i="1"/>
  <c r="AY344" i="1"/>
  <c r="AW344" i="1"/>
  <c r="W351" i="1"/>
  <c r="Y351" i="1" s="1"/>
  <c r="AA351" i="1" s="1"/>
  <c r="AC351" i="1" s="1"/>
  <c r="AE351" i="1" s="1"/>
  <c r="AG351" i="1" s="1"/>
  <c r="AI351" i="1" s="1"/>
  <c r="AK351" i="1" s="1"/>
  <c r="AM351" i="1" s="1"/>
  <c r="AY376" i="1"/>
  <c r="N410" i="1"/>
  <c r="AL407" i="1"/>
  <c r="AO407" i="1" s="1"/>
  <c r="AP407" i="1" s="1"/>
  <c r="AO392" i="1"/>
  <c r="AP392" i="1" s="1"/>
  <c r="AW281" i="1"/>
  <c r="AW286" i="1"/>
  <c r="L312" i="1"/>
  <c r="BB318" i="1"/>
  <c r="BC318" i="1" s="1"/>
  <c r="AY330" i="1"/>
  <c r="K373" i="1"/>
  <c r="M343" i="1"/>
  <c r="BB354" i="1"/>
  <c r="BC354" i="1" s="1"/>
  <c r="AZ354" i="1"/>
  <c r="BG370" i="1"/>
  <c r="BB370" i="1"/>
  <c r="BC370" i="1" s="1"/>
  <c r="AW392" i="1"/>
  <c r="AV392" i="1"/>
  <c r="AY392" i="1" s="1"/>
  <c r="AU410" i="1"/>
  <c r="AV398" i="1"/>
  <c r="AY398" i="1" s="1"/>
  <c r="AW398" i="1"/>
  <c r="S329" i="1"/>
  <c r="U329" i="1" s="1"/>
  <c r="W329" i="1" s="1"/>
  <c r="Y329" i="1" s="1"/>
  <c r="AA329" i="1" s="1"/>
  <c r="AC329" i="1" s="1"/>
  <c r="AE329" i="1" s="1"/>
  <c r="AG329" i="1" s="1"/>
  <c r="AI329" i="1" s="1"/>
  <c r="AK329" i="1" s="1"/>
  <c r="AM329" i="1" s="1"/>
  <c r="Y333" i="1"/>
  <c r="AA333" i="1" s="1"/>
  <c r="AC333" i="1" s="1"/>
  <c r="AE333" i="1" s="1"/>
  <c r="AG333" i="1" s="1"/>
  <c r="AI333" i="1" s="1"/>
  <c r="AK333" i="1" s="1"/>
  <c r="AM333" i="1" s="1"/>
  <c r="AZ380" i="1"/>
  <c r="BB380" i="1"/>
  <c r="BC380" i="1" s="1"/>
  <c r="AP408" i="1"/>
  <c r="AN408" i="1"/>
  <c r="AM359" i="1"/>
  <c r="BB394" i="1"/>
  <c r="BC394" i="1" s="1"/>
  <c r="AZ394" i="1"/>
  <c r="AU373" i="1"/>
  <c r="AW397" i="1"/>
  <c r="AV397" i="1"/>
  <c r="AY397" i="1" s="1"/>
  <c r="AI401" i="1"/>
  <c r="AK401" i="1" s="1"/>
  <c r="AM401" i="1" s="1"/>
  <c r="AY355" i="1"/>
  <c r="AW355" i="1"/>
  <c r="P410" i="1"/>
  <c r="R410" i="1"/>
  <c r="BB343" i="1"/>
  <c r="AY373" i="1"/>
  <c r="AZ343" i="1"/>
  <c r="BB359" i="1"/>
  <c r="BC359" i="1" s="1"/>
  <c r="AZ359" i="1"/>
  <c r="AW363" i="1"/>
  <c r="AY363" i="1"/>
  <c r="AY365" i="1"/>
  <c r="AW365" i="1"/>
  <c r="AV369" i="1"/>
  <c r="AV373" i="1" s="1"/>
  <c r="W390" i="1"/>
  <c r="Y390" i="1" s="1"/>
  <c r="AA390" i="1" s="1"/>
  <c r="AC390" i="1" s="1"/>
  <c r="AE390" i="1" s="1"/>
  <c r="AG390" i="1" s="1"/>
  <c r="AI390" i="1" s="1"/>
  <c r="AK390" i="1" s="1"/>
  <c r="AM390" i="1" s="1"/>
  <c r="Z395" i="1"/>
  <c r="AB395" i="1" s="1"/>
  <c r="AD395" i="1" s="1"/>
  <c r="AD410" i="1" s="1"/>
  <c r="AF410" i="1" s="1"/>
  <c r="Y395" i="1"/>
  <c r="I338" i="1"/>
  <c r="AZ348" i="1"/>
  <c r="BB348" i="1"/>
  <c r="BC348" i="1" s="1"/>
  <c r="AJ357" i="1"/>
  <c r="AN361" i="1"/>
  <c r="M380" i="1"/>
  <c r="M382" i="1" s="1"/>
  <c r="AP405" i="1"/>
  <c r="AN405" i="1"/>
  <c r="AZ406" i="1"/>
  <c r="BB406" i="1"/>
  <c r="BC406" i="1" s="1"/>
  <c r="N373" i="1"/>
  <c r="BB351" i="1"/>
  <c r="BC351" i="1" s="1"/>
  <c r="AZ351" i="1"/>
  <c r="BB400" i="1"/>
  <c r="BC400" i="1" s="1"/>
  <c r="AZ400" i="1"/>
  <c r="AY403" i="1"/>
  <c r="AW403" i="1"/>
  <c r="AX373" i="1"/>
  <c r="P382" i="1"/>
  <c r="Q380" i="1"/>
  <c r="BB396" i="1"/>
  <c r="BC396" i="1" s="1"/>
  <c r="AZ396" i="1"/>
  <c r="AG398" i="1"/>
  <c r="AI398" i="1" s="1"/>
  <c r="AK398" i="1" s="1"/>
  <c r="AM398" i="1" s="1"/>
  <c r="AW408" i="1"/>
  <c r="AV408" i="1"/>
  <c r="AC353" i="1"/>
  <c r="AE353" i="1" s="1"/>
  <c r="AG353" i="1" s="1"/>
  <c r="AI353" i="1" s="1"/>
  <c r="AK353" i="1" s="1"/>
  <c r="AM353" i="1" s="1"/>
  <c r="AW360" i="1"/>
  <c r="BB371" i="1"/>
  <c r="BC371" i="1" s="1"/>
  <c r="BA373" i="1"/>
  <c r="BG373" i="1" s="1"/>
  <c r="V380" i="1"/>
  <c r="T382" i="1"/>
  <c r="BB390" i="1"/>
  <c r="BC390" i="1" s="1"/>
  <c r="AZ390" i="1"/>
  <c r="AG400" i="1"/>
  <c r="AI400" i="1" s="1"/>
  <c r="AK400" i="1" s="1"/>
  <c r="AM400" i="1" s="1"/>
  <c r="AC402" i="1"/>
  <c r="AE402" i="1" s="1"/>
  <c r="AG402" i="1" s="1"/>
  <c r="AI402" i="1" s="1"/>
  <c r="AK402" i="1" s="1"/>
  <c r="AM402" i="1" s="1"/>
  <c r="BG416" i="1"/>
  <c r="AY407" i="1"/>
  <c r="AW407" i="1"/>
  <c r="BB413" i="1"/>
  <c r="BC413" i="1" s="1"/>
  <c r="AZ413" i="1"/>
  <c r="J410" i="1"/>
  <c r="BB414" i="1"/>
  <c r="BC414" i="1" s="1"/>
  <c r="AZ414" i="1"/>
  <c r="AZ357" i="1"/>
  <c r="BB358" i="1"/>
  <c r="BC358" i="1" s="1"/>
  <c r="Z397" i="1"/>
  <c r="AB397" i="1" s="1"/>
  <c r="AD397" i="1" s="1"/>
  <c r="AF397" i="1" s="1"/>
  <c r="Y397" i="1"/>
  <c r="AG376" i="1"/>
  <c r="AI376" i="1" s="1"/>
  <c r="Q377" i="1"/>
  <c r="S377" i="1" s="1"/>
  <c r="U377" i="1" s="1"/>
  <c r="W377" i="1" s="1"/>
  <c r="Y377" i="1" s="1"/>
  <c r="AW395" i="1"/>
  <c r="AV395" i="1"/>
  <c r="AY395" i="1" s="1"/>
  <c r="AG404" i="1"/>
  <c r="AI404" i="1" s="1"/>
  <c r="AK404" i="1" s="1"/>
  <c r="AM404" i="1" s="1"/>
  <c r="T410" i="1"/>
  <c r="BB385" i="1"/>
  <c r="AZ385" i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AM391" i="1" s="1"/>
  <c r="BB391" i="1"/>
  <c r="BC391" i="1" s="1"/>
  <c r="AZ391" i="1"/>
  <c r="Z396" i="1"/>
  <c r="AB396" i="1" s="1"/>
  <c r="AD396" i="1" s="1"/>
  <c r="AF396" i="1" s="1"/>
  <c r="AH396" i="1" s="1"/>
  <c r="AJ396" i="1" s="1"/>
  <c r="Y396" i="1"/>
  <c r="AA396" i="1" s="1"/>
  <c r="AC396" i="1" s="1"/>
  <c r="AE396" i="1" s="1"/>
  <c r="AG396" i="1" s="1"/>
  <c r="AI396" i="1" s="1"/>
  <c r="AK396" i="1" s="1"/>
  <c r="AM396" i="1" s="1"/>
  <c r="K376" i="1"/>
  <c r="I378" i="1"/>
  <c r="AD403" i="1"/>
  <c r="AF403" i="1" s="1"/>
  <c r="AH403" i="1" s="1"/>
  <c r="AJ403" i="1" s="1"/>
  <c r="AL403" i="1" s="1"/>
  <c r="AO403" i="1" s="1"/>
  <c r="AC403" i="1"/>
  <c r="AE403" i="1" s="1"/>
  <c r="AG403" i="1" s="1"/>
  <c r="AI403" i="1" s="1"/>
  <c r="AK403" i="1" s="1"/>
  <c r="AM403" i="1" s="1"/>
  <c r="AZ405" i="1"/>
  <c r="BB405" i="1"/>
  <c r="BC405" i="1" s="1"/>
  <c r="AW380" i="1"/>
  <c r="AW382" i="1" s="1"/>
  <c r="AV382" i="1"/>
  <c r="AY382" i="1" s="1"/>
  <c r="X385" i="1"/>
  <c r="X410" i="1" s="1"/>
  <c r="V410" i="1"/>
  <c r="AY404" i="1"/>
  <c r="AW404" i="1"/>
  <c r="AY412" i="1"/>
  <c r="C421" i="1"/>
  <c r="AV416" i="1"/>
  <c r="BG412" i="1"/>
  <c r="AU382" i="1"/>
  <c r="AV388" i="1"/>
  <c r="AY388" i="1" s="1"/>
  <c r="M394" i="1"/>
  <c r="O394" i="1" s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AM394" i="1" s="1"/>
  <c r="AV399" i="1"/>
  <c r="AY399" i="1" s="1"/>
  <c r="AZ399" i="1" l="1"/>
  <c r="BB399" i="1"/>
  <c r="BC399" i="1" s="1"/>
  <c r="AZ382" i="1"/>
  <c r="BB382" i="1"/>
  <c r="BC382" i="1" s="1"/>
  <c r="AN391" i="1"/>
  <c r="AP391" i="1"/>
  <c r="AZ362" i="1"/>
  <c r="BB362" i="1"/>
  <c r="BC362" i="1" s="1"/>
  <c r="AP305" i="1"/>
  <c r="AN305" i="1"/>
  <c r="BB290" i="1"/>
  <c r="BC290" i="1" s="1"/>
  <c r="AZ290" i="1"/>
  <c r="AN269" i="1"/>
  <c r="AP269" i="1"/>
  <c r="BB324" i="1"/>
  <c r="BC324" i="1" s="1"/>
  <c r="AZ324" i="1"/>
  <c r="AP272" i="1"/>
  <c r="AN272" i="1"/>
  <c r="AN261" i="1"/>
  <c r="AP261" i="1"/>
  <c r="AP282" i="1"/>
  <c r="AN282" i="1"/>
  <c r="BB263" i="1"/>
  <c r="BC263" i="1" s="1"/>
  <c r="AZ263" i="1"/>
  <c r="BB266" i="1"/>
  <c r="BC266" i="1" s="1"/>
  <c r="AZ266" i="1"/>
  <c r="AP211" i="1"/>
  <c r="AN211" i="1"/>
  <c r="BB230" i="1"/>
  <c r="BC230" i="1" s="1"/>
  <c r="AZ230" i="1"/>
  <c r="BB170" i="1"/>
  <c r="BC170" i="1" s="1"/>
  <c r="AZ170" i="1"/>
  <c r="AZ264" i="1"/>
  <c r="BB264" i="1"/>
  <c r="BC264" i="1" s="1"/>
  <c r="BB253" i="1"/>
  <c r="BC253" i="1" s="1"/>
  <c r="AZ253" i="1"/>
  <c r="BB144" i="1"/>
  <c r="BC144" i="1" s="1"/>
  <c r="AZ144" i="1"/>
  <c r="AN131" i="1"/>
  <c r="AP131" i="1"/>
  <c r="AP142" i="1"/>
  <c r="AN142" i="1"/>
  <c r="AZ87" i="1"/>
  <c r="BB87" i="1"/>
  <c r="BC87" i="1" s="1"/>
  <c r="BB100" i="1"/>
  <c r="BC100" i="1" s="1"/>
  <c r="AZ100" i="1"/>
  <c r="BB131" i="1"/>
  <c r="BC131" i="1" s="1"/>
  <c r="AZ131" i="1"/>
  <c r="AP233" i="1"/>
  <c r="AN233" i="1"/>
  <c r="AP42" i="1"/>
  <c r="AN42" i="1"/>
  <c r="BB47" i="1"/>
  <c r="BC47" i="1" s="1"/>
  <c r="AZ47" i="1"/>
  <c r="AY83" i="1"/>
  <c r="AW83" i="1"/>
  <c r="AP36" i="1"/>
  <c r="AN36" i="1"/>
  <c r="AZ38" i="1"/>
  <c r="BB38" i="1"/>
  <c r="BC38" i="1" s="1"/>
  <c r="AP394" i="1"/>
  <c r="AN394" i="1"/>
  <c r="AA397" i="1"/>
  <c r="AC397" i="1" s="1"/>
  <c r="AE397" i="1" s="1"/>
  <c r="AG397" i="1" s="1"/>
  <c r="AI397" i="1" s="1"/>
  <c r="AK397" i="1" s="1"/>
  <c r="AM397" i="1" s="1"/>
  <c r="BA421" i="1"/>
  <c r="BG421" i="1" s="1"/>
  <c r="BH421" i="1" s="1"/>
  <c r="AA395" i="1"/>
  <c r="AC395" i="1" s="1"/>
  <c r="AE395" i="1" s="1"/>
  <c r="AG395" i="1" s="1"/>
  <c r="AI395" i="1" s="1"/>
  <c r="AK395" i="1" s="1"/>
  <c r="AM395" i="1" s="1"/>
  <c r="BC343" i="1"/>
  <c r="AP359" i="1"/>
  <c r="AN359" i="1"/>
  <c r="BB334" i="1"/>
  <c r="BC334" i="1" s="1"/>
  <c r="AZ334" i="1"/>
  <c r="AN284" i="1"/>
  <c r="AP284" i="1"/>
  <c r="AZ287" i="1"/>
  <c r="BB287" i="1"/>
  <c r="BC287" i="1" s="1"/>
  <c r="AZ304" i="1"/>
  <c r="BB304" i="1"/>
  <c r="BC304" i="1" s="1"/>
  <c r="AW261" i="1"/>
  <c r="AW295" i="1" s="1"/>
  <c r="AY261" i="1"/>
  <c r="AP266" i="1"/>
  <c r="AN266" i="1"/>
  <c r="AP264" i="1"/>
  <c r="AN264" i="1"/>
  <c r="BB239" i="1"/>
  <c r="BC239" i="1" s="1"/>
  <c r="AZ239" i="1"/>
  <c r="BB251" i="1"/>
  <c r="BC251" i="1" s="1"/>
  <c r="AZ251" i="1"/>
  <c r="BB231" i="1"/>
  <c r="BC231" i="1" s="1"/>
  <c r="AZ231" i="1"/>
  <c r="BB156" i="1"/>
  <c r="BC156" i="1" s="1"/>
  <c r="AZ156" i="1"/>
  <c r="BB219" i="1"/>
  <c r="BC219" i="1" s="1"/>
  <c r="AZ219" i="1"/>
  <c r="BB167" i="1"/>
  <c r="BC167" i="1" s="1"/>
  <c r="AZ167" i="1"/>
  <c r="AZ160" i="1"/>
  <c r="BB160" i="1"/>
  <c r="BC160" i="1" s="1"/>
  <c r="M114" i="1"/>
  <c r="O114" i="1" s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AM114" i="1" s="1"/>
  <c r="AN161" i="1"/>
  <c r="AP161" i="1"/>
  <c r="AZ142" i="1"/>
  <c r="BB142" i="1"/>
  <c r="BC142" i="1" s="1"/>
  <c r="AG163" i="1"/>
  <c r="AI163" i="1" s="1"/>
  <c r="AK163" i="1" s="1"/>
  <c r="AM163" i="1" s="1"/>
  <c r="BB140" i="1"/>
  <c r="BC140" i="1" s="1"/>
  <c r="AZ140" i="1"/>
  <c r="AN215" i="1"/>
  <c r="AP215" i="1"/>
  <c r="M113" i="1"/>
  <c r="O113" i="1" s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AM113" i="1" s="1"/>
  <c r="AZ113" i="1"/>
  <c r="BB113" i="1"/>
  <c r="BC113" i="1" s="1"/>
  <c r="BB31" i="1"/>
  <c r="BC31" i="1" s="1"/>
  <c r="AZ31" i="1"/>
  <c r="AP80" i="1"/>
  <c r="AN80" i="1"/>
  <c r="AP45" i="1"/>
  <c r="AN45" i="1"/>
  <c r="BB118" i="1"/>
  <c r="BC118" i="1" s="1"/>
  <c r="AZ118" i="1"/>
  <c r="X59" i="1"/>
  <c r="M385" i="1"/>
  <c r="K410" i="1"/>
  <c r="AZ130" i="1"/>
  <c r="BB130" i="1"/>
  <c r="BC130" i="1" s="1"/>
  <c r="AN344" i="1"/>
  <c r="AP344" i="1"/>
  <c r="AL385" i="1"/>
  <c r="AJ410" i="1"/>
  <c r="BB285" i="1"/>
  <c r="BC285" i="1" s="1"/>
  <c r="AZ285" i="1"/>
  <c r="Z295" i="1"/>
  <c r="AB260" i="1"/>
  <c r="BB244" i="1"/>
  <c r="BC244" i="1" s="1"/>
  <c r="AZ244" i="1"/>
  <c r="AN232" i="1"/>
  <c r="AP232" i="1"/>
  <c r="AP153" i="1"/>
  <c r="AN153" i="1"/>
  <c r="AP162" i="1"/>
  <c r="AN162" i="1"/>
  <c r="AP150" i="1"/>
  <c r="AN150" i="1"/>
  <c r="AZ237" i="1"/>
  <c r="BB237" i="1"/>
  <c r="BC237" i="1" s="1"/>
  <c r="BB129" i="1"/>
  <c r="BC129" i="1" s="1"/>
  <c r="AZ129" i="1"/>
  <c r="AZ184" i="1" s="1"/>
  <c r="BB209" i="1"/>
  <c r="BC209" i="1" s="1"/>
  <c r="AZ209" i="1"/>
  <c r="AP99" i="1"/>
  <c r="AN99" i="1"/>
  <c r="BB155" i="1"/>
  <c r="BC155" i="1" s="1"/>
  <c r="AZ155" i="1"/>
  <c r="V184" i="1"/>
  <c r="X128" i="1"/>
  <c r="W128" i="1"/>
  <c r="Y128" i="1" s="1"/>
  <c r="K125" i="1"/>
  <c r="M111" i="1"/>
  <c r="AN159" i="1"/>
  <c r="AP159" i="1"/>
  <c r="AA140" i="1"/>
  <c r="AC140" i="1" s="1"/>
  <c r="AE140" i="1" s="1"/>
  <c r="AG140" i="1" s="1"/>
  <c r="AI140" i="1" s="1"/>
  <c r="AK140" i="1" s="1"/>
  <c r="AM140" i="1" s="1"/>
  <c r="BB159" i="1"/>
  <c r="BC159" i="1" s="1"/>
  <c r="AZ159" i="1"/>
  <c r="BB195" i="1"/>
  <c r="BC195" i="1" s="1"/>
  <c r="AZ195" i="1"/>
  <c r="AZ112" i="1"/>
  <c r="BB112" i="1"/>
  <c r="BC112" i="1" s="1"/>
  <c r="AZ30" i="1"/>
  <c r="BB30" i="1"/>
  <c r="BC30" i="1" s="1"/>
  <c r="P421" i="1"/>
  <c r="AP133" i="1"/>
  <c r="AN133" i="1"/>
  <c r="AZ104" i="1"/>
  <c r="BB104" i="1"/>
  <c r="BC104" i="1" s="1"/>
  <c r="AE231" i="1"/>
  <c r="AG231" i="1" s="1"/>
  <c r="AI231" i="1" s="1"/>
  <c r="AK231" i="1" s="1"/>
  <c r="AM231" i="1" s="1"/>
  <c r="BC128" i="1"/>
  <c r="M62" i="1"/>
  <c r="O62" i="1" s="1"/>
  <c r="Q62" i="1" s="1"/>
  <c r="AW24" i="1"/>
  <c r="AY24" i="1"/>
  <c r="AV59" i="1"/>
  <c r="AV421" i="1" s="1"/>
  <c r="L59" i="1"/>
  <c r="N24" i="1"/>
  <c r="N59" i="1" s="1"/>
  <c r="AP34" i="1"/>
  <c r="AN34" i="1"/>
  <c r="AO79" i="1"/>
  <c r="AL91" i="1"/>
  <c r="AO91" i="1" s="1"/>
  <c r="BB44" i="1"/>
  <c r="BC44" i="1" s="1"/>
  <c r="AZ44" i="1"/>
  <c r="AM79" i="1"/>
  <c r="AP398" i="1"/>
  <c r="AN398" i="1"/>
  <c r="AW232" i="1"/>
  <c r="AW256" i="1" s="1"/>
  <c r="AY232" i="1"/>
  <c r="AN351" i="1"/>
  <c r="AP351" i="1"/>
  <c r="AP304" i="1"/>
  <c r="AN304" i="1"/>
  <c r="AZ361" i="1"/>
  <c r="BB361" i="1"/>
  <c r="BC361" i="1" s="1"/>
  <c r="AZ275" i="1"/>
  <c r="BB275" i="1"/>
  <c r="BC275" i="1" s="1"/>
  <c r="BB236" i="1"/>
  <c r="BC236" i="1" s="1"/>
  <c r="AZ236" i="1"/>
  <c r="AZ243" i="1"/>
  <c r="BB243" i="1"/>
  <c r="BC243" i="1" s="1"/>
  <c r="AN115" i="1"/>
  <c r="AP115" i="1"/>
  <c r="AZ234" i="1"/>
  <c r="BB234" i="1"/>
  <c r="BC234" i="1" s="1"/>
  <c r="BB213" i="1"/>
  <c r="BC213" i="1" s="1"/>
  <c r="AZ213" i="1"/>
  <c r="AP129" i="1"/>
  <c r="AN129" i="1"/>
  <c r="AZ227" i="1"/>
  <c r="BB227" i="1"/>
  <c r="AY256" i="1"/>
  <c r="AN213" i="1"/>
  <c r="AP213" i="1"/>
  <c r="K184" i="1"/>
  <c r="M128" i="1"/>
  <c r="BB194" i="1"/>
  <c r="BC194" i="1" s="1"/>
  <c r="AZ194" i="1"/>
  <c r="AZ133" i="1"/>
  <c r="BB133" i="1"/>
  <c r="BC133" i="1" s="1"/>
  <c r="BB212" i="1"/>
  <c r="BC212" i="1" s="1"/>
  <c r="AZ212" i="1"/>
  <c r="AN87" i="1"/>
  <c r="AP87" i="1"/>
  <c r="AP134" i="1"/>
  <c r="AN134" i="1"/>
  <c r="AN47" i="1"/>
  <c r="AP47" i="1"/>
  <c r="AN102" i="1"/>
  <c r="AP102" i="1"/>
  <c r="M65" i="1"/>
  <c r="O65" i="1" s="1"/>
  <c r="AZ32" i="1"/>
  <c r="BB32" i="1"/>
  <c r="BC32" i="1" s="1"/>
  <c r="AL125" i="1"/>
  <c r="AO113" i="1"/>
  <c r="AO125" i="1" s="1"/>
  <c r="AH63" i="1"/>
  <c r="AH65" i="1" s="1"/>
  <c r="AF65" i="1"/>
  <c r="AZ190" i="1"/>
  <c r="BB190" i="1"/>
  <c r="BC190" i="1" s="1"/>
  <c r="BB168" i="1"/>
  <c r="BC168" i="1" s="1"/>
  <c r="AZ168" i="1"/>
  <c r="Q382" i="1"/>
  <c r="S382" i="1" s="1"/>
  <c r="U382" i="1" s="1"/>
  <c r="S380" i="1"/>
  <c r="U380" i="1" s="1"/>
  <c r="W380" i="1" s="1"/>
  <c r="AZ355" i="1"/>
  <c r="BB355" i="1"/>
  <c r="BC355" i="1" s="1"/>
  <c r="M373" i="1"/>
  <c r="O343" i="1"/>
  <c r="AW373" i="1"/>
  <c r="BB346" i="1"/>
  <c r="BC346" i="1" s="1"/>
  <c r="AZ346" i="1"/>
  <c r="AZ329" i="1"/>
  <c r="BB329" i="1"/>
  <c r="BC329" i="1" s="1"/>
  <c r="AN283" i="1"/>
  <c r="AP283" i="1"/>
  <c r="AP244" i="1"/>
  <c r="AN244" i="1"/>
  <c r="V338" i="1"/>
  <c r="X338" i="1" s="1"/>
  <c r="X312" i="1"/>
  <c r="Z312" i="1" s="1"/>
  <c r="AB312" i="1" s="1"/>
  <c r="BB272" i="1"/>
  <c r="BC272" i="1" s="1"/>
  <c r="AZ272" i="1"/>
  <c r="AP348" i="1"/>
  <c r="AN348" i="1"/>
  <c r="BB204" i="1"/>
  <c r="BC204" i="1" s="1"/>
  <c r="AZ204" i="1"/>
  <c r="Z248" i="1"/>
  <c r="AB227" i="1"/>
  <c r="BB135" i="1"/>
  <c r="BC135" i="1" s="1"/>
  <c r="AZ135" i="1"/>
  <c r="BB229" i="1"/>
  <c r="BC229" i="1" s="1"/>
  <c r="AZ229" i="1"/>
  <c r="AZ233" i="1"/>
  <c r="BB233" i="1"/>
  <c r="BC233" i="1" s="1"/>
  <c r="AP207" i="1"/>
  <c r="AN207" i="1"/>
  <c r="V111" i="1"/>
  <c r="T125" i="1"/>
  <c r="BB139" i="1"/>
  <c r="BC139" i="1" s="1"/>
  <c r="AZ139" i="1"/>
  <c r="AP212" i="1"/>
  <c r="AN212" i="1"/>
  <c r="AP206" i="1"/>
  <c r="AN206" i="1"/>
  <c r="AZ238" i="1"/>
  <c r="BB238" i="1"/>
  <c r="BC238" i="1" s="1"/>
  <c r="AZ115" i="1"/>
  <c r="BB115" i="1"/>
  <c r="BC115" i="1" s="1"/>
  <c r="AZ146" i="1"/>
  <c r="BB146" i="1"/>
  <c r="BC146" i="1" s="1"/>
  <c r="BB120" i="1"/>
  <c r="BC120" i="1" s="1"/>
  <c r="AZ120" i="1"/>
  <c r="AA146" i="1"/>
  <c r="AC146" i="1" s="1"/>
  <c r="AE146" i="1" s="1"/>
  <c r="AG146" i="1" s="1"/>
  <c r="AI146" i="1" s="1"/>
  <c r="AK146" i="1" s="1"/>
  <c r="AM146" i="1" s="1"/>
  <c r="BB157" i="1"/>
  <c r="BC157" i="1" s="1"/>
  <c r="AZ157" i="1"/>
  <c r="T91" i="1"/>
  <c r="V78" i="1"/>
  <c r="AZ54" i="1"/>
  <c r="BB54" i="1"/>
  <c r="BC54" i="1" s="1"/>
  <c r="L65" i="1"/>
  <c r="N62" i="1"/>
  <c r="N65" i="1" s="1"/>
  <c r="AI46" i="1"/>
  <c r="AK46" i="1" s="1"/>
  <c r="AM46" i="1" s="1"/>
  <c r="AN33" i="1"/>
  <c r="AP33" i="1"/>
  <c r="BB388" i="1"/>
  <c r="BC388" i="1" s="1"/>
  <c r="AZ388" i="1"/>
  <c r="AZ410" i="1" s="1"/>
  <c r="AN346" i="1"/>
  <c r="AP346" i="1"/>
  <c r="AY184" i="1"/>
  <c r="AN313" i="1"/>
  <c r="AP313" i="1"/>
  <c r="Z373" i="1"/>
  <c r="AB343" i="1"/>
  <c r="AP356" i="1"/>
  <c r="AN356" i="1"/>
  <c r="BB345" i="1"/>
  <c r="BC345" i="1" s="1"/>
  <c r="AZ345" i="1"/>
  <c r="AP317" i="1"/>
  <c r="AN317" i="1"/>
  <c r="AZ267" i="1"/>
  <c r="BB267" i="1"/>
  <c r="BC267" i="1" s="1"/>
  <c r="AN268" i="1"/>
  <c r="AP268" i="1"/>
  <c r="AZ197" i="1"/>
  <c r="BB197" i="1"/>
  <c r="BC197" i="1" s="1"/>
  <c r="BB214" i="1"/>
  <c r="BC214" i="1" s="1"/>
  <c r="AZ214" i="1"/>
  <c r="N132" i="1"/>
  <c r="N184" i="1" s="1"/>
  <c r="M132" i="1"/>
  <c r="O132" i="1" s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AM132" i="1" s="1"/>
  <c r="AN205" i="1"/>
  <c r="AP205" i="1"/>
  <c r="AP119" i="1"/>
  <c r="AN119" i="1"/>
  <c r="AY223" i="1"/>
  <c r="AW184" i="1"/>
  <c r="AN151" i="1"/>
  <c r="AP151" i="1"/>
  <c r="AZ206" i="1"/>
  <c r="BB206" i="1"/>
  <c r="BC206" i="1" s="1"/>
  <c r="AZ216" i="1"/>
  <c r="BB216" i="1"/>
  <c r="BC216" i="1" s="1"/>
  <c r="AN118" i="1"/>
  <c r="AP118" i="1"/>
  <c r="AN155" i="1"/>
  <c r="AP155" i="1"/>
  <c r="AZ85" i="1"/>
  <c r="BB85" i="1"/>
  <c r="BC85" i="1" s="1"/>
  <c r="O188" i="1"/>
  <c r="M223" i="1"/>
  <c r="AN136" i="1"/>
  <c r="AP136" i="1"/>
  <c r="AX421" i="1"/>
  <c r="AZ49" i="1"/>
  <c r="BB49" i="1"/>
  <c r="BC49" i="1" s="1"/>
  <c r="AP48" i="1"/>
  <c r="AN48" i="1"/>
  <c r="AP86" i="1"/>
  <c r="AN86" i="1"/>
  <c r="AP82" i="1"/>
  <c r="AN82" i="1"/>
  <c r="I421" i="1"/>
  <c r="AP27" i="1"/>
  <c r="AN27" i="1"/>
  <c r="AP135" i="1"/>
  <c r="AN135" i="1"/>
  <c r="AZ365" i="1"/>
  <c r="BB365" i="1"/>
  <c r="BC365" i="1" s="1"/>
  <c r="AZ363" i="1"/>
  <c r="BB363" i="1"/>
  <c r="BC363" i="1" s="1"/>
  <c r="BB397" i="1"/>
  <c r="BC397" i="1" s="1"/>
  <c r="AZ397" i="1"/>
  <c r="AP329" i="1"/>
  <c r="AN329" i="1"/>
  <c r="AZ330" i="1"/>
  <c r="BB330" i="1"/>
  <c r="BC330" i="1" s="1"/>
  <c r="AP287" i="1"/>
  <c r="AN287" i="1"/>
  <c r="BB284" i="1"/>
  <c r="BC284" i="1" s="1"/>
  <c r="AZ284" i="1"/>
  <c r="BB331" i="1"/>
  <c r="BC331" i="1" s="1"/>
  <c r="AZ331" i="1"/>
  <c r="AZ335" i="1"/>
  <c r="BB335" i="1"/>
  <c r="BC335" i="1" s="1"/>
  <c r="AZ274" i="1"/>
  <c r="BB274" i="1"/>
  <c r="BC274" i="1" s="1"/>
  <c r="AP279" i="1"/>
  <c r="AN279" i="1"/>
  <c r="AN230" i="1"/>
  <c r="AP230" i="1"/>
  <c r="AP263" i="1"/>
  <c r="AN263" i="1"/>
  <c r="M98" i="1"/>
  <c r="K108" i="1"/>
  <c r="BB247" i="1"/>
  <c r="BC247" i="1" s="1"/>
  <c r="AZ247" i="1"/>
  <c r="BB240" i="1"/>
  <c r="BC240" i="1" s="1"/>
  <c r="AZ240" i="1"/>
  <c r="BB165" i="1"/>
  <c r="BC165" i="1" s="1"/>
  <c r="AZ165" i="1"/>
  <c r="AN116" i="1"/>
  <c r="AP116" i="1"/>
  <c r="AP204" i="1"/>
  <c r="AN204" i="1"/>
  <c r="BB132" i="1"/>
  <c r="BC132" i="1" s="1"/>
  <c r="AZ132" i="1"/>
  <c r="AZ205" i="1"/>
  <c r="BB205" i="1"/>
  <c r="BC205" i="1" s="1"/>
  <c r="AE122" i="1"/>
  <c r="AG122" i="1" s="1"/>
  <c r="AI122" i="1" s="1"/>
  <c r="AK122" i="1" s="1"/>
  <c r="AM122" i="1" s="1"/>
  <c r="AZ196" i="1"/>
  <c r="BB196" i="1"/>
  <c r="BC196" i="1" s="1"/>
  <c r="AN189" i="1"/>
  <c r="AP189" i="1"/>
  <c r="AN103" i="1"/>
  <c r="AP103" i="1"/>
  <c r="T65" i="1"/>
  <c r="T421" i="1" s="1"/>
  <c r="V62" i="1"/>
  <c r="BB43" i="1"/>
  <c r="BC43" i="1" s="1"/>
  <c r="AZ43" i="1"/>
  <c r="K223" i="1"/>
  <c r="AY98" i="1"/>
  <c r="AW98" i="1"/>
  <c r="AW108" i="1" s="1"/>
  <c r="AV108" i="1"/>
  <c r="AF108" i="1"/>
  <c r="AH98" i="1"/>
  <c r="BC78" i="1"/>
  <c r="AP141" i="1"/>
  <c r="AN141" i="1"/>
  <c r="AP274" i="1"/>
  <c r="AN274" i="1"/>
  <c r="AN139" i="1"/>
  <c r="AP139" i="1"/>
  <c r="K378" i="1"/>
  <c r="M376" i="1"/>
  <c r="AN301" i="1"/>
  <c r="AP301" i="1"/>
  <c r="BB281" i="1"/>
  <c r="BC281" i="1" s="1"/>
  <c r="AZ281" i="1"/>
  <c r="K295" i="1"/>
  <c r="M260" i="1"/>
  <c r="BB322" i="1"/>
  <c r="BC322" i="1" s="1"/>
  <c r="AZ322" i="1"/>
  <c r="AY312" i="1"/>
  <c r="AV338" i="1"/>
  <c r="AW312" i="1"/>
  <c r="AW338" i="1" s="1"/>
  <c r="BB323" i="1"/>
  <c r="BC323" i="1" s="1"/>
  <c r="AZ323" i="1"/>
  <c r="AZ147" i="1"/>
  <c r="BB147" i="1"/>
  <c r="BC147" i="1" s="1"/>
  <c r="AN198" i="1"/>
  <c r="AP198" i="1"/>
  <c r="AP214" i="1"/>
  <c r="AN214" i="1"/>
  <c r="BB269" i="1"/>
  <c r="BC269" i="1" s="1"/>
  <c r="AZ269" i="1"/>
  <c r="AP190" i="1"/>
  <c r="AN190" i="1"/>
  <c r="AP101" i="1"/>
  <c r="AN101" i="1"/>
  <c r="BB119" i="1"/>
  <c r="BC119" i="1" s="1"/>
  <c r="AZ119" i="1"/>
  <c r="BB201" i="1"/>
  <c r="BC201" i="1" s="1"/>
  <c r="AZ201" i="1"/>
  <c r="AN209" i="1"/>
  <c r="AP209" i="1"/>
  <c r="AP154" i="1"/>
  <c r="AN154" i="1"/>
  <c r="AP191" i="1"/>
  <c r="AN191" i="1"/>
  <c r="AN157" i="1"/>
  <c r="AP157" i="1"/>
  <c r="AH24" i="1"/>
  <c r="AF59" i="1"/>
  <c r="AN40" i="1"/>
  <c r="AP40" i="1"/>
  <c r="AP149" i="1"/>
  <c r="AN149" i="1"/>
  <c r="K91" i="1"/>
  <c r="M78" i="1"/>
  <c r="AZ26" i="1"/>
  <c r="BB26" i="1"/>
  <c r="BC26" i="1" s="1"/>
  <c r="BB36" i="1"/>
  <c r="BC36" i="1" s="1"/>
  <c r="AZ36" i="1"/>
  <c r="AU59" i="1"/>
  <c r="AZ42" i="1"/>
  <c r="BB42" i="1"/>
  <c r="BC42" i="1" s="1"/>
  <c r="M24" i="1"/>
  <c r="AF26" i="1"/>
  <c r="AH26" i="1" s="1"/>
  <c r="AJ26" i="1" s="1"/>
  <c r="AL26" i="1" s="1"/>
  <c r="AO26" i="1" s="1"/>
  <c r="AE26" i="1"/>
  <c r="AN100" i="1"/>
  <c r="AP100" i="1"/>
  <c r="AP400" i="1"/>
  <c r="AN400" i="1"/>
  <c r="BB344" i="1"/>
  <c r="BC344" i="1" s="1"/>
  <c r="AZ344" i="1"/>
  <c r="M307" i="1"/>
  <c r="O299" i="1"/>
  <c r="BB395" i="1"/>
  <c r="BC395" i="1" s="1"/>
  <c r="AZ395" i="1"/>
  <c r="AV410" i="1"/>
  <c r="AD373" i="1"/>
  <c r="AZ163" i="1"/>
  <c r="BB163" i="1"/>
  <c r="BC163" i="1" s="1"/>
  <c r="BB192" i="1"/>
  <c r="BC192" i="1" s="1"/>
  <c r="AZ192" i="1"/>
  <c r="AV125" i="1"/>
  <c r="AY111" i="1"/>
  <c r="AW111" i="1"/>
  <c r="AW125" i="1" s="1"/>
  <c r="AP202" i="1"/>
  <c r="AN202" i="1"/>
  <c r="AN152" i="1"/>
  <c r="AP152" i="1"/>
  <c r="N111" i="1"/>
  <c r="N125" i="1" s="1"/>
  <c r="L125" i="1"/>
  <c r="AP196" i="1"/>
  <c r="AN196" i="1"/>
  <c r="AP130" i="1"/>
  <c r="AN130" i="1"/>
  <c r="AP31" i="1"/>
  <c r="AN31" i="1"/>
  <c r="AN145" i="1"/>
  <c r="AP145" i="1"/>
  <c r="AP30" i="1"/>
  <c r="AN30" i="1"/>
  <c r="AN105" i="1"/>
  <c r="AP105" i="1"/>
  <c r="AF188" i="1"/>
  <c r="AD223" i="1"/>
  <c r="BB29" i="1"/>
  <c r="BC29" i="1" s="1"/>
  <c r="AZ29" i="1"/>
  <c r="AP29" i="1"/>
  <c r="AN29" i="1"/>
  <c r="AP81" i="1"/>
  <c r="AN81" i="1"/>
  <c r="K59" i="1"/>
  <c r="BC385" i="1"/>
  <c r="BB245" i="1"/>
  <c r="BC245" i="1" s="1"/>
  <c r="AZ245" i="1"/>
  <c r="AZ121" i="1"/>
  <c r="BB121" i="1"/>
  <c r="BC121" i="1" s="1"/>
  <c r="AP390" i="1"/>
  <c r="AN390" i="1"/>
  <c r="BB376" i="1"/>
  <c r="BC376" i="1" s="1"/>
  <c r="AZ376" i="1"/>
  <c r="AN333" i="1"/>
  <c r="AP333" i="1"/>
  <c r="AN404" i="1"/>
  <c r="AP404" i="1"/>
  <c r="V382" i="1"/>
  <c r="X382" i="1" s="1"/>
  <c r="X380" i="1"/>
  <c r="AL357" i="1"/>
  <c r="AO357" i="1" s="1"/>
  <c r="AK357" i="1"/>
  <c r="AM357" i="1" s="1"/>
  <c r="AZ398" i="1"/>
  <c r="BB398" i="1"/>
  <c r="BC398" i="1" s="1"/>
  <c r="N312" i="1"/>
  <c r="N338" i="1" s="1"/>
  <c r="M312" i="1"/>
  <c r="L338" i="1"/>
  <c r="AC331" i="1"/>
  <c r="AE331" i="1" s="1"/>
  <c r="AG331" i="1" s="1"/>
  <c r="AI331" i="1" s="1"/>
  <c r="AK331" i="1" s="1"/>
  <c r="AM331" i="1" s="1"/>
  <c r="AH299" i="1"/>
  <c r="AF307" i="1"/>
  <c r="AP271" i="1"/>
  <c r="AN271" i="1"/>
  <c r="AW410" i="1"/>
  <c r="AP270" i="1"/>
  <c r="AN270" i="1"/>
  <c r="AP38" i="1"/>
  <c r="AN38" i="1"/>
  <c r="AB410" i="1"/>
  <c r="BB364" i="1"/>
  <c r="BC364" i="1" s="1"/>
  <c r="AZ364" i="1"/>
  <c r="BB314" i="1"/>
  <c r="BC314" i="1" s="1"/>
  <c r="AZ314" i="1"/>
  <c r="AB307" i="1"/>
  <c r="AD307" i="1" s="1"/>
  <c r="AP318" i="1"/>
  <c r="AN318" i="1"/>
  <c r="BB286" i="1"/>
  <c r="BC286" i="1" s="1"/>
  <c r="AZ286" i="1"/>
  <c r="AP267" i="1"/>
  <c r="AN267" i="1"/>
  <c r="AN281" i="1"/>
  <c r="AP281" i="1"/>
  <c r="BB402" i="1"/>
  <c r="BC402" i="1" s="1"/>
  <c r="AZ402" i="1"/>
  <c r="BB280" i="1"/>
  <c r="BC280" i="1" s="1"/>
  <c r="AZ280" i="1"/>
  <c r="AE210" i="1"/>
  <c r="AG210" i="1" s="1"/>
  <c r="AI210" i="1" s="1"/>
  <c r="AK210" i="1" s="1"/>
  <c r="AM210" i="1" s="1"/>
  <c r="Z223" i="1"/>
  <c r="AZ242" i="1"/>
  <c r="BB242" i="1"/>
  <c r="BC242" i="1" s="1"/>
  <c r="BB278" i="1"/>
  <c r="BC278" i="1" s="1"/>
  <c r="AZ278" i="1"/>
  <c r="BB161" i="1"/>
  <c r="BC161" i="1" s="1"/>
  <c r="AZ161" i="1"/>
  <c r="N295" i="1"/>
  <c r="AZ152" i="1"/>
  <c r="BB152" i="1"/>
  <c r="BC152" i="1" s="1"/>
  <c r="BB198" i="1"/>
  <c r="BC198" i="1" s="1"/>
  <c r="AZ198" i="1"/>
  <c r="AP200" i="1"/>
  <c r="AN200" i="1"/>
  <c r="BB114" i="1"/>
  <c r="BC114" i="1" s="1"/>
  <c r="AZ114" i="1"/>
  <c r="AN195" i="1"/>
  <c r="AP195" i="1"/>
  <c r="AA143" i="1"/>
  <c r="AC143" i="1" s="1"/>
  <c r="AE143" i="1" s="1"/>
  <c r="AG143" i="1" s="1"/>
  <c r="AI143" i="1" s="1"/>
  <c r="AK143" i="1" s="1"/>
  <c r="AM143" i="1" s="1"/>
  <c r="BB154" i="1"/>
  <c r="BC154" i="1" s="1"/>
  <c r="AZ154" i="1"/>
  <c r="AZ82" i="1"/>
  <c r="BB82" i="1"/>
  <c r="BC82" i="1" s="1"/>
  <c r="L184" i="1"/>
  <c r="AP117" i="1"/>
  <c r="AN117" i="1"/>
  <c r="AZ46" i="1"/>
  <c r="BB46" i="1"/>
  <c r="BC46" i="1" s="1"/>
  <c r="AP43" i="1"/>
  <c r="AN43" i="1"/>
  <c r="AB223" i="1"/>
  <c r="AP112" i="1"/>
  <c r="AN112" i="1"/>
  <c r="AG63" i="1"/>
  <c r="AN41" i="1"/>
  <c r="AP41" i="1"/>
  <c r="AP402" i="1"/>
  <c r="AN402" i="1"/>
  <c r="AZ217" i="1"/>
  <c r="BB217" i="1"/>
  <c r="BC217" i="1" s="1"/>
  <c r="AY410" i="1"/>
  <c r="AP403" i="1"/>
  <c r="AN403" i="1"/>
  <c r="AN401" i="1"/>
  <c r="AP401" i="1"/>
  <c r="AN326" i="1"/>
  <c r="AP326" i="1"/>
  <c r="AY416" i="1"/>
  <c r="BB412" i="1"/>
  <c r="AZ412" i="1"/>
  <c r="AZ416" i="1" s="1"/>
  <c r="AP396" i="1"/>
  <c r="AN396" i="1"/>
  <c r="BB333" i="1"/>
  <c r="BC333" i="1" s="1"/>
  <c r="AZ333" i="1"/>
  <c r="AP355" i="1"/>
  <c r="AN355" i="1"/>
  <c r="BB404" i="1"/>
  <c r="BC404" i="1" s="1"/>
  <c r="AZ404" i="1"/>
  <c r="BB403" i="1"/>
  <c r="BC403" i="1" s="1"/>
  <c r="AZ403" i="1"/>
  <c r="AN321" i="1"/>
  <c r="AP321" i="1"/>
  <c r="BB366" i="1"/>
  <c r="BC366" i="1" s="1"/>
  <c r="AZ366" i="1"/>
  <c r="AN324" i="1"/>
  <c r="AP324" i="1"/>
  <c r="AP275" i="1"/>
  <c r="AN275" i="1"/>
  <c r="AN285" i="1"/>
  <c r="AP285" i="1"/>
  <c r="U248" i="1"/>
  <c r="W227" i="1"/>
  <c r="AP192" i="1"/>
  <c r="AN192" i="1"/>
  <c r="BB407" i="1"/>
  <c r="BC407" i="1" s="1"/>
  <c r="AZ407" i="1"/>
  <c r="AP353" i="1"/>
  <c r="AN353" i="1"/>
  <c r="AZ373" i="1"/>
  <c r="AZ392" i="1"/>
  <c r="BB392" i="1"/>
  <c r="BC392" i="1" s="1"/>
  <c r="BB378" i="1"/>
  <c r="BC378" i="1" s="1"/>
  <c r="AZ378" i="1"/>
  <c r="AZ350" i="1"/>
  <c r="BB350" i="1"/>
  <c r="BC350" i="1" s="1"/>
  <c r="AZ353" i="1"/>
  <c r="BB353" i="1"/>
  <c r="BC353" i="1" s="1"/>
  <c r="AN315" i="1"/>
  <c r="AP315" i="1"/>
  <c r="AY302" i="1"/>
  <c r="AW302" i="1"/>
  <c r="AW307" i="1" s="1"/>
  <c r="BC260" i="1"/>
  <c r="T295" i="1"/>
  <c r="BB189" i="1"/>
  <c r="AZ189" i="1"/>
  <c r="AZ223" i="1" s="1"/>
  <c r="AK248" i="1"/>
  <c r="AM228" i="1"/>
  <c r="BB249" i="1"/>
  <c r="BC249" i="1" s="1"/>
  <c r="AZ249" i="1"/>
  <c r="AV256" i="1"/>
  <c r="BB158" i="1"/>
  <c r="BC158" i="1" s="1"/>
  <c r="AZ158" i="1"/>
  <c r="AZ174" i="1"/>
  <c r="BB174" i="1"/>
  <c r="BC174" i="1" s="1"/>
  <c r="AP166" i="1"/>
  <c r="AN166" i="1"/>
  <c r="AP201" i="1"/>
  <c r="AN201" i="1"/>
  <c r="AN104" i="1"/>
  <c r="AP104" i="1"/>
  <c r="AZ143" i="1"/>
  <c r="BB143" i="1"/>
  <c r="BC143" i="1" s="1"/>
  <c r="AP32" i="1"/>
  <c r="AN32" i="1"/>
  <c r="AU94" i="1"/>
  <c r="AV94" i="1" s="1"/>
  <c r="AM144" i="1"/>
  <c r="AN138" i="1"/>
  <c r="AP138" i="1"/>
  <c r="BB86" i="1"/>
  <c r="BC86" i="1" s="1"/>
  <c r="AZ86" i="1"/>
  <c r="AC59" i="1"/>
  <c r="AG26" i="1" l="1"/>
  <c r="AE59" i="1"/>
  <c r="AF223" i="1"/>
  <c r="AH188" i="1"/>
  <c r="AY338" i="1"/>
  <c r="BB312" i="1"/>
  <c r="AZ312" i="1"/>
  <c r="AZ338" i="1" s="1"/>
  <c r="N421" i="1"/>
  <c r="AP163" i="1"/>
  <c r="AN163" i="1"/>
  <c r="BB261" i="1"/>
  <c r="AZ261" i="1"/>
  <c r="AZ295" i="1" s="1"/>
  <c r="AY295" i="1"/>
  <c r="BC373" i="1"/>
  <c r="O111" i="1"/>
  <c r="M125" i="1"/>
  <c r="AY94" i="1"/>
  <c r="AW94" i="1"/>
  <c r="AW421" i="1" s="1"/>
  <c r="M91" i="1"/>
  <c r="O78" i="1"/>
  <c r="AH307" i="1"/>
  <c r="AJ299" i="1"/>
  <c r="BC410" i="1"/>
  <c r="BB232" i="1"/>
  <c r="BC232" i="1" s="1"/>
  <c r="AZ232" i="1"/>
  <c r="L421" i="1"/>
  <c r="BB373" i="1"/>
  <c r="AZ83" i="1"/>
  <c r="AZ91" i="1" s="1"/>
  <c r="BB83" i="1"/>
  <c r="AY91" i="1"/>
  <c r="V91" i="1"/>
  <c r="X78" i="1"/>
  <c r="AP395" i="1"/>
  <c r="AN395" i="1"/>
  <c r="AZ302" i="1"/>
  <c r="AZ307" i="1" s="1"/>
  <c r="BB302" i="1"/>
  <c r="AY307" i="1"/>
  <c r="O260" i="1"/>
  <c r="M295" i="1"/>
  <c r="X62" i="1"/>
  <c r="Z62" i="1" s="1"/>
  <c r="Z65" i="1" s="1"/>
  <c r="V65" i="1"/>
  <c r="M108" i="1"/>
  <c r="O98" i="1"/>
  <c r="O373" i="1"/>
  <c r="Q343" i="1"/>
  <c r="BC227" i="1"/>
  <c r="BC256" i="1" s="1"/>
  <c r="BB256" i="1"/>
  <c r="BB24" i="1"/>
  <c r="BB59" i="1" s="1"/>
  <c r="AY59" i="1"/>
  <c r="AB295" i="1"/>
  <c r="AD260" i="1"/>
  <c r="M410" i="1"/>
  <c r="O385" i="1"/>
  <c r="M338" i="1"/>
  <c r="O312" i="1"/>
  <c r="AB338" i="1"/>
  <c r="AD312" i="1"/>
  <c r="AZ256" i="1"/>
  <c r="AZ24" i="1"/>
  <c r="AW59" i="1"/>
  <c r="Y184" i="1"/>
  <c r="AP397" i="1"/>
  <c r="AN397" i="1"/>
  <c r="M59" i="1"/>
  <c r="O24" i="1"/>
  <c r="AP79" i="1"/>
  <c r="AN79" i="1"/>
  <c r="Q65" i="1"/>
  <c r="S62" i="1"/>
  <c r="BC125" i="1"/>
  <c r="Z128" i="1"/>
  <c r="X184" i="1"/>
  <c r="AN114" i="1"/>
  <c r="AP114" i="1"/>
  <c r="AP331" i="1"/>
  <c r="AN331" i="1"/>
  <c r="AP132" i="1"/>
  <c r="AN132" i="1"/>
  <c r="AP146" i="1"/>
  <c r="AN146" i="1"/>
  <c r="AP113" i="1"/>
  <c r="AN113" i="1"/>
  <c r="O307" i="1"/>
  <c r="Q299" i="1"/>
  <c r="AM256" i="1"/>
  <c r="AP228" i="1"/>
  <c r="AN228" i="1"/>
  <c r="AU421" i="1"/>
  <c r="AH59" i="1"/>
  <c r="AJ24" i="1"/>
  <c r="AH108" i="1"/>
  <c r="AJ98" i="1"/>
  <c r="Y380" i="1"/>
  <c r="AA380" i="1" s="1"/>
  <c r="AC380" i="1" s="1"/>
  <c r="AE380" i="1" s="1"/>
  <c r="AG380" i="1" s="1"/>
  <c r="W382" i="1"/>
  <c r="Y382" i="1" s="1"/>
  <c r="BC184" i="1"/>
  <c r="BB416" i="1"/>
  <c r="BC412" i="1"/>
  <c r="BC416" i="1" s="1"/>
  <c r="AN357" i="1"/>
  <c r="AP357" i="1"/>
  <c r="AB248" i="1"/>
  <c r="AD227" i="1"/>
  <c r="BB184" i="1"/>
  <c r="AO385" i="1"/>
  <c r="AO410" i="1" s="1"/>
  <c r="AL410" i="1"/>
  <c r="AL406" i="1"/>
  <c r="AO406" i="1" s="1"/>
  <c r="AP406" i="1" s="1"/>
  <c r="BB410" i="1"/>
  <c r="O376" i="1"/>
  <c r="M378" i="1"/>
  <c r="AP46" i="1"/>
  <c r="AN46" i="1"/>
  <c r="AN231" i="1"/>
  <c r="AP231" i="1"/>
  <c r="AN143" i="1"/>
  <c r="AP143" i="1"/>
  <c r="AP210" i="1"/>
  <c r="AN210" i="1"/>
  <c r="AB373" i="1"/>
  <c r="AD343" i="1"/>
  <c r="AF343" i="1" s="1"/>
  <c r="M184" i="1"/>
  <c r="O128" i="1"/>
  <c r="AI24" i="1"/>
  <c r="K421" i="1"/>
  <c r="BB111" i="1"/>
  <c r="BB125" i="1" s="1"/>
  <c r="AZ111" i="1"/>
  <c r="AZ125" i="1" s="1"/>
  <c r="AY125" i="1"/>
  <c r="W248" i="1"/>
  <c r="Y227" i="1"/>
  <c r="BC189" i="1"/>
  <c r="BC223" i="1" s="1"/>
  <c r="BB223" i="1"/>
  <c r="AP144" i="1"/>
  <c r="AN144" i="1"/>
  <c r="AI63" i="1"/>
  <c r="AK63" i="1" s="1"/>
  <c r="AY108" i="1"/>
  <c r="AZ98" i="1"/>
  <c r="AZ108" i="1" s="1"/>
  <c r="BB98" i="1"/>
  <c r="AN122" i="1"/>
  <c r="AP122" i="1"/>
  <c r="Q188" i="1"/>
  <c r="O223" i="1"/>
  <c r="X111" i="1"/>
  <c r="V125" i="1"/>
  <c r="AN140" i="1"/>
  <c r="AP140" i="1"/>
  <c r="BC24" i="1" l="1"/>
  <c r="BC59" i="1" s="1"/>
  <c r="AZ59" i="1"/>
  <c r="BB108" i="1"/>
  <c r="BC98" i="1"/>
  <c r="BC108" i="1" s="1"/>
  <c r="Q78" i="1"/>
  <c r="O91" i="1"/>
  <c r="O410" i="1"/>
  <c r="Q385" i="1"/>
  <c r="X65" i="1"/>
  <c r="V421" i="1"/>
  <c r="BC83" i="1"/>
  <c r="BC91" i="1" s="1"/>
  <c r="BB91" i="1"/>
  <c r="BB338" i="1"/>
  <c r="BC312" i="1"/>
  <c r="BC338" i="1" s="1"/>
  <c r="X91" i="1"/>
  <c r="Z78" i="1"/>
  <c r="Q312" i="1"/>
  <c r="O338" i="1"/>
  <c r="AZ94" i="1"/>
  <c r="BB94" i="1"/>
  <c r="BC94" i="1" s="1"/>
  <c r="AJ307" i="1"/>
  <c r="AL299" i="1"/>
  <c r="Q98" i="1"/>
  <c r="O108" i="1"/>
  <c r="Q128" i="1"/>
  <c r="O184" i="1"/>
  <c r="S299" i="1"/>
  <c r="U299" i="1" s="1"/>
  <c r="Q307" i="1"/>
  <c r="S307" i="1" s="1"/>
  <c r="AD295" i="1"/>
  <c r="AF260" i="1"/>
  <c r="AH223" i="1"/>
  <c r="AJ188" i="1"/>
  <c r="AJ108" i="1"/>
  <c r="AL98" i="1"/>
  <c r="AJ59" i="1"/>
  <c r="AL24" i="1"/>
  <c r="Q260" i="1"/>
  <c r="O295" i="1"/>
  <c r="BC261" i="1"/>
  <c r="BC295" i="1" s="1"/>
  <c r="BB295" i="1"/>
  <c r="AD338" i="1"/>
  <c r="AF312" i="1"/>
  <c r="Q373" i="1"/>
  <c r="S343" i="1"/>
  <c r="U343" i="1" s="1"/>
  <c r="AD248" i="1"/>
  <c r="AF227" i="1"/>
  <c r="O59" i="1"/>
  <c r="Q24" i="1"/>
  <c r="AK65" i="1"/>
  <c r="AM63" i="1"/>
  <c r="AN256" i="1"/>
  <c r="M421" i="1"/>
  <c r="AI59" i="1"/>
  <c r="AK24" i="1"/>
  <c r="X125" i="1"/>
  <c r="Z111" i="1"/>
  <c r="Q376" i="1"/>
  <c r="O378" i="1"/>
  <c r="Z184" i="1"/>
  <c r="AB128" i="1"/>
  <c r="AA128" i="1"/>
  <c r="O125" i="1"/>
  <c r="Q111" i="1"/>
  <c r="AH343" i="1"/>
  <c r="AF373" i="1"/>
  <c r="AY421" i="1"/>
  <c r="S188" i="1"/>
  <c r="Q223" i="1"/>
  <c r="Y248" i="1"/>
  <c r="AA227" i="1"/>
  <c r="S65" i="1"/>
  <c r="U62" i="1"/>
  <c r="BC302" i="1"/>
  <c r="BC307" i="1" s="1"/>
  <c r="BB307" i="1"/>
  <c r="BB421" i="1" s="1"/>
  <c r="AI26" i="1"/>
  <c r="AK26" i="1" s="1"/>
  <c r="AM26" i="1" s="1"/>
  <c r="AG59" i="1"/>
  <c r="AJ223" i="1" l="1"/>
  <c r="AL188" i="1"/>
  <c r="X421" i="1"/>
  <c r="AH373" i="1"/>
  <c r="AJ343" i="1"/>
  <c r="W62" i="1"/>
  <c r="U65" i="1"/>
  <c r="AL307" i="1"/>
  <c r="AO299" i="1"/>
  <c r="AO307" i="1" s="1"/>
  <c r="AF338" i="1"/>
  <c r="AH312" i="1"/>
  <c r="AH260" i="1"/>
  <c r="AF295" i="1"/>
  <c r="AP63" i="1"/>
  <c r="AP65" i="1" s="1"/>
  <c r="AM65" i="1"/>
  <c r="AN65" i="1" s="1"/>
  <c r="AN63" i="1"/>
  <c r="U373" i="1"/>
  <c r="W343" i="1"/>
  <c r="S223" i="1"/>
  <c r="U188" i="1"/>
  <c r="AK59" i="1"/>
  <c r="AM24" i="1"/>
  <c r="Q410" i="1"/>
  <c r="S410" i="1" s="1"/>
  <c r="S385" i="1"/>
  <c r="U385" i="1" s="1"/>
  <c r="AP26" i="1"/>
  <c r="AP59" i="1" s="1"/>
  <c r="AN26" i="1"/>
  <c r="Q125" i="1"/>
  <c r="S125" i="1" s="1"/>
  <c r="S111" i="1"/>
  <c r="U111" i="1" s="1"/>
  <c r="U307" i="1"/>
  <c r="W299" i="1"/>
  <c r="S312" i="1"/>
  <c r="U312" i="1" s="1"/>
  <c r="Q338" i="1"/>
  <c r="S338" i="1" s="1"/>
  <c r="S78" i="1"/>
  <c r="Q91" i="1"/>
  <c r="AA184" i="1"/>
  <c r="AC184" i="1" s="1"/>
  <c r="AC128" i="1"/>
  <c r="Q295" i="1"/>
  <c r="S295" i="1" s="1"/>
  <c r="S260" i="1"/>
  <c r="U260" i="1" s="1"/>
  <c r="Z91" i="1"/>
  <c r="AB78" i="1"/>
  <c r="AD128" i="1"/>
  <c r="AB184" i="1"/>
  <c r="Q59" i="1"/>
  <c r="S24" i="1"/>
  <c r="AO24" i="1"/>
  <c r="AO59" i="1" s="1"/>
  <c r="AL59" i="1"/>
  <c r="S128" i="1"/>
  <c r="Q184" i="1"/>
  <c r="S184" i="1" s="1"/>
  <c r="U184" i="1" s="1"/>
  <c r="O421" i="1"/>
  <c r="AC227" i="1"/>
  <c r="AA248" i="1"/>
  <c r="AF248" i="1"/>
  <c r="AH227" i="1"/>
  <c r="AO98" i="1"/>
  <c r="AO108" i="1" s="1"/>
  <c r="AL108" i="1"/>
  <c r="S98" i="1"/>
  <c r="U98" i="1" s="1"/>
  <c r="Q108" i="1"/>
  <c r="S108" i="1" s="1"/>
  <c r="AZ421" i="1"/>
  <c r="AB111" i="1"/>
  <c r="Z125" i="1"/>
  <c r="Q378" i="1"/>
  <c r="S378" i="1" s="1"/>
  <c r="S376" i="1"/>
  <c r="U376" i="1" s="1"/>
  <c r="BC421" i="1"/>
  <c r="AM59" i="1" l="1"/>
  <c r="AN24" i="1"/>
  <c r="AN59" i="1" s="1"/>
  <c r="W98" i="1"/>
  <c r="U108" i="1"/>
  <c r="U78" i="1"/>
  <c r="S91" i="1"/>
  <c r="U338" i="1"/>
  <c r="W312" i="1"/>
  <c r="Y62" i="1"/>
  <c r="AA62" i="1" s="1"/>
  <c r="W65" i="1"/>
  <c r="Y65" i="1" s="1"/>
  <c r="AD184" i="1"/>
  <c r="AF128" i="1"/>
  <c r="AD78" i="1"/>
  <c r="AB91" i="1"/>
  <c r="AH338" i="1"/>
  <c r="AJ338" i="1" s="1"/>
  <c r="AJ312" i="1"/>
  <c r="AL312" i="1" s="1"/>
  <c r="U223" i="1"/>
  <c r="W188" i="1"/>
  <c r="Q421" i="1"/>
  <c r="AH248" i="1"/>
  <c r="AJ227" i="1"/>
  <c r="W307" i="1"/>
  <c r="Y307" i="1" s="1"/>
  <c r="Y299" i="1"/>
  <c r="AA299" i="1" s="1"/>
  <c r="Y343" i="1"/>
  <c r="W373" i="1"/>
  <c r="AJ373" i="1"/>
  <c r="AL343" i="1"/>
  <c r="U125" i="1"/>
  <c r="W111" i="1"/>
  <c r="U378" i="1"/>
  <c r="W376" i="1"/>
  <c r="AC248" i="1"/>
  <c r="AE227" i="1"/>
  <c r="Z421" i="1"/>
  <c r="U24" i="1"/>
  <c r="S59" i="1"/>
  <c r="U295" i="1"/>
  <c r="W260" i="1"/>
  <c r="AL223" i="1"/>
  <c r="AO188" i="1"/>
  <c r="AO223" i="1" s="1"/>
  <c r="AB125" i="1"/>
  <c r="AD111" i="1"/>
  <c r="AE128" i="1"/>
  <c r="W385" i="1"/>
  <c r="U410" i="1"/>
  <c r="AH295" i="1"/>
  <c r="AJ260" i="1"/>
  <c r="Y385" i="1" l="1"/>
  <c r="W410" i="1"/>
  <c r="AE248" i="1"/>
  <c r="AG227" i="1"/>
  <c r="AD125" i="1"/>
  <c r="AF111" i="1"/>
  <c r="AF125" i="1" s="1"/>
  <c r="W338" i="1"/>
  <c r="Y338" i="1" s="1"/>
  <c r="Y312" i="1"/>
  <c r="AA312" i="1" s="1"/>
  <c r="W378" i="1"/>
  <c r="Y376" i="1"/>
  <c r="Y378" i="1" s="1"/>
  <c r="AL260" i="1"/>
  <c r="AJ295" i="1"/>
  <c r="Y373" i="1"/>
  <c r="AA343" i="1"/>
  <c r="AH128" i="1"/>
  <c r="AF184" i="1"/>
  <c r="AA307" i="1"/>
  <c r="AC299" i="1"/>
  <c r="AE184" i="1"/>
  <c r="AG128" i="1"/>
  <c r="AL227" i="1"/>
  <c r="AJ248" i="1"/>
  <c r="AC62" i="1"/>
  <c r="AE62" i="1" s="1"/>
  <c r="AG62" i="1" s="1"/>
  <c r="AA65" i="1"/>
  <c r="AC65" i="1" s="1"/>
  <c r="W223" i="1"/>
  <c r="Y188" i="1"/>
  <c r="W125" i="1"/>
  <c r="Y111" i="1"/>
  <c r="U91" i="1"/>
  <c r="W78" i="1"/>
  <c r="W295" i="1"/>
  <c r="Y260" i="1"/>
  <c r="AO312" i="1"/>
  <c r="AO338" i="1" s="1"/>
  <c r="AL338" i="1"/>
  <c r="AL373" i="1"/>
  <c r="AO343" i="1"/>
  <c r="AO373" i="1" s="1"/>
  <c r="Y98" i="1"/>
  <c r="AA98" i="1" s="1"/>
  <c r="W108" i="1"/>
  <c r="Y108" i="1" s="1"/>
  <c r="S421" i="1"/>
  <c r="AB421" i="1"/>
  <c r="U59" i="1"/>
  <c r="U421" i="1" s="1"/>
  <c r="W24" i="1"/>
  <c r="AD91" i="1"/>
  <c r="AD421" i="1" s="1"/>
  <c r="AF78" i="1"/>
  <c r="AO227" i="1" l="1"/>
  <c r="AL256" i="1"/>
  <c r="AE65" i="1"/>
  <c r="AG184" i="1"/>
  <c r="AI128" i="1"/>
  <c r="AO260" i="1"/>
  <c r="AO295" i="1" s="1"/>
  <c r="AL295" i="1"/>
  <c r="Y295" i="1"/>
  <c r="AA260" i="1"/>
  <c r="W59" i="1"/>
  <c r="Y24" i="1"/>
  <c r="AA24" i="1" s="1"/>
  <c r="AA59" i="1" s="1"/>
  <c r="Y78" i="1"/>
  <c r="W91" i="1"/>
  <c r="AE299" i="1"/>
  <c r="AG299" i="1" s="1"/>
  <c r="AC307" i="1"/>
  <c r="AE307" i="1" s="1"/>
  <c r="AA111" i="1"/>
  <c r="Y125" i="1"/>
  <c r="AI227" i="1"/>
  <c r="AI248" i="1" s="1"/>
  <c r="AG248" i="1"/>
  <c r="AH184" i="1"/>
  <c r="AJ128" i="1"/>
  <c r="Y223" i="1"/>
  <c r="AA188" i="1"/>
  <c r="AA373" i="1"/>
  <c r="AC343" i="1"/>
  <c r="AG65" i="1"/>
  <c r="AI62" i="1"/>
  <c r="AI65" i="1" s="1"/>
  <c r="AF91" i="1"/>
  <c r="AF421" i="1" s="1"/>
  <c r="AH78" i="1"/>
  <c r="AH91" i="1" s="1"/>
  <c r="AA338" i="1"/>
  <c r="AC338" i="1" s="1"/>
  <c r="AC312" i="1"/>
  <c r="AE312" i="1" s="1"/>
  <c r="AA108" i="1"/>
  <c r="AC98" i="1"/>
  <c r="Y410" i="1"/>
  <c r="AA385" i="1"/>
  <c r="AA295" i="1" l="1"/>
  <c r="AC260" i="1"/>
  <c r="W421" i="1"/>
  <c r="Y59" i="1"/>
  <c r="AE98" i="1"/>
  <c r="AG98" i="1" s="1"/>
  <c r="AC108" i="1"/>
  <c r="AE108" i="1" s="1"/>
  <c r="AJ184" i="1"/>
  <c r="AJ421" i="1" s="1"/>
  <c r="AL128" i="1"/>
  <c r="AG312" i="1"/>
  <c r="AE338" i="1"/>
  <c r="AH421" i="1"/>
  <c r="AC111" i="1"/>
  <c r="AA125" i="1"/>
  <c r="AI184" i="1"/>
  <c r="AK128" i="1"/>
  <c r="AI299" i="1"/>
  <c r="AG307" i="1"/>
  <c r="AC373" i="1"/>
  <c r="AE373" i="1" s="1"/>
  <c r="AE343" i="1"/>
  <c r="AG343" i="1" s="1"/>
  <c r="Y91" i="1"/>
  <c r="AA78" i="1"/>
  <c r="AC385" i="1"/>
  <c r="AE385" i="1" s="1"/>
  <c r="AG385" i="1" s="1"/>
  <c r="AA410" i="1"/>
  <c r="AC410" i="1" s="1"/>
  <c r="AE410" i="1" s="1"/>
  <c r="AC188" i="1"/>
  <c r="AA223" i="1"/>
  <c r="AO256" i="1"/>
  <c r="AP227" i="1"/>
  <c r="AP256" i="1" s="1"/>
  <c r="AC295" i="1" l="1"/>
  <c r="AE260" i="1"/>
  <c r="AC78" i="1"/>
  <c r="AE78" i="1" s="1"/>
  <c r="AG78" i="1" s="1"/>
  <c r="AA91" i="1"/>
  <c r="AC223" i="1"/>
  <c r="AE188" i="1"/>
  <c r="AE111" i="1"/>
  <c r="AG111" i="1" s="1"/>
  <c r="AC125" i="1"/>
  <c r="AE125" i="1" s="1"/>
  <c r="AG410" i="1"/>
  <c r="AI385" i="1"/>
  <c r="AI312" i="1"/>
  <c r="AG338" i="1"/>
  <c r="AI343" i="1"/>
  <c r="AG373" i="1"/>
  <c r="AL184" i="1"/>
  <c r="AL421" i="1" s="1"/>
  <c r="AO128" i="1"/>
  <c r="AO184" i="1" s="1"/>
  <c r="AO421" i="1" s="1"/>
  <c r="AK299" i="1"/>
  <c r="AI307" i="1"/>
  <c r="AI98" i="1"/>
  <c r="AG108" i="1"/>
  <c r="Y421" i="1"/>
  <c r="AM128" i="1"/>
  <c r="AK184" i="1"/>
  <c r="AE295" i="1" l="1"/>
  <c r="AG260" i="1"/>
  <c r="AI373" i="1"/>
  <c r="AK343" i="1"/>
  <c r="AI338" i="1"/>
  <c r="AK338" i="1" s="1"/>
  <c r="AK312" i="1"/>
  <c r="AM312" i="1" s="1"/>
  <c r="AK385" i="1"/>
  <c r="AI410" i="1"/>
  <c r="AM184" i="1"/>
  <c r="AN128" i="1"/>
  <c r="AN184" i="1" s="1"/>
  <c r="AP128" i="1"/>
  <c r="AP184" i="1" s="1"/>
  <c r="AG125" i="1"/>
  <c r="AI111" i="1"/>
  <c r="AK111" i="1" s="1"/>
  <c r="AK307" i="1"/>
  <c r="AM299" i="1"/>
  <c r="AG91" i="1"/>
  <c r="AI78" i="1"/>
  <c r="AK78" i="1" s="1"/>
  <c r="AK98" i="1"/>
  <c r="AI108" i="1"/>
  <c r="AG188" i="1"/>
  <c r="AE223" i="1"/>
  <c r="AC91" i="1"/>
  <c r="AA421" i="1"/>
  <c r="AI188" i="1" l="1"/>
  <c r="AG223" i="1"/>
  <c r="AM385" i="1"/>
  <c r="AK410" i="1"/>
  <c r="AM98" i="1"/>
  <c r="AK108" i="1"/>
  <c r="AN312" i="1"/>
  <c r="AN338" i="1" s="1"/>
  <c r="AP312" i="1"/>
  <c r="AP338" i="1" s="1"/>
  <c r="AM338" i="1"/>
  <c r="AK91" i="1"/>
  <c r="AM78" i="1"/>
  <c r="AG421" i="1"/>
  <c r="AI421" i="1" s="1"/>
  <c r="AM343" i="1"/>
  <c r="AK373" i="1"/>
  <c r="AM307" i="1"/>
  <c r="AP299" i="1"/>
  <c r="AP307" i="1" s="1"/>
  <c r="AN299" i="1"/>
  <c r="AN307" i="1" s="1"/>
  <c r="AG295" i="1"/>
  <c r="AI260" i="1"/>
  <c r="AE91" i="1"/>
  <c r="AC421" i="1"/>
  <c r="AE421" i="1" s="1"/>
  <c r="AK125" i="1"/>
  <c r="AM111" i="1"/>
  <c r="AP111" i="1" l="1"/>
  <c r="AP125" i="1" s="1"/>
  <c r="AN111" i="1"/>
  <c r="AN125" i="1" s="1"/>
  <c r="AM125" i="1"/>
  <c r="AP78" i="1"/>
  <c r="AP91" i="1" s="1"/>
  <c r="AM91" i="1"/>
  <c r="AN91" i="1" s="1"/>
  <c r="AN78" i="1"/>
  <c r="AN98" i="1"/>
  <c r="AM108" i="1"/>
  <c r="AN108" i="1" s="1"/>
  <c r="AP98" i="1"/>
  <c r="AP108" i="1" s="1"/>
  <c r="AI295" i="1"/>
  <c r="AK260" i="1"/>
  <c r="AM410" i="1"/>
  <c r="AN385" i="1"/>
  <c r="AP385" i="1"/>
  <c r="AP410" i="1" s="1"/>
  <c r="AM373" i="1"/>
  <c r="AN343" i="1"/>
  <c r="AN373" i="1" s="1"/>
  <c r="AP343" i="1"/>
  <c r="AP373" i="1" s="1"/>
  <c r="AI223" i="1"/>
  <c r="AK188" i="1"/>
  <c r="AK223" i="1" l="1"/>
  <c r="AK421" i="1" s="1"/>
  <c r="AM188" i="1"/>
  <c r="AM260" i="1"/>
  <c r="AK295" i="1"/>
  <c r="AN406" i="1"/>
  <c r="AN410" i="1" s="1"/>
  <c r="AM295" i="1" l="1"/>
  <c r="AM421" i="1" s="1"/>
  <c r="AP260" i="1"/>
  <c r="AP295" i="1" s="1"/>
  <c r="AN260" i="1"/>
  <c r="AN295" i="1" s="1"/>
  <c r="AM223" i="1"/>
  <c r="AP188" i="1"/>
  <c r="AP223" i="1" s="1"/>
  <c r="AN188" i="1"/>
  <c r="AN223" i="1" s="1"/>
  <c r="AN421" i="1" s="1"/>
  <c r="AP421" i="1" l="1"/>
</calcChain>
</file>

<file path=xl/sharedStrings.xml><?xml version="1.0" encoding="utf-8"?>
<sst xmlns="http://schemas.openxmlformats.org/spreadsheetml/2006/main" count="1085" uniqueCount="448">
  <si>
    <t>MCCREARY COUNTY WATER</t>
  </si>
  <si>
    <t xml:space="preserve"> MIDPOINT DEPRECIATION SHEET</t>
  </si>
  <si>
    <t>Midpoint</t>
  </si>
  <si>
    <t>Reported</t>
  </si>
  <si>
    <t>Adjustment</t>
  </si>
  <si>
    <t>Service</t>
  </si>
  <si>
    <t>Total</t>
  </si>
  <si>
    <t>Remaining</t>
  </si>
  <si>
    <t xml:space="preserve">Total </t>
  </si>
  <si>
    <t>Actual</t>
  </si>
  <si>
    <t xml:space="preserve">Remaining </t>
  </si>
  <si>
    <t>Adjusted</t>
  </si>
  <si>
    <t>ACCOUNT</t>
  </si>
  <si>
    <t>Date</t>
  </si>
  <si>
    <t>Item Cost</t>
  </si>
  <si>
    <t>Method</t>
  </si>
  <si>
    <t>Life</t>
  </si>
  <si>
    <t>ACCUM. DEPRECIATION</t>
  </si>
  <si>
    <t>12.31.03</t>
  </si>
  <si>
    <t>TOTALS</t>
  </si>
  <si>
    <t>12.31.04</t>
  </si>
  <si>
    <t>12.31.05</t>
  </si>
  <si>
    <t>12.31.06</t>
  </si>
  <si>
    <t>12.31.07</t>
  </si>
  <si>
    <t>12.31.08</t>
  </si>
  <si>
    <t>12.31.09</t>
  </si>
  <si>
    <t>12.31.10</t>
  </si>
  <si>
    <t>12.31.11</t>
  </si>
  <si>
    <t>12.31.12</t>
  </si>
  <si>
    <t>12.31.13</t>
  </si>
  <si>
    <t>12.31.14</t>
  </si>
  <si>
    <t>12.31.15</t>
  </si>
  <si>
    <t>12.31.16</t>
  </si>
  <si>
    <t>12.31.17</t>
  </si>
  <si>
    <t>12.31.18</t>
  </si>
  <si>
    <t>AD</t>
  </si>
  <si>
    <t>Balance</t>
  </si>
  <si>
    <t>12.31.19</t>
  </si>
  <si>
    <t>A/D</t>
  </si>
  <si>
    <t>12.31.20</t>
  </si>
  <si>
    <t>12.31.21</t>
  </si>
  <si>
    <t>12.31.22</t>
  </si>
  <si>
    <t>12.31.23</t>
  </si>
  <si>
    <t xml:space="preserve">2023 new </t>
  </si>
  <si>
    <t>303 Land</t>
  </si>
  <si>
    <t>Land</t>
  </si>
  <si>
    <t>12.31.94</t>
  </si>
  <si>
    <t>Office Land</t>
  </si>
  <si>
    <t>6.30.94</t>
  </si>
  <si>
    <t>Plant #2 Land</t>
  </si>
  <si>
    <t>6.30.00</t>
  </si>
  <si>
    <t>Plant #1 Land</t>
  </si>
  <si>
    <t>8.28.01</t>
  </si>
  <si>
    <t>9.3.04</t>
  </si>
  <si>
    <t>Marshes Track</t>
  </si>
  <si>
    <t>11.6.09</t>
  </si>
  <si>
    <t>Pine Knot Tank Site</t>
  </si>
  <si>
    <t>11.24.10</t>
  </si>
  <si>
    <t>Crit King Property New shop land</t>
  </si>
  <si>
    <t>3.1.11</t>
  </si>
  <si>
    <t>Beaty Property</t>
  </si>
  <si>
    <t>12.13.11</t>
  </si>
  <si>
    <t>Property Next to Water Plant 1</t>
  </si>
  <si>
    <t>1.7.13</t>
  </si>
  <si>
    <t>Land for Booster Pump</t>
  </si>
  <si>
    <t>2.25.16</t>
  </si>
  <si>
    <t xml:space="preserve">Land Donated </t>
  </si>
  <si>
    <t>Land New Office Bldg</t>
  </si>
  <si>
    <t>AL_DepW</t>
  </si>
  <si>
    <t>304 Structures &amp; Improvements</t>
  </si>
  <si>
    <t>Treatment</t>
  </si>
  <si>
    <t xml:space="preserve">Trans. </t>
  </si>
  <si>
    <t>Storage</t>
  </si>
  <si>
    <t>General</t>
  </si>
  <si>
    <t>* supply</t>
  </si>
  <si>
    <t>&amp; Distrib.</t>
  </si>
  <si>
    <t>Tanks</t>
  </si>
  <si>
    <t>&amp; Admin</t>
  </si>
  <si>
    <t>Buildings</t>
  </si>
  <si>
    <t>12.31.91</t>
  </si>
  <si>
    <t>S/L</t>
  </si>
  <si>
    <t>Glass/Mirror</t>
  </si>
  <si>
    <t>Office Project</t>
  </si>
  <si>
    <t>6.30.95</t>
  </si>
  <si>
    <t>6.30.96</t>
  </si>
  <si>
    <t>6.30.97</t>
  </si>
  <si>
    <t>6.30.98</t>
  </si>
  <si>
    <t>Improvements</t>
  </si>
  <si>
    <t>6.30.99</t>
  </si>
  <si>
    <t>Dry Storage Bldg-Plant</t>
  </si>
  <si>
    <t>2.4.00</t>
  </si>
  <si>
    <t>Chlorine Bldg-Lake</t>
  </si>
  <si>
    <t>12.20.00</t>
  </si>
  <si>
    <t>Metal Roof Shop</t>
  </si>
  <si>
    <t>9.7.01</t>
  </si>
  <si>
    <t>Carpet</t>
  </si>
  <si>
    <t>2.13.04</t>
  </si>
  <si>
    <t>Counters</t>
  </si>
  <si>
    <t>Water Treatment Plant 2</t>
  </si>
  <si>
    <t>6.30.04</t>
  </si>
  <si>
    <t>Raw &amp; Fiished Water Transmission</t>
  </si>
  <si>
    <t>Water Treatment Plant 2 Expansion</t>
  </si>
  <si>
    <t>Water Treatment Plant</t>
  </si>
  <si>
    <t>3.28.05</t>
  </si>
  <si>
    <t>Prison Project Phase II</t>
  </si>
  <si>
    <t>5.2.05</t>
  </si>
  <si>
    <t>Storage Building</t>
  </si>
  <si>
    <t>12.15.07</t>
  </si>
  <si>
    <t>Building 1 material Storage Bldg</t>
  </si>
  <si>
    <t>4.5.12</t>
  </si>
  <si>
    <t>Building 2 Bew 24x50 Heated Bldg</t>
  </si>
  <si>
    <t>5.4.12</t>
  </si>
  <si>
    <t>Building 2 Meter Test Addition</t>
  </si>
  <si>
    <t>8.4.12</t>
  </si>
  <si>
    <t>Building 2 Bathroom Addition</t>
  </si>
  <si>
    <t>7.1.12</t>
  </si>
  <si>
    <t>Sidewalk</t>
  </si>
  <si>
    <t>10.3.12</t>
  </si>
  <si>
    <t>Building 3 Maintenance</t>
  </si>
  <si>
    <t>4.1.13</t>
  </si>
  <si>
    <t>Water Plant Upgrade</t>
  </si>
  <si>
    <t>6.30.14</t>
  </si>
  <si>
    <t>24x30 Metal Bldg at shop</t>
  </si>
  <si>
    <t>1.28.16</t>
  </si>
  <si>
    <t>24x40 slanted Roof Built Service Gar</t>
  </si>
  <si>
    <t>24x41 Shed</t>
  </si>
  <si>
    <t>9.2.16</t>
  </si>
  <si>
    <t>10.01.18</t>
  </si>
  <si>
    <t>New Office Bldg</t>
  </si>
  <si>
    <t>Paving</t>
  </si>
  <si>
    <t>Office Bldg Improvements</t>
  </si>
  <si>
    <t>2.28.19</t>
  </si>
  <si>
    <t>Reclassify to Sewer</t>
  </si>
  <si>
    <t>305 Collecting Reservoir</t>
  </si>
  <si>
    <t>Collecting</t>
  </si>
  <si>
    <t>Sludge Pond</t>
  </si>
  <si>
    <t>Prefab Water Vault</t>
  </si>
  <si>
    <t>2.24.23</t>
  </si>
  <si>
    <t>306 Lake</t>
  </si>
  <si>
    <t>309 Supply Mains</t>
  </si>
  <si>
    <t>Supply Main Line</t>
  </si>
  <si>
    <t>310 Power Generator Equipment</t>
  </si>
  <si>
    <t>12.22.10</t>
  </si>
  <si>
    <t>311 Plumbing Equipment</t>
  </si>
  <si>
    <t>Pumping Equipment</t>
  </si>
  <si>
    <t>Improvement</t>
  </si>
  <si>
    <t>4.23.93</t>
  </si>
  <si>
    <t>Pump</t>
  </si>
  <si>
    <t>8.15.95</t>
  </si>
  <si>
    <t>10.10.97</t>
  </si>
  <si>
    <t>Rebuilt Lake Pump</t>
  </si>
  <si>
    <t>12.2.02</t>
  </si>
  <si>
    <t>06.30.04</t>
  </si>
  <si>
    <t>Raw &amp; Finished Water Transmission</t>
  </si>
  <si>
    <t>Water Transmission Main Phase 1</t>
  </si>
  <si>
    <t>Pump Truck</t>
  </si>
  <si>
    <t>4.3.2006</t>
  </si>
  <si>
    <t>Pump Station</t>
  </si>
  <si>
    <t>10.14.10</t>
  </si>
  <si>
    <t xml:space="preserve">Scada Pump station </t>
  </si>
  <si>
    <t>11.03.11</t>
  </si>
  <si>
    <t>Turbine Pump SL12M</t>
  </si>
  <si>
    <t>4.28.23</t>
  </si>
  <si>
    <t>313 Lake, River and Other Intake</t>
  </si>
  <si>
    <t>Lake Input</t>
  </si>
  <si>
    <t>1.11.10</t>
  </si>
  <si>
    <t>320 Water Treatment</t>
  </si>
  <si>
    <t>Plant</t>
  </si>
  <si>
    <t>92 Plant</t>
  </si>
  <si>
    <t>6.30.92</t>
  </si>
  <si>
    <t>94 Plant</t>
  </si>
  <si>
    <t>Equipment</t>
  </si>
  <si>
    <t>12.3.97</t>
  </si>
  <si>
    <t>12.9.98</t>
  </si>
  <si>
    <t>99 Plant</t>
  </si>
  <si>
    <t>1.31.99</t>
  </si>
  <si>
    <t>3000 Gallon Tank</t>
  </si>
  <si>
    <t>3.9.00</t>
  </si>
  <si>
    <t>Water Treatment  Plant 2</t>
  </si>
  <si>
    <t>330 Standpipes</t>
  </si>
  <si>
    <t>Water Tanks</t>
  </si>
  <si>
    <t>12.31.76</t>
  </si>
  <si>
    <t>Fence</t>
  </si>
  <si>
    <t>Water Tank</t>
  </si>
  <si>
    <t>Paint Tank</t>
  </si>
  <si>
    <t>500000 Gal Elevated  Storage Tank</t>
  </si>
  <si>
    <t>1M Gallon Elevated Compsit Water Storage Tank</t>
  </si>
  <si>
    <t>New Liberty</t>
  </si>
  <si>
    <t>1.26.10</t>
  </si>
  <si>
    <t>Scada Pump Station</t>
  </si>
  <si>
    <t>Storage Tank</t>
  </si>
  <si>
    <t>7.27.12</t>
  </si>
  <si>
    <t>Water Tank Rehab</t>
  </si>
  <si>
    <t>12.12.23</t>
  </si>
  <si>
    <t>331 Transmissions &amp; Distribution Mains</t>
  </si>
  <si>
    <t>Main Lines</t>
  </si>
  <si>
    <t>Extend Lines</t>
  </si>
  <si>
    <t>6.30.93</t>
  </si>
  <si>
    <t>6.30.01</t>
  </si>
  <si>
    <t>6.30.02</t>
  </si>
  <si>
    <t>6.30.03</t>
  </si>
  <si>
    <t>Raw and Finished Water Transmission</t>
  </si>
  <si>
    <t>Water Transmission Main Phase 2</t>
  </si>
  <si>
    <t>2004 Line Extension</t>
  </si>
  <si>
    <t>2005 Line Extension</t>
  </si>
  <si>
    <t>6.30.05</t>
  </si>
  <si>
    <t>2006 Line Ext Countywide &amp; Housebill 267</t>
  </si>
  <si>
    <t>9.30.06</t>
  </si>
  <si>
    <t>2006 Line Extension</t>
  </si>
  <si>
    <t>6.30.06</t>
  </si>
  <si>
    <t>2007 Line Extension</t>
  </si>
  <si>
    <t>6.30.07</t>
  </si>
  <si>
    <t>2008 Line Extension</t>
  </si>
  <si>
    <t>6.30.08</t>
  </si>
  <si>
    <t>2009 Line Extension</t>
  </si>
  <si>
    <t>6.30.09</t>
  </si>
  <si>
    <t>2010 Line Extension</t>
  </si>
  <si>
    <t>6.30.10</t>
  </si>
  <si>
    <t>Distribution Study 319 Watershed</t>
  </si>
  <si>
    <t>11.16.10</t>
  </si>
  <si>
    <t>New Liberty Lines</t>
  </si>
  <si>
    <t>County Water Extension</t>
  </si>
  <si>
    <t>6.17.10</t>
  </si>
  <si>
    <t>Trans Main Upgrade Stearns to Pine Knot</t>
  </si>
  <si>
    <t>2.4.10</t>
  </si>
  <si>
    <t>Cumberland Falls State Park</t>
  </si>
  <si>
    <t>11.29.10</t>
  </si>
  <si>
    <t>Ky 92 Relocation</t>
  </si>
  <si>
    <t>Impairment</t>
  </si>
  <si>
    <t>2011 Line Extension</t>
  </si>
  <si>
    <t>6.30.11</t>
  </si>
  <si>
    <t>2012 Line Extension</t>
  </si>
  <si>
    <t>6.30.12</t>
  </si>
  <si>
    <t>2013 Line Extension</t>
  </si>
  <si>
    <t>6.30.13</t>
  </si>
  <si>
    <t>2014 Line Extension</t>
  </si>
  <si>
    <t>3.31.14</t>
  </si>
  <si>
    <t>2015 Line Extension</t>
  </si>
  <si>
    <t>6.30.15</t>
  </si>
  <si>
    <t>2016 Line Extension</t>
  </si>
  <si>
    <t>6.30.16</t>
  </si>
  <si>
    <t>2007 Abandoned Line 15.75%</t>
  </si>
  <si>
    <t>9.30.17</t>
  </si>
  <si>
    <t>2017 Line Extension</t>
  </si>
  <si>
    <t>6.30.17</t>
  </si>
  <si>
    <t>KY 92 Line Relocation</t>
  </si>
  <si>
    <t>2018 Line Extension</t>
  </si>
  <si>
    <t>6.30.18</t>
  </si>
  <si>
    <t>2019 Line Extension</t>
  </si>
  <si>
    <t>6.30.19</t>
  </si>
  <si>
    <t>2020 Line Extension</t>
  </si>
  <si>
    <t>6.30.20</t>
  </si>
  <si>
    <t>Sterns to Smithtown</t>
  </si>
  <si>
    <t>10.29.21</t>
  </si>
  <si>
    <t>2021 Abandoned Lines</t>
  </si>
  <si>
    <t>6.30.21</t>
  </si>
  <si>
    <t>2022 Line Extensions</t>
  </si>
  <si>
    <t>6.30.22</t>
  </si>
  <si>
    <t>Yamacrow Bridge Line</t>
  </si>
  <si>
    <t xml:space="preserve">Marsh Creek </t>
  </si>
  <si>
    <t>Marsh Creek (fiscal court part)</t>
  </si>
  <si>
    <t>Cantron Needle Rd</t>
  </si>
  <si>
    <t>Creekmore Privett Rd 1180"</t>
  </si>
  <si>
    <t>2023 Line Extensions</t>
  </si>
  <si>
    <t>6.30.23</t>
  </si>
  <si>
    <t>333 Services</t>
  </si>
  <si>
    <t>Services</t>
  </si>
  <si>
    <t>Services Countywide</t>
  </si>
  <si>
    <t>334 Meter Installation</t>
  </si>
  <si>
    <t>Meters</t>
  </si>
  <si>
    <t>Radio Read Water Meters</t>
  </si>
  <si>
    <t>New Radio Read Meters 3/4   212</t>
  </si>
  <si>
    <t>7.15.18</t>
  </si>
  <si>
    <t>New Radio Read Meters 3/4   499</t>
  </si>
  <si>
    <t>8.15.18</t>
  </si>
  <si>
    <t>New Radio Read Meters 3/4   720</t>
  </si>
  <si>
    <t>9.15.18</t>
  </si>
  <si>
    <t>New Radio Read Meters 3/4   907</t>
  </si>
  <si>
    <t>10.15.18</t>
  </si>
  <si>
    <t>New Radio Read Meters 3/4   406</t>
  </si>
  <si>
    <t>11.15.18</t>
  </si>
  <si>
    <t>New Radio Read Meters 3/4   269</t>
  </si>
  <si>
    <t>12.15.18</t>
  </si>
  <si>
    <t>New Radio Read Meters 1          6</t>
  </si>
  <si>
    <t>New Radio Read Meters 1          7</t>
  </si>
  <si>
    <t>Radio Meters</t>
  </si>
  <si>
    <t>1.1.19</t>
  </si>
  <si>
    <t>7.29.19</t>
  </si>
  <si>
    <t>8.16.19</t>
  </si>
  <si>
    <t>12.24.19</t>
  </si>
  <si>
    <t>335 Hydrants</t>
  </si>
  <si>
    <t>Hydrants</t>
  </si>
  <si>
    <t>Less Impaired Hydrants</t>
  </si>
  <si>
    <t>339 Other Equipment</t>
  </si>
  <si>
    <t>Computer</t>
  </si>
  <si>
    <t>3.6.98</t>
  </si>
  <si>
    <t>Flag &amp; Pole</t>
  </si>
  <si>
    <t>10.24.02</t>
  </si>
  <si>
    <t>Cdr Repeater</t>
  </si>
  <si>
    <t>10.12.04</t>
  </si>
  <si>
    <t>Utility Trailer</t>
  </si>
  <si>
    <t>4.1.05</t>
  </si>
  <si>
    <t>Digital Video &amp; Camera New Shop</t>
  </si>
  <si>
    <t>6.12.12</t>
  </si>
  <si>
    <t>Digital Video &amp; Camera Plant 2</t>
  </si>
  <si>
    <t>8.17.13</t>
  </si>
  <si>
    <t>340 Office Furniture Equipment</t>
  </si>
  <si>
    <t>Misc.</t>
  </si>
  <si>
    <t>12.31.95</t>
  </si>
  <si>
    <t>Desk &amp; Chair</t>
  </si>
  <si>
    <t>6.30.88</t>
  </si>
  <si>
    <t>Cabinet</t>
  </si>
  <si>
    <t>6.30.90</t>
  </si>
  <si>
    <t>Lyrix Word</t>
  </si>
  <si>
    <t>6.30.91</t>
  </si>
  <si>
    <t>Desk</t>
  </si>
  <si>
    <t>Software</t>
  </si>
  <si>
    <t>Computer Resources</t>
  </si>
  <si>
    <t>Furnishings</t>
  </si>
  <si>
    <t>Furniture</t>
  </si>
  <si>
    <t>Printer Strands</t>
  </si>
  <si>
    <t>Plant Computer</t>
  </si>
  <si>
    <t>5.16.97</t>
  </si>
  <si>
    <t>Modern Security System</t>
  </si>
  <si>
    <t>3.21.01</t>
  </si>
  <si>
    <t>Weddle Surveillance System</t>
  </si>
  <si>
    <t>Laser Printer</t>
  </si>
  <si>
    <t>12.12.02</t>
  </si>
  <si>
    <t>2.14.03</t>
  </si>
  <si>
    <t>CD Burner</t>
  </si>
  <si>
    <t>7.9.04</t>
  </si>
  <si>
    <t>17" Moniter</t>
  </si>
  <si>
    <t>2.18.05</t>
  </si>
  <si>
    <t>Night Deposit Drawer&amp;Envelope Disp</t>
  </si>
  <si>
    <t>9.28.06</t>
  </si>
  <si>
    <t xml:space="preserve">Computer System </t>
  </si>
  <si>
    <t>4.4.08</t>
  </si>
  <si>
    <t>FD Advanced 2 Machine for folding/ins/sealing</t>
  </si>
  <si>
    <t>4.30.09</t>
  </si>
  <si>
    <t>RicohCopier MPC4000</t>
  </si>
  <si>
    <t>7.16.09</t>
  </si>
  <si>
    <t>Copier</t>
  </si>
  <si>
    <t>12.30.13</t>
  </si>
  <si>
    <t>10.7.21</t>
  </si>
  <si>
    <t>Billing Software</t>
  </si>
  <si>
    <t>341 Transportation</t>
  </si>
  <si>
    <t>86 GMC Dump-yellow</t>
  </si>
  <si>
    <t>Tool Boxes</t>
  </si>
  <si>
    <t>Ford F150</t>
  </si>
  <si>
    <t>8.22.03</t>
  </si>
  <si>
    <t>10 Ton Trailer</t>
  </si>
  <si>
    <t>1.7.05</t>
  </si>
  <si>
    <t>94 Ford F-700</t>
  </si>
  <si>
    <t>2007 Dodge Ram 1500</t>
  </si>
  <si>
    <t>7.25.06</t>
  </si>
  <si>
    <t>2009 Ford Pick up Truck</t>
  </si>
  <si>
    <t>5.7.09</t>
  </si>
  <si>
    <t>2013 Chev</t>
  </si>
  <si>
    <t>12.26.19</t>
  </si>
  <si>
    <t>2011 F350 Pickup</t>
  </si>
  <si>
    <t>12.8.2010</t>
  </si>
  <si>
    <t>Utility Bed for F450 Truck</t>
  </si>
  <si>
    <t>11.1.11</t>
  </si>
  <si>
    <t>Trailer 16x4</t>
  </si>
  <si>
    <t>8.24.12</t>
  </si>
  <si>
    <t>07 Ford F-150</t>
  </si>
  <si>
    <t>9.21.12</t>
  </si>
  <si>
    <t>Truck</t>
  </si>
  <si>
    <t>7.15.14</t>
  </si>
  <si>
    <t>transferred from Sewer</t>
  </si>
  <si>
    <t>Ford F-550 Truck</t>
  </si>
  <si>
    <t>8.12.15</t>
  </si>
  <si>
    <t>Trailer</t>
  </si>
  <si>
    <t>9.10.15</t>
  </si>
  <si>
    <t>3.17.16</t>
  </si>
  <si>
    <t>GMC Terrain</t>
  </si>
  <si>
    <t>12.22.16</t>
  </si>
  <si>
    <t>Dump Truck</t>
  </si>
  <si>
    <t>12.4.17</t>
  </si>
  <si>
    <t>12.14.17</t>
  </si>
  <si>
    <t>2011 Ford Ranger</t>
  </si>
  <si>
    <t>03.08.18</t>
  </si>
  <si>
    <t>10.19.18</t>
  </si>
  <si>
    <t>2014 Chevrolet</t>
  </si>
  <si>
    <t>3.2.2020</t>
  </si>
  <si>
    <t>3.25.21</t>
  </si>
  <si>
    <t>2021 Dodge</t>
  </si>
  <si>
    <t>8.5.21</t>
  </si>
  <si>
    <t>C&amp;M T&amp;M</t>
  </si>
  <si>
    <t>10.1.21</t>
  </si>
  <si>
    <t>Dodge Disel 4wh dr truck with cm bed</t>
  </si>
  <si>
    <t>3.16.22</t>
  </si>
  <si>
    <t>Assets disposed</t>
  </si>
  <si>
    <t>Truck Equipment</t>
  </si>
  <si>
    <t>6.22.23</t>
  </si>
  <si>
    <t>Ford Ranger</t>
  </si>
  <si>
    <t>9.15.23</t>
  </si>
  <si>
    <t>343 Shop Equipment</t>
  </si>
  <si>
    <t>Various</t>
  </si>
  <si>
    <t>12.31.79</t>
  </si>
  <si>
    <t>344 Lab Equipment</t>
  </si>
  <si>
    <t>Water Treatment Plant No 2</t>
  </si>
  <si>
    <t>345 Power Oriented Equipment</t>
  </si>
  <si>
    <t>580 M Case Backhoe</t>
  </si>
  <si>
    <t>5.10.02</t>
  </si>
  <si>
    <t>Bore Machine</t>
  </si>
  <si>
    <t>D-3 Dozer</t>
  </si>
  <si>
    <t>Vermeer Trencher</t>
  </si>
  <si>
    <t>3.21.00</t>
  </si>
  <si>
    <t>1/2 1850 Mower</t>
  </si>
  <si>
    <t>7.18.03</t>
  </si>
  <si>
    <t>Gas Generator</t>
  </si>
  <si>
    <t>Emergency Generator</t>
  </si>
  <si>
    <t>5.6.05</t>
  </si>
  <si>
    <t>Bor It Machine</t>
  </si>
  <si>
    <t>12.18.08</t>
  </si>
  <si>
    <t>Vermeer</t>
  </si>
  <si>
    <t>9.1.06</t>
  </si>
  <si>
    <t>Dixie Chopper</t>
  </si>
  <si>
    <t>7.25.07</t>
  </si>
  <si>
    <t>Jack Hammer Air Compressor</t>
  </si>
  <si>
    <t>12.29.08</t>
  </si>
  <si>
    <t>Case Excavator and bucket</t>
  </si>
  <si>
    <t>12.1.09</t>
  </si>
  <si>
    <t>Diesel and Gas Generator used</t>
  </si>
  <si>
    <t>6.4.10</t>
  </si>
  <si>
    <t>Hammer for Equipment</t>
  </si>
  <si>
    <t>7.8.10</t>
  </si>
  <si>
    <t>Takeuchi TB153 Excavator</t>
  </si>
  <si>
    <t>6.15.11</t>
  </si>
  <si>
    <t>185 CFM Sullair Air Compressor</t>
  </si>
  <si>
    <t>12.13.12</t>
  </si>
  <si>
    <t>Straw blower</t>
  </si>
  <si>
    <t>4.7.16</t>
  </si>
  <si>
    <t>100 KW Kohler Mobile Generator</t>
  </si>
  <si>
    <t>8.27.20</t>
  </si>
  <si>
    <t>Takeuchi Trac Hoe</t>
  </si>
  <si>
    <t>10.15.20</t>
  </si>
  <si>
    <t>Telemetry Equipment</t>
  </si>
  <si>
    <t>1.16.08</t>
  </si>
  <si>
    <t>12.16.22</t>
  </si>
  <si>
    <t>10.21.22</t>
  </si>
  <si>
    <t>346 Communication Equipment</t>
  </si>
  <si>
    <t>Grand Totals</t>
  </si>
  <si>
    <t>Audit adjustment</t>
  </si>
  <si>
    <t>Meters Changed Out Remaing Cost</t>
  </si>
  <si>
    <t>Over five years per PSC</t>
  </si>
  <si>
    <t>Gone- 5 year amortization-ended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</si>
</sst>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mm/dd/yyyy"/>
    <numFmt numFmtId="166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i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1" fontId="4" fillId="0" borderId="0" xfId="0" applyNumberFormat="1" applyFont="1" applyAlignment="1">
      <alignment wrapText="1"/>
    </xf>
    <xf numFmtId="0" fontId="4" fillId="3" borderId="2" xfId="0" applyFont="1" applyFill="1" applyBorder="1"/>
    <xf numFmtId="0" fontId="4" fillId="0" borderId="0" xfId="0" applyFont="1" applyAlignment="1">
      <alignment horizontal="center"/>
    </xf>
    <xf numFmtId="1" fontId="3" fillId="0" borderId="0" xfId="0" applyNumberFormat="1" applyFont="1"/>
    <xf numFmtId="1" fontId="3" fillId="3" borderId="2" xfId="0" applyNumberFormat="1" applyFont="1" applyFill="1" applyBorder="1"/>
    <xf numFmtId="1" fontId="5" fillId="0" borderId="0" xfId="0" applyNumberFormat="1" applyFont="1"/>
    <xf numFmtId="1" fontId="4" fillId="3" borderId="2" xfId="0" applyNumberFormat="1" applyFont="1" applyFill="1" applyBorder="1"/>
    <xf numFmtId="0" fontId="4" fillId="0" borderId="3" xfId="0" applyFont="1" applyBorder="1"/>
    <xf numFmtId="0" fontId="4" fillId="2" borderId="0" xfId="0" applyFont="1" applyFill="1" applyAlignment="1">
      <alignment horizontal="center"/>
    </xf>
    <xf numFmtId="1" fontId="6" fillId="0" borderId="0" xfId="0" applyNumberFormat="1" applyFont="1"/>
    <xf numFmtId="0" fontId="4" fillId="2" borderId="0" xfId="0" applyFont="1" applyFill="1"/>
    <xf numFmtId="1" fontId="4" fillId="2" borderId="0" xfId="0" applyNumberFormat="1" applyFont="1" applyFill="1"/>
    <xf numFmtId="0" fontId="6" fillId="0" borderId="0" xfId="0" applyFont="1"/>
    <xf numFmtId="1" fontId="4" fillId="3" borderId="1" xfId="0" applyNumberFormat="1" applyFont="1" applyFill="1" applyBorder="1"/>
    <xf numFmtId="164" fontId="4" fillId="2" borderId="0" xfId="0" applyNumberFormat="1" applyFont="1" applyFill="1"/>
    <xf numFmtId="0" fontId="5" fillId="2" borderId="0" xfId="0" applyFont="1" applyFill="1"/>
    <xf numFmtId="0" fontId="3" fillId="2" borderId="0" xfId="0" applyFont="1" applyFill="1"/>
    <xf numFmtId="2" fontId="3" fillId="3" borderId="2" xfId="0" applyNumberFormat="1" applyFont="1" applyFill="1" applyBorder="1"/>
    <xf numFmtId="2" fontId="3" fillId="0" borderId="0" xfId="0" applyNumberFormat="1" applyFont="1"/>
    <xf numFmtId="2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1" fontId="3" fillId="0" borderId="4" xfId="0" applyNumberFormat="1" applyFont="1" applyBorder="1"/>
    <xf numFmtId="1" fontId="4" fillId="0" borderId="4" xfId="0" applyNumberFormat="1" applyFont="1" applyBorder="1"/>
    <xf numFmtId="0" fontId="4" fillId="0" borderId="4" xfId="0" applyFont="1" applyBorder="1"/>
    <xf numFmtId="164" fontId="4" fillId="0" borderId="4" xfId="0" applyNumberFormat="1" applyFont="1" applyBorder="1"/>
    <xf numFmtId="14" fontId="4" fillId="0" borderId="0" xfId="0" applyNumberFormat="1" applyFont="1"/>
    <xf numFmtId="1" fontId="2" fillId="0" borderId="0" xfId="0" applyNumberFormat="1" applyFont="1"/>
    <xf numFmtId="0" fontId="7" fillId="0" borderId="0" xfId="0" applyFont="1" applyAlignment="1">
      <alignment horizontal="center"/>
    </xf>
    <xf numFmtId="164" fontId="6" fillId="0" borderId="0" xfId="0" applyNumberFormat="1" applyFont="1"/>
    <xf numFmtId="165" fontId="4" fillId="0" borderId="0" xfId="0" applyNumberFormat="1" applyFont="1"/>
    <xf numFmtId="1" fontId="5" fillId="0" borderId="5" xfId="0" applyNumberFormat="1" applyFont="1" applyBorder="1"/>
    <xf numFmtId="1" fontId="4" fillId="0" borderId="5" xfId="0" applyNumberFormat="1" applyFont="1" applyBorder="1"/>
    <xf numFmtId="3" fontId="4" fillId="0" borderId="0" xfId="0" applyNumberFormat="1" applyFont="1"/>
    <xf numFmtId="0" fontId="8" fillId="0" borderId="0" xfId="0" applyFont="1"/>
    <xf numFmtId="3" fontId="8" fillId="0" borderId="0" xfId="0" applyNumberFormat="1" applyFont="1"/>
    <xf numFmtId="1" fontId="8" fillId="0" borderId="0" xfId="0" applyNumberFormat="1" applyFont="1"/>
    <xf numFmtId="3" fontId="9" fillId="0" borderId="0" xfId="0" applyNumberFormat="1" applyFont="1"/>
    <xf numFmtId="3" fontId="8" fillId="3" borderId="2" xfId="0" applyNumberFormat="1" applyFont="1" applyFill="1" applyBorder="1"/>
    <xf numFmtId="166" fontId="4" fillId="0" borderId="0" xfId="1" applyNumberFormat="1" applyFont="1"/>
    <xf numFmtId="0" fontId="4" fillId="3" borderId="6" xfId="0" applyFont="1" applyFill="1" applyBorder="1"/>
    <xf numFmtId="0" fontId="4" fillId="3" borderId="0" xfId="0" applyFont="1" applyFill="1"/>
    <xf numFmtId="1" fontId="4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3F59-F5F8-4FD3-9A02-81066BD73C99}">
  <dimension ref="A1:BL430"/>
  <sheetViews>
    <sheetView tabSelected="1" workbookViewId="0">
      <selection activeCell="BI4" sqref="BI4"/>
    </sheetView>
  </sheetViews>
  <sheetFormatPr defaultColWidth="11.90625" defaultRowHeight="15.5" x14ac:dyDescent="0.35"/>
  <cols>
    <col min="1" max="1" width="36.08984375" style="3" customWidth="1"/>
    <col min="2" max="2" width="11.1796875" style="3" customWidth="1"/>
    <col min="3" max="3" width="12.08984375" style="3" bestFit="1" customWidth="1"/>
    <col min="4" max="4" width="8.36328125" style="3" customWidth="1"/>
    <col min="5" max="5" width="5.54296875" style="2" customWidth="1"/>
    <col min="6" max="6" width="0.36328125" style="3" customWidth="1"/>
    <col min="7" max="9" width="0" style="3" hidden="1" customWidth="1"/>
    <col min="10" max="10" width="2.08984375" style="3" hidden="1" customWidth="1"/>
    <col min="11" max="42" width="0" style="3" hidden="1" customWidth="1"/>
    <col min="43" max="43" width="8.984375E-2" style="3" hidden="1" customWidth="1"/>
    <col min="44" max="44" width="2" style="3" hidden="1" customWidth="1"/>
    <col min="45" max="45" width="8.984375E-2" style="3" hidden="1" customWidth="1"/>
    <col min="46" max="46" width="1.81640625" style="3" hidden="1" customWidth="1"/>
    <col min="47" max="47" width="0.1796875" style="3" hidden="1" customWidth="1"/>
    <col min="48" max="48" width="1.6328125" style="3" hidden="1" customWidth="1"/>
    <col min="49" max="49" width="13.54296875" style="3" hidden="1" customWidth="1"/>
    <col min="50" max="51" width="12.6328125" style="3" hidden="1" customWidth="1"/>
    <col min="52" max="52" width="14.1796875" style="3" hidden="1" customWidth="1"/>
    <col min="53" max="53" width="11.90625" style="57"/>
    <col min="54" max="55" width="0" style="3" hidden="1" customWidth="1"/>
    <col min="56" max="58" width="11.90625" style="3"/>
    <col min="59" max="59" width="12.7265625" style="3" customWidth="1"/>
    <col min="60" max="256" width="11.90625" style="3"/>
    <col min="257" max="257" width="36.08984375" style="3" customWidth="1"/>
    <col min="258" max="261" width="11.90625" style="3"/>
    <col min="262" max="262" width="12.1796875" style="3" customWidth="1"/>
    <col min="263" max="298" width="0" style="3" hidden="1" customWidth="1"/>
    <col min="299" max="300" width="11.90625" style="3"/>
    <col min="301" max="301" width="13.36328125" style="3" customWidth="1"/>
    <col min="302" max="302" width="12.08984375" style="3" customWidth="1"/>
    <col min="303" max="303" width="11.90625" style="3"/>
    <col min="304" max="304" width="13.36328125" style="3" customWidth="1"/>
    <col min="305" max="512" width="11.90625" style="3"/>
    <col min="513" max="513" width="36.08984375" style="3" customWidth="1"/>
    <col min="514" max="517" width="11.90625" style="3"/>
    <col min="518" max="518" width="12.1796875" style="3" customWidth="1"/>
    <col min="519" max="554" width="0" style="3" hidden="1" customWidth="1"/>
    <col min="555" max="556" width="11.90625" style="3"/>
    <col min="557" max="557" width="13.36328125" style="3" customWidth="1"/>
    <col min="558" max="558" width="12.08984375" style="3" customWidth="1"/>
    <col min="559" max="559" width="11.90625" style="3"/>
    <col min="560" max="560" width="13.36328125" style="3" customWidth="1"/>
    <col min="561" max="768" width="11.90625" style="3"/>
    <col min="769" max="769" width="36.08984375" style="3" customWidth="1"/>
    <col min="770" max="773" width="11.90625" style="3"/>
    <col min="774" max="774" width="12.1796875" style="3" customWidth="1"/>
    <col min="775" max="810" width="0" style="3" hidden="1" customWidth="1"/>
    <col min="811" max="812" width="11.90625" style="3"/>
    <col min="813" max="813" width="13.36328125" style="3" customWidth="1"/>
    <col min="814" max="814" width="12.08984375" style="3" customWidth="1"/>
    <col min="815" max="815" width="11.90625" style="3"/>
    <col min="816" max="816" width="13.36328125" style="3" customWidth="1"/>
    <col min="817" max="1024" width="11.90625" style="3"/>
    <col min="1025" max="1025" width="36.08984375" style="3" customWidth="1"/>
    <col min="1026" max="1029" width="11.90625" style="3"/>
    <col min="1030" max="1030" width="12.1796875" style="3" customWidth="1"/>
    <col min="1031" max="1066" width="0" style="3" hidden="1" customWidth="1"/>
    <col min="1067" max="1068" width="11.90625" style="3"/>
    <col min="1069" max="1069" width="13.36328125" style="3" customWidth="1"/>
    <col min="1070" max="1070" width="12.08984375" style="3" customWidth="1"/>
    <col min="1071" max="1071" width="11.90625" style="3"/>
    <col min="1072" max="1072" width="13.36328125" style="3" customWidth="1"/>
    <col min="1073" max="1280" width="11.90625" style="3"/>
    <col min="1281" max="1281" width="36.08984375" style="3" customWidth="1"/>
    <col min="1282" max="1285" width="11.90625" style="3"/>
    <col min="1286" max="1286" width="12.1796875" style="3" customWidth="1"/>
    <col min="1287" max="1322" width="0" style="3" hidden="1" customWidth="1"/>
    <col min="1323" max="1324" width="11.90625" style="3"/>
    <col min="1325" max="1325" width="13.36328125" style="3" customWidth="1"/>
    <col min="1326" max="1326" width="12.08984375" style="3" customWidth="1"/>
    <col min="1327" max="1327" width="11.90625" style="3"/>
    <col min="1328" max="1328" width="13.36328125" style="3" customWidth="1"/>
    <col min="1329" max="1536" width="11.90625" style="3"/>
    <col min="1537" max="1537" width="36.08984375" style="3" customWidth="1"/>
    <col min="1538" max="1541" width="11.90625" style="3"/>
    <col min="1542" max="1542" width="12.1796875" style="3" customWidth="1"/>
    <col min="1543" max="1578" width="0" style="3" hidden="1" customWidth="1"/>
    <col min="1579" max="1580" width="11.90625" style="3"/>
    <col min="1581" max="1581" width="13.36328125" style="3" customWidth="1"/>
    <col min="1582" max="1582" width="12.08984375" style="3" customWidth="1"/>
    <col min="1583" max="1583" width="11.90625" style="3"/>
    <col min="1584" max="1584" width="13.36328125" style="3" customWidth="1"/>
    <col min="1585" max="1792" width="11.90625" style="3"/>
    <col min="1793" max="1793" width="36.08984375" style="3" customWidth="1"/>
    <col min="1794" max="1797" width="11.90625" style="3"/>
    <col min="1798" max="1798" width="12.1796875" style="3" customWidth="1"/>
    <col min="1799" max="1834" width="0" style="3" hidden="1" customWidth="1"/>
    <col min="1835" max="1836" width="11.90625" style="3"/>
    <col min="1837" max="1837" width="13.36328125" style="3" customWidth="1"/>
    <col min="1838" max="1838" width="12.08984375" style="3" customWidth="1"/>
    <col min="1839" max="1839" width="11.90625" style="3"/>
    <col min="1840" max="1840" width="13.36328125" style="3" customWidth="1"/>
    <col min="1841" max="2048" width="11.90625" style="3"/>
    <col min="2049" max="2049" width="36.08984375" style="3" customWidth="1"/>
    <col min="2050" max="2053" width="11.90625" style="3"/>
    <col min="2054" max="2054" width="12.1796875" style="3" customWidth="1"/>
    <col min="2055" max="2090" width="0" style="3" hidden="1" customWidth="1"/>
    <col min="2091" max="2092" width="11.90625" style="3"/>
    <col min="2093" max="2093" width="13.36328125" style="3" customWidth="1"/>
    <col min="2094" max="2094" width="12.08984375" style="3" customWidth="1"/>
    <col min="2095" max="2095" width="11.90625" style="3"/>
    <col min="2096" max="2096" width="13.36328125" style="3" customWidth="1"/>
    <col min="2097" max="2304" width="11.90625" style="3"/>
    <col min="2305" max="2305" width="36.08984375" style="3" customWidth="1"/>
    <col min="2306" max="2309" width="11.90625" style="3"/>
    <col min="2310" max="2310" width="12.1796875" style="3" customWidth="1"/>
    <col min="2311" max="2346" width="0" style="3" hidden="1" customWidth="1"/>
    <col min="2347" max="2348" width="11.90625" style="3"/>
    <col min="2349" max="2349" width="13.36328125" style="3" customWidth="1"/>
    <col min="2350" max="2350" width="12.08984375" style="3" customWidth="1"/>
    <col min="2351" max="2351" width="11.90625" style="3"/>
    <col min="2352" max="2352" width="13.36328125" style="3" customWidth="1"/>
    <col min="2353" max="2560" width="11.90625" style="3"/>
    <col min="2561" max="2561" width="36.08984375" style="3" customWidth="1"/>
    <col min="2562" max="2565" width="11.90625" style="3"/>
    <col min="2566" max="2566" width="12.1796875" style="3" customWidth="1"/>
    <col min="2567" max="2602" width="0" style="3" hidden="1" customWidth="1"/>
    <col min="2603" max="2604" width="11.90625" style="3"/>
    <col min="2605" max="2605" width="13.36328125" style="3" customWidth="1"/>
    <col min="2606" max="2606" width="12.08984375" style="3" customWidth="1"/>
    <col min="2607" max="2607" width="11.90625" style="3"/>
    <col min="2608" max="2608" width="13.36328125" style="3" customWidth="1"/>
    <col min="2609" max="2816" width="11.90625" style="3"/>
    <col min="2817" max="2817" width="36.08984375" style="3" customWidth="1"/>
    <col min="2818" max="2821" width="11.90625" style="3"/>
    <col min="2822" max="2822" width="12.1796875" style="3" customWidth="1"/>
    <col min="2823" max="2858" width="0" style="3" hidden="1" customWidth="1"/>
    <col min="2859" max="2860" width="11.90625" style="3"/>
    <col min="2861" max="2861" width="13.36328125" style="3" customWidth="1"/>
    <col min="2862" max="2862" width="12.08984375" style="3" customWidth="1"/>
    <col min="2863" max="2863" width="11.90625" style="3"/>
    <col min="2864" max="2864" width="13.36328125" style="3" customWidth="1"/>
    <col min="2865" max="3072" width="11.90625" style="3"/>
    <col min="3073" max="3073" width="36.08984375" style="3" customWidth="1"/>
    <col min="3074" max="3077" width="11.90625" style="3"/>
    <col min="3078" max="3078" width="12.1796875" style="3" customWidth="1"/>
    <col min="3079" max="3114" width="0" style="3" hidden="1" customWidth="1"/>
    <col min="3115" max="3116" width="11.90625" style="3"/>
    <col min="3117" max="3117" width="13.36328125" style="3" customWidth="1"/>
    <col min="3118" max="3118" width="12.08984375" style="3" customWidth="1"/>
    <col min="3119" max="3119" width="11.90625" style="3"/>
    <col min="3120" max="3120" width="13.36328125" style="3" customWidth="1"/>
    <col min="3121" max="3328" width="11.90625" style="3"/>
    <col min="3329" max="3329" width="36.08984375" style="3" customWidth="1"/>
    <col min="3330" max="3333" width="11.90625" style="3"/>
    <col min="3334" max="3334" width="12.1796875" style="3" customWidth="1"/>
    <col min="3335" max="3370" width="0" style="3" hidden="1" customWidth="1"/>
    <col min="3371" max="3372" width="11.90625" style="3"/>
    <col min="3373" max="3373" width="13.36328125" style="3" customWidth="1"/>
    <col min="3374" max="3374" width="12.08984375" style="3" customWidth="1"/>
    <col min="3375" max="3375" width="11.90625" style="3"/>
    <col min="3376" max="3376" width="13.36328125" style="3" customWidth="1"/>
    <col min="3377" max="3584" width="11.90625" style="3"/>
    <col min="3585" max="3585" width="36.08984375" style="3" customWidth="1"/>
    <col min="3586" max="3589" width="11.90625" style="3"/>
    <col min="3590" max="3590" width="12.1796875" style="3" customWidth="1"/>
    <col min="3591" max="3626" width="0" style="3" hidden="1" customWidth="1"/>
    <col min="3627" max="3628" width="11.90625" style="3"/>
    <col min="3629" max="3629" width="13.36328125" style="3" customWidth="1"/>
    <col min="3630" max="3630" width="12.08984375" style="3" customWidth="1"/>
    <col min="3631" max="3631" width="11.90625" style="3"/>
    <col min="3632" max="3632" width="13.36328125" style="3" customWidth="1"/>
    <col min="3633" max="3840" width="11.90625" style="3"/>
    <col min="3841" max="3841" width="36.08984375" style="3" customWidth="1"/>
    <col min="3842" max="3845" width="11.90625" style="3"/>
    <col min="3846" max="3846" width="12.1796875" style="3" customWidth="1"/>
    <col min="3847" max="3882" width="0" style="3" hidden="1" customWidth="1"/>
    <col min="3883" max="3884" width="11.90625" style="3"/>
    <col min="3885" max="3885" width="13.36328125" style="3" customWidth="1"/>
    <col min="3886" max="3886" width="12.08984375" style="3" customWidth="1"/>
    <col min="3887" max="3887" width="11.90625" style="3"/>
    <col min="3888" max="3888" width="13.36328125" style="3" customWidth="1"/>
    <col min="3889" max="4096" width="11.90625" style="3"/>
    <col min="4097" max="4097" width="36.08984375" style="3" customWidth="1"/>
    <col min="4098" max="4101" width="11.90625" style="3"/>
    <col min="4102" max="4102" width="12.1796875" style="3" customWidth="1"/>
    <col min="4103" max="4138" width="0" style="3" hidden="1" customWidth="1"/>
    <col min="4139" max="4140" width="11.90625" style="3"/>
    <col min="4141" max="4141" width="13.36328125" style="3" customWidth="1"/>
    <col min="4142" max="4142" width="12.08984375" style="3" customWidth="1"/>
    <col min="4143" max="4143" width="11.90625" style="3"/>
    <col min="4144" max="4144" width="13.36328125" style="3" customWidth="1"/>
    <col min="4145" max="4352" width="11.90625" style="3"/>
    <col min="4353" max="4353" width="36.08984375" style="3" customWidth="1"/>
    <col min="4354" max="4357" width="11.90625" style="3"/>
    <col min="4358" max="4358" width="12.1796875" style="3" customWidth="1"/>
    <col min="4359" max="4394" width="0" style="3" hidden="1" customWidth="1"/>
    <col min="4395" max="4396" width="11.90625" style="3"/>
    <col min="4397" max="4397" width="13.36328125" style="3" customWidth="1"/>
    <col min="4398" max="4398" width="12.08984375" style="3" customWidth="1"/>
    <col min="4399" max="4399" width="11.90625" style="3"/>
    <col min="4400" max="4400" width="13.36328125" style="3" customWidth="1"/>
    <col min="4401" max="4608" width="11.90625" style="3"/>
    <col min="4609" max="4609" width="36.08984375" style="3" customWidth="1"/>
    <col min="4610" max="4613" width="11.90625" style="3"/>
    <col min="4614" max="4614" width="12.1796875" style="3" customWidth="1"/>
    <col min="4615" max="4650" width="0" style="3" hidden="1" customWidth="1"/>
    <col min="4651" max="4652" width="11.90625" style="3"/>
    <col min="4653" max="4653" width="13.36328125" style="3" customWidth="1"/>
    <col min="4654" max="4654" width="12.08984375" style="3" customWidth="1"/>
    <col min="4655" max="4655" width="11.90625" style="3"/>
    <col min="4656" max="4656" width="13.36328125" style="3" customWidth="1"/>
    <col min="4657" max="4864" width="11.90625" style="3"/>
    <col min="4865" max="4865" width="36.08984375" style="3" customWidth="1"/>
    <col min="4866" max="4869" width="11.90625" style="3"/>
    <col min="4870" max="4870" width="12.1796875" style="3" customWidth="1"/>
    <col min="4871" max="4906" width="0" style="3" hidden="1" customWidth="1"/>
    <col min="4907" max="4908" width="11.90625" style="3"/>
    <col min="4909" max="4909" width="13.36328125" style="3" customWidth="1"/>
    <col min="4910" max="4910" width="12.08984375" style="3" customWidth="1"/>
    <col min="4911" max="4911" width="11.90625" style="3"/>
    <col min="4912" max="4912" width="13.36328125" style="3" customWidth="1"/>
    <col min="4913" max="5120" width="11.90625" style="3"/>
    <col min="5121" max="5121" width="36.08984375" style="3" customWidth="1"/>
    <col min="5122" max="5125" width="11.90625" style="3"/>
    <col min="5126" max="5126" width="12.1796875" style="3" customWidth="1"/>
    <col min="5127" max="5162" width="0" style="3" hidden="1" customWidth="1"/>
    <col min="5163" max="5164" width="11.90625" style="3"/>
    <col min="5165" max="5165" width="13.36328125" style="3" customWidth="1"/>
    <col min="5166" max="5166" width="12.08984375" style="3" customWidth="1"/>
    <col min="5167" max="5167" width="11.90625" style="3"/>
    <col min="5168" max="5168" width="13.36328125" style="3" customWidth="1"/>
    <col min="5169" max="5376" width="11.90625" style="3"/>
    <col min="5377" max="5377" width="36.08984375" style="3" customWidth="1"/>
    <col min="5378" max="5381" width="11.90625" style="3"/>
    <col min="5382" max="5382" width="12.1796875" style="3" customWidth="1"/>
    <col min="5383" max="5418" width="0" style="3" hidden="1" customWidth="1"/>
    <col min="5419" max="5420" width="11.90625" style="3"/>
    <col min="5421" max="5421" width="13.36328125" style="3" customWidth="1"/>
    <col min="5422" max="5422" width="12.08984375" style="3" customWidth="1"/>
    <col min="5423" max="5423" width="11.90625" style="3"/>
    <col min="5424" max="5424" width="13.36328125" style="3" customWidth="1"/>
    <col min="5425" max="5632" width="11.90625" style="3"/>
    <col min="5633" max="5633" width="36.08984375" style="3" customWidth="1"/>
    <col min="5634" max="5637" width="11.90625" style="3"/>
    <col min="5638" max="5638" width="12.1796875" style="3" customWidth="1"/>
    <col min="5639" max="5674" width="0" style="3" hidden="1" customWidth="1"/>
    <col min="5675" max="5676" width="11.90625" style="3"/>
    <col min="5677" max="5677" width="13.36328125" style="3" customWidth="1"/>
    <col min="5678" max="5678" width="12.08984375" style="3" customWidth="1"/>
    <col min="5679" max="5679" width="11.90625" style="3"/>
    <col min="5680" max="5680" width="13.36328125" style="3" customWidth="1"/>
    <col min="5681" max="5888" width="11.90625" style="3"/>
    <col min="5889" max="5889" width="36.08984375" style="3" customWidth="1"/>
    <col min="5890" max="5893" width="11.90625" style="3"/>
    <col min="5894" max="5894" width="12.1796875" style="3" customWidth="1"/>
    <col min="5895" max="5930" width="0" style="3" hidden="1" customWidth="1"/>
    <col min="5931" max="5932" width="11.90625" style="3"/>
    <col min="5933" max="5933" width="13.36328125" style="3" customWidth="1"/>
    <col min="5934" max="5934" width="12.08984375" style="3" customWidth="1"/>
    <col min="5935" max="5935" width="11.90625" style="3"/>
    <col min="5936" max="5936" width="13.36328125" style="3" customWidth="1"/>
    <col min="5937" max="6144" width="11.90625" style="3"/>
    <col min="6145" max="6145" width="36.08984375" style="3" customWidth="1"/>
    <col min="6146" max="6149" width="11.90625" style="3"/>
    <col min="6150" max="6150" width="12.1796875" style="3" customWidth="1"/>
    <col min="6151" max="6186" width="0" style="3" hidden="1" customWidth="1"/>
    <col min="6187" max="6188" width="11.90625" style="3"/>
    <col min="6189" max="6189" width="13.36328125" style="3" customWidth="1"/>
    <col min="6190" max="6190" width="12.08984375" style="3" customWidth="1"/>
    <col min="6191" max="6191" width="11.90625" style="3"/>
    <col min="6192" max="6192" width="13.36328125" style="3" customWidth="1"/>
    <col min="6193" max="6400" width="11.90625" style="3"/>
    <col min="6401" max="6401" width="36.08984375" style="3" customWidth="1"/>
    <col min="6402" max="6405" width="11.90625" style="3"/>
    <col min="6406" max="6406" width="12.1796875" style="3" customWidth="1"/>
    <col min="6407" max="6442" width="0" style="3" hidden="1" customWidth="1"/>
    <col min="6443" max="6444" width="11.90625" style="3"/>
    <col min="6445" max="6445" width="13.36328125" style="3" customWidth="1"/>
    <col min="6446" max="6446" width="12.08984375" style="3" customWidth="1"/>
    <col min="6447" max="6447" width="11.90625" style="3"/>
    <col min="6448" max="6448" width="13.36328125" style="3" customWidth="1"/>
    <col min="6449" max="6656" width="11.90625" style="3"/>
    <col min="6657" max="6657" width="36.08984375" style="3" customWidth="1"/>
    <col min="6658" max="6661" width="11.90625" style="3"/>
    <col min="6662" max="6662" width="12.1796875" style="3" customWidth="1"/>
    <col min="6663" max="6698" width="0" style="3" hidden="1" customWidth="1"/>
    <col min="6699" max="6700" width="11.90625" style="3"/>
    <col min="6701" max="6701" width="13.36328125" style="3" customWidth="1"/>
    <col min="6702" max="6702" width="12.08984375" style="3" customWidth="1"/>
    <col min="6703" max="6703" width="11.90625" style="3"/>
    <col min="6704" max="6704" width="13.36328125" style="3" customWidth="1"/>
    <col min="6705" max="6912" width="11.90625" style="3"/>
    <col min="6913" max="6913" width="36.08984375" style="3" customWidth="1"/>
    <col min="6914" max="6917" width="11.90625" style="3"/>
    <col min="6918" max="6918" width="12.1796875" style="3" customWidth="1"/>
    <col min="6919" max="6954" width="0" style="3" hidden="1" customWidth="1"/>
    <col min="6955" max="6956" width="11.90625" style="3"/>
    <col min="6957" max="6957" width="13.36328125" style="3" customWidth="1"/>
    <col min="6958" max="6958" width="12.08984375" style="3" customWidth="1"/>
    <col min="6959" max="6959" width="11.90625" style="3"/>
    <col min="6960" max="6960" width="13.36328125" style="3" customWidth="1"/>
    <col min="6961" max="7168" width="11.90625" style="3"/>
    <col min="7169" max="7169" width="36.08984375" style="3" customWidth="1"/>
    <col min="7170" max="7173" width="11.90625" style="3"/>
    <col min="7174" max="7174" width="12.1796875" style="3" customWidth="1"/>
    <col min="7175" max="7210" width="0" style="3" hidden="1" customWidth="1"/>
    <col min="7211" max="7212" width="11.90625" style="3"/>
    <col min="7213" max="7213" width="13.36328125" style="3" customWidth="1"/>
    <col min="7214" max="7214" width="12.08984375" style="3" customWidth="1"/>
    <col min="7215" max="7215" width="11.90625" style="3"/>
    <col min="7216" max="7216" width="13.36328125" style="3" customWidth="1"/>
    <col min="7217" max="7424" width="11.90625" style="3"/>
    <col min="7425" max="7425" width="36.08984375" style="3" customWidth="1"/>
    <col min="7426" max="7429" width="11.90625" style="3"/>
    <col min="7430" max="7430" width="12.1796875" style="3" customWidth="1"/>
    <col min="7431" max="7466" width="0" style="3" hidden="1" customWidth="1"/>
    <col min="7467" max="7468" width="11.90625" style="3"/>
    <col min="7469" max="7469" width="13.36328125" style="3" customWidth="1"/>
    <col min="7470" max="7470" width="12.08984375" style="3" customWidth="1"/>
    <col min="7471" max="7471" width="11.90625" style="3"/>
    <col min="7472" max="7472" width="13.36328125" style="3" customWidth="1"/>
    <col min="7473" max="7680" width="11.90625" style="3"/>
    <col min="7681" max="7681" width="36.08984375" style="3" customWidth="1"/>
    <col min="7682" max="7685" width="11.90625" style="3"/>
    <col min="7686" max="7686" width="12.1796875" style="3" customWidth="1"/>
    <col min="7687" max="7722" width="0" style="3" hidden="1" customWidth="1"/>
    <col min="7723" max="7724" width="11.90625" style="3"/>
    <col min="7725" max="7725" width="13.36328125" style="3" customWidth="1"/>
    <col min="7726" max="7726" width="12.08984375" style="3" customWidth="1"/>
    <col min="7727" max="7727" width="11.90625" style="3"/>
    <col min="7728" max="7728" width="13.36328125" style="3" customWidth="1"/>
    <col min="7729" max="7936" width="11.90625" style="3"/>
    <col min="7937" max="7937" width="36.08984375" style="3" customWidth="1"/>
    <col min="7938" max="7941" width="11.90625" style="3"/>
    <col min="7942" max="7942" width="12.1796875" style="3" customWidth="1"/>
    <col min="7943" max="7978" width="0" style="3" hidden="1" customWidth="1"/>
    <col min="7979" max="7980" width="11.90625" style="3"/>
    <col min="7981" max="7981" width="13.36328125" style="3" customWidth="1"/>
    <col min="7982" max="7982" width="12.08984375" style="3" customWidth="1"/>
    <col min="7983" max="7983" width="11.90625" style="3"/>
    <col min="7984" max="7984" width="13.36328125" style="3" customWidth="1"/>
    <col min="7985" max="8192" width="11.90625" style="3"/>
    <col min="8193" max="8193" width="36.08984375" style="3" customWidth="1"/>
    <col min="8194" max="8197" width="11.90625" style="3"/>
    <col min="8198" max="8198" width="12.1796875" style="3" customWidth="1"/>
    <col min="8199" max="8234" width="0" style="3" hidden="1" customWidth="1"/>
    <col min="8235" max="8236" width="11.90625" style="3"/>
    <col min="8237" max="8237" width="13.36328125" style="3" customWidth="1"/>
    <col min="8238" max="8238" width="12.08984375" style="3" customWidth="1"/>
    <col min="8239" max="8239" width="11.90625" style="3"/>
    <col min="8240" max="8240" width="13.36328125" style="3" customWidth="1"/>
    <col min="8241" max="8448" width="11.90625" style="3"/>
    <col min="8449" max="8449" width="36.08984375" style="3" customWidth="1"/>
    <col min="8450" max="8453" width="11.90625" style="3"/>
    <col min="8454" max="8454" width="12.1796875" style="3" customWidth="1"/>
    <col min="8455" max="8490" width="0" style="3" hidden="1" customWidth="1"/>
    <col min="8491" max="8492" width="11.90625" style="3"/>
    <col min="8493" max="8493" width="13.36328125" style="3" customWidth="1"/>
    <col min="8494" max="8494" width="12.08984375" style="3" customWidth="1"/>
    <col min="8495" max="8495" width="11.90625" style="3"/>
    <col min="8496" max="8496" width="13.36328125" style="3" customWidth="1"/>
    <col min="8497" max="8704" width="11.90625" style="3"/>
    <col min="8705" max="8705" width="36.08984375" style="3" customWidth="1"/>
    <col min="8706" max="8709" width="11.90625" style="3"/>
    <col min="8710" max="8710" width="12.1796875" style="3" customWidth="1"/>
    <col min="8711" max="8746" width="0" style="3" hidden="1" customWidth="1"/>
    <col min="8747" max="8748" width="11.90625" style="3"/>
    <col min="8749" max="8749" width="13.36328125" style="3" customWidth="1"/>
    <col min="8750" max="8750" width="12.08984375" style="3" customWidth="1"/>
    <col min="8751" max="8751" width="11.90625" style="3"/>
    <col min="8752" max="8752" width="13.36328125" style="3" customWidth="1"/>
    <col min="8753" max="8960" width="11.90625" style="3"/>
    <col min="8961" max="8961" width="36.08984375" style="3" customWidth="1"/>
    <col min="8962" max="8965" width="11.90625" style="3"/>
    <col min="8966" max="8966" width="12.1796875" style="3" customWidth="1"/>
    <col min="8967" max="9002" width="0" style="3" hidden="1" customWidth="1"/>
    <col min="9003" max="9004" width="11.90625" style="3"/>
    <col min="9005" max="9005" width="13.36328125" style="3" customWidth="1"/>
    <col min="9006" max="9006" width="12.08984375" style="3" customWidth="1"/>
    <col min="9007" max="9007" width="11.90625" style="3"/>
    <col min="9008" max="9008" width="13.36328125" style="3" customWidth="1"/>
    <col min="9009" max="9216" width="11.90625" style="3"/>
    <col min="9217" max="9217" width="36.08984375" style="3" customWidth="1"/>
    <col min="9218" max="9221" width="11.90625" style="3"/>
    <col min="9222" max="9222" width="12.1796875" style="3" customWidth="1"/>
    <col min="9223" max="9258" width="0" style="3" hidden="1" customWidth="1"/>
    <col min="9259" max="9260" width="11.90625" style="3"/>
    <col min="9261" max="9261" width="13.36328125" style="3" customWidth="1"/>
    <col min="9262" max="9262" width="12.08984375" style="3" customWidth="1"/>
    <col min="9263" max="9263" width="11.90625" style="3"/>
    <col min="9264" max="9264" width="13.36328125" style="3" customWidth="1"/>
    <col min="9265" max="9472" width="11.90625" style="3"/>
    <col min="9473" max="9473" width="36.08984375" style="3" customWidth="1"/>
    <col min="9474" max="9477" width="11.90625" style="3"/>
    <col min="9478" max="9478" width="12.1796875" style="3" customWidth="1"/>
    <col min="9479" max="9514" width="0" style="3" hidden="1" customWidth="1"/>
    <col min="9515" max="9516" width="11.90625" style="3"/>
    <col min="9517" max="9517" width="13.36328125" style="3" customWidth="1"/>
    <col min="9518" max="9518" width="12.08984375" style="3" customWidth="1"/>
    <col min="9519" max="9519" width="11.90625" style="3"/>
    <col min="9520" max="9520" width="13.36328125" style="3" customWidth="1"/>
    <col min="9521" max="9728" width="11.90625" style="3"/>
    <col min="9729" max="9729" width="36.08984375" style="3" customWidth="1"/>
    <col min="9730" max="9733" width="11.90625" style="3"/>
    <col min="9734" max="9734" width="12.1796875" style="3" customWidth="1"/>
    <col min="9735" max="9770" width="0" style="3" hidden="1" customWidth="1"/>
    <col min="9771" max="9772" width="11.90625" style="3"/>
    <col min="9773" max="9773" width="13.36328125" style="3" customWidth="1"/>
    <col min="9774" max="9774" width="12.08984375" style="3" customWidth="1"/>
    <col min="9775" max="9775" width="11.90625" style="3"/>
    <col min="9776" max="9776" width="13.36328125" style="3" customWidth="1"/>
    <col min="9777" max="9984" width="11.90625" style="3"/>
    <col min="9985" max="9985" width="36.08984375" style="3" customWidth="1"/>
    <col min="9986" max="9989" width="11.90625" style="3"/>
    <col min="9990" max="9990" width="12.1796875" style="3" customWidth="1"/>
    <col min="9991" max="10026" width="0" style="3" hidden="1" customWidth="1"/>
    <col min="10027" max="10028" width="11.90625" style="3"/>
    <col min="10029" max="10029" width="13.36328125" style="3" customWidth="1"/>
    <col min="10030" max="10030" width="12.08984375" style="3" customWidth="1"/>
    <col min="10031" max="10031" width="11.90625" style="3"/>
    <col min="10032" max="10032" width="13.36328125" style="3" customWidth="1"/>
    <col min="10033" max="10240" width="11.90625" style="3"/>
    <col min="10241" max="10241" width="36.08984375" style="3" customWidth="1"/>
    <col min="10242" max="10245" width="11.90625" style="3"/>
    <col min="10246" max="10246" width="12.1796875" style="3" customWidth="1"/>
    <col min="10247" max="10282" width="0" style="3" hidden="1" customWidth="1"/>
    <col min="10283" max="10284" width="11.90625" style="3"/>
    <col min="10285" max="10285" width="13.36328125" style="3" customWidth="1"/>
    <col min="10286" max="10286" width="12.08984375" style="3" customWidth="1"/>
    <col min="10287" max="10287" width="11.90625" style="3"/>
    <col min="10288" max="10288" width="13.36328125" style="3" customWidth="1"/>
    <col min="10289" max="10496" width="11.90625" style="3"/>
    <col min="10497" max="10497" width="36.08984375" style="3" customWidth="1"/>
    <col min="10498" max="10501" width="11.90625" style="3"/>
    <col min="10502" max="10502" width="12.1796875" style="3" customWidth="1"/>
    <col min="10503" max="10538" width="0" style="3" hidden="1" customWidth="1"/>
    <col min="10539" max="10540" width="11.90625" style="3"/>
    <col min="10541" max="10541" width="13.36328125" style="3" customWidth="1"/>
    <col min="10542" max="10542" width="12.08984375" style="3" customWidth="1"/>
    <col min="10543" max="10543" width="11.90625" style="3"/>
    <col min="10544" max="10544" width="13.36328125" style="3" customWidth="1"/>
    <col min="10545" max="10752" width="11.90625" style="3"/>
    <col min="10753" max="10753" width="36.08984375" style="3" customWidth="1"/>
    <col min="10754" max="10757" width="11.90625" style="3"/>
    <col min="10758" max="10758" width="12.1796875" style="3" customWidth="1"/>
    <col min="10759" max="10794" width="0" style="3" hidden="1" customWidth="1"/>
    <col min="10795" max="10796" width="11.90625" style="3"/>
    <col min="10797" max="10797" width="13.36328125" style="3" customWidth="1"/>
    <col min="10798" max="10798" width="12.08984375" style="3" customWidth="1"/>
    <col min="10799" max="10799" width="11.90625" style="3"/>
    <col min="10800" max="10800" width="13.36328125" style="3" customWidth="1"/>
    <col min="10801" max="11008" width="11.90625" style="3"/>
    <col min="11009" max="11009" width="36.08984375" style="3" customWidth="1"/>
    <col min="11010" max="11013" width="11.90625" style="3"/>
    <col min="11014" max="11014" width="12.1796875" style="3" customWidth="1"/>
    <col min="11015" max="11050" width="0" style="3" hidden="1" customWidth="1"/>
    <col min="11051" max="11052" width="11.90625" style="3"/>
    <col min="11053" max="11053" width="13.36328125" style="3" customWidth="1"/>
    <col min="11054" max="11054" width="12.08984375" style="3" customWidth="1"/>
    <col min="11055" max="11055" width="11.90625" style="3"/>
    <col min="11056" max="11056" width="13.36328125" style="3" customWidth="1"/>
    <col min="11057" max="11264" width="11.90625" style="3"/>
    <col min="11265" max="11265" width="36.08984375" style="3" customWidth="1"/>
    <col min="11266" max="11269" width="11.90625" style="3"/>
    <col min="11270" max="11270" width="12.1796875" style="3" customWidth="1"/>
    <col min="11271" max="11306" width="0" style="3" hidden="1" customWidth="1"/>
    <col min="11307" max="11308" width="11.90625" style="3"/>
    <col min="11309" max="11309" width="13.36328125" style="3" customWidth="1"/>
    <col min="11310" max="11310" width="12.08984375" style="3" customWidth="1"/>
    <col min="11311" max="11311" width="11.90625" style="3"/>
    <col min="11312" max="11312" width="13.36328125" style="3" customWidth="1"/>
    <col min="11313" max="11520" width="11.90625" style="3"/>
    <col min="11521" max="11521" width="36.08984375" style="3" customWidth="1"/>
    <col min="11522" max="11525" width="11.90625" style="3"/>
    <col min="11526" max="11526" width="12.1796875" style="3" customWidth="1"/>
    <col min="11527" max="11562" width="0" style="3" hidden="1" customWidth="1"/>
    <col min="11563" max="11564" width="11.90625" style="3"/>
    <col min="11565" max="11565" width="13.36328125" style="3" customWidth="1"/>
    <col min="11566" max="11566" width="12.08984375" style="3" customWidth="1"/>
    <col min="11567" max="11567" width="11.90625" style="3"/>
    <col min="11568" max="11568" width="13.36328125" style="3" customWidth="1"/>
    <col min="11569" max="11776" width="11.90625" style="3"/>
    <col min="11777" max="11777" width="36.08984375" style="3" customWidth="1"/>
    <col min="11778" max="11781" width="11.90625" style="3"/>
    <col min="11782" max="11782" width="12.1796875" style="3" customWidth="1"/>
    <col min="11783" max="11818" width="0" style="3" hidden="1" customWidth="1"/>
    <col min="11819" max="11820" width="11.90625" style="3"/>
    <col min="11821" max="11821" width="13.36328125" style="3" customWidth="1"/>
    <col min="11822" max="11822" width="12.08984375" style="3" customWidth="1"/>
    <col min="11823" max="11823" width="11.90625" style="3"/>
    <col min="11824" max="11824" width="13.36328125" style="3" customWidth="1"/>
    <col min="11825" max="12032" width="11.90625" style="3"/>
    <col min="12033" max="12033" width="36.08984375" style="3" customWidth="1"/>
    <col min="12034" max="12037" width="11.90625" style="3"/>
    <col min="12038" max="12038" width="12.1796875" style="3" customWidth="1"/>
    <col min="12039" max="12074" width="0" style="3" hidden="1" customWidth="1"/>
    <col min="12075" max="12076" width="11.90625" style="3"/>
    <col min="12077" max="12077" width="13.36328125" style="3" customWidth="1"/>
    <col min="12078" max="12078" width="12.08984375" style="3" customWidth="1"/>
    <col min="12079" max="12079" width="11.90625" style="3"/>
    <col min="12080" max="12080" width="13.36328125" style="3" customWidth="1"/>
    <col min="12081" max="12288" width="11.90625" style="3"/>
    <col min="12289" max="12289" width="36.08984375" style="3" customWidth="1"/>
    <col min="12290" max="12293" width="11.90625" style="3"/>
    <col min="12294" max="12294" width="12.1796875" style="3" customWidth="1"/>
    <col min="12295" max="12330" width="0" style="3" hidden="1" customWidth="1"/>
    <col min="12331" max="12332" width="11.90625" style="3"/>
    <col min="12333" max="12333" width="13.36328125" style="3" customWidth="1"/>
    <col min="12334" max="12334" width="12.08984375" style="3" customWidth="1"/>
    <col min="12335" max="12335" width="11.90625" style="3"/>
    <col min="12336" max="12336" width="13.36328125" style="3" customWidth="1"/>
    <col min="12337" max="12544" width="11.90625" style="3"/>
    <col min="12545" max="12545" width="36.08984375" style="3" customWidth="1"/>
    <col min="12546" max="12549" width="11.90625" style="3"/>
    <col min="12550" max="12550" width="12.1796875" style="3" customWidth="1"/>
    <col min="12551" max="12586" width="0" style="3" hidden="1" customWidth="1"/>
    <col min="12587" max="12588" width="11.90625" style="3"/>
    <col min="12589" max="12589" width="13.36328125" style="3" customWidth="1"/>
    <col min="12590" max="12590" width="12.08984375" style="3" customWidth="1"/>
    <col min="12591" max="12591" width="11.90625" style="3"/>
    <col min="12592" max="12592" width="13.36328125" style="3" customWidth="1"/>
    <col min="12593" max="12800" width="11.90625" style="3"/>
    <col min="12801" max="12801" width="36.08984375" style="3" customWidth="1"/>
    <col min="12802" max="12805" width="11.90625" style="3"/>
    <col min="12806" max="12806" width="12.1796875" style="3" customWidth="1"/>
    <col min="12807" max="12842" width="0" style="3" hidden="1" customWidth="1"/>
    <col min="12843" max="12844" width="11.90625" style="3"/>
    <col min="12845" max="12845" width="13.36328125" style="3" customWidth="1"/>
    <col min="12846" max="12846" width="12.08984375" style="3" customWidth="1"/>
    <col min="12847" max="12847" width="11.90625" style="3"/>
    <col min="12848" max="12848" width="13.36328125" style="3" customWidth="1"/>
    <col min="12849" max="13056" width="11.90625" style="3"/>
    <col min="13057" max="13057" width="36.08984375" style="3" customWidth="1"/>
    <col min="13058" max="13061" width="11.90625" style="3"/>
    <col min="13062" max="13062" width="12.1796875" style="3" customWidth="1"/>
    <col min="13063" max="13098" width="0" style="3" hidden="1" customWidth="1"/>
    <col min="13099" max="13100" width="11.90625" style="3"/>
    <col min="13101" max="13101" width="13.36328125" style="3" customWidth="1"/>
    <col min="13102" max="13102" width="12.08984375" style="3" customWidth="1"/>
    <col min="13103" max="13103" width="11.90625" style="3"/>
    <col min="13104" max="13104" width="13.36328125" style="3" customWidth="1"/>
    <col min="13105" max="13312" width="11.90625" style="3"/>
    <col min="13313" max="13313" width="36.08984375" style="3" customWidth="1"/>
    <col min="13314" max="13317" width="11.90625" style="3"/>
    <col min="13318" max="13318" width="12.1796875" style="3" customWidth="1"/>
    <col min="13319" max="13354" width="0" style="3" hidden="1" customWidth="1"/>
    <col min="13355" max="13356" width="11.90625" style="3"/>
    <col min="13357" max="13357" width="13.36328125" style="3" customWidth="1"/>
    <col min="13358" max="13358" width="12.08984375" style="3" customWidth="1"/>
    <col min="13359" max="13359" width="11.90625" style="3"/>
    <col min="13360" max="13360" width="13.36328125" style="3" customWidth="1"/>
    <col min="13361" max="13568" width="11.90625" style="3"/>
    <col min="13569" max="13569" width="36.08984375" style="3" customWidth="1"/>
    <col min="13570" max="13573" width="11.90625" style="3"/>
    <col min="13574" max="13574" width="12.1796875" style="3" customWidth="1"/>
    <col min="13575" max="13610" width="0" style="3" hidden="1" customWidth="1"/>
    <col min="13611" max="13612" width="11.90625" style="3"/>
    <col min="13613" max="13613" width="13.36328125" style="3" customWidth="1"/>
    <col min="13614" max="13614" width="12.08984375" style="3" customWidth="1"/>
    <col min="13615" max="13615" width="11.90625" style="3"/>
    <col min="13616" max="13616" width="13.36328125" style="3" customWidth="1"/>
    <col min="13617" max="13824" width="11.90625" style="3"/>
    <col min="13825" max="13825" width="36.08984375" style="3" customWidth="1"/>
    <col min="13826" max="13829" width="11.90625" style="3"/>
    <col min="13830" max="13830" width="12.1796875" style="3" customWidth="1"/>
    <col min="13831" max="13866" width="0" style="3" hidden="1" customWidth="1"/>
    <col min="13867" max="13868" width="11.90625" style="3"/>
    <col min="13869" max="13869" width="13.36328125" style="3" customWidth="1"/>
    <col min="13870" max="13870" width="12.08984375" style="3" customWidth="1"/>
    <col min="13871" max="13871" width="11.90625" style="3"/>
    <col min="13872" max="13872" width="13.36328125" style="3" customWidth="1"/>
    <col min="13873" max="14080" width="11.90625" style="3"/>
    <col min="14081" max="14081" width="36.08984375" style="3" customWidth="1"/>
    <col min="14082" max="14085" width="11.90625" style="3"/>
    <col min="14086" max="14086" width="12.1796875" style="3" customWidth="1"/>
    <col min="14087" max="14122" width="0" style="3" hidden="1" customWidth="1"/>
    <col min="14123" max="14124" width="11.90625" style="3"/>
    <col min="14125" max="14125" width="13.36328125" style="3" customWidth="1"/>
    <col min="14126" max="14126" width="12.08984375" style="3" customWidth="1"/>
    <col min="14127" max="14127" width="11.90625" style="3"/>
    <col min="14128" max="14128" width="13.36328125" style="3" customWidth="1"/>
    <col min="14129" max="14336" width="11.90625" style="3"/>
    <col min="14337" max="14337" width="36.08984375" style="3" customWidth="1"/>
    <col min="14338" max="14341" width="11.90625" style="3"/>
    <col min="14342" max="14342" width="12.1796875" style="3" customWidth="1"/>
    <col min="14343" max="14378" width="0" style="3" hidden="1" customWidth="1"/>
    <col min="14379" max="14380" width="11.90625" style="3"/>
    <col min="14381" max="14381" width="13.36328125" style="3" customWidth="1"/>
    <col min="14382" max="14382" width="12.08984375" style="3" customWidth="1"/>
    <col min="14383" max="14383" width="11.90625" style="3"/>
    <col min="14384" max="14384" width="13.36328125" style="3" customWidth="1"/>
    <col min="14385" max="14592" width="11.90625" style="3"/>
    <col min="14593" max="14593" width="36.08984375" style="3" customWidth="1"/>
    <col min="14594" max="14597" width="11.90625" style="3"/>
    <col min="14598" max="14598" width="12.1796875" style="3" customWidth="1"/>
    <col min="14599" max="14634" width="0" style="3" hidden="1" customWidth="1"/>
    <col min="14635" max="14636" width="11.90625" style="3"/>
    <col min="14637" max="14637" width="13.36328125" style="3" customWidth="1"/>
    <col min="14638" max="14638" width="12.08984375" style="3" customWidth="1"/>
    <col min="14639" max="14639" width="11.90625" style="3"/>
    <col min="14640" max="14640" width="13.36328125" style="3" customWidth="1"/>
    <col min="14641" max="14848" width="11.90625" style="3"/>
    <col min="14849" max="14849" width="36.08984375" style="3" customWidth="1"/>
    <col min="14850" max="14853" width="11.90625" style="3"/>
    <col min="14854" max="14854" width="12.1796875" style="3" customWidth="1"/>
    <col min="14855" max="14890" width="0" style="3" hidden="1" customWidth="1"/>
    <col min="14891" max="14892" width="11.90625" style="3"/>
    <col min="14893" max="14893" width="13.36328125" style="3" customWidth="1"/>
    <col min="14894" max="14894" width="12.08984375" style="3" customWidth="1"/>
    <col min="14895" max="14895" width="11.90625" style="3"/>
    <col min="14896" max="14896" width="13.36328125" style="3" customWidth="1"/>
    <col min="14897" max="15104" width="11.90625" style="3"/>
    <col min="15105" max="15105" width="36.08984375" style="3" customWidth="1"/>
    <col min="15106" max="15109" width="11.90625" style="3"/>
    <col min="15110" max="15110" width="12.1796875" style="3" customWidth="1"/>
    <col min="15111" max="15146" width="0" style="3" hidden="1" customWidth="1"/>
    <col min="15147" max="15148" width="11.90625" style="3"/>
    <col min="15149" max="15149" width="13.36328125" style="3" customWidth="1"/>
    <col min="15150" max="15150" width="12.08984375" style="3" customWidth="1"/>
    <col min="15151" max="15151" width="11.90625" style="3"/>
    <col min="15152" max="15152" width="13.36328125" style="3" customWidth="1"/>
    <col min="15153" max="15360" width="11.90625" style="3"/>
    <col min="15361" max="15361" width="36.08984375" style="3" customWidth="1"/>
    <col min="15362" max="15365" width="11.90625" style="3"/>
    <col min="15366" max="15366" width="12.1796875" style="3" customWidth="1"/>
    <col min="15367" max="15402" width="0" style="3" hidden="1" customWidth="1"/>
    <col min="15403" max="15404" width="11.90625" style="3"/>
    <col min="15405" max="15405" width="13.36328125" style="3" customWidth="1"/>
    <col min="15406" max="15406" width="12.08984375" style="3" customWidth="1"/>
    <col min="15407" max="15407" width="11.90625" style="3"/>
    <col min="15408" max="15408" width="13.36328125" style="3" customWidth="1"/>
    <col min="15409" max="15616" width="11.90625" style="3"/>
    <col min="15617" max="15617" width="36.08984375" style="3" customWidth="1"/>
    <col min="15618" max="15621" width="11.90625" style="3"/>
    <col min="15622" max="15622" width="12.1796875" style="3" customWidth="1"/>
    <col min="15623" max="15658" width="0" style="3" hidden="1" customWidth="1"/>
    <col min="15659" max="15660" width="11.90625" style="3"/>
    <col min="15661" max="15661" width="13.36328125" style="3" customWidth="1"/>
    <col min="15662" max="15662" width="12.08984375" style="3" customWidth="1"/>
    <col min="15663" max="15663" width="11.90625" style="3"/>
    <col min="15664" max="15664" width="13.36328125" style="3" customWidth="1"/>
    <col min="15665" max="15872" width="11.90625" style="3"/>
    <col min="15873" max="15873" width="36.08984375" style="3" customWidth="1"/>
    <col min="15874" max="15877" width="11.90625" style="3"/>
    <col min="15878" max="15878" width="12.1796875" style="3" customWidth="1"/>
    <col min="15879" max="15914" width="0" style="3" hidden="1" customWidth="1"/>
    <col min="15915" max="15916" width="11.90625" style="3"/>
    <col min="15917" max="15917" width="13.36328125" style="3" customWidth="1"/>
    <col min="15918" max="15918" width="12.08984375" style="3" customWidth="1"/>
    <col min="15919" max="15919" width="11.90625" style="3"/>
    <col min="15920" max="15920" width="13.36328125" style="3" customWidth="1"/>
    <col min="15921" max="16128" width="11.90625" style="3"/>
    <col min="16129" max="16129" width="36.08984375" style="3" customWidth="1"/>
    <col min="16130" max="16133" width="11.90625" style="3"/>
    <col min="16134" max="16134" width="12.1796875" style="3" customWidth="1"/>
    <col min="16135" max="16170" width="0" style="3" hidden="1" customWidth="1"/>
    <col min="16171" max="16172" width="11.90625" style="3"/>
    <col min="16173" max="16173" width="13.36328125" style="3" customWidth="1"/>
    <col min="16174" max="16174" width="12.08984375" style="3" customWidth="1"/>
    <col min="16175" max="16175" width="11.90625" style="3"/>
    <col min="16176" max="16176" width="13.36328125" style="3" customWidth="1"/>
    <col min="16177" max="16384" width="11.90625" style="3"/>
  </cols>
  <sheetData>
    <row r="1" spans="1:59" x14ac:dyDescent="0.35">
      <c r="A1" s="1" t="s">
        <v>0</v>
      </c>
      <c r="B1" s="1"/>
      <c r="C1" s="1"/>
      <c r="D1" s="1"/>
      <c r="F1" s="1"/>
      <c r="G1" s="1"/>
      <c r="AC1" s="4"/>
      <c r="AG1" s="5"/>
      <c r="AM1" s="4"/>
      <c r="AO1" s="6"/>
      <c r="AR1" s="6"/>
      <c r="AS1" s="1"/>
      <c r="BA1" s="3"/>
    </row>
    <row r="2" spans="1:59" x14ac:dyDescent="0.35">
      <c r="A2" s="1" t="s">
        <v>1</v>
      </c>
      <c r="B2" s="1"/>
      <c r="C2" s="1"/>
      <c r="D2" s="1"/>
      <c r="E2" s="2" t="s">
        <v>2</v>
      </c>
      <c r="F2" s="1"/>
      <c r="G2" s="1"/>
      <c r="AC2" s="4"/>
      <c r="AG2" s="5"/>
      <c r="AM2" s="4"/>
      <c r="AO2" s="6"/>
      <c r="AR2" s="6"/>
      <c r="AS2" s="1"/>
      <c r="BA2" s="3"/>
      <c r="BF2" s="3" t="s">
        <v>3</v>
      </c>
      <c r="BG2" s="3" t="s">
        <v>4</v>
      </c>
    </row>
    <row r="3" spans="1:59" x14ac:dyDescent="0.35">
      <c r="E3" s="2" t="s">
        <v>5</v>
      </c>
      <c r="AC3" s="4"/>
      <c r="AG3" s="5"/>
      <c r="AM3" s="4" t="s">
        <v>6</v>
      </c>
      <c r="AN3" s="3" t="s">
        <v>7</v>
      </c>
      <c r="AO3" s="6"/>
      <c r="AP3" s="3" t="s">
        <v>8</v>
      </c>
      <c r="AQ3" s="7" t="s">
        <v>7</v>
      </c>
      <c r="AR3" s="8" t="s">
        <v>9</v>
      </c>
      <c r="AS3" s="9" t="s">
        <v>6</v>
      </c>
      <c r="AT3" s="7" t="s">
        <v>10</v>
      </c>
      <c r="AU3" s="8" t="s">
        <v>2</v>
      </c>
      <c r="AV3" s="9" t="s">
        <v>6</v>
      </c>
      <c r="AW3" s="7" t="s">
        <v>10</v>
      </c>
      <c r="AX3" s="8" t="s">
        <v>9</v>
      </c>
      <c r="AY3" s="9" t="s">
        <v>6</v>
      </c>
      <c r="AZ3" s="7" t="s">
        <v>10</v>
      </c>
      <c r="BA3" s="10" t="s">
        <v>11</v>
      </c>
      <c r="BB3" s="9" t="s">
        <v>6</v>
      </c>
      <c r="BC3" s="7" t="s">
        <v>10</v>
      </c>
      <c r="BF3" s="11" t="s">
        <v>9</v>
      </c>
    </row>
    <row r="4" spans="1:59" ht="46.5" x14ac:dyDescent="0.35">
      <c r="A4" s="3" t="s">
        <v>12</v>
      </c>
      <c r="B4" s="7" t="s">
        <v>13</v>
      </c>
      <c r="C4" s="7" t="s">
        <v>14</v>
      </c>
      <c r="D4" s="7" t="s">
        <v>15</v>
      </c>
      <c r="E4" s="2" t="s">
        <v>16</v>
      </c>
      <c r="F4" s="7"/>
      <c r="G4" s="12" t="s">
        <v>17</v>
      </c>
      <c r="H4" s="7" t="s">
        <v>18</v>
      </c>
      <c r="I4" s="7" t="s">
        <v>19</v>
      </c>
      <c r="J4" s="7" t="s">
        <v>20</v>
      </c>
      <c r="K4" s="7" t="s">
        <v>19</v>
      </c>
      <c r="L4" s="7" t="s">
        <v>21</v>
      </c>
      <c r="M4" s="7" t="s">
        <v>6</v>
      </c>
      <c r="N4" s="7" t="s">
        <v>22</v>
      </c>
      <c r="O4" s="7" t="s">
        <v>6</v>
      </c>
      <c r="P4" s="7" t="s">
        <v>23</v>
      </c>
      <c r="Q4" s="7" t="s">
        <v>6</v>
      </c>
      <c r="R4" s="7" t="s">
        <v>24</v>
      </c>
      <c r="S4" s="7" t="s">
        <v>6</v>
      </c>
      <c r="T4" s="7" t="s">
        <v>25</v>
      </c>
      <c r="U4" s="7" t="s">
        <v>6</v>
      </c>
      <c r="V4" s="7" t="s">
        <v>26</v>
      </c>
      <c r="W4" s="7" t="s">
        <v>6</v>
      </c>
      <c r="X4" s="7" t="s">
        <v>27</v>
      </c>
      <c r="Y4" s="7" t="s">
        <v>6</v>
      </c>
      <c r="Z4" s="7" t="s">
        <v>28</v>
      </c>
      <c r="AA4" s="7" t="s">
        <v>6</v>
      </c>
      <c r="AB4" s="7" t="s">
        <v>29</v>
      </c>
      <c r="AC4" s="13" t="s">
        <v>6</v>
      </c>
      <c r="AD4" s="7" t="s">
        <v>30</v>
      </c>
      <c r="AE4" s="7" t="s">
        <v>6</v>
      </c>
      <c r="AF4" s="7" t="s">
        <v>31</v>
      </c>
      <c r="AG4" s="14" t="s">
        <v>6</v>
      </c>
      <c r="AH4" s="7" t="s">
        <v>32</v>
      </c>
      <c r="AI4" s="7" t="s">
        <v>6</v>
      </c>
      <c r="AJ4" s="7" t="s">
        <v>33</v>
      </c>
      <c r="AK4" s="7" t="s">
        <v>6</v>
      </c>
      <c r="AL4" s="7" t="s">
        <v>34</v>
      </c>
      <c r="AM4" s="13" t="s">
        <v>35</v>
      </c>
      <c r="AN4" s="7" t="s">
        <v>36</v>
      </c>
      <c r="AO4" s="8" t="s">
        <v>37</v>
      </c>
      <c r="AP4" s="7" t="s">
        <v>38</v>
      </c>
      <c r="AQ4" s="7" t="s">
        <v>36</v>
      </c>
      <c r="AR4" s="8" t="s">
        <v>39</v>
      </c>
      <c r="AS4" s="9" t="s">
        <v>38</v>
      </c>
      <c r="AT4" s="7" t="s">
        <v>36</v>
      </c>
      <c r="AU4" s="8" t="s">
        <v>40</v>
      </c>
      <c r="AV4" s="9" t="s">
        <v>38</v>
      </c>
      <c r="AW4" s="7" t="s">
        <v>36</v>
      </c>
      <c r="AX4" s="8" t="s">
        <v>41</v>
      </c>
      <c r="AY4" s="9" t="s">
        <v>38</v>
      </c>
      <c r="AZ4" s="7" t="s">
        <v>36</v>
      </c>
      <c r="BA4" s="15" t="s">
        <v>42</v>
      </c>
      <c r="BB4" s="9" t="s">
        <v>38</v>
      </c>
      <c r="BC4" s="7" t="s">
        <v>36</v>
      </c>
      <c r="BD4" s="3" t="s">
        <v>43</v>
      </c>
      <c r="BF4" s="15" t="s">
        <v>42</v>
      </c>
    </row>
    <row r="5" spans="1:59" x14ac:dyDescent="0.35">
      <c r="C5" s="4"/>
      <c r="D5" s="4"/>
      <c r="F5" s="4"/>
      <c r="G5" s="16"/>
      <c r="H5" s="4"/>
      <c r="I5" s="4"/>
      <c r="J5" s="4"/>
      <c r="K5" s="4"/>
      <c r="L5" s="4"/>
      <c r="M5" s="4"/>
      <c r="N5" s="4"/>
      <c r="O5" s="4"/>
      <c r="P5" s="4"/>
      <c r="Q5" s="4"/>
      <c r="AC5" s="4"/>
      <c r="AG5" s="5"/>
      <c r="AM5" s="4"/>
      <c r="AO5" s="6"/>
      <c r="AR5" s="6"/>
      <c r="AS5" s="1"/>
      <c r="BA5" s="17"/>
      <c r="BF5" s="17"/>
    </row>
    <row r="6" spans="1:59" x14ac:dyDescent="0.35">
      <c r="A6" s="3" t="s">
        <v>44</v>
      </c>
      <c r="C6" s="4"/>
      <c r="D6" s="4"/>
      <c r="F6" s="4"/>
      <c r="G6" s="16"/>
      <c r="H6" s="4"/>
      <c r="I6" s="4"/>
      <c r="J6" s="4"/>
      <c r="K6" s="4"/>
      <c r="L6" s="4"/>
      <c r="M6" s="4"/>
      <c r="N6" s="4"/>
      <c r="O6" s="4"/>
      <c r="P6" s="4"/>
      <c r="Q6" s="4"/>
      <c r="AC6" s="4"/>
      <c r="AG6" s="5"/>
      <c r="AM6" s="4"/>
      <c r="AO6" s="6"/>
      <c r="AR6" s="6"/>
      <c r="AS6" s="1"/>
      <c r="BA6" s="17"/>
      <c r="BF6" s="17"/>
    </row>
    <row r="7" spans="1:59" x14ac:dyDescent="0.35">
      <c r="C7" s="4"/>
      <c r="D7" s="4"/>
      <c r="F7" s="4"/>
      <c r="G7" s="16"/>
      <c r="H7" s="4"/>
      <c r="I7" s="4"/>
      <c r="J7" s="4"/>
      <c r="K7" s="4"/>
      <c r="L7" s="4"/>
      <c r="M7" s="4"/>
      <c r="N7" s="4"/>
      <c r="O7" s="4"/>
      <c r="P7" s="4"/>
      <c r="Q7" s="4"/>
      <c r="AC7" s="4"/>
      <c r="AG7" s="5"/>
      <c r="AM7" s="4"/>
      <c r="AO7" s="6"/>
      <c r="AR7" s="6"/>
      <c r="AS7" s="1"/>
      <c r="BA7" s="17"/>
      <c r="BF7" s="17"/>
    </row>
    <row r="8" spans="1:59" x14ac:dyDescent="0.35">
      <c r="A8" s="3" t="s">
        <v>45</v>
      </c>
      <c r="B8" s="3" t="s">
        <v>46</v>
      </c>
      <c r="C8" s="4">
        <v>18790</v>
      </c>
      <c r="D8" s="4"/>
      <c r="F8" s="4"/>
      <c r="G8" s="16"/>
      <c r="H8" s="4"/>
      <c r="I8" s="4"/>
      <c r="J8" s="4"/>
      <c r="K8" s="4"/>
      <c r="L8" s="4"/>
      <c r="M8" s="4"/>
      <c r="N8" s="4"/>
      <c r="O8" s="4"/>
      <c r="P8" s="4"/>
      <c r="Q8" s="4"/>
      <c r="AC8" s="4"/>
      <c r="AG8" s="5"/>
      <c r="AM8" s="4"/>
      <c r="AN8" s="4">
        <f t="shared" ref="AN8:AN20" si="0">C8-AM8</f>
        <v>18790</v>
      </c>
      <c r="AO8" s="6"/>
      <c r="AQ8" s="4">
        <v>18790</v>
      </c>
      <c r="AR8" s="6"/>
      <c r="AS8" s="1"/>
      <c r="AT8" s="4">
        <v>18790</v>
      </c>
      <c r="AU8" s="6"/>
      <c r="AV8" s="1"/>
      <c r="AW8" s="4">
        <f t="shared" ref="AW8:AW20" si="1">AT8-AU8</f>
        <v>18790</v>
      </c>
      <c r="AZ8" s="4">
        <f t="shared" ref="AZ8:AZ20" si="2">AW8-AX8</f>
        <v>18790</v>
      </c>
      <c r="BA8" s="17"/>
      <c r="BC8" s="4">
        <f t="shared" ref="BC8:BC20" si="3">AZ8-BA8</f>
        <v>18790</v>
      </c>
      <c r="BF8" s="17"/>
    </row>
    <row r="9" spans="1:59" x14ac:dyDescent="0.35">
      <c r="A9" s="3" t="s">
        <v>47</v>
      </c>
      <c r="B9" s="3" t="s">
        <v>48</v>
      </c>
      <c r="C9" s="4">
        <v>30000</v>
      </c>
      <c r="D9" s="4"/>
      <c r="F9" s="4"/>
      <c r="G9" s="16"/>
      <c r="H9" s="4"/>
      <c r="I9" s="4"/>
      <c r="J9" s="4"/>
      <c r="K9" s="4"/>
      <c r="L9" s="4"/>
      <c r="M9" s="4"/>
      <c r="N9" s="4"/>
      <c r="O9" s="4"/>
      <c r="P9" s="4"/>
      <c r="Q9" s="4"/>
      <c r="AC9" s="4"/>
      <c r="AG9" s="5"/>
      <c r="AM9" s="4"/>
      <c r="AN9" s="4">
        <f t="shared" si="0"/>
        <v>30000</v>
      </c>
      <c r="AO9" s="6"/>
      <c r="AQ9" s="4">
        <v>30000</v>
      </c>
      <c r="AR9" s="6"/>
      <c r="AS9" s="1"/>
      <c r="AT9" s="4">
        <v>30000</v>
      </c>
      <c r="AU9" s="6"/>
      <c r="AV9" s="1"/>
      <c r="AW9" s="4">
        <f t="shared" si="1"/>
        <v>30000</v>
      </c>
      <c r="AZ9" s="4">
        <f t="shared" si="2"/>
        <v>30000</v>
      </c>
      <c r="BA9" s="17"/>
      <c r="BC9" s="4">
        <f t="shared" si="3"/>
        <v>30000</v>
      </c>
      <c r="BF9" s="17"/>
    </row>
    <row r="10" spans="1:59" x14ac:dyDescent="0.35">
      <c r="A10" s="3" t="s">
        <v>49</v>
      </c>
      <c r="B10" s="3" t="s">
        <v>50</v>
      </c>
      <c r="C10" s="4">
        <v>68083</v>
      </c>
      <c r="D10" s="4"/>
      <c r="F10" s="4"/>
      <c r="G10" s="16"/>
      <c r="H10" s="4"/>
      <c r="I10" s="4"/>
      <c r="J10" s="4"/>
      <c r="K10" s="4"/>
      <c r="L10" s="4"/>
      <c r="M10" s="4"/>
      <c r="N10" s="4"/>
      <c r="O10" s="4"/>
      <c r="P10" s="4"/>
      <c r="Q10" s="4"/>
      <c r="AC10" s="4"/>
      <c r="AG10" s="5"/>
      <c r="AM10" s="4"/>
      <c r="AN10" s="4">
        <f t="shared" si="0"/>
        <v>68083</v>
      </c>
      <c r="AO10" s="6"/>
      <c r="AQ10" s="4">
        <v>68083</v>
      </c>
      <c r="AR10" s="6"/>
      <c r="AS10" s="1"/>
      <c r="AT10" s="4">
        <v>68083</v>
      </c>
      <c r="AU10" s="6"/>
      <c r="AV10" s="1"/>
      <c r="AW10" s="4">
        <f t="shared" si="1"/>
        <v>68083</v>
      </c>
      <c r="AZ10" s="4">
        <f t="shared" si="2"/>
        <v>68083</v>
      </c>
      <c r="BA10" s="17"/>
      <c r="BC10" s="4">
        <f t="shared" si="3"/>
        <v>68083</v>
      </c>
      <c r="BF10" s="17"/>
    </row>
    <row r="11" spans="1:59" x14ac:dyDescent="0.35">
      <c r="A11" s="3" t="s">
        <v>51</v>
      </c>
      <c r="B11" s="3" t="s">
        <v>52</v>
      </c>
      <c r="C11" s="4">
        <v>3450</v>
      </c>
      <c r="D11" s="4"/>
      <c r="F11" s="4"/>
      <c r="G11" s="16"/>
      <c r="H11" s="4"/>
      <c r="I11" s="4"/>
      <c r="J11" s="4"/>
      <c r="K11" s="4"/>
      <c r="L11" s="4"/>
      <c r="M11" s="4"/>
      <c r="N11" s="4"/>
      <c r="O11" s="4"/>
      <c r="P11" s="4"/>
      <c r="Q11" s="4"/>
      <c r="AC11" s="4"/>
      <c r="AG11" s="5"/>
      <c r="AM11" s="4"/>
      <c r="AN11" s="4">
        <f t="shared" si="0"/>
        <v>3450</v>
      </c>
      <c r="AO11" s="6"/>
      <c r="AQ11" s="4">
        <v>3450</v>
      </c>
      <c r="AR11" s="6"/>
      <c r="AS11" s="1"/>
      <c r="AT11" s="4">
        <v>3450</v>
      </c>
      <c r="AU11" s="6"/>
      <c r="AV11" s="1"/>
      <c r="AW11" s="4">
        <f t="shared" si="1"/>
        <v>3450</v>
      </c>
      <c r="AZ11" s="4">
        <f t="shared" si="2"/>
        <v>3450</v>
      </c>
      <c r="BA11" s="17"/>
      <c r="BC11" s="4">
        <f t="shared" si="3"/>
        <v>3450</v>
      </c>
      <c r="BF11" s="17"/>
    </row>
    <row r="12" spans="1:59" x14ac:dyDescent="0.35">
      <c r="A12" s="3" t="s">
        <v>45</v>
      </c>
      <c r="B12" s="3" t="s">
        <v>53</v>
      </c>
      <c r="C12" s="4">
        <f>650+625</f>
        <v>1275</v>
      </c>
      <c r="D12" s="4"/>
      <c r="F12" s="4"/>
      <c r="G12" s="16"/>
      <c r="H12" s="4"/>
      <c r="I12" s="4"/>
      <c r="J12" s="4"/>
      <c r="K12" s="4"/>
      <c r="L12" s="4"/>
      <c r="M12" s="4"/>
      <c r="N12" s="4"/>
      <c r="O12" s="4"/>
      <c r="P12" s="4"/>
      <c r="Q12" s="4"/>
      <c r="AC12" s="4"/>
      <c r="AG12" s="5"/>
      <c r="AM12" s="4"/>
      <c r="AN12" s="4">
        <f t="shared" si="0"/>
        <v>1275</v>
      </c>
      <c r="AO12" s="6"/>
      <c r="AQ12" s="4">
        <v>1275</v>
      </c>
      <c r="AR12" s="6"/>
      <c r="AS12" s="1"/>
      <c r="AT12" s="4">
        <v>1275</v>
      </c>
      <c r="AU12" s="6"/>
      <c r="AV12" s="1"/>
      <c r="AW12" s="4">
        <f t="shared" si="1"/>
        <v>1275</v>
      </c>
      <c r="AZ12" s="4">
        <f t="shared" si="2"/>
        <v>1275</v>
      </c>
      <c r="BA12" s="17"/>
      <c r="BC12" s="4">
        <f t="shared" si="3"/>
        <v>1275</v>
      </c>
      <c r="BF12" s="17"/>
    </row>
    <row r="13" spans="1:59" x14ac:dyDescent="0.35">
      <c r="A13" s="3" t="s">
        <v>54</v>
      </c>
      <c r="B13" s="3" t="s">
        <v>55</v>
      </c>
      <c r="C13" s="4">
        <v>26201</v>
      </c>
      <c r="D13" s="4"/>
      <c r="F13" s="4"/>
      <c r="G13" s="16"/>
      <c r="H13" s="4"/>
      <c r="I13" s="4"/>
      <c r="J13" s="4"/>
      <c r="K13" s="4"/>
      <c r="L13" s="4"/>
      <c r="M13" s="4"/>
      <c r="N13" s="4"/>
      <c r="O13" s="4"/>
      <c r="P13" s="4"/>
      <c r="Q13" s="4"/>
      <c r="AC13" s="4"/>
      <c r="AG13" s="5"/>
      <c r="AM13" s="4"/>
      <c r="AN13" s="4">
        <f t="shared" si="0"/>
        <v>26201</v>
      </c>
      <c r="AO13" s="6"/>
      <c r="AQ13" s="4">
        <v>26201</v>
      </c>
      <c r="AR13" s="6"/>
      <c r="AS13" s="1"/>
      <c r="AT13" s="4">
        <v>26201</v>
      </c>
      <c r="AU13" s="6"/>
      <c r="AV13" s="1"/>
      <c r="AW13" s="4">
        <f t="shared" si="1"/>
        <v>26201</v>
      </c>
      <c r="AZ13" s="4">
        <f t="shared" si="2"/>
        <v>26201</v>
      </c>
      <c r="BA13" s="17"/>
      <c r="BC13" s="4">
        <f t="shared" si="3"/>
        <v>26201</v>
      </c>
      <c r="BF13" s="17"/>
    </row>
    <row r="14" spans="1:59" x14ac:dyDescent="0.35">
      <c r="A14" s="3" t="s">
        <v>56</v>
      </c>
      <c r="B14" s="3" t="s">
        <v>57</v>
      </c>
      <c r="C14" s="4">
        <v>20000</v>
      </c>
      <c r="D14" s="4"/>
      <c r="F14" s="4"/>
      <c r="G14" s="16"/>
      <c r="H14" s="4"/>
      <c r="I14" s="4"/>
      <c r="J14" s="4"/>
      <c r="K14" s="4"/>
      <c r="L14" s="4"/>
      <c r="M14" s="4"/>
      <c r="N14" s="4"/>
      <c r="O14" s="4"/>
      <c r="P14" s="4"/>
      <c r="Q14" s="4"/>
      <c r="AC14" s="4"/>
      <c r="AG14" s="5"/>
      <c r="AM14" s="4"/>
      <c r="AN14" s="4">
        <f t="shared" si="0"/>
        <v>20000</v>
      </c>
      <c r="AO14" s="6"/>
      <c r="AQ14" s="4">
        <v>20000</v>
      </c>
      <c r="AR14" s="6"/>
      <c r="AS14" s="1"/>
      <c r="AT14" s="4">
        <v>20000</v>
      </c>
      <c r="AU14" s="6"/>
      <c r="AV14" s="1"/>
      <c r="AW14" s="4">
        <f t="shared" si="1"/>
        <v>20000</v>
      </c>
      <c r="AZ14" s="4">
        <f t="shared" si="2"/>
        <v>20000</v>
      </c>
      <c r="BA14" s="17"/>
      <c r="BC14" s="4">
        <f t="shared" si="3"/>
        <v>20000</v>
      </c>
      <c r="BF14" s="17"/>
    </row>
    <row r="15" spans="1:59" x14ac:dyDescent="0.35">
      <c r="A15" s="3" t="s">
        <v>58</v>
      </c>
      <c r="B15" s="3" t="s">
        <v>59</v>
      </c>
      <c r="C15" s="4">
        <v>55426</v>
      </c>
      <c r="D15" s="4"/>
      <c r="F15" s="4"/>
      <c r="G15" s="16"/>
      <c r="H15" s="4"/>
      <c r="I15" s="4"/>
      <c r="J15" s="4"/>
      <c r="K15" s="4"/>
      <c r="L15" s="4"/>
      <c r="M15" s="4"/>
      <c r="N15" s="4"/>
      <c r="O15" s="4"/>
      <c r="P15" s="4"/>
      <c r="Q15" s="4"/>
      <c r="AC15" s="4"/>
      <c r="AG15" s="5"/>
      <c r="AM15" s="4"/>
      <c r="AN15" s="4">
        <f t="shared" si="0"/>
        <v>55426</v>
      </c>
      <c r="AO15" s="6"/>
      <c r="AQ15" s="4">
        <v>55426</v>
      </c>
      <c r="AR15" s="6"/>
      <c r="AS15" s="1"/>
      <c r="AT15" s="4">
        <v>55426</v>
      </c>
      <c r="AU15" s="6"/>
      <c r="AV15" s="1"/>
      <c r="AW15" s="4">
        <f t="shared" si="1"/>
        <v>55426</v>
      </c>
      <c r="AZ15" s="4">
        <f t="shared" si="2"/>
        <v>55426</v>
      </c>
      <c r="BA15" s="17"/>
      <c r="BC15" s="4">
        <f t="shared" si="3"/>
        <v>55426</v>
      </c>
      <c r="BF15" s="17"/>
    </row>
    <row r="16" spans="1:59" x14ac:dyDescent="0.35">
      <c r="A16" s="3" t="s">
        <v>60</v>
      </c>
      <c r="B16" s="3" t="s">
        <v>61</v>
      </c>
      <c r="C16" s="4">
        <v>32544</v>
      </c>
      <c r="D16" s="4"/>
      <c r="F16" s="4"/>
      <c r="G16" s="16"/>
      <c r="H16" s="4"/>
      <c r="I16" s="4"/>
      <c r="J16" s="4"/>
      <c r="K16" s="4"/>
      <c r="L16" s="4"/>
      <c r="M16" s="4"/>
      <c r="N16" s="4"/>
      <c r="O16" s="4"/>
      <c r="P16" s="4"/>
      <c r="Q16" s="4"/>
      <c r="AC16" s="4"/>
      <c r="AG16" s="5"/>
      <c r="AM16" s="4"/>
      <c r="AN16" s="4">
        <f t="shared" si="0"/>
        <v>32544</v>
      </c>
      <c r="AO16" s="6"/>
      <c r="AQ16" s="4">
        <v>32544</v>
      </c>
      <c r="AR16" s="6"/>
      <c r="AS16" s="1"/>
      <c r="AT16" s="4">
        <v>32544</v>
      </c>
      <c r="AU16" s="6"/>
      <c r="AV16" s="1"/>
      <c r="AW16" s="4">
        <f t="shared" si="1"/>
        <v>32544</v>
      </c>
      <c r="AZ16" s="4">
        <f t="shared" si="2"/>
        <v>32544</v>
      </c>
      <c r="BA16" s="17"/>
      <c r="BC16" s="4">
        <f t="shared" si="3"/>
        <v>32544</v>
      </c>
      <c r="BF16" s="17"/>
    </row>
    <row r="17" spans="1:63" x14ac:dyDescent="0.35">
      <c r="A17" s="3" t="s">
        <v>62</v>
      </c>
      <c r="B17" s="3" t="s">
        <v>63</v>
      </c>
      <c r="C17" s="4">
        <v>2500</v>
      </c>
      <c r="D17" s="4"/>
      <c r="F17" s="4"/>
      <c r="G17" s="16"/>
      <c r="H17" s="4"/>
      <c r="I17" s="4"/>
      <c r="J17" s="4"/>
      <c r="K17" s="4"/>
      <c r="L17" s="4"/>
      <c r="M17" s="4"/>
      <c r="N17" s="4"/>
      <c r="O17" s="4"/>
      <c r="P17" s="4"/>
      <c r="Q17" s="4"/>
      <c r="AC17" s="4"/>
      <c r="AG17" s="5"/>
      <c r="AM17" s="4"/>
      <c r="AN17" s="4">
        <f t="shared" si="0"/>
        <v>2500</v>
      </c>
      <c r="AO17" s="6"/>
      <c r="AQ17" s="4">
        <v>2500</v>
      </c>
      <c r="AR17" s="6"/>
      <c r="AS17" s="1"/>
      <c r="AT17" s="4">
        <v>2500</v>
      </c>
      <c r="AU17" s="6"/>
      <c r="AV17" s="1"/>
      <c r="AW17" s="4">
        <f t="shared" si="1"/>
        <v>2500</v>
      </c>
      <c r="AZ17" s="4">
        <f t="shared" si="2"/>
        <v>2500</v>
      </c>
      <c r="BA17" s="17"/>
      <c r="BC17" s="4">
        <f t="shared" si="3"/>
        <v>2500</v>
      </c>
      <c r="BF17" s="17"/>
    </row>
    <row r="18" spans="1:63" x14ac:dyDescent="0.35">
      <c r="A18" s="3" t="s">
        <v>64</v>
      </c>
      <c r="B18" s="3" t="s">
        <v>65</v>
      </c>
      <c r="C18" s="4">
        <v>2000</v>
      </c>
      <c r="D18" s="4"/>
      <c r="F18" s="4"/>
      <c r="G18" s="16"/>
      <c r="H18" s="4"/>
      <c r="I18" s="4"/>
      <c r="J18" s="4"/>
      <c r="K18" s="4"/>
      <c r="L18" s="4"/>
      <c r="M18" s="4"/>
      <c r="N18" s="4"/>
      <c r="O18" s="4"/>
      <c r="P18" s="4"/>
      <c r="Q18" s="4"/>
      <c r="AC18" s="4"/>
      <c r="AG18" s="5"/>
      <c r="AM18" s="4"/>
      <c r="AN18" s="4">
        <f t="shared" si="0"/>
        <v>2000</v>
      </c>
      <c r="AO18" s="6"/>
      <c r="AQ18" s="4">
        <v>2000</v>
      </c>
      <c r="AR18" s="6"/>
      <c r="AS18" s="1"/>
      <c r="AT18" s="4">
        <v>2000</v>
      </c>
      <c r="AU18" s="6"/>
      <c r="AV18" s="1"/>
      <c r="AW18" s="4">
        <f t="shared" si="1"/>
        <v>2000</v>
      </c>
      <c r="AZ18" s="4">
        <f t="shared" si="2"/>
        <v>2000</v>
      </c>
      <c r="BA18" s="17"/>
      <c r="BC18" s="4">
        <f t="shared" si="3"/>
        <v>2000</v>
      </c>
      <c r="BF18" s="17"/>
    </row>
    <row r="19" spans="1:63" x14ac:dyDescent="0.35">
      <c r="A19" s="3" t="s">
        <v>66</v>
      </c>
      <c r="B19" s="3" t="s">
        <v>34</v>
      </c>
      <c r="C19" s="4">
        <v>70000</v>
      </c>
      <c r="D19" s="4"/>
      <c r="F19" s="4"/>
      <c r="G19" s="16"/>
      <c r="H19" s="4"/>
      <c r="I19" s="4"/>
      <c r="J19" s="4"/>
      <c r="K19" s="4"/>
      <c r="L19" s="4"/>
      <c r="M19" s="4"/>
      <c r="N19" s="4"/>
      <c r="O19" s="4"/>
      <c r="P19" s="4"/>
      <c r="Q19" s="4"/>
      <c r="AC19" s="4"/>
      <c r="AG19" s="5"/>
      <c r="AM19" s="4"/>
      <c r="AN19" s="4">
        <f t="shared" si="0"/>
        <v>70000</v>
      </c>
      <c r="AO19" s="6"/>
      <c r="AQ19" s="4">
        <v>70000</v>
      </c>
      <c r="AR19" s="6"/>
      <c r="AS19" s="1"/>
      <c r="AT19" s="4">
        <v>70000</v>
      </c>
      <c r="AU19" s="6"/>
      <c r="AV19" s="1"/>
      <c r="AW19" s="4">
        <f t="shared" si="1"/>
        <v>70000</v>
      </c>
      <c r="AZ19" s="4">
        <f t="shared" si="2"/>
        <v>70000</v>
      </c>
      <c r="BA19" s="17"/>
      <c r="BC19" s="4">
        <f t="shared" si="3"/>
        <v>70000</v>
      </c>
      <c r="BF19" s="17"/>
    </row>
    <row r="20" spans="1:63" x14ac:dyDescent="0.35">
      <c r="A20" s="3" t="s">
        <v>67</v>
      </c>
      <c r="B20" s="3" t="s">
        <v>34</v>
      </c>
      <c r="C20" s="4">
        <v>100000</v>
      </c>
      <c r="D20" s="4"/>
      <c r="F20" s="4"/>
      <c r="G20" s="16"/>
      <c r="H20" s="4"/>
      <c r="I20" s="4"/>
      <c r="J20" s="4"/>
      <c r="K20" s="4"/>
      <c r="L20" s="4"/>
      <c r="M20" s="4"/>
      <c r="N20" s="4"/>
      <c r="O20" s="4"/>
      <c r="P20" s="4"/>
      <c r="Q20" s="4"/>
      <c r="AC20" s="4"/>
      <c r="AG20" s="5"/>
      <c r="AM20" s="4"/>
      <c r="AN20" s="4">
        <f t="shared" si="0"/>
        <v>100000</v>
      </c>
      <c r="AO20" s="6"/>
      <c r="AQ20" s="4">
        <v>100000</v>
      </c>
      <c r="AR20" s="6"/>
      <c r="AS20" s="1"/>
      <c r="AT20" s="4">
        <v>100000</v>
      </c>
      <c r="AU20" s="6"/>
      <c r="AV20" s="1"/>
      <c r="AW20" s="4">
        <f t="shared" si="1"/>
        <v>100000</v>
      </c>
      <c r="AZ20" s="4">
        <f t="shared" si="2"/>
        <v>100000</v>
      </c>
      <c r="BA20" s="17"/>
      <c r="BC20" s="4">
        <f t="shared" si="3"/>
        <v>100000</v>
      </c>
      <c r="BF20" s="17"/>
    </row>
    <row r="21" spans="1:63" x14ac:dyDescent="0.35">
      <c r="C21" s="4"/>
      <c r="D21" s="4"/>
      <c r="F21" s="4"/>
      <c r="G21" s="16"/>
      <c r="H21" s="4"/>
      <c r="I21" s="4"/>
      <c r="J21" s="4"/>
      <c r="K21" s="4"/>
      <c r="L21" s="4"/>
      <c r="M21" s="4"/>
      <c r="N21" s="4"/>
      <c r="O21" s="4"/>
      <c r="P21" s="4"/>
      <c r="Q21" s="4"/>
      <c r="AC21" s="4"/>
      <c r="AG21" s="5"/>
      <c r="AM21" s="4"/>
      <c r="AN21" s="4"/>
      <c r="AO21" s="6"/>
      <c r="AR21" s="6"/>
      <c r="AS21" s="1"/>
      <c r="AU21" s="6"/>
      <c r="AV21" s="1"/>
      <c r="BA21" s="17"/>
      <c r="BF21" s="17"/>
      <c r="BH21" s="18" t="s">
        <v>68</v>
      </c>
      <c r="BI21" s="18"/>
      <c r="BJ21" s="18"/>
      <c r="BK21" s="18"/>
    </row>
    <row r="22" spans="1:63" x14ac:dyDescent="0.35">
      <c r="A22" s="3" t="s">
        <v>69</v>
      </c>
      <c r="C22" s="19">
        <f>SUM(C8:C20)</f>
        <v>430269</v>
      </c>
      <c r="D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AC22" s="4"/>
      <c r="AG22" s="5"/>
      <c r="AM22" s="4"/>
      <c r="AO22" s="6"/>
      <c r="AQ22" s="19">
        <v>430269</v>
      </c>
      <c r="AR22" s="19">
        <v>0</v>
      </c>
      <c r="AS22" s="19">
        <v>0</v>
      </c>
      <c r="AT22" s="19">
        <v>430269</v>
      </c>
      <c r="AU22" s="19">
        <f>SUM(AU8:AU20)</f>
        <v>0</v>
      </c>
      <c r="AV22" s="19">
        <f>SUM(AV8:AV20)</f>
        <v>0</v>
      </c>
      <c r="AW22" s="19">
        <f>SUM(AW8:AW20)</f>
        <v>430269</v>
      </c>
      <c r="AX22" s="19">
        <v>0</v>
      </c>
      <c r="AY22" s="19">
        <v>0</v>
      </c>
      <c r="AZ22" s="19">
        <f>SUM(AZ8:AZ20)</f>
        <v>430269</v>
      </c>
      <c r="BA22" s="20">
        <v>0</v>
      </c>
      <c r="BB22" s="19">
        <v>0</v>
      </c>
      <c r="BC22" s="19">
        <f>SUM(BC8:BC20)</f>
        <v>430269</v>
      </c>
      <c r="BF22" s="20">
        <v>0</v>
      </c>
      <c r="BH22" s="3" t="s">
        <v>70</v>
      </c>
      <c r="BI22" s="3" t="s">
        <v>71</v>
      </c>
      <c r="BJ22" s="3" t="s">
        <v>72</v>
      </c>
      <c r="BK22" s="3" t="s">
        <v>73</v>
      </c>
    </row>
    <row r="23" spans="1:63" x14ac:dyDescent="0.35">
      <c r="C23" s="4"/>
      <c r="D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AC23" s="4"/>
      <c r="AG23" s="5"/>
      <c r="AM23" s="4"/>
      <c r="AO23" s="6"/>
      <c r="AR23" s="6"/>
      <c r="AS23" s="1"/>
      <c r="BA23" s="17"/>
      <c r="BF23" s="17"/>
      <c r="BH23" s="3" t="s">
        <v>74</v>
      </c>
      <c r="BI23" s="3" t="s">
        <v>75</v>
      </c>
      <c r="BJ23" s="3" t="s">
        <v>76</v>
      </c>
      <c r="BK23" s="3" t="s">
        <v>77</v>
      </c>
    </row>
    <row r="24" spans="1:63" x14ac:dyDescent="0.35">
      <c r="A24" s="3" t="s">
        <v>78</v>
      </c>
      <c r="B24" s="3" t="s">
        <v>79</v>
      </c>
      <c r="C24" s="4"/>
      <c r="D24" s="4" t="s">
        <v>80</v>
      </c>
      <c r="E24" s="2">
        <v>37.5</v>
      </c>
      <c r="F24" s="4"/>
      <c r="G24" s="4">
        <v>353649</v>
      </c>
      <c r="H24" s="4">
        <v>11429</v>
      </c>
      <c r="I24" s="4">
        <f t="shared" ref="I24:I34" si="4">G24+H24</f>
        <v>365078</v>
      </c>
      <c r="J24" s="4">
        <f t="shared" ref="J24:J34" si="5">C24/E24</f>
        <v>0</v>
      </c>
      <c r="K24" s="4">
        <f t="shared" ref="K24:K39" si="6">I24+J24</f>
        <v>365078</v>
      </c>
      <c r="L24" s="4">
        <f>J24</f>
        <v>0</v>
      </c>
      <c r="M24" s="4">
        <f t="shared" ref="M24:M42" si="7">K24+L24</f>
        <v>365078</v>
      </c>
      <c r="N24" s="4">
        <f>L24</f>
        <v>0</v>
      </c>
      <c r="O24" s="4">
        <f t="shared" ref="O24:O42" si="8">M24+N24</f>
        <v>365078</v>
      </c>
      <c r="P24" s="4">
        <f>C24/E24</f>
        <v>0</v>
      </c>
      <c r="Q24" s="4">
        <f t="shared" ref="Q24:Q42" si="9">O24+P24</f>
        <v>365078</v>
      </c>
      <c r="R24" s="4">
        <f>SUM(C24/E24)</f>
        <v>0</v>
      </c>
      <c r="S24" s="4">
        <f t="shared" ref="S24:S42" si="10">Q24+R24</f>
        <v>365078</v>
      </c>
      <c r="T24" s="4">
        <f t="shared" ref="T24:T42" si="11">R24</f>
        <v>0</v>
      </c>
      <c r="U24" s="4">
        <f t="shared" ref="U24:U42" si="12">S24+R24</f>
        <v>365078</v>
      </c>
      <c r="V24" s="4">
        <f t="shared" ref="V24:V42" si="13">T24</f>
        <v>0</v>
      </c>
      <c r="W24" s="4">
        <f t="shared" ref="W24:W42" si="14">U24+V24</f>
        <v>365078</v>
      </c>
      <c r="X24" s="4">
        <f>V24</f>
        <v>0</v>
      </c>
      <c r="Y24" s="4">
        <f t="shared" ref="Y24:Y42" si="15">W24+V24</f>
        <v>365078</v>
      </c>
      <c r="Z24" s="4">
        <f>457163-456511</f>
        <v>652</v>
      </c>
      <c r="AA24" s="4">
        <f t="shared" ref="AA24:AA46" si="16">SUM(Y24:Z24)</f>
        <v>365730</v>
      </c>
      <c r="AC24" s="4">
        <v>457163</v>
      </c>
      <c r="AD24" s="3">
        <f t="shared" ref="AD24:AD47" si="17">AB24</f>
        <v>0</v>
      </c>
      <c r="AE24" s="4">
        <f t="shared" ref="AE24:AE49" si="18">AC24+AD24</f>
        <v>457163</v>
      </c>
      <c r="AF24" s="3">
        <f t="shared" ref="AF24:AF48" si="19">AD24</f>
        <v>0</v>
      </c>
      <c r="AG24" s="5">
        <f t="shared" ref="AG24:AG49" si="20">AE24+AF24</f>
        <v>457163</v>
      </c>
      <c r="AH24" s="3">
        <f t="shared" ref="AH24:AH49" si="21">AF24</f>
        <v>0</v>
      </c>
      <c r="AI24" s="3">
        <f t="shared" ref="AI24:AI49" si="22">SUM(AG24:AH24)</f>
        <v>457163</v>
      </c>
      <c r="AJ24" s="4">
        <f t="shared" ref="AJ24:AJ49" si="23">AH24</f>
        <v>0</v>
      </c>
      <c r="AK24" s="4">
        <f t="shared" ref="AK24:AK52" si="24">AI24+AJ24</f>
        <v>457163</v>
      </c>
      <c r="AL24" s="4">
        <f t="shared" ref="AL24:AL49" si="25">AJ24</f>
        <v>0</v>
      </c>
      <c r="AM24" s="4">
        <f t="shared" ref="AM24:AM56" si="26">AK24+AL24</f>
        <v>457163</v>
      </c>
      <c r="AN24" s="4">
        <f t="shared" ref="AN24:AN56" si="27">C24-AM24</f>
        <v>-457163</v>
      </c>
      <c r="AO24" s="21">
        <f t="shared" ref="AO24:AO52" si="28">AL24</f>
        <v>0</v>
      </c>
      <c r="AP24" s="4">
        <v>457163</v>
      </c>
      <c r="AQ24" s="4">
        <v>0</v>
      </c>
      <c r="AR24" s="21">
        <v>0</v>
      </c>
      <c r="AS24" s="19">
        <v>457163</v>
      </c>
      <c r="AT24" s="4">
        <v>0</v>
      </c>
      <c r="AU24" s="21">
        <f>AR24</f>
        <v>0</v>
      </c>
      <c r="AV24" s="19">
        <f>AS24+AU24</f>
        <v>457163</v>
      </c>
      <c r="AW24" s="4">
        <f>C24-AV24</f>
        <v>-457163</v>
      </c>
      <c r="AX24" s="4">
        <v>0</v>
      </c>
      <c r="AY24" s="19">
        <f t="shared" ref="AY24:AY25" si="29">AV24+AX24</f>
        <v>457163</v>
      </c>
      <c r="AZ24" s="4">
        <f t="shared" ref="AZ24:AZ25" si="30">AW24-AX24</f>
        <v>-457163</v>
      </c>
      <c r="BA24" s="22">
        <v>0</v>
      </c>
      <c r="BB24" s="19">
        <f t="shared" ref="BB24:BB25" si="31">AY24+BA24</f>
        <v>457163</v>
      </c>
      <c r="BC24" s="4">
        <f t="shared" ref="BC24:BC25" si="32">AZ24-BA24</f>
        <v>-457163</v>
      </c>
      <c r="BF24" s="22">
        <v>0</v>
      </c>
      <c r="BG24" s="4"/>
    </row>
    <row r="25" spans="1:63" x14ac:dyDescent="0.35">
      <c r="A25" s="3" t="s">
        <v>81</v>
      </c>
      <c r="B25" s="3" t="s">
        <v>48</v>
      </c>
      <c r="C25" s="4"/>
      <c r="D25" s="4" t="s">
        <v>80</v>
      </c>
      <c r="E25" s="2">
        <v>22.5</v>
      </c>
      <c r="F25" s="4"/>
      <c r="G25" s="4">
        <v>656</v>
      </c>
      <c r="H25" s="4">
        <v>75</v>
      </c>
      <c r="I25" s="4">
        <f t="shared" si="4"/>
        <v>731</v>
      </c>
      <c r="J25" s="4">
        <f t="shared" si="5"/>
        <v>0</v>
      </c>
      <c r="K25" s="4">
        <f t="shared" si="6"/>
        <v>731</v>
      </c>
      <c r="L25" s="4">
        <f>750-806</f>
        <v>-56</v>
      </c>
      <c r="M25" s="4">
        <f t="shared" si="7"/>
        <v>675</v>
      </c>
      <c r="N25" s="4"/>
      <c r="O25" s="4">
        <f t="shared" si="8"/>
        <v>675</v>
      </c>
      <c r="P25" s="4"/>
      <c r="Q25" s="4">
        <f t="shared" si="9"/>
        <v>675</v>
      </c>
      <c r="R25" s="4">
        <v>0</v>
      </c>
      <c r="S25" s="4">
        <f t="shared" si="10"/>
        <v>675</v>
      </c>
      <c r="T25" s="4">
        <f t="shared" si="11"/>
        <v>0</v>
      </c>
      <c r="U25" s="4">
        <f t="shared" si="12"/>
        <v>675</v>
      </c>
      <c r="V25" s="4">
        <f t="shared" si="13"/>
        <v>0</v>
      </c>
      <c r="W25" s="4">
        <f t="shared" si="14"/>
        <v>675</v>
      </c>
      <c r="X25" s="3">
        <v>0</v>
      </c>
      <c r="Y25" s="4">
        <f t="shared" si="15"/>
        <v>675</v>
      </c>
      <c r="Z25" s="4">
        <f t="shared" ref="Z25:Z42" si="33">X25</f>
        <v>0</v>
      </c>
      <c r="AA25" s="4">
        <f t="shared" si="16"/>
        <v>675</v>
      </c>
      <c r="AC25" s="4">
        <f>SUM(AA25:AB25)</f>
        <v>675</v>
      </c>
      <c r="AD25" s="3">
        <f t="shared" si="17"/>
        <v>0</v>
      </c>
      <c r="AE25" s="4">
        <f t="shared" si="18"/>
        <v>675</v>
      </c>
      <c r="AF25" s="3">
        <f t="shared" si="19"/>
        <v>0</v>
      </c>
      <c r="AG25" s="5">
        <f t="shared" si="20"/>
        <v>675</v>
      </c>
      <c r="AH25" s="3">
        <f t="shared" si="21"/>
        <v>0</v>
      </c>
      <c r="AI25" s="3">
        <f t="shared" si="22"/>
        <v>675</v>
      </c>
      <c r="AJ25" s="4">
        <f t="shared" si="23"/>
        <v>0</v>
      </c>
      <c r="AK25" s="4">
        <f t="shared" si="24"/>
        <v>675</v>
      </c>
      <c r="AL25" s="4">
        <f t="shared" si="25"/>
        <v>0</v>
      </c>
      <c r="AM25" s="4">
        <f t="shared" si="26"/>
        <v>675</v>
      </c>
      <c r="AN25" s="4">
        <f t="shared" si="27"/>
        <v>-675</v>
      </c>
      <c r="AO25" s="21">
        <f t="shared" si="28"/>
        <v>0</v>
      </c>
      <c r="AP25" s="4">
        <v>750</v>
      </c>
      <c r="AQ25" s="4">
        <v>0</v>
      </c>
      <c r="AR25" s="21">
        <v>0</v>
      </c>
      <c r="AS25" s="19">
        <v>750</v>
      </c>
      <c r="AT25" s="4">
        <v>0</v>
      </c>
      <c r="AU25" s="21">
        <f>AR25</f>
        <v>0</v>
      </c>
      <c r="AV25" s="19">
        <f>AS25+AU25</f>
        <v>750</v>
      </c>
      <c r="AW25" s="4">
        <f>C25-AV25</f>
        <v>-750</v>
      </c>
      <c r="AX25" s="4">
        <v>0</v>
      </c>
      <c r="AY25" s="19">
        <f t="shared" si="29"/>
        <v>750</v>
      </c>
      <c r="AZ25" s="4">
        <f t="shared" si="30"/>
        <v>-750</v>
      </c>
      <c r="BA25" s="22">
        <v>0</v>
      </c>
      <c r="BB25" s="19">
        <f t="shared" si="31"/>
        <v>750</v>
      </c>
      <c r="BC25" s="4">
        <f t="shared" si="32"/>
        <v>-750</v>
      </c>
      <c r="BF25" s="22">
        <v>0</v>
      </c>
      <c r="BG25" s="4"/>
    </row>
    <row r="26" spans="1:63" x14ac:dyDescent="0.35">
      <c r="A26" s="3" t="s">
        <v>82</v>
      </c>
      <c r="B26" s="3" t="s">
        <v>48</v>
      </c>
      <c r="C26" s="4">
        <v>114538</v>
      </c>
      <c r="D26" s="4" t="s">
        <v>80</v>
      </c>
      <c r="E26" s="2">
        <v>37.5</v>
      </c>
      <c r="F26" s="4"/>
      <c r="G26" s="4">
        <v>25502</v>
      </c>
      <c r="H26" s="4">
        <v>2863</v>
      </c>
      <c r="I26" s="4">
        <f t="shared" si="4"/>
        <v>28365</v>
      </c>
      <c r="J26" s="4">
        <f t="shared" si="5"/>
        <v>3054.3466666666668</v>
      </c>
      <c r="K26" s="4">
        <f t="shared" si="6"/>
        <v>31419.346666666668</v>
      </c>
      <c r="L26" s="4">
        <f t="shared" ref="L26:L34" si="34">J26</f>
        <v>3054.3466666666668</v>
      </c>
      <c r="M26" s="4">
        <f t="shared" si="7"/>
        <v>34473.693333333336</v>
      </c>
      <c r="N26" s="4">
        <f t="shared" ref="N26:N39" si="35">L26</f>
        <v>3054.3466666666668</v>
      </c>
      <c r="O26" s="4">
        <f t="shared" si="8"/>
        <v>37528.04</v>
      </c>
      <c r="P26" s="4">
        <f t="shared" ref="P26:P41" si="36">C26/E26</f>
        <v>3054.3466666666668</v>
      </c>
      <c r="Q26" s="4">
        <f t="shared" si="9"/>
        <v>40582.386666666665</v>
      </c>
      <c r="R26" s="4">
        <f t="shared" ref="R26:R42" si="37">SUM(C26/E26)</f>
        <v>3054.3466666666668</v>
      </c>
      <c r="S26" s="4">
        <f t="shared" si="10"/>
        <v>43636.73333333333</v>
      </c>
      <c r="T26" s="4">
        <f t="shared" si="11"/>
        <v>3054.3466666666668</v>
      </c>
      <c r="U26" s="4">
        <f t="shared" si="12"/>
        <v>46691.079999999994</v>
      </c>
      <c r="V26" s="4">
        <f t="shared" si="13"/>
        <v>3054.3466666666668</v>
      </c>
      <c r="W26" s="4">
        <f t="shared" si="14"/>
        <v>49745.426666666659</v>
      </c>
      <c r="X26" s="4">
        <f t="shared" ref="X26:X42" si="38">V26</f>
        <v>3054.3466666666668</v>
      </c>
      <c r="Y26" s="4">
        <f t="shared" si="15"/>
        <v>52799.773333333324</v>
      </c>
      <c r="Z26" s="4">
        <f t="shared" si="33"/>
        <v>3054.3466666666668</v>
      </c>
      <c r="AA26" s="4">
        <f t="shared" si="16"/>
        <v>55854.119999999988</v>
      </c>
      <c r="AB26" s="4">
        <f t="shared" ref="AB26:AB42" si="39">Z26</f>
        <v>3054.3466666666668</v>
      </c>
      <c r="AC26" s="4">
        <v>56999</v>
      </c>
      <c r="AD26" s="3">
        <f t="shared" si="17"/>
        <v>3054.3466666666668</v>
      </c>
      <c r="AE26" s="4">
        <f t="shared" si="18"/>
        <v>60053.346666666665</v>
      </c>
      <c r="AF26" s="3">
        <f t="shared" si="19"/>
        <v>3054.3466666666668</v>
      </c>
      <c r="AG26" s="5">
        <f t="shared" si="20"/>
        <v>63107.693333333329</v>
      </c>
      <c r="AH26" s="3">
        <f t="shared" si="21"/>
        <v>3054.3466666666668</v>
      </c>
      <c r="AI26" s="3">
        <f t="shared" si="22"/>
        <v>66162.039999999994</v>
      </c>
      <c r="AJ26" s="4">
        <f t="shared" si="23"/>
        <v>3054.3466666666668</v>
      </c>
      <c r="AK26" s="4">
        <f t="shared" si="24"/>
        <v>69216.386666666658</v>
      </c>
      <c r="AL26" s="4">
        <f t="shared" si="25"/>
        <v>3054.3466666666668</v>
      </c>
      <c r="AM26" s="4">
        <f t="shared" si="26"/>
        <v>72270.733333333323</v>
      </c>
      <c r="AN26" s="4">
        <f t="shared" si="27"/>
        <v>42267.266666666677</v>
      </c>
      <c r="AO26" s="21">
        <f t="shared" si="28"/>
        <v>3054.3466666666668</v>
      </c>
      <c r="AP26" s="4">
        <f t="shared" ref="AP26:AP58" si="40">AM26+AO26</f>
        <v>75325.079999999987</v>
      </c>
      <c r="AQ26" s="4">
        <v>40358.300000000017</v>
      </c>
      <c r="AR26" s="21">
        <v>2863.45</v>
      </c>
      <c r="AS26" s="19">
        <v>77043.14999999998</v>
      </c>
      <c r="AT26" s="4">
        <v>37494.85000000002</v>
      </c>
      <c r="AU26" s="21">
        <f>SUM(C26/E26)</f>
        <v>3054.3466666666668</v>
      </c>
      <c r="AV26" s="19">
        <f>AS26+AU26</f>
        <v>80097.496666666644</v>
      </c>
      <c r="AW26" s="4">
        <f>C26-AV26</f>
        <v>34440.503333333356</v>
      </c>
      <c r="AX26" s="4">
        <f>SUM(C26/E26)</f>
        <v>3054.3466666666668</v>
      </c>
      <c r="AY26" s="4">
        <f>SUM(AV26+AX26)</f>
        <v>83151.843333333309</v>
      </c>
      <c r="AZ26" s="4">
        <f>SUM(C26-AY26)</f>
        <v>31386.156666666691</v>
      </c>
      <c r="BA26" s="22">
        <f>SUM(C26/E26)</f>
        <v>3054.3466666666668</v>
      </c>
      <c r="BB26" s="4">
        <f>SUM(AY26+BA26)</f>
        <v>86206.189999999973</v>
      </c>
      <c r="BC26" s="4">
        <f>SUM(C26-BB26)</f>
        <v>28331.810000000027</v>
      </c>
      <c r="BF26" s="22">
        <v>3054.3466666666668</v>
      </c>
      <c r="BG26" s="4">
        <f>BA26-BF26</f>
        <v>0</v>
      </c>
      <c r="BK26" s="4">
        <f>BF26</f>
        <v>3054.3466666666668</v>
      </c>
    </row>
    <row r="27" spans="1:63" x14ac:dyDescent="0.35">
      <c r="A27" s="3" t="s">
        <v>82</v>
      </c>
      <c r="B27" s="3" t="s">
        <v>83</v>
      </c>
      <c r="C27" s="4">
        <v>103911</v>
      </c>
      <c r="D27" s="4" t="s">
        <v>80</v>
      </c>
      <c r="E27" s="2">
        <v>37.5</v>
      </c>
      <c r="F27" s="4"/>
      <c r="G27" s="4">
        <v>20784</v>
      </c>
      <c r="H27" s="4">
        <v>2598</v>
      </c>
      <c r="I27" s="4">
        <f t="shared" si="4"/>
        <v>23382</v>
      </c>
      <c r="J27" s="4">
        <f t="shared" si="5"/>
        <v>2770.96</v>
      </c>
      <c r="K27" s="4">
        <f t="shared" si="6"/>
        <v>26152.959999999999</v>
      </c>
      <c r="L27" s="4">
        <f t="shared" si="34"/>
        <v>2770.96</v>
      </c>
      <c r="M27" s="4">
        <f t="shared" si="7"/>
        <v>28923.919999999998</v>
      </c>
      <c r="N27" s="4">
        <f t="shared" si="35"/>
        <v>2770.96</v>
      </c>
      <c r="O27" s="4">
        <f t="shared" si="8"/>
        <v>31694.879999999997</v>
      </c>
      <c r="P27" s="4">
        <f t="shared" si="36"/>
        <v>2770.96</v>
      </c>
      <c r="Q27" s="4">
        <f t="shared" si="9"/>
        <v>34465.839999999997</v>
      </c>
      <c r="R27" s="4">
        <f t="shared" si="37"/>
        <v>2770.96</v>
      </c>
      <c r="S27" s="4">
        <f t="shared" si="10"/>
        <v>37236.799999999996</v>
      </c>
      <c r="T27" s="4">
        <f t="shared" si="11"/>
        <v>2770.96</v>
      </c>
      <c r="U27" s="4">
        <f t="shared" si="12"/>
        <v>40007.759999999995</v>
      </c>
      <c r="V27" s="4">
        <f t="shared" si="13"/>
        <v>2770.96</v>
      </c>
      <c r="W27" s="4">
        <f t="shared" si="14"/>
        <v>42778.719999999994</v>
      </c>
      <c r="X27" s="4">
        <f t="shared" si="38"/>
        <v>2770.96</v>
      </c>
      <c r="Y27" s="4">
        <f t="shared" si="15"/>
        <v>45549.679999999993</v>
      </c>
      <c r="Z27" s="4">
        <f t="shared" si="33"/>
        <v>2770.96</v>
      </c>
      <c r="AA27" s="4">
        <f t="shared" si="16"/>
        <v>48320.639999999992</v>
      </c>
      <c r="AB27" s="4">
        <f t="shared" si="39"/>
        <v>2770.96</v>
      </c>
      <c r="AC27" s="4">
        <f t="shared" ref="AC27:AC47" si="41">SUM(AA27:AB27)</f>
        <v>51091.599999999991</v>
      </c>
      <c r="AD27" s="3">
        <f t="shared" si="17"/>
        <v>2770.96</v>
      </c>
      <c r="AE27" s="4">
        <f t="shared" si="18"/>
        <v>53862.55999999999</v>
      </c>
      <c r="AF27" s="3">
        <f t="shared" si="19"/>
        <v>2770.96</v>
      </c>
      <c r="AG27" s="5">
        <f t="shared" si="20"/>
        <v>56633.51999999999</v>
      </c>
      <c r="AH27" s="3">
        <f t="shared" si="21"/>
        <v>2770.96</v>
      </c>
      <c r="AI27" s="3">
        <f t="shared" si="22"/>
        <v>59404.479999999989</v>
      </c>
      <c r="AJ27" s="4">
        <f t="shared" si="23"/>
        <v>2770.96</v>
      </c>
      <c r="AK27" s="4">
        <f t="shared" si="24"/>
        <v>62175.439999999988</v>
      </c>
      <c r="AL27" s="4">
        <f t="shared" si="25"/>
        <v>2770.96</v>
      </c>
      <c r="AM27" s="4">
        <f t="shared" si="26"/>
        <v>64946.399999999987</v>
      </c>
      <c r="AN27" s="4">
        <f t="shared" si="27"/>
        <v>38964.600000000013</v>
      </c>
      <c r="AO27" s="21">
        <f t="shared" si="28"/>
        <v>2770.96</v>
      </c>
      <c r="AP27" s="4">
        <f t="shared" si="40"/>
        <v>67717.359999999986</v>
      </c>
      <c r="AQ27" s="4">
        <v>38964.599999999977</v>
      </c>
      <c r="AR27" s="21">
        <v>2597.7750000000001</v>
      </c>
      <c r="AS27" s="19">
        <v>67544.175000000017</v>
      </c>
      <c r="AT27" s="4">
        <v>36366.824999999983</v>
      </c>
      <c r="AU27" s="21">
        <f t="shared" ref="AU27:AU57" si="42">SUM(C27/E27)</f>
        <v>2770.96</v>
      </c>
      <c r="AV27" s="19">
        <f t="shared" ref="AV27:AV57" si="43">AS27+AU27</f>
        <v>70315.135000000024</v>
      </c>
      <c r="AW27" s="4">
        <f t="shared" ref="AW27:AW57" si="44">C27-AV27</f>
        <v>33595.864999999976</v>
      </c>
      <c r="AX27" s="4">
        <f t="shared" ref="AX27:AX57" si="45">SUM(C27/E27)</f>
        <v>2770.96</v>
      </c>
      <c r="AY27" s="4">
        <f t="shared" ref="AY27:AY57" si="46">SUM(AV27+AX27)</f>
        <v>73086.09500000003</v>
      </c>
      <c r="AZ27" s="4">
        <f t="shared" ref="AZ27:AZ57" si="47">SUM(C27-AY27)</f>
        <v>30824.90499999997</v>
      </c>
      <c r="BA27" s="22">
        <f t="shared" ref="BA27:BA57" si="48">SUM(C27/E27)</f>
        <v>2770.96</v>
      </c>
      <c r="BB27" s="4">
        <f t="shared" ref="BB27:BB57" si="49">SUM(AY27+BA27)</f>
        <v>75857.055000000037</v>
      </c>
      <c r="BC27" s="4">
        <f t="shared" ref="BC27:BC57" si="50">SUM(C27-BB27)</f>
        <v>28053.944999999963</v>
      </c>
      <c r="BF27" s="22">
        <v>2770.96</v>
      </c>
      <c r="BG27" s="4">
        <f t="shared" ref="BG27:BG90" si="51">BA27-BF27</f>
        <v>0</v>
      </c>
      <c r="BK27" s="4">
        <f t="shared" ref="BK27:BK32" si="52">BF27</f>
        <v>2770.96</v>
      </c>
    </row>
    <row r="28" spans="1:63" x14ac:dyDescent="0.35">
      <c r="A28" s="3" t="s">
        <v>82</v>
      </c>
      <c r="B28" s="3" t="s">
        <v>84</v>
      </c>
      <c r="C28" s="4">
        <v>34146</v>
      </c>
      <c r="D28" s="4" t="s">
        <v>80</v>
      </c>
      <c r="E28" s="2">
        <v>37.5</v>
      </c>
      <c r="F28" s="4"/>
      <c r="G28" s="4">
        <v>5551</v>
      </c>
      <c r="H28" s="4">
        <v>854</v>
      </c>
      <c r="I28" s="4">
        <f t="shared" si="4"/>
        <v>6405</v>
      </c>
      <c r="J28" s="4">
        <f t="shared" si="5"/>
        <v>910.56</v>
      </c>
      <c r="K28" s="4">
        <f t="shared" si="6"/>
        <v>7315.5599999999995</v>
      </c>
      <c r="L28" s="4">
        <f t="shared" si="34"/>
        <v>910.56</v>
      </c>
      <c r="M28" s="4">
        <f t="shared" si="7"/>
        <v>8226.119999999999</v>
      </c>
      <c r="N28" s="4">
        <f t="shared" si="35"/>
        <v>910.56</v>
      </c>
      <c r="O28" s="4">
        <f t="shared" si="8"/>
        <v>9136.6799999999985</v>
      </c>
      <c r="P28" s="4">
        <f t="shared" si="36"/>
        <v>910.56</v>
      </c>
      <c r="Q28" s="4">
        <f t="shared" si="9"/>
        <v>10047.239999999998</v>
      </c>
      <c r="R28" s="4">
        <f t="shared" si="37"/>
        <v>910.56</v>
      </c>
      <c r="S28" s="4">
        <f t="shared" si="10"/>
        <v>10957.799999999997</v>
      </c>
      <c r="T28" s="4">
        <f t="shared" si="11"/>
        <v>910.56</v>
      </c>
      <c r="U28" s="4">
        <f t="shared" si="12"/>
        <v>11868.359999999997</v>
      </c>
      <c r="V28" s="4">
        <f t="shared" si="13"/>
        <v>910.56</v>
      </c>
      <c r="W28" s="4">
        <f t="shared" si="14"/>
        <v>12778.919999999996</v>
      </c>
      <c r="X28" s="4">
        <f t="shared" si="38"/>
        <v>910.56</v>
      </c>
      <c r="Y28" s="4">
        <f t="shared" si="15"/>
        <v>13689.479999999996</v>
      </c>
      <c r="Z28" s="4">
        <f t="shared" si="33"/>
        <v>910.56</v>
      </c>
      <c r="AA28" s="4">
        <f t="shared" si="16"/>
        <v>14600.039999999995</v>
      </c>
      <c r="AB28" s="4">
        <f t="shared" si="39"/>
        <v>910.56</v>
      </c>
      <c r="AC28" s="4">
        <f t="shared" si="41"/>
        <v>15510.599999999995</v>
      </c>
      <c r="AD28" s="3">
        <f t="shared" si="17"/>
        <v>910.56</v>
      </c>
      <c r="AE28" s="4">
        <f t="shared" si="18"/>
        <v>16421.159999999996</v>
      </c>
      <c r="AF28" s="3">
        <f t="shared" si="19"/>
        <v>910.56</v>
      </c>
      <c r="AG28" s="5">
        <f t="shared" si="20"/>
        <v>17331.719999999998</v>
      </c>
      <c r="AH28" s="3">
        <f t="shared" si="21"/>
        <v>910.56</v>
      </c>
      <c r="AI28" s="3">
        <f t="shared" si="22"/>
        <v>18242.28</v>
      </c>
      <c r="AJ28" s="4">
        <f t="shared" si="23"/>
        <v>910.56</v>
      </c>
      <c r="AK28" s="4">
        <f t="shared" si="24"/>
        <v>19152.84</v>
      </c>
      <c r="AL28" s="4">
        <f t="shared" si="25"/>
        <v>910.56</v>
      </c>
      <c r="AM28" s="4">
        <f t="shared" si="26"/>
        <v>20063.400000000001</v>
      </c>
      <c r="AN28" s="4">
        <f t="shared" si="27"/>
        <v>14082.599999999999</v>
      </c>
      <c r="AO28" s="21">
        <f t="shared" si="28"/>
        <v>910.56</v>
      </c>
      <c r="AP28" s="4">
        <f t="shared" si="40"/>
        <v>20973.960000000003</v>
      </c>
      <c r="AQ28" s="4">
        <v>14082.6</v>
      </c>
      <c r="AR28" s="21">
        <v>853.65</v>
      </c>
      <c r="AS28" s="19">
        <v>20917.050000000003</v>
      </c>
      <c r="AT28" s="4">
        <v>13228.949999999997</v>
      </c>
      <c r="AU28" s="21">
        <f t="shared" si="42"/>
        <v>910.56</v>
      </c>
      <c r="AV28" s="19">
        <f t="shared" si="43"/>
        <v>21827.610000000004</v>
      </c>
      <c r="AW28" s="4">
        <f t="shared" si="44"/>
        <v>12318.389999999996</v>
      </c>
      <c r="AX28" s="4">
        <f t="shared" si="45"/>
        <v>910.56</v>
      </c>
      <c r="AY28" s="4">
        <f t="shared" si="46"/>
        <v>22738.170000000006</v>
      </c>
      <c r="AZ28" s="4">
        <f t="shared" si="47"/>
        <v>11407.829999999994</v>
      </c>
      <c r="BA28" s="22">
        <f t="shared" si="48"/>
        <v>910.56</v>
      </c>
      <c r="BB28" s="4">
        <f t="shared" si="49"/>
        <v>23648.730000000007</v>
      </c>
      <c r="BC28" s="4">
        <f t="shared" si="50"/>
        <v>10497.269999999993</v>
      </c>
      <c r="BF28" s="22">
        <v>910.56</v>
      </c>
      <c r="BG28" s="4">
        <f t="shared" si="51"/>
        <v>0</v>
      </c>
      <c r="BK28" s="4">
        <f t="shared" si="52"/>
        <v>910.56</v>
      </c>
    </row>
    <row r="29" spans="1:63" x14ac:dyDescent="0.35">
      <c r="A29" s="3" t="s">
        <v>82</v>
      </c>
      <c r="B29" s="3" t="s">
        <v>85</v>
      </c>
      <c r="C29" s="4">
        <v>61695</v>
      </c>
      <c r="D29" s="4" t="s">
        <v>80</v>
      </c>
      <c r="E29" s="2">
        <v>37.5</v>
      </c>
      <c r="F29" s="4"/>
      <c r="G29" s="4">
        <v>8481</v>
      </c>
      <c r="H29" s="4">
        <v>1542</v>
      </c>
      <c r="I29" s="4">
        <f t="shared" si="4"/>
        <v>10023</v>
      </c>
      <c r="J29" s="4">
        <f t="shared" si="5"/>
        <v>1645.2</v>
      </c>
      <c r="K29" s="4">
        <f t="shared" si="6"/>
        <v>11668.2</v>
      </c>
      <c r="L29" s="4">
        <f t="shared" si="34"/>
        <v>1645.2</v>
      </c>
      <c r="M29" s="4">
        <f t="shared" si="7"/>
        <v>13313.400000000001</v>
      </c>
      <c r="N29" s="4">
        <f t="shared" si="35"/>
        <v>1645.2</v>
      </c>
      <c r="O29" s="4">
        <f t="shared" si="8"/>
        <v>14958.600000000002</v>
      </c>
      <c r="P29" s="4">
        <f t="shared" si="36"/>
        <v>1645.2</v>
      </c>
      <c r="Q29" s="4">
        <f t="shared" si="9"/>
        <v>16603.800000000003</v>
      </c>
      <c r="R29" s="4">
        <f t="shared" si="37"/>
        <v>1645.2</v>
      </c>
      <c r="S29" s="4">
        <f t="shared" si="10"/>
        <v>18249.000000000004</v>
      </c>
      <c r="T29" s="4">
        <f t="shared" si="11"/>
        <v>1645.2</v>
      </c>
      <c r="U29" s="4">
        <f t="shared" si="12"/>
        <v>19894.200000000004</v>
      </c>
      <c r="V29" s="4">
        <f t="shared" si="13"/>
        <v>1645.2</v>
      </c>
      <c r="W29" s="4">
        <f t="shared" si="14"/>
        <v>21539.400000000005</v>
      </c>
      <c r="X29" s="4">
        <f t="shared" si="38"/>
        <v>1645.2</v>
      </c>
      <c r="Y29" s="4">
        <f t="shared" si="15"/>
        <v>23184.600000000006</v>
      </c>
      <c r="Z29" s="4">
        <f t="shared" si="33"/>
        <v>1645.2</v>
      </c>
      <c r="AA29" s="4">
        <f t="shared" si="16"/>
        <v>24829.800000000007</v>
      </c>
      <c r="AB29" s="4">
        <f t="shared" si="39"/>
        <v>1645.2</v>
      </c>
      <c r="AC29" s="4">
        <f t="shared" si="41"/>
        <v>26475.000000000007</v>
      </c>
      <c r="AD29" s="3">
        <f t="shared" si="17"/>
        <v>1645.2</v>
      </c>
      <c r="AE29" s="4">
        <f t="shared" si="18"/>
        <v>28120.200000000008</v>
      </c>
      <c r="AF29" s="3">
        <f t="shared" si="19"/>
        <v>1645.2</v>
      </c>
      <c r="AG29" s="5">
        <f t="shared" si="20"/>
        <v>29765.400000000009</v>
      </c>
      <c r="AH29" s="3">
        <f t="shared" si="21"/>
        <v>1645.2</v>
      </c>
      <c r="AI29" s="3">
        <f t="shared" si="22"/>
        <v>31410.600000000009</v>
      </c>
      <c r="AJ29" s="4">
        <f t="shared" si="23"/>
        <v>1645.2</v>
      </c>
      <c r="AK29" s="4">
        <f t="shared" si="24"/>
        <v>33055.80000000001</v>
      </c>
      <c r="AL29" s="4">
        <f t="shared" si="25"/>
        <v>1645.2</v>
      </c>
      <c r="AM29" s="4">
        <f t="shared" si="26"/>
        <v>34701.000000000007</v>
      </c>
      <c r="AN29" s="4">
        <f t="shared" si="27"/>
        <v>26993.999999999993</v>
      </c>
      <c r="AO29" s="21">
        <f t="shared" si="28"/>
        <v>1645.2</v>
      </c>
      <c r="AP29" s="4">
        <f t="shared" si="40"/>
        <v>36346.200000000004</v>
      </c>
      <c r="AQ29" s="4">
        <v>26994</v>
      </c>
      <c r="AR29" s="21">
        <v>1542.375</v>
      </c>
      <c r="AS29" s="19">
        <v>36243.375</v>
      </c>
      <c r="AT29" s="4">
        <v>25451.625</v>
      </c>
      <c r="AU29" s="21">
        <f t="shared" si="42"/>
        <v>1645.2</v>
      </c>
      <c r="AV29" s="19">
        <f t="shared" si="43"/>
        <v>37888.574999999997</v>
      </c>
      <c r="AW29" s="4">
        <f t="shared" si="44"/>
        <v>23806.425000000003</v>
      </c>
      <c r="AX29" s="4">
        <f t="shared" si="45"/>
        <v>1645.2</v>
      </c>
      <c r="AY29" s="4">
        <f t="shared" si="46"/>
        <v>39533.774999999994</v>
      </c>
      <c r="AZ29" s="4">
        <f t="shared" si="47"/>
        <v>22161.225000000006</v>
      </c>
      <c r="BA29" s="22">
        <f t="shared" si="48"/>
        <v>1645.2</v>
      </c>
      <c r="BB29" s="4">
        <f t="shared" si="49"/>
        <v>41178.974999999991</v>
      </c>
      <c r="BC29" s="4">
        <f t="shared" si="50"/>
        <v>20516.025000000009</v>
      </c>
      <c r="BF29" s="22">
        <v>1645.2</v>
      </c>
      <c r="BG29" s="4">
        <f t="shared" si="51"/>
        <v>0</v>
      </c>
      <c r="BK29" s="4">
        <f t="shared" si="52"/>
        <v>1645.2</v>
      </c>
    </row>
    <row r="30" spans="1:63" x14ac:dyDescent="0.35">
      <c r="A30" s="3" t="s">
        <v>82</v>
      </c>
      <c r="B30" s="3" t="s">
        <v>86</v>
      </c>
      <c r="C30" s="4">
        <v>1550</v>
      </c>
      <c r="D30" s="4" t="s">
        <v>80</v>
      </c>
      <c r="E30" s="2">
        <v>37.5</v>
      </c>
      <c r="F30" s="4"/>
      <c r="G30" s="4">
        <v>175</v>
      </c>
      <c r="H30" s="4">
        <v>39</v>
      </c>
      <c r="I30" s="4">
        <f t="shared" si="4"/>
        <v>214</v>
      </c>
      <c r="J30" s="4">
        <f t="shared" si="5"/>
        <v>41.333333333333336</v>
      </c>
      <c r="K30" s="4">
        <f t="shared" si="6"/>
        <v>255.33333333333334</v>
      </c>
      <c r="L30" s="4">
        <f t="shared" si="34"/>
        <v>41.333333333333336</v>
      </c>
      <c r="M30" s="4">
        <f t="shared" si="7"/>
        <v>296.66666666666669</v>
      </c>
      <c r="N30" s="4">
        <f t="shared" si="35"/>
        <v>41.333333333333336</v>
      </c>
      <c r="O30" s="4">
        <f t="shared" si="8"/>
        <v>338</v>
      </c>
      <c r="P30" s="4">
        <f t="shared" si="36"/>
        <v>41.333333333333336</v>
      </c>
      <c r="Q30" s="4">
        <f t="shared" si="9"/>
        <v>379.33333333333331</v>
      </c>
      <c r="R30" s="4">
        <f t="shared" si="37"/>
        <v>41.333333333333336</v>
      </c>
      <c r="S30" s="4">
        <f t="shared" si="10"/>
        <v>420.66666666666663</v>
      </c>
      <c r="T30" s="4">
        <f t="shared" si="11"/>
        <v>41.333333333333336</v>
      </c>
      <c r="U30" s="4">
        <f t="shared" si="12"/>
        <v>461.99999999999994</v>
      </c>
      <c r="V30" s="4">
        <f t="shared" si="13"/>
        <v>41.333333333333336</v>
      </c>
      <c r="W30" s="4">
        <f t="shared" si="14"/>
        <v>503.33333333333326</v>
      </c>
      <c r="X30" s="4">
        <f t="shared" si="38"/>
        <v>41.333333333333336</v>
      </c>
      <c r="Y30" s="4">
        <f t="shared" si="15"/>
        <v>544.66666666666663</v>
      </c>
      <c r="Z30" s="4">
        <f t="shared" si="33"/>
        <v>41.333333333333336</v>
      </c>
      <c r="AA30" s="4">
        <f t="shared" si="16"/>
        <v>586</v>
      </c>
      <c r="AB30" s="4">
        <f t="shared" si="39"/>
        <v>41.333333333333336</v>
      </c>
      <c r="AC30" s="4">
        <f t="shared" si="41"/>
        <v>627.33333333333337</v>
      </c>
      <c r="AD30" s="3">
        <f t="shared" si="17"/>
        <v>41.333333333333336</v>
      </c>
      <c r="AE30" s="4">
        <f t="shared" si="18"/>
        <v>668.66666666666674</v>
      </c>
      <c r="AF30" s="3">
        <f t="shared" si="19"/>
        <v>41.333333333333336</v>
      </c>
      <c r="AG30" s="5">
        <f t="shared" si="20"/>
        <v>710.00000000000011</v>
      </c>
      <c r="AH30" s="3">
        <f t="shared" si="21"/>
        <v>41.333333333333336</v>
      </c>
      <c r="AI30" s="3">
        <f t="shared" si="22"/>
        <v>751.33333333333348</v>
      </c>
      <c r="AJ30" s="4">
        <f t="shared" si="23"/>
        <v>41.333333333333336</v>
      </c>
      <c r="AK30" s="4">
        <f t="shared" si="24"/>
        <v>792.66666666666686</v>
      </c>
      <c r="AL30" s="4">
        <f t="shared" si="25"/>
        <v>41.333333333333336</v>
      </c>
      <c r="AM30" s="4">
        <f t="shared" si="26"/>
        <v>834.00000000000023</v>
      </c>
      <c r="AN30" s="4">
        <f t="shared" si="27"/>
        <v>715.99999999999977</v>
      </c>
      <c r="AO30" s="21">
        <f t="shared" si="28"/>
        <v>41.333333333333336</v>
      </c>
      <c r="AP30" s="4">
        <f t="shared" si="40"/>
        <v>875.3333333333336</v>
      </c>
      <c r="AQ30" s="4">
        <v>716</v>
      </c>
      <c r="AR30" s="21">
        <v>38.75</v>
      </c>
      <c r="AS30" s="19">
        <v>872.75</v>
      </c>
      <c r="AT30" s="4">
        <v>677.25</v>
      </c>
      <c r="AU30" s="21">
        <f t="shared" si="42"/>
        <v>41.333333333333336</v>
      </c>
      <c r="AV30" s="19">
        <f t="shared" si="43"/>
        <v>914.08333333333337</v>
      </c>
      <c r="AW30" s="4">
        <f t="shared" si="44"/>
        <v>635.91666666666663</v>
      </c>
      <c r="AX30" s="4">
        <f t="shared" si="45"/>
        <v>41.333333333333336</v>
      </c>
      <c r="AY30" s="4">
        <f t="shared" si="46"/>
        <v>955.41666666666674</v>
      </c>
      <c r="AZ30" s="4">
        <f t="shared" si="47"/>
        <v>594.58333333333326</v>
      </c>
      <c r="BA30" s="22">
        <f t="shared" si="48"/>
        <v>41.333333333333336</v>
      </c>
      <c r="BB30" s="4">
        <f t="shared" si="49"/>
        <v>996.75000000000011</v>
      </c>
      <c r="BC30" s="4">
        <f t="shared" si="50"/>
        <v>553.24999999999989</v>
      </c>
      <c r="BF30" s="22">
        <v>41.333333333333336</v>
      </c>
      <c r="BG30" s="4">
        <f t="shared" si="51"/>
        <v>0</v>
      </c>
      <c r="BK30" s="4">
        <f t="shared" si="52"/>
        <v>41.333333333333336</v>
      </c>
    </row>
    <row r="31" spans="1:63" x14ac:dyDescent="0.35">
      <c r="A31" s="3" t="s">
        <v>87</v>
      </c>
      <c r="B31" s="3" t="s">
        <v>88</v>
      </c>
      <c r="C31" s="4">
        <v>49162</v>
      </c>
      <c r="D31" s="4" t="s">
        <v>80</v>
      </c>
      <c r="E31" s="2">
        <v>37.5</v>
      </c>
      <c r="F31" s="4"/>
      <c r="G31" s="4">
        <v>4302</v>
      </c>
      <c r="H31" s="4">
        <v>1229</v>
      </c>
      <c r="I31" s="4">
        <f t="shared" si="4"/>
        <v>5531</v>
      </c>
      <c r="J31" s="4">
        <f t="shared" si="5"/>
        <v>1310.9866666666667</v>
      </c>
      <c r="K31" s="4">
        <f t="shared" si="6"/>
        <v>6841.9866666666667</v>
      </c>
      <c r="L31" s="4">
        <f t="shared" si="34"/>
        <v>1310.9866666666667</v>
      </c>
      <c r="M31" s="4">
        <f t="shared" si="7"/>
        <v>8152.9733333333334</v>
      </c>
      <c r="N31" s="4">
        <f t="shared" si="35"/>
        <v>1310.9866666666667</v>
      </c>
      <c r="O31" s="4">
        <f t="shared" si="8"/>
        <v>9463.9599999999991</v>
      </c>
      <c r="P31" s="4">
        <f t="shared" si="36"/>
        <v>1310.9866666666667</v>
      </c>
      <c r="Q31" s="4">
        <f t="shared" si="9"/>
        <v>10774.946666666667</v>
      </c>
      <c r="R31" s="4">
        <f t="shared" si="37"/>
        <v>1310.9866666666667</v>
      </c>
      <c r="S31" s="4">
        <f t="shared" si="10"/>
        <v>12085.933333333334</v>
      </c>
      <c r="T31" s="4">
        <f t="shared" si="11"/>
        <v>1310.9866666666667</v>
      </c>
      <c r="U31" s="4">
        <f t="shared" si="12"/>
        <v>13396.920000000002</v>
      </c>
      <c r="V31" s="4">
        <f t="shared" si="13"/>
        <v>1310.9866666666667</v>
      </c>
      <c r="W31" s="4">
        <f t="shared" si="14"/>
        <v>14707.906666666669</v>
      </c>
      <c r="X31" s="4">
        <f t="shared" si="38"/>
        <v>1310.9866666666667</v>
      </c>
      <c r="Y31" s="4">
        <f t="shared" si="15"/>
        <v>16018.893333333337</v>
      </c>
      <c r="Z31" s="4">
        <f t="shared" si="33"/>
        <v>1310.9866666666667</v>
      </c>
      <c r="AA31" s="4">
        <f t="shared" si="16"/>
        <v>17329.880000000005</v>
      </c>
      <c r="AB31" s="4">
        <f t="shared" si="39"/>
        <v>1310.9866666666667</v>
      </c>
      <c r="AC31" s="4">
        <f t="shared" si="41"/>
        <v>18640.866666666672</v>
      </c>
      <c r="AD31" s="3">
        <f t="shared" si="17"/>
        <v>1310.9866666666667</v>
      </c>
      <c r="AE31" s="4">
        <f t="shared" si="18"/>
        <v>19951.85333333334</v>
      </c>
      <c r="AF31" s="3">
        <f t="shared" si="19"/>
        <v>1310.9866666666667</v>
      </c>
      <c r="AG31" s="5">
        <f t="shared" si="20"/>
        <v>21262.840000000007</v>
      </c>
      <c r="AH31" s="3">
        <f t="shared" si="21"/>
        <v>1310.9866666666667</v>
      </c>
      <c r="AI31" s="3">
        <f t="shared" si="22"/>
        <v>22573.826666666675</v>
      </c>
      <c r="AJ31" s="4">
        <f t="shared" si="23"/>
        <v>1310.9866666666667</v>
      </c>
      <c r="AK31" s="4">
        <f t="shared" si="24"/>
        <v>23884.813333333343</v>
      </c>
      <c r="AL31" s="4">
        <f t="shared" si="25"/>
        <v>1310.9866666666667</v>
      </c>
      <c r="AM31" s="4">
        <f t="shared" si="26"/>
        <v>25195.80000000001</v>
      </c>
      <c r="AN31" s="4">
        <f t="shared" si="27"/>
        <v>23966.19999999999</v>
      </c>
      <c r="AO31" s="21">
        <f t="shared" si="28"/>
        <v>1310.9866666666667</v>
      </c>
      <c r="AP31" s="4">
        <f t="shared" si="40"/>
        <v>26506.786666666678</v>
      </c>
      <c r="AQ31" s="4">
        <v>23966.200000000008</v>
      </c>
      <c r="AR31" s="21">
        <v>1229.05</v>
      </c>
      <c r="AS31" s="19">
        <v>26424.849999999991</v>
      </c>
      <c r="AT31" s="4">
        <v>22737.150000000009</v>
      </c>
      <c r="AU31" s="21">
        <f t="shared" si="42"/>
        <v>1310.9866666666667</v>
      </c>
      <c r="AV31" s="19">
        <f t="shared" si="43"/>
        <v>27735.836666666659</v>
      </c>
      <c r="AW31" s="4">
        <f t="shared" si="44"/>
        <v>21426.163333333341</v>
      </c>
      <c r="AX31" s="4">
        <f t="shared" si="45"/>
        <v>1310.9866666666667</v>
      </c>
      <c r="AY31" s="4">
        <f t="shared" si="46"/>
        <v>29046.823333333326</v>
      </c>
      <c r="AZ31" s="4">
        <f t="shared" si="47"/>
        <v>20115.176666666674</v>
      </c>
      <c r="BA31" s="22">
        <f t="shared" si="48"/>
        <v>1310.9866666666667</v>
      </c>
      <c r="BB31" s="4">
        <f t="shared" si="49"/>
        <v>30357.809999999994</v>
      </c>
      <c r="BC31" s="4">
        <f t="shared" si="50"/>
        <v>18804.190000000006</v>
      </c>
      <c r="BF31" s="22">
        <v>1310.9866666666667</v>
      </c>
      <c r="BG31" s="4">
        <f t="shared" si="51"/>
        <v>0</v>
      </c>
      <c r="BK31" s="4">
        <f t="shared" si="52"/>
        <v>1310.9866666666667</v>
      </c>
    </row>
    <row r="32" spans="1:63" x14ac:dyDescent="0.35">
      <c r="A32" s="3" t="s">
        <v>89</v>
      </c>
      <c r="B32" s="3" t="s">
        <v>90</v>
      </c>
      <c r="C32" s="4">
        <v>9231</v>
      </c>
      <c r="D32" s="4" t="s">
        <v>80</v>
      </c>
      <c r="E32" s="2">
        <v>37.5</v>
      </c>
      <c r="F32" s="4"/>
      <c r="G32" s="4">
        <v>674</v>
      </c>
      <c r="H32" s="4">
        <v>231</v>
      </c>
      <c r="I32" s="4">
        <f t="shared" si="4"/>
        <v>905</v>
      </c>
      <c r="J32" s="4">
        <f t="shared" si="5"/>
        <v>246.16</v>
      </c>
      <c r="K32" s="4">
        <f t="shared" si="6"/>
        <v>1151.1600000000001</v>
      </c>
      <c r="L32" s="4">
        <f t="shared" si="34"/>
        <v>246.16</v>
      </c>
      <c r="M32" s="4">
        <f t="shared" si="7"/>
        <v>1397.3200000000002</v>
      </c>
      <c r="N32" s="4">
        <f t="shared" si="35"/>
        <v>246.16</v>
      </c>
      <c r="O32" s="4">
        <f t="shared" si="8"/>
        <v>1643.4800000000002</v>
      </c>
      <c r="P32" s="4">
        <f t="shared" si="36"/>
        <v>246.16</v>
      </c>
      <c r="Q32" s="4">
        <f t="shared" si="9"/>
        <v>1889.6400000000003</v>
      </c>
      <c r="R32" s="4">
        <f t="shared" si="37"/>
        <v>246.16</v>
      </c>
      <c r="S32" s="4">
        <f t="shared" si="10"/>
        <v>2135.8000000000002</v>
      </c>
      <c r="T32" s="4">
        <f t="shared" si="11"/>
        <v>246.16</v>
      </c>
      <c r="U32" s="4">
        <f t="shared" si="12"/>
        <v>2381.96</v>
      </c>
      <c r="V32" s="4">
        <f t="shared" si="13"/>
        <v>246.16</v>
      </c>
      <c r="W32" s="4">
        <f t="shared" si="14"/>
        <v>2628.12</v>
      </c>
      <c r="X32" s="4">
        <f t="shared" si="38"/>
        <v>246.16</v>
      </c>
      <c r="Y32" s="4">
        <f t="shared" si="15"/>
        <v>2874.2799999999997</v>
      </c>
      <c r="Z32" s="4">
        <f t="shared" si="33"/>
        <v>246.16</v>
      </c>
      <c r="AA32" s="4">
        <f t="shared" si="16"/>
        <v>3120.4399999999996</v>
      </c>
      <c r="AB32" s="4">
        <f t="shared" si="39"/>
        <v>246.16</v>
      </c>
      <c r="AC32" s="4">
        <f t="shared" si="41"/>
        <v>3366.5999999999995</v>
      </c>
      <c r="AD32" s="3">
        <f t="shared" si="17"/>
        <v>246.16</v>
      </c>
      <c r="AE32" s="4">
        <f t="shared" si="18"/>
        <v>3612.7599999999993</v>
      </c>
      <c r="AF32" s="3">
        <f t="shared" si="19"/>
        <v>246.16</v>
      </c>
      <c r="AG32" s="5">
        <f t="shared" si="20"/>
        <v>3858.9199999999992</v>
      </c>
      <c r="AH32" s="3">
        <f t="shared" si="21"/>
        <v>246.16</v>
      </c>
      <c r="AI32" s="3">
        <f t="shared" si="22"/>
        <v>4105.079999999999</v>
      </c>
      <c r="AJ32" s="4">
        <f t="shared" si="23"/>
        <v>246.16</v>
      </c>
      <c r="AK32" s="4">
        <f t="shared" si="24"/>
        <v>4351.2399999999989</v>
      </c>
      <c r="AL32" s="4">
        <f t="shared" si="25"/>
        <v>246.16</v>
      </c>
      <c r="AM32" s="4">
        <f t="shared" si="26"/>
        <v>4597.3999999999987</v>
      </c>
      <c r="AN32" s="4">
        <f t="shared" si="27"/>
        <v>4633.6000000000013</v>
      </c>
      <c r="AO32" s="21">
        <f t="shared" si="28"/>
        <v>246.16</v>
      </c>
      <c r="AP32" s="4">
        <f t="shared" si="40"/>
        <v>4843.5599999999986</v>
      </c>
      <c r="AQ32" s="4">
        <v>4633.5999999999995</v>
      </c>
      <c r="AR32" s="21">
        <v>230.77500000000001</v>
      </c>
      <c r="AS32" s="19">
        <v>4828.1750000000002</v>
      </c>
      <c r="AT32" s="4">
        <v>4402.8249999999998</v>
      </c>
      <c r="AU32" s="21">
        <f t="shared" si="42"/>
        <v>246.16</v>
      </c>
      <c r="AV32" s="19">
        <f t="shared" si="43"/>
        <v>5074.335</v>
      </c>
      <c r="AW32" s="4">
        <f t="shared" si="44"/>
        <v>4156.665</v>
      </c>
      <c r="AX32" s="4">
        <f t="shared" si="45"/>
        <v>246.16</v>
      </c>
      <c r="AY32" s="4">
        <f t="shared" si="46"/>
        <v>5320.4949999999999</v>
      </c>
      <c r="AZ32" s="4">
        <f t="shared" si="47"/>
        <v>3910.5050000000001</v>
      </c>
      <c r="BA32" s="22">
        <f t="shared" si="48"/>
        <v>246.16</v>
      </c>
      <c r="BB32" s="4">
        <f t="shared" si="49"/>
        <v>5566.6549999999997</v>
      </c>
      <c r="BC32" s="4">
        <f t="shared" si="50"/>
        <v>3664.3450000000003</v>
      </c>
      <c r="BF32" s="22">
        <v>246.16</v>
      </c>
      <c r="BG32" s="4">
        <f t="shared" si="51"/>
        <v>0</v>
      </c>
      <c r="BK32" s="4">
        <f t="shared" si="52"/>
        <v>246.16</v>
      </c>
    </row>
    <row r="33" spans="1:63" x14ac:dyDescent="0.35">
      <c r="A33" s="3" t="s">
        <v>91</v>
      </c>
      <c r="B33" s="3" t="s">
        <v>92</v>
      </c>
      <c r="C33" s="4">
        <v>3359</v>
      </c>
      <c r="D33" s="4" t="s">
        <v>80</v>
      </c>
      <c r="E33" s="2">
        <v>37.5</v>
      </c>
      <c r="F33" s="4"/>
      <c r="G33" s="4">
        <v>168</v>
      </c>
      <c r="H33" s="4">
        <v>84</v>
      </c>
      <c r="I33" s="4">
        <f t="shared" si="4"/>
        <v>252</v>
      </c>
      <c r="J33" s="4">
        <f t="shared" si="5"/>
        <v>89.573333333333338</v>
      </c>
      <c r="K33" s="4">
        <f t="shared" si="6"/>
        <v>341.57333333333332</v>
      </c>
      <c r="L33" s="4">
        <f t="shared" si="34"/>
        <v>89.573333333333338</v>
      </c>
      <c r="M33" s="4">
        <f t="shared" si="7"/>
        <v>431.14666666666665</v>
      </c>
      <c r="N33" s="4">
        <f t="shared" si="35"/>
        <v>89.573333333333338</v>
      </c>
      <c r="O33" s="4">
        <f t="shared" si="8"/>
        <v>520.72</v>
      </c>
      <c r="P33" s="4">
        <f t="shared" si="36"/>
        <v>89.573333333333338</v>
      </c>
      <c r="Q33" s="4">
        <f t="shared" si="9"/>
        <v>610.29333333333341</v>
      </c>
      <c r="R33" s="4">
        <f t="shared" si="37"/>
        <v>89.573333333333338</v>
      </c>
      <c r="S33" s="4">
        <f t="shared" si="10"/>
        <v>699.86666666666679</v>
      </c>
      <c r="T33" s="4">
        <f t="shared" si="11"/>
        <v>89.573333333333338</v>
      </c>
      <c r="U33" s="4">
        <f t="shared" si="12"/>
        <v>789.44000000000017</v>
      </c>
      <c r="V33" s="4">
        <f t="shared" si="13"/>
        <v>89.573333333333338</v>
      </c>
      <c r="W33" s="4">
        <f t="shared" si="14"/>
        <v>879.01333333333355</v>
      </c>
      <c r="X33" s="4">
        <f t="shared" si="38"/>
        <v>89.573333333333338</v>
      </c>
      <c r="Y33" s="4">
        <f t="shared" si="15"/>
        <v>968.58666666666693</v>
      </c>
      <c r="Z33" s="4">
        <f t="shared" si="33"/>
        <v>89.573333333333338</v>
      </c>
      <c r="AA33" s="4">
        <f t="shared" si="16"/>
        <v>1058.1600000000003</v>
      </c>
      <c r="AB33" s="4">
        <f t="shared" si="39"/>
        <v>89.573333333333338</v>
      </c>
      <c r="AC33" s="4">
        <f t="shared" si="41"/>
        <v>1147.7333333333336</v>
      </c>
      <c r="AD33" s="3">
        <f t="shared" si="17"/>
        <v>89.573333333333338</v>
      </c>
      <c r="AE33" s="4">
        <f t="shared" si="18"/>
        <v>1237.3066666666668</v>
      </c>
      <c r="AF33" s="3">
        <f t="shared" si="19"/>
        <v>89.573333333333338</v>
      </c>
      <c r="AG33" s="5">
        <f t="shared" si="20"/>
        <v>1326.88</v>
      </c>
      <c r="AH33" s="3">
        <f t="shared" si="21"/>
        <v>89.573333333333338</v>
      </c>
      <c r="AI33" s="3">
        <f t="shared" si="22"/>
        <v>1416.4533333333334</v>
      </c>
      <c r="AJ33" s="4">
        <f t="shared" si="23"/>
        <v>89.573333333333338</v>
      </c>
      <c r="AK33" s="4">
        <f t="shared" si="24"/>
        <v>1506.0266666666666</v>
      </c>
      <c r="AL33" s="4">
        <f t="shared" si="25"/>
        <v>89.573333333333338</v>
      </c>
      <c r="AM33" s="4">
        <f t="shared" si="26"/>
        <v>1595.6</v>
      </c>
      <c r="AN33" s="4">
        <f t="shared" si="27"/>
        <v>1763.4</v>
      </c>
      <c r="AO33" s="21">
        <f t="shared" si="28"/>
        <v>89.573333333333338</v>
      </c>
      <c r="AP33" s="4">
        <f t="shared" si="40"/>
        <v>1685.1733333333332</v>
      </c>
      <c r="AQ33" s="4">
        <v>1763.4000000000003</v>
      </c>
      <c r="AR33" s="21">
        <v>83.974999999999994</v>
      </c>
      <c r="AS33" s="19">
        <v>1679.5749999999996</v>
      </c>
      <c r="AT33" s="4">
        <v>1679.4250000000004</v>
      </c>
      <c r="AU33" s="21">
        <f t="shared" si="42"/>
        <v>89.573333333333338</v>
      </c>
      <c r="AV33" s="19">
        <f t="shared" si="43"/>
        <v>1769.1483333333329</v>
      </c>
      <c r="AW33" s="4">
        <f t="shared" si="44"/>
        <v>1589.8516666666671</v>
      </c>
      <c r="AX33" s="4">
        <f t="shared" si="45"/>
        <v>89.573333333333338</v>
      </c>
      <c r="AY33" s="4">
        <f t="shared" si="46"/>
        <v>1858.7216666666661</v>
      </c>
      <c r="AZ33" s="4">
        <f t="shared" si="47"/>
        <v>1500.2783333333339</v>
      </c>
      <c r="BA33" s="22">
        <f t="shared" si="48"/>
        <v>89.573333333333338</v>
      </c>
      <c r="BB33" s="4">
        <f t="shared" si="49"/>
        <v>1948.2949999999994</v>
      </c>
      <c r="BC33" s="4">
        <f t="shared" si="50"/>
        <v>1410.7050000000006</v>
      </c>
      <c r="BF33" s="22">
        <v>89.573333333333338</v>
      </c>
      <c r="BG33" s="4">
        <f t="shared" si="51"/>
        <v>0</v>
      </c>
      <c r="BH33" s="4">
        <f>BF33</f>
        <v>89.573333333333338</v>
      </c>
    </row>
    <row r="34" spans="1:63" x14ac:dyDescent="0.35">
      <c r="A34" s="3" t="s">
        <v>93</v>
      </c>
      <c r="B34" s="3" t="s">
        <v>94</v>
      </c>
      <c r="C34" s="4">
        <v>2760</v>
      </c>
      <c r="D34" s="4" t="s">
        <v>80</v>
      </c>
      <c r="E34" s="2">
        <v>37.5</v>
      </c>
      <c r="F34" s="4"/>
      <c r="G34" s="4">
        <v>86</v>
      </c>
      <c r="H34" s="4">
        <v>69</v>
      </c>
      <c r="I34" s="4">
        <f t="shared" si="4"/>
        <v>155</v>
      </c>
      <c r="J34" s="4">
        <f t="shared" si="5"/>
        <v>73.599999999999994</v>
      </c>
      <c r="K34" s="4">
        <f t="shared" si="6"/>
        <v>228.6</v>
      </c>
      <c r="L34" s="4">
        <f t="shared" si="34"/>
        <v>73.599999999999994</v>
      </c>
      <c r="M34" s="4">
        <f t="shared" si="7"/>
        <v>302.2</v>
      </c>
      <c r="N34" s="4">
        <f t="shared" si="35"/>
        <v>73.599999999999994</v>
      </c>
      <c r="O34" s="4">
        <f t="shared" si="8"/>
        <v>375.79999999999995</v>
      </c>
      <c r="P34" s="4">
        <f t="shared" si="36"/>
        <v>73.599999999999994</v>
      </c>
      <c r="Q34" s="4">
        <f t="shared" si="9"/>
        <v>449.4</v>
      </c>
      <c r="R34" s="4">
        <f t="shared" si="37"/>
        <v>73.599999999999994</v>
      </c>
      <c r="S34" s="4">
        <f t="shared" si="10"/>
        <v>523</v>
      </c>
      <c r="T34" s="4">
        <f t="shared" si="11"/>
        <v>73.599999999999994</v>
      </c>
      <c r="U34" s="4">
        <f t="shared" si="12"/>
        <v>596.6</v>
      </c>
      <c r="V34" s="4">
        <f t="shared" si="13"/>
        <v>73.599999999999994</v>
      </c>
      <c r="W34" s="4">
        <f t="shared" si="14"/>
        <v>670.2</v>
      </c>
      <c r="X34" s="4">
        <f t="shared" si="38"/>
        <v>73.599999999999994</v>
      </c>
      <c r="Y34" s="4">
        <f t="shared" si="15"/>
        <v>743.80000000000007</v>
      </c>
      <c r="Z34" s="4">
        <f t="shared" si="33"/>
        <v>73.599999999999994</v>
      </c>
      <c r="AA34" s="4">
        <f t="shared" si="16"/>
        <v>817.40000000000009</v>
      </c>
      <c r="AB34" s="4">
        <f t="shared" si="39"/>
        <v>73.599999999999994</v>
      </c>
      <c r="AC34" s="4">
        <f t="shared" si="41"/>
        <v>891.00000000000011</v>
      </c>
      <c r="AD34" s="3">
        <f t="shared" si="17"/>
        <v>73.599999999999994</v>
      </c>
      <c r="AE34" s="4">
        <f t="shared" si="18"/>
        <v>964.60000000000014</v>
      </c>
      <c r="AF34" s="3">
        <f t="shared" si="19"/>
        <v>73.599999999999994</v>
      </c>
      <c r="AG34" s="5">
        <f t="shared" si="20"/>
        <v>1038.2</v>
      </c>
      <c r="AH34" s="3">
        <f t="shared" si="21"/>
        <v>73.599999999999994</v>
      </c>
      <c r="AI34" s="3">
        <f t="shared" si="22"/>
        <v>1111.8</v>
      </c>
      <c r="AJ34" s="4">
        <f t="shared" si="23"/>
        <v>73.599999999999994</v>
      </c>
      <c r="AK34" s="4">
        <f t="shared" si="24"/>
        <v>1185.3999999999999</v>
      </c>
      <c r="AL34" s="4">
        <f t="shared" si="25"/>
        <v>73.599999999999994</v>
      </c>
      <c r="AM34" s="4">
        <f t="shared" si="26"/>
        <v>1258.9999999999998</v>
      </c>
      <c r="AN34" s="4">
        <f t="shared" si="27"/>
        <v>1501.0000000000002</v>
      </c>
      <c r="AO34" s="21">
        <f t="shared" si="28"/>
        <v>73.599999999999994</v>
      </c>
      <c r="AP34" s="4">
        <f t="shared" si="40"/>
        <v>1332.5999999999997</v>
      </c>
      <c r="AQ34" s="4">
        <v>1501</v>
      </c>
      <c r="AR34" s="21">
        <v>69</v>
      </c>
      <c r="AS34" s="19">
        <v>1328</v>
      </c>
      <c r="AT34" s="4">
        <v>1432</v>
      </c>
      <c r="AU34" s="21">
        <f t="shared" si="42"/>
        <v>73.599999999999994</v>
      </c>
      <c r="AV34" s="19">
        <f t="shared" si="43"/>
        <v>1401.6</v>
      </c>
      <c r="AW34" s="4">
        <f t="shared" si="44"/>
        <v>1358.4</v>
      </c>
      <c r="AX34" s="4">
        <f t="shared" si="45"/>
        <v>73.599999999999994</v>
      </c>
      <c r="AY34" s="4">
        <f t="shared" si="46"/>
        <v>1475.1999999999998</v>
      </c>
      <c r="AZ34" s="4">
        <f t="shared" si="47"/>
        <v>1284.8000000000002</v>
      </c>
      <c r="BA34" s="22">
        <f t="shared" si="48"/>
        <v>73.599999999999994</v>
      </c>
      <c r="BB34" s="4">
        <f t="shared" si="49"/>
        <v>1548.7999999999997</v>
      </c>
      <c r="BC34" s="4">
        <f t="shared" si="50"/>
        <v>1211.2000000000003</v>
      </c>
      <c r="BF34" s="22">
        <v>73.599999999999994</v>
      </c>
      <c r="BG34" s="4">
        <f t="shared" si="51"/>
        <v>0</v>
      </c>
      <c r="BK34" s="4">
        <f t="shared" ref="BK34:BK36" si="53">BF34</f>
        <v>73.599999999999994</v>
      </c>
    </row>
    <row r="35" spans="1:63" x14ac:dyDescent="0.35">
      <c r="A35" s="3" t="s">
        <v>95</v>
      </c>
      <c r="B35" s="3" t="s">
        <v>96</v>
      </c>
      <c r="C35" s="4">
        <v>799</v>
      </c>
      <c r="D35" s="4" t="s">
        <v>80</v>
      </c>
      <c r="E35" s="2">
        <v>37.5</v>
      </c>
      <c r="F35" s="4"/>
      <c r="G35" s="4">
        <v>0</v>
      </c>
      <c r="H35" s="4"/>
      <c r="I35" s="4">
        <v>0</v>
      </c>
      <c r="J35" s="4">
        <f>C35/E35/12*11</f>
        <v>19.531111111111112</v>
      </c>
      <c r="K35" s="4">
        <f t="shared" si="6"/>
        <v>19.531111111111112</v>
      </c>
      <c r="L35" s="4">
        <f>C35/E35</f>
        <v>21.306666666666668</v>
      </c>
      <c r="M35" s="4">
        <f t="shared" si="7"/>
        <v>40.837777777777781</v>
      </c>
      <c r="N35" s="4">
        <f t="shared" si="35"/>
        <v>21.306666666666668</v>
      </c>
      <c r="O35" s="4">
        <f t="shared" si="8"/>
        <v>62.144444444444446</v>
      </c>
      <c r="P35" s="4">
        <f t="shared" si="36"/>
        <v>21.306666666666668</v>
      </c>
      <c r="Q35" s="4">
        <f t="shared" si="9"/>
        <v>83.451111111111118</v>
      </c>
      <c r="R35" s="4">
        <f t="shared" si="37"/>
        <v>21.306666666666668</v>
      </c>
      <c r="S35" s="4">
        <f t="shared" si="10"/>
        <v>104.75777777777779</v>
      </c>
      <c r="T35" s="4">
        <f t="shared" si="11"/>
        <v>21.306666666666668</v>
      </c>
      <c r="U35" s="4">
        <f t="shared" si="12"/>
        <v>126.06444444444446</v>
      </c>
      <c r="V35" s="4">
        <f t="shared" si="13"/>
        <v>21.306666666666668</v>
      </c>
      <c r="W35" s="4">
        <f t="shared" si="14"/>
        <v>147.37111111111113</v>
      </c>
      <c r="X35" s="4">
        <f t="shared" si="38"/>
        <v>21.306666666666668</v>
      </c>
      <c r="Y35" s="4">
        <f t="shared" si="15"/>
        <v>168.67777777777781</v>
      </c>
      <c r="Z35" s="4">
        <f t="shared" si="33"/>
        <v>21.306666666666668</v>
      </c>
      <c r="AA35" s="4">
        <f t="shared" si="16"/>
        <v>189.98444444444448</v>
      </c>
      <c r="AB35" s="4">
        <f t="shared" si="39"/>
        <v>21.306666666666668</v>
      </c>
      <c r="AC35" s="4">
        <f t="shared" si="41"/>
        <v>211.29111111111115</v>
      </c>
      <c r="AD35" s="3">
        <f t="shared" si="17"/>
        <v>21.306666666666668</v>
      </c>
      <c r="AE35" s="4">
        <f t="shared" si="18"/>
        <v>232.59777777777782</v>
      </c>
      <c r="AF35" s="3">
        <f t="shared" si="19"/>
        <v>21.306666666666668</v>
      </c>
      <c r="AG35" s="5">
        <f t="shared" si="20"/>
        <v>253.90444444444449</v>
      </c>
      <c r="AH35" s="3">
        <f t="shared" si="21"/>
        <v>21.306666666666668</v>
      </c>
      <c r="AI35" s="3">
        <f t="shared" si="22"/>
        <v>275.21111111111117</v>
      </c>
      <c r="AJ35" s="4">
        <f t="shared" si="23"/>
        <v>21.306666666666668</v>
      </c>
      <c r="AK35" s="4">
        <f t="shared" si="24"/>
        <v>296.51777777777784</v>
      </c>
      <c r="AL35" s="4">
        <f t="shared" si="25"/>
        <v>21.306666666666668</v>
      </c>
      <c r="AM35" s="4">
        <f t="shared" si="26"/>
        <v>317.82444444444451</v>
      </c>
      <c r="AN35" s="4">
        <f t="shared" si="27"/>
        <v>481.17555555555549</v>
      </c>
      <c r="AO35" s="21">
        <f t="shared" si="28"/>
        <v>21.306666666666668</v>
      </c>
      <c r="AP35" s="4">
        <f t="shared" si="40"/>
        <v>339.13111111111118</v>
      </c>
      <c r="AQ35" s="4">
        <v>481.0645833333333</v>
      </c>
      <c r="AR35" s="21">
        <v>19.975000000000001</v>
      </c>
      <c r="AS35" s="19">
        <v>337.91041666666672</v>
      </c>
      <c r="AT35" s="4">
        <v>461.08958333333328</v>
      </c>
      <c r="AU35" s="21">
        <f t="shared" si="42"/>
        <v>21.306666666666668</v>
      </c>
      <c r="AV35" s="19">
        <f t="shared" si="43"/>
        <v>359.21708333333339</v>
      </c>
      <c r="AW35" s="4">
        <f t="shared" si="44"/>
        <v>439.78291666666661</v>
      </c>
      <c r="AX35" s="4">
        <f t="shared" si="45"/>
        <v>21.306666666666668</v>
      </c>
      <c r="AY35" s="4">
        <f t="shared" si="46"/>
        <v>380.52375000000006</v>
      </c>
      <c r="AZ35" s="4">
        <f t="shared" si="47"/>
        <v>418.47624999999994</v>
      </c>
      <c r="BA35" s="22">
        <f t="shared" si="48"/>
        <v>21.306666666666668</v>
      </c>
      <c r="BB35" s="4">
        <f t="shared" si="49"/>
        <v>401.83041666666674</v>
      </c>
      <c r="BC35" s="4">
        <f t="shared" si="50"/>
        <v>397.16958333333326</v>
      </c>
      <c r="BF35" s="22">
        <v>21.306666666666668</v>
      </c>
      <c r="BG35" s="4">
        <f t="shared" si="51"/>
        <v>0</v>
      </c>
      <c r="BK35" s="4">
        <f t="shared" si="53"/>
        <v>21.306666666666668</v>
      </c>
    </row>
    <row r="36" spans="1:63" x14ac:dyDescent="0.35">
      <c r="A36" s="3" t="s">
        <v>97</v>
      </c>
      <c r="B36" s="3" t="s">
        <v>96</v>
      </c>
      <c r="C36" s="4">
        <v>6244</v>
      </c>
      <c r="D36" s="4" t="s">
        <v>80</v>
      </c>
      <c r="E36" s="2">
        <v>37.5</v>
      </c>
      <c r="F36" s="4"/>
      <c r="G36" s="4">
        <v>0</v>
      </c>
      <c r="H36" s="4"/>
      <c r="I36" s="4">
        <v>0</v>
      </c>
      <c r="J36" s="4">
        <f>C36/E36/12*11</f>
        <v>152.63111111111112</v>
      </c>
      <c r="K36" s="4">
        <f t="shared" si="6"/>
        <v>152.63111111111112</v>
      </c>
      <c r="L36" s="4">
        <f>C36/E36</f>
        <v>166.50666666666666</v>
      </c>
      <c r="M36" s="4">
        <f t="shared" si="7"/>
        <v>319.13777777777779</v>
      </c>
      <c r="N36" s="4">
        <f t="shared" si="35"/>
        <v>166.50666666666666</v>
      </c>
      <c r="O36" s="4">
        <f t="shared" si="8"/>
        <v>485.64444444444445</v>
      </c>
      <c r="P36" s="4">
        <f t="shared" si="36"/>
        <v>166.50666666666666</v>
      </c>
      <c r="Q36" s="4">
        <f t="shared" si="9"/>
        <v>652.15111111111105</v>
      </c>
      <c r="R36" s="4">
        <f t="shared" si="37"/>
        <v>166.50666666666666</v>
      </c>
      <c r="S36" s="4">
        <f t="shared" si="10"/>
        <v>818.65777777777771</v>
      </c>
      <c r="T36" s="4">
        <f t="shared" si="11"/>
        <v>166.50666666666666</v>
      </c>
      <c r="U36" s="4">
        <f t="shared" si="12"/>
        <v>985.16444444444437</v>
      </c>
      <c r="V36" s="4">
        <f t="shared" si="13"/>
        <v>166.50666666666666</v>
      </c>
      <c r="W36" s="4">
        <f t="shared" si="14"/>
        <v>1151.671111111111</v>
      </c>
      <c r="X36" s="4">
        <f t="shared" si="38"/>
        <v>166.50666666666666</v>
      </c>
      <c r="Y36" s="4">
        <f t="shared" si="15"/>
        <v>1318.1777777777777</v>
      </c>
      <c r="Z36" s="4">
        <f t="shared" si="33"/>
        <v>166.50666666666666</v>
      </c>
      <c r="AA36" s="4">
        <f t="shared" si="16"/>
        <v>1484.6844444444444</v>
      </c>
      <c r="AB36" s="4">
        <f t="shared" si="39"/>
        <v>166.50666666666666</v>
      </c>
      <c r="AC36" s="4">
        <f t="shared" si="41"/>
        <v>1651.191111111111</v>
      </c>
      <c r="AD36" s="3">
        <f t="shared" si="17"/>
        <v>166.50666666666666</v>
      </c>
      <c r="AE36" s="4">
        <f t="shared" si="18"/>
        <v>1817.6977777777777</v>
      </c>
      <c r="AF36" s="3">
        <f t="shared" si="19"/>
        <v>166.50666666666666</v>
      </c>
      <c r="AG36" s="5">
        <f t="shared" si="20"/>
        <v>1984.2044444444443</v>
      </c>
      <c r="AH36" s="3">
        <f t="shared" si="21"/>
        <v>166.50666666666666</v>
      </c>
      <c r="AI36" s="3">
        <f t="shared" si="22"/>
        <v>2150.7111111111108</v>
      </c>
      <c r="AJ36" s="4">
        <f t="shared" si="23"/>
        <v>166.50666666666666</v>
      </c>
      <c r="AK36" s="4">
        <f t="shared" si="24"/>
        <v>2317.2177777777774</v>
      </c>
      <c r="AL36" s="4">
        <f t="shared" si="25"/>
        <v>166.50666666666666</v>
      </c>
      <c r="AM36" s="4">
        <f t="shared" si="26"/>
        <v>2483.7244444444441</v>
      </c>
      <c r="AN36" s="4">
        <f t="shared" si="27"/>
        <v>3760.2755555555559</v>
      </c>
      <c r="AO36" s="21">
        <f t="shared" si="28"/>
        <v>166.50666666666666</v>
      </c>
      <c r="AP36" s="4">
        <f t="shared" si="40"/>
        <v>2650.2311111111107</v>
      </c>
      <c r="AQ36" s="4">
        <v>3759.4083333333342</v>
      </c>
      <c r="AR36" s="21">
        <v>156.1</v>
      </c>
      <c r="AS36" s="19">
        <v>2640.6916666666657</v>
      </c>
      <c r="AT36" s="4">
        <v>3603.3083333333343</v>
      </c>
      <c r="AU36" s="21">
        <f t="shared" si="42"/>
        <v>166.50666666666666</v>
      </c>
      <c r="AV36" s="19">
        <f t="shared" si="43"/>
        <v>2807.1983333333324</v>
      </c>
      <c r="AW36" s="4">
        <f t="shared" si="44"/>
        <v>3436.8016666666676</v>
      </c>
      <c r="AX36" s="4">
        <f t="shared" si="45"/>
        <v>166.50666666666666</v>
      </c>
      <c r="AY36" s="4">
        <f t="shared" si="46"/>
        <v>2973.704999999999</v>
      </c>
      <c r="AZ36" s="4">
        <f t="shared" si="47"/>
        <v>3270.295000000001</v>
      </c>
      <c r="BA36" s="22">
        <f t="shared" si="48"/>
        <v>166.50666666666666</v>
      </c>
      <c r="BB36" s="4">
        <f t="shared" si="49"/>
        <v>3140.2116666666657</v>
      </c>
      <c r="BC36" s="4">
        <f t="shared" si="50"/>
        <v>3103.7883333333343</v>
      </c>
      <c r="BF36" s="22">
        <v>166.50666666666666</v>
      </c>
      <c r="BG36" s="4">
        <f t="shared" si="51"/>
        <v>0</v>
      </c>
      <c r="BK36" s="4">
        <f t="shared" si="53"/>
        <v>166.50666666666666</v>
      </c>
    </row>
    <row r="37" spans="1:63" x14ac:dyDescent="0.35">
      <c r="A37" s="3" t="s">
        <v>98</v>
      </c>
      <c r="B37" s="3" t="s">
        <v>99</v>
      </c>
      <c r="C37" s="4">
        <v>2976152</v>
      </c>
      <c r="D37" s="4" t="s">
        <v>80</v>
      </c>
      <c r="E37" s="2">
        <v>37.5</v>
      </c>
      <c r="F37" s="4"/>
      <c r="G37" s="4">
        <v>0</v>
      </c>
      <c r="H37" s="4"/>
      <c r="I37" s="4">
        <v>0</v>
      </c>
      <c r="J37" s="4">
        <f>C37/E37*0.5</f>
        <v>39682.026666666665</v>
      </c>
      <c r="K37" s="4">
        <f t="shared" si="6"/>
        <v>39682.026666666665</v>
      </c>
      <c r="L37" s="4">
        <f>C37/E37</f>
        <v>79364.05333333333</v>
      </c>
      <c r="M37" s="4">
        <f t="shared" si="7"/>
        <v>119046.07999999999</v>
      </c>
      <c r="N37" s="4">
        <f t="shared" si="35"/>
        <v>79364.05333333333</v>
      </c>
      <c r="O37" s="4">
        <f t="shared" si="8"/>
        <v>198410.1333333333</v>
      </c>
      <c r="P37" s="4">
        <f t="shared" si="36"/>
        <v>79364.05333333333</v>
      </c>
      <c r="Q37" s="4">
        <f t="shared" si="9"/>
        <v>277774.18666666665</v>
      </c>
      <c r="R37" s="4">
        <f t="shared" si="37"/>
        <v>79364.05333333333</v>
      </c>
      <c r="S37" s="4">
        <f t="shared" si="10"/>
        <v>357138.24</v>
      </c>
      <c r="T37" s="4">
        <f t="shared" si="11"/>
        <v>79364.05333333333</v>
      </c>
      <c r="U37" s="4">
        <f t="shared" si="12"/>
        <v>436502.29333333333</v>
      </c>
      <c r="V37" s="4">
        <f t="shared" si="13"/>
        <v>79364.05333333333</v>
      </c>
      <c r="W37" s="4">
        <f t="shared" si="14"/>
        <v>515866.34666666668</v>
      </c>
      <c r="X37" s="4">
        <f t="shared" si="38"/>
        <v>79364.05333333333</v>
      </c>
      <c r="Y37" s="4">
        <f t="shared" si="15"/>
        <v>595230.4</v>
      </c>
      <c r="Z37" s="4">
        <f t="shared" si="33"/>
        <v>79364.05333333333</v>
      </c>
      <c r="AA37" s="4">
        <f t="shared" si="16"/>
        <v>674594.45333333337</v>
      </c>
      <c r="AB37" s="4">
        <f t="shared" si="39"/>
        <v>79364.05333333333</v>
      </c>
      <c r="AC37" s="4">
        <f t="shared" si="41"/>
        <v>753958.50666666671</v>
      </c>
      <c r="AD37" s="3">
        <f t="shared" si="17"/>
        <v>79364.05333333333</v>
      </c>
      <c r="AE37" s="4">
        <f t="shared" si="18"/>
        <v>833322.56</v>
      </c>
      <c r="AF37" s="3">
        <f t="shared" si="19"/>
        <v>79364.05333333333</v>
      </c>
      <c r="AG37" s="5">
        <f t="shared" si="20"/>
        <v>912686.6133333334</v>
      </c>
      <c r="AH37" s="3">
        <f t="shared" si="21"/>
        <v>79364.05333333333</v>
      </c>
      <c r="AI37" s="3">
        <f t="shared" si="22"/>
        <v>992050.66666666674</v>
      </c>
      <c r="AJ37" s="4">
        <f t="shared" si="23"/>
        <v>79364.05333333333</v>
      </c>
      <c r="AK37" s="4">
        <f t="shared" si="24"/>
        <v>1071414.72</v>
      </c>
      <c r="AL37" s="4">
        <f t="shared" si="25"/>
        <v>79364.05333333333</v>
      </c>
      <c r="AM37" s="4">
        <f t="shared" si="26"/>
        <v>1150778.7733333332</v>
      </c>
      <c r="AN37" s="4">
        <f t="shared" si="27"/>
        <v>1825373.2266666668</v>
      </c>
      <c r="AO37" s="21">
        <f t="shared" si="28"/>
        <v>79364.05333333333</v>
      </c>
      <c r="AP37" s="4">
        <f t="shared" si="40"/>
        <v>1230142.8266666664</v>
      </c>
      <c r="AQ37" s="4">
        <v>1822893.0999999996</v>
      </c>
      <c r="AR37" s="21">
        <v>74403.8</v>
      </c>
      <c r="AS37" s="19">
        <v>1227662.7000000004</v>
      </c>
      <c r="AT37" s="4">
        <v>1748489.2999999996</v>
      </c>
      <c r="AU37" s="21">
        <f t="shared" si="42"/>
        <v>79364.05333333333</v>
      </c>
      <c r="AV37" s="19">
        <f t="shared" si="43"/>
        <v>1307026.7533333336</v>
      </c>
      <c r="AW37" s="4">
        <f t="shared" si="44"/>
        <v>1669125.2466666664</v>
      </c>
      <c r="AX37" s="4">
        <f t="shared" si="45"/>
        <v>79364.05333333333</v>
      </c>
      <c r="AY37" s="4">
        <f t="shared" si="46"/>
        <v>1386390.8066666669</v>
      </c>
      <c r="AZ37" s="4">
        <f t="shared" si="47"/>
        <v>1589761.1933333331</v>
      </c>
      <c r="BA37" s="22">
        <f t="shared" si="48"/>
        <v>79364.05333333333</v>
      </c>
      <c r="BB37" s="4">
        <f t="shared" si="49"/>
        <v>1465754.86</v>
      </c>
      <c r="BC37" s="4">
        <f t="shared" si="50"/>
        <v>1510397.14</v>
      </c>
      <c r="BF37" s="22">
        <v>79364.05333333333</v>
      </c>
      <c r="BG37" s="4">
        <f t="shared" si="51"/>
        <v>0</v>
      </c>
      <c r="BH37" s="4">
        <f t="shared" ref="BH37:BH40" si="54">BF37</f>
        <v>79364.05333333333</v>
      </c>
    </row>
    <row r="38" spans="1:63" x14ac:dyDescent="0.35">
      <c r="A38" s="3" t="s">
        <v>100</v>
      </c>
      <c r="B38" s="3" t="s">
        <v>99</v>
      </c>
      <c r="C38" s="4">
        <v>516742</v>
      </c>
      <c r="D38" s="4" t="s">
        <v>80</v>
      </c>
      <c r="E38" s="2">
        <v>37.5</v>
      </c>
      <c r="F38" s="4"/>
      <c r="G38" s="4">
        <v>0</v>
      </c>
      <c r="H38" s="4"/>
      <c r="I38" s="4">
        <v>0</v>
      </c>
      <c r="J38" s="4">
        <f>C38/E38/2</f>
        <v>6889.8933333333334</v>
      </c>
      <c r="K38" s="4">
        <f t="shared" si="6"/>
        <v>6889.8933333333334</v>
      </c>
      <c r="L38" s="4">
        <f>C38/E38</f>
        <v>13779.786666666667</v>
      </c>
      <c r="M38" s="4">
        <f t="shared" si="7"/>
        <v>20669.68</v>
      </c>
      <c r="N38" s="4">
        <f t="shared" si="35"/>
        <v>13779.786666666667</v>
      </c>
      <c r="O38" s="4">
        <f t="shared" si="8"/>
        <v>34449.466666666667</v>
      </c>
      <c r="P38" s="4">
        <f t="shared" si="36"/>
        <v>13779.786666666667</v>
      </c>
      <c r="Q38" s="4">
        <f t="shared" si="9"/>
        <v>48229.253333333334</v>
      </c>
      <c r="R38" s="4">
        <f t="shared" si="37"/>
        <v>13779.786666666667</v>
      </c>
      <c r="S38" s="4">
        <f t="shared" si="10"/>
        <v>62009.04</v>
      </c>
      <c r="T38" s="4">
        <f t="shared" si="11"/>
        <v>13779.786666666667</v>
      </c>
      <c r="U38" s="4">
        <f t="shared" si="12"/>
        <v>75788.82666666666</v>
      </c>
      <c r="V38" s="4">
        <f t="shared" si="13"/>
        <v>13779.786666666667</v>
      </c>
      <c r="W38" s="4">
        <f t="shared" si="14"/>
        <v>89568.613333333327</v>
      </c>
      <c r="X38" s="4">
        <f t="shared" si="38"/>
        <v>13779.786666666667</v>
      </c>
      <c r="Y38" s="4">
        <f t="shared" si="15"/>
        <v>103348.4</v>
      </c>
      <c r="Z38" s="4">
        <f t="shared" si="33"/>
        <v>13779.786666666667</v>
      </c>
      <c r="AA38" s="4">
        <f t="shared" si="16"/>
        <v>117128.18666666666</v>
      </c>
      <c r="AB38" s="4">
        <f t="shared" si="39"/>
        <v>13779.786666666667</v>
      </c>
      <c r="AC38" s="4">
        <f t="shared" si="41"/>
        <v>130907.97333333333</v>
      </c>
      <c r="AD38" s="3">
        <f t="shared" si="17"/>
        <v>13779.786666666667</v>
      </c>
      <c r="AE38" s="4">
        <f t="shared" si="18"/>
        <v>144687.76</v>
      </c>
      <c r="AF38" s="3">
        <f t="shared" si="19"/>
        <v>13779.786666666667</v>
      </c>
      <c r="AG38" s="5">
        <f t="shared" si="20"/>
        <v>158467.54666666669</v>
      </c>
      <c r="AH38" s="3">
        <f t="shared" si="21"/>
        <v>13779.786666666667</v>
      </c>
      <c r="AI38" s="3">
        <f t="shared" si="22"/>
        <v>172247.33333333337</v>
      </c>
      <c r="AJ38" s="4">
        <f t="shared" si="23"/>
        <v>13779.786666666667</v>
      </c>
      <c r="AK38" s="4">
        <f t="shared" si="24"/>
        <v>186027.12000000005</v>
      </c>
      <c r="AL38" s="4">
        <f t="shared" si="25"/>
        <v>13779.786666666667</v>
      </c>
      <c r="AM38" s="4">
        <f t="shared" si="26"/>
        <v>199806.90666666673</v>
      </c>
      <c r="AN38" s="4">
        <f t="shared" si="27"/>
        <v>316935.09333333327</v>
      </c>
      <c r="AO38" s="21">
        <f t="shared" si="28"/>
        <v>13779.786666666667</v>
      </c>
      <c r="AP38" s="4">
        <f t="shared" si="40"/>
        <v>213586.69333333342</v>
      </c>
      <c r="AQ38" s="4">
        <v>316504.47500000003</v>
      </c>
      <c r="AR38" s="21">
        <v>12918.55</v>
      </c>
      <c r="AS38" s="19">
        <v>213156.07499999992</v>
      </c>
      <c r="AT38" s="4">
        <v>303585.92500000005</v>
      </c>
      <c r="AU38" s="21">
        <f t="shared" si="42"/>
        <v>13779.786666666667</v>
      </c>
      <c r="AV38" s="19">
        <f t="shared" si="43"/>
        <v>226935.86166666658</v>
      </c>
      <c r="AW38" s="4">
        <f t="shared" si="44"/>
        <v>289806.13833333342</v>
      </c>
      <c r="AX38" s="4">
        <f t="shared" si="45"/>
        <v>13779.786666666667</v>
      </c>
      <c r="AY38" s="4">
        <f t="shared" si="46"/>
        <v>240715.64833333326</v>
      </c>
      <c r="AZ38" s="4">
        <f t="shared" si="47"/>
        <v>276026.35166666674</v>
      </c>
      <c r="BA38" s="22">
        <f t="shared" si="48"/>
        <v>13779.786666666667</v>
      </c>
      <c r="BB38" s="4">
        <f t="shared" si="49"/>
        <v>254495.43499999994</v>
      </c>
      <c r="BC38" s="4">
        <f t="shared" si="50"/>
        <v>262246.56500000006</v>
      </c>
      <c r="BF38" s="22">
        <v>13779.786666666667</v>
      </c>
      <c r="BG38" s="4">
        <f t="shared" si="51"/>
        <v>0</v>
      </c>
      <c r="BH38" s="4">
        <f t="shared" si="54"/>
        <v>13779.786666666667</v>
      </c>
    </row>
    <row r="39" spans="1:63" x14ac:dyDescent="0.35">
      <c r="A39" s="3" t="s">
        <v>101</v>
      </c>
      <c r="B39" s="3" t="s">
        <v>99</v>
      </c>
      <c r="C39" s="4">
        <v>2492311</v>
      </c>
      <c r="D39" s="4" t="s">
        <v>80</v>
      </c>
      <c r="E39" s="2">
        <v>37.5</v>
      </c>
      <c r="F39" s="4"/>
      <c r="G39" s="4">
        <v>0</v>
      </c>
      <c r="H39" s="4"/>
      <c r="I39" s="4">
        <v>0</v>
      </c>
      <c r="J39" s="4">
        <f>C39/E39/2</f>
        <v>33230.813333333332</v>
      </c>
      <c r="K39" s="4">
        <f t="shared" si="6"/>
        <v>33230.813333333332</v>
      </c>
      <c r="L39" s="4">
        <f>C39/E39</f>
        <v>66461.626666666663</v>
      </c>
      <c r="M39" s="4">
        <f t="shared" si="7"/>
        <v>99692.44</v>
      </c>
      <c r="N39" s="4">
        <f t="shared" si="35"/>
        <v>66461.626666666663</v>
      </c>
      <c r="O39" s="4">
        <f t="shared" si="8"/>
        <v>166154.06666666665</v>
      </c>
      <c r="P39" s="4">
        <f t="shared" si="36"/>
        <v>66461.626666666663</v>
      </c>
      <c r="Q39" s="4">
        <f t="shared" si="9"/>
        <v>232615.6933333333</v>
      </c>
      <c r="R39" s="4">
        <f t="shared" si="37"/>
        <v>66461.626666666663</v>
      </c>
      <c r="S39" s="4">
        <f t="shared" si="10"/>
        <v>299077.31999999995</v>
      </c>
      <c r="T39" s="4">
        <f t="shared" si="11"/>
        <v>66461.626666666663</v>
      </c>
      <c r="U39" s="4">
        <f t="shared" si="12"/>
        <v>365538.9466666666</v>
      </c>
      <c r="V39" s="4">
        <f t="shared" si="13"/>
        <v>66461.626666666663</v>
      </c>
      <c r="W39" s="4">
        <f t="shared" si="14"/>
        <v>432000.57333333325</v>
      </c>
      <c r="X39" s="4">
        <f t="shared" si="38"/>
        <v>66461.626666666663</v>
      </c>
      <c r="Y39" s="4">
        <f t="shared" si="15"/>
        <v>498462.1999999999</v>
      </c>
      <c r="Z39" s="4">
        <f t="shared" si="33"/>
        <v>66461.626666666663</v>
      </c>
      <c r="AA39" s="4">
        <f t="shared" si="16"/>
        <v>564923.82666666654</v>
      </c>
      <c r="AB39" s="4">
        <f t="shared" si="39"/>
        <v>66461.626666666663</v>
      </c>
      <c r="AC39" s="4">
        <f t="shared" si="41"/>
        <v>631385.45333333325</v>
      </c>
      <c r="AD39" s="3">
        <f t="shared" si="17"/>
        <v>66461.626666666663</v>
      </c>
      <c r="AE39" s="4">
        <f t="shared" si="18"/>
        <v>697847.08</v>
      </c>
      <c r="AF39" s="3">
        <f t="shared" si="19"/>
        <v>66461.626666666663</v>
      </c>
      <c r="AG39" s="5">
        <f t="shared" si="20"/>
        <v>764308.70666666667</v>
      </c>
      <c r="AH39" s="3">
        <f t="shared" si="21"/>
        <v>66461.626666666663</v>
      </c>
      <c r="AI39" s="3">
        <f t="shared" si="22"/>
        <v>830770.33333333337</v>
      </c>
      <c r="AJ39" s="4">
        <f t="shared" si="23"/>
        <v>66461.626666666663</v>
      </c>
      <c r="AK39" s="4">
        <f t="shared" si="24"/>
        <v>897231.96000000008</v>
      </c>
      <c r="AL39" s="4">
        <f t="shared" si="25"/>
        <v>66461.626666666663</v>
      </c>
      <c r="AM39" s="4">
        <f t="shared" si="26"/>
        <v>963693.58666666679</v>
      </c>
      <c r="AN39" s="4">
        <f t="shared" si="27"/>
        <v>1528617.4133333331</v>
      </c>
      <c r="AO39" s="21">
        <f t="shared" si="28"/>
        <v>66461.626666666663</v>
      </c>
      <c r="AP39" s="4">
        <f t="shared" si="40"/>
        <v>1030155.2133333335</v>
      </c>
      <c r="AQ39" s="4">
        <v>1526540.4874999998</v>
      </c>
      <c r="AR39" s="21">
        <v>62307.775000000001</v>
      </c>
      <c r="AS39" s="19">
        <v>1028078.2875000002</v>
      </c>
      <c r="AT39" s="4">
        <v>1464232.7124999999</v>
      </c>
      <c r="AU39" s="21">
        <f t="shared" si="42"/>
        <v>66461.626666666663</v>
      </c>
      <c r="AV39" s="19">
        <f t="shared" si="43"/>
        <v>1094539.9141666668</v>
      </c>
      <c r="AW39" s="4">
        <f t="shared" si="44"/>
        <v>1397771.0858333332</v>
      </c>
      <c r="AX39" s="4">
        <f t="shared" si="45"/>
        <v>66461.626666666663</v>
      </c>
      <c r="AY39" s="4">
        <f t="shared" si="46"/>
        <v>1161001.5408333335</v>
      </c>
      <c r="AZ39" s="4">
        <f t="shared" si="47"/>
        <v>1331309.4591666665</v>
      </c>
      <c r="BA39" s="22">
        <f t="shared" si="48"/>
        <v>66461.626666666663</v>
      </c>
      <c r="BB39" s="4">
        <f t="shared" si="49"/>
        <v>1227463.1675000002</v>
      </c>
      <c r="BC39" s="4">
        <f t="shared" si="50"/>
        <v>1264847.8324999998</v>
      </c>
      <c r="BF39" s="22">
        <v>66461.626666666663</v>
      </c>
      <c r="BG39" s="4">
        <f t="shared" si="51"/>
        <v>0</v>
      </c>
      <c r="BH39" s="4">
        <f t="shared" si="54"/>
        <v>66461.626666666663</v>
      </c>
    </row>
    <row r="40" spans="1:63" x14ac:dyDescent="0.35">
      <c r="A40" s="3" t="s">
        <v>102</v>
      </c>
      <c r="B40" s="3" t="s">
        <v>103</v>
      </c>
      <c r="C40" s="4">
        <v>25000</v>
      </c>
      <c r="D40" s="4" t="s">
        <v>80</v>
      </c>
      <c r="E40" s="2">
        <v>37.5</v>
      </c>
      <c r="F40" s="4"/>
      <c r="G40" s="4"/>
      <c r="H40" s="4"/>
      <c r="I40" s="4"/>
      <c r="J40" s="4"/>
      <c r="K40" s="4"/>
      <c r="L40" s="4">
        <f>25000/40</f>
        <v>625</v>
      </c>
      <c r="M40" s="4">
        <f t="shared" si="7"/>
        <v>625</v>
      </c>
      <c r="N40" s="4">
        <f>25000/40</f>
        <v>625</v>
      </c>
      <c r="O40" s="4">
        <f t="shared" si="8"/>
        <v>1250</v>
      </c>
      <c r="P40" s="4">
        <f t="shared" si="36"/>
        <v>666.66666666666663</v>
      </c>
      <c r="Q40" s="4">
        <f t="shared" si="9"/>
        <v>1916.6666666666665</v>
      </c>
      <c r="R40" s="4">
        <f t="shared" si="37"/>
        <v>666.66666666666663</v>
      </c>
      <c r="S40" s="4">
        <f t="shared" si="10"/>
        <v>2583.333333333333</v>
      </c>
      <c r="T40" s="4">
        <f t="shared" si="11"/>
        <v>666.66666666666663</v>
      </c>
      <c r="U40" s="4">
        <f t="shared" si="12"/>
        <v>3249.9999999999995</v>
      </c>
      <c r="V40" s="4">
        <f t="shared" si="13"/>
        <v>666.66666666666663</v>
      </c>
      <c r="W40" s="4">
        <f t="shared" si="14"/>
        <v>3916.6666666666661</v>
      </c>
      <c r="X40" s="4">
        <f t="shared" si="38"/>
        <v>666.66666666666663</v>
      </c>
      <c r="Y40" s="4">
        <f t="shared" si="15"/>
        <v>4583.333333333333</v>
      </c>
      <c r="Z40" s="4">
        <f t="shared" si="33"/>
        <v>666.66666666666663</v>
      </c>
      <c r="AA40" s="4">
        <f t="shared" si="16"/>
        <v>5250</v>
      </c>
      <c r="AB40" s="4">
        <f t="shared" si="39"/>
        <v>666.66666666666663</v>
      </c>
      <c r="AC40" s="4">
        <f t="shared" si="41"/>
        <v>5916.666666666667</v>
      </c>
      <c r="AD40" s="3">
        <f t="shared" si="17"/>
        <v>666.66666666666663</v>
      </c>
      <c r="AE40" s="4">
        <f t="shared" si="18"/>
        <v>6583.3333333333339</v>
      </c>
      <c r="AF40" s="3">
        <f t="shared" si="19"/>
        <v>666.66666666666663</v>
      </c>
      <c r="AG40" s="5">
        <f t="shared" si="20"/>
        <v>7250.0000000000009</v>
      </c>
      <c r="AH40" s="3">
        <f t="shared" si="21"/>
        <v>666.66666666666663</v>
      </c>
      <c r="AI40" s="3">
        <f t="shared" si="22"/>
        <v>7916.6666666666679</v>
      </c>
      <c r="AJ40" s="4">
        <f t="shared" si="23"/>
        <v>666.66666666666663</v>
      </c>
      <c r="AK40" s="4">
        <f t="shared" si="24"/>
        <v>8583.3333333333339</v>
      </c>
      <c r="AL40" s="4">
        <f t="shared" si="25"/>
        <v>666.66666666666663</v>
      </c>
      <c r="AM40" s="4">
        <f t="shared" si="26"/>
        <v>9250</v>
      </c>
      <c r="AN40" s="4">
        <f t="shared" si="27"/>
        <v>15750</v>
      </c>
      <c r="AO40" s="21">
        <f t="shared" si="28"/>
        <v>666.66666666666663</v>
      </c>
      <c r="AP40" s="4">
        <f t="shared" si="40"/>
        <v>9916.6666666666661</v>
      </c>
      <c r="AQ40" s="4">
        <v>15625</v>
      </c>
      <c r="AR40" s="21">
        <v>625</v>
      </c>
      <c r="AS40" s="19">
        <v>10000</v>
      </c>
      <c r="AT40" s="4">
        <v>15000</v>
      </c>
      <c r="AU40" s="21">
        <f t="shared" si="42"/>
        <v>666.66666666666663</v>
      </c>
      <c r="AV40" s="19">
        <f t="shared" si="43"/>
        <v>10666.666666666666</v>
      </c>
      <c r="AW40" s="4">
        <f t="shared" si="44"/>
        <v>14333.333333333334</v>
      </c>
      <c r="AX40" s="4">
        <f t="shared" si="45"/>
        <v>666.66666666666663</v>
      </c>
      <c r="AY40" s="4">
        <f t="shared" si="46"/>
        <v>11333.333333333332</v>
      </c>
      <c r="AZ40" s="4">
        <f t="shared" si="47"/>
        <v>13666.666666666668</v>
      </c>
      <c r="BA40" s="22">
        <f t="shared" si="48"/>
        <v>666.66666666666663</v>
      </c>
      <c r="BB40" s="4">
        <f t="shared" si="49"/>
        <v>11999.999999999998</v>
      </c>
      <c r="BC40" s="4">
        <f t="shared" si="50"/>
        <v>13000.000000000002</v>
      </c>
      <c r="BF40" s="22">
        <v>666.66666666666663</v>
      </c>
      <c r="BG40" s="4">
        <f t="shared" si="51"/>
        <v>0</v>
      </c>
      <c r="BH40" s="4">
        <f t="shared" si="54"/>
        <v>666.66666666666663</v>
      </c>
    </row>
    <row r="41" spans="1:63" x14ac:dyDescent="0.35">
      <c r="A41" s="3" t="s">
        <v>104</v>
      </c>
      <c r="B41" s="3" t="s">
        <v>105</v>
      </c>
      <c r="C41" s="4">
        <v>33314</v>
      </c>
      <c r="D41" s="4" t="s">
        <v>80</v>
      </c>
      <c r="E41" s="2">
        <v>37.5</v>
      </c>
      <c r="F41" s="4"/>
      <c r="G41" s="4"/>
      <c r="H41" s="4"/>
      <c r="I41" s="4"/>
      <c r="J41" s="4"/>
      <c r="K41" s="4"/>
      <c r="L41" s="4">
        <f>33314/40/12*8</f>
        <v>555.23333333333335</v>
      </c>
      <c r="M41" s="4">
        <f t="shared" si="7"/>
        <v>555.23333333333335</v>
      </c>
      <c r="N41" s="4">
        <f>33314/40</f>
        <v>832.85</v>
      </c>
      <c r="O41" s="4">
        <f t="shared" si="8"/>
        <v>1388.0833333333335</v>
      </c>
      <c r="P41" s="4">
        <f t="shared" si="36"/>
        <v>888.37333333333333</v>
      </c>
      <c r="Q41" s="4">
        <f t="shared" si="9"/>
        <v>2276.4566666666669</v>
      </c>
      <c r="R41" s="4">
        <f t="shared" si="37"/>
        <v>888.37333333333333</v>
      </c>
      <c r="S41" s="4">
        <f t="shared" si="10"/>
        <v>3164.8300000000004</v>
      </c>
      <c r="T41" s="4">
        <f t="shared" si="11"/>
        <v>888.37333333333333</v>
      </c>
      <c r="U41" s="4">
        <f t="shared" si="12"/>
        <v>4053.2033333333338</v>
      </c>
      <c r="V41" s="4">
        <f t="shared" si="13"/>
        <v>888.37333333333333</v>
      </c>
      <c r="W41" s="4">
        <f t="shared" si="14"/>
        <v>4941.5766666666668</v>
      </c>
      <c r="X41" s="4">
        <f t="shared" si="38"/>
        <v>888.37333333333333</v>
      </c>
      <c r="Y41" s="4">
        <f t="shared" si="15"/>
        <v>5829.95</v>
      </c>
      <c r="Z41" s="4">
        <f t="shared" si="33"/>
        <v>888.37333333333333</v>
      </c>
      <c r="AA41" s="4">
        <f t="shared" si="16"/>
        <v>6718.3233333333328</v>
      </c>
      <c r="AB41" s="4">
        <f t="shared" si="39"/>
        <v>888.37333333333333</v>
      </c>
      <c r="AC41" s="4">
        <f t="shared" si="41"/>
        <v>7606.6966666666658</v>
      </c>
      <c r="AD41" s="3">
        <f t="shared" si="17"/>
        <v>888.37333333333333</v>
      </c>
      <c r="AE41" s="4">
        <f t="shared" si="18"/>
        <v>8495.07</v>
      </c>
      <c r="AF41" s="3">
        <f t="shared" si="19"/>
        <v>888.37333333333333</v>
      </c>
      <c r="AG41" s="5">
        <f t="shared" si="20"/>
        <v>9383.4433333333327</v>
      </c>
      <c r="AH41" s="3">
        <f t="shared" si="21"/>
        <v>888.37333333333333</v>
      </c>
      <c r="AI41" s="3">
        <f t="shared" si="22"/>
        <v>10271.816666666666</v>
      </c>
      <c r="AJ41" s="4">
        <f t="shared" si="23"/>
        <v>888.37333333333333</v>
      </c>
      <c r="AK41" s="4">
        <f t="shared" si="24"/>
        <v>11160.189999999999</v>
      </c>
      <c r="AL41" s="4">
        <f t="shared" si="25"/>
        <v>888.37333333333333</v>
      </c>
      <c r="AM41" s="4">
        <f t="shared" si="26"/>
        <v>12048.563333333332</v>
      </c>
      <c r="AN41" s="4">
        <f t="shared" si="27"/>
        <v>21265.436666666668</v>
      </c>
      <c r="AO41" s="21">
        <f t="shared" si="28"/>
        <v>888.37333333333333</v>
      </c>
      <c r="AP41" s="4">
        <f t="shared" si="40"/>
        <v>12936.936666666665</v>
      </c>
      <c r="AQ41" s="4">
        <v>21098.866666666665</v>
      </c>
      <c r="AR41" s="21">
        <v>832.85</v>
      </c>
      <c r="AS41" s="19">
        <v>13047.983333333337</v>
      </c>
      <c r="AT41" s="4">
        <v>20266.016666666663</v>
      </c>
      <c r="AU41" s="21">
        <f t="shared" si="42"/>
        <v>888.37333333333333</v>
      </c>
      <c r="AV41" s="19">
        <f t="shared" si="43"/>
        <v>13936.35666666667</v>
      </c>
      <c r="AW41" s="4">
        <f t="shared" si="44"/>
        <v>19377.64333333333</v>
      </c>
      <c r="AX41" s="4">
        <f t="shared" si="45"/>
        <v>888.37333333333333</v>
      </c>
      <c r="AY41" s="4">
        <f t="shared" si="46"/>
        <v>14824.730000000003</v>
      </c>
      <c r="AZ41" s="4">
        <f t="shared" si="47"/>
        <v>18489.269999999997</v>
      </c>
      <c r="BA41" s="22">
        <f t="shared" si="48"/>
        <v>888.37333333333333</v>
      </c>
      <c r="BB41" s="4">
        <f t="shared" si="49"/>
        <v>15713.103333333336</v>
      </c>
      <c r="BC41" s="4">
        <f t="shared" si="50"/>
        <v>17600.896666666664</v>
      </c>
      <c r="BF41" s="22">
        <v>888.37333333333333</v>
      </c>
      <c r="BG41" s="4">
        <f t="shared" si="51"/>
        <v>0</v>
      </c>
      <c r="BI41" s="4">
        <f>BF41</f>
        <v>888.37333333333333</v>
      </c>
    </row>
    <row r="42" spans="1:63" x14ac:dyDescent="0.35">
      <c r="A42" s="3" t="s">
        <v>106</v>
      </c>
      <c r="B42" s="3" t="s">
        <v>107</v>
      </c>
      <c r="C42" s="4">
        <v>23620</v>
      </c>
      <c r="D42" s="4" t="s">
        <v>80</v>
      </c>
      <c r="E42" s="2">
        <v>37.5</v>
      </c>
      <c r="F42" s="4"/>
      <c r="G42" s="4"/>
      <c r="H42" s="4"/>
      <c r="I42" s="4"/>
      <c r="J42" s="4"/>
      <c r="K42" s="4"/>
      <c r="L42" s="4"/>
      <c r="M42" s="4">
        <f t="shared" si="7"/>
        <v>0</v>
      </c>
      <c r="N42" s="4"/>
      <c r="O42" s="4">
        <f t="shared" si="8"/>
        <v>0</v>
      </c>
      <c r="P42" s="4">
        <f>C42/E42/12*0.5</f>
        <v>26.244444444444444</v>
      </c>
      <c r="Q42" s="4">
        <f t="shared" si="9"/>
        <v>26.244444444444444</v>
      </c>
      <c r="R42" s="4">
        <f t="shared" si="37"/>
        <v>629.86666666666667</v>
      </c>
      <c r="S42" s="4">
        <f t="shared" si="10"/>
        <v>656.11111111111109</v>
      </c>
      <c r="T42" s="4">
        <f t="shared" si="11"/>
        <v>629.86666666666667</v>
      </c>
      <c r="U42" s="4">
        <f t="shared" si="12"/>
        <v>1285.9777777777776</v>
      </c>
      <c r="V42" s="4">
        <f t="shared" si="13"/>
        <v>629.86666666666667</v>
      </c>
      <c r="W42" s="4">
        <f t="shared" si="14"/>
        <v>1915.8444444444444</v>
      </c>
      <c r="X42" s="4">
        <f t="shared" si="38"/>
        <v>629.86666666666667</v>
      </c>
      <c r="Y42" s="4">
        <f t="shared" si="15"/>
        <v>2545.7111111111112</v>
      </c>
      <c r="Z42" s="4">
        <f t="shared" si="33"/>
        <v>629.86666666666667</v>
      </c>
      <c r="AA42" s="4">
        <f t="shared" si="16"/>
        <v>3175.577777777778</v>
      </c>
      <c r="AB42" s="4">
        <f t="shared" si="39"/>
        <v>629.86666666666667</v>
      </c>
      <c r="AC42" s="4">
        <f t="shared" si="41"/>
        <v>3805.4444444444448</v>
      </c>
      <c r="AD42" s="3">
        <f t="shared" si="17"/>
        <v>629.86666666666667</v>
      </c>
      <c r="AE42" s="4">
        <f t="shared" si="18"/>
        <v>4435.3111111111111</v>
      </c>
      <c r="AF42" s="3">
        <f t="shared" si="19"/>
        <v>629.86666666666667</v>
      </c>
      <c r="AG42" s="5">
        <f t="shared" si="20"/>
        <v>5065.1777777777779</v>
      </c>
      <c r="AH42" s="3">
        <f t="shared" si="21"/>
        <v>629.86666666666667</v>
      </c>
      <c r="AI42" s="3">
        <f t="shared" si="22"/>
        <v>5695.0444444444447</v>
      </c>
      <c r="AJ42" s="4">
        <f t="shared" si="23"/>
        <v>629.86666666666667</v>
      </c>
      <c r="AK42" s="4">
        <f t="shared" si="24"/>
        <v>6324.9111111111115</v>
      </c>
      <c r="AL42" s="4">
        <f t="shared" si="25"/>
        <v>629.86666666666667</v>
      </c>
      <c r="AM42" s="4">
        <f t="shared" si="26"/>
        <v>6954.7777777777783</v>
      </c>
      <c r="AN42" s="4">
        <f t="shared" si="27"/>
        <v>16665.222222222223</v>
      </c>
      <c r="AO42" s="21">
        <f t="shared" si="28"/>
        <v>629.86666666666667</v>
      </c>
      <c r="AP42" s="4">
        <f t="shared" si="40"/>
        <v>7584.6444444444451</v>
      </c>
      <c r="AQ42" s="4">
        <v>16509.395833333336</v>
      </c>
      <c r="AR42" s="21">
        <v>590.5</v>
      </c>
      <c r="AS42" s="19">
        <v>7701.1041666666661</v>
      </c>
      <c r="AT42" s="4">
        <v>15918.895833333334</v>
      </c>
      <c r="AU42" s="21">
        <f t="shared" si="42"/>
        <v>629.86666666666667</v>
      </c>
      <c r="AV42" s="19">
        <f t="shared" si="43"/>
        <v>8330.9708333333328</v>
      </c>
      <c r="AW42" s="4">
        <f t="shared" si="44"/>
        <v>15289.029166666667</v>
      </c>
      <c r="AX42" s="4">
        <f t="shared" si="45"/>
        <v>629.86666666666667</v>
      </c>
      <c r="AY42" s="4">
        <f t="shared" si="46"/>
        <v>8960.8374999999996</v>
      </c>
      <c r="AZ42" s="4">
        <f t="shared" si="47"/>
        <v>14659.1625</v>
      </c>
      <c r="BA42" s="22">
        <f t="shared" si="48"/>
        <v>629.86666666666667</v>
      </c>
      <c r="BB42" s="4">
        <f t="shared" si="49"/>
        <v>9590.7041666666664</v>
      </c>
      <c r="BC42" s="4">
        <f t="shared" si="50"/>
        <v>14029.295833333334</v>
      </c>
      <c r="BF42" s="22">
        <v>629.86666666666667</v>
      </c>
      <c r="BG42" s="4">
        <f t="shared" si="51"/>
        <v>0</v>
      </c>
      <c r="BK42" s="4">
        <f t="shared" ref="BK42:BK48" si="55">BF42</f>
        <v>629.86666666666667</v>
      </c>
    </row>
    <row r="43" spans="1:63" x14ac:dyDescent="0.35">
      <c r="A43" s="3" t="s">
        <v>108</v>
      </c>
      <c r="B43" s="3" t="s">
        <v>109</v>
      </c>
      <c r="C43" s="4">
        <v>5259</v>
      </c>
      <c r="D43" s="4" t="s">
        <v>80</v>
      </c>
      <c r="E43" s="2">
        <v>37.5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>
        <v>98</v>
      </c>
      <c r="AA43" s="4">
        <f t="shared" si="16"/>
        <v>98</v>
      </c>
      <c r="AB43" s="4">
        <f>5259/40</f>
        <v>131.47499999999999</v>
      </c>
      <c r="AC43" s="4">
        <f t="shared" si="41"/>
        <v>229.47499999999999</v>
      </c>
      <c r="AD43" s="3">
        <f t="shared" si="17"/>
        <v>131.47499999999999</v>
      </c>
      <c r="AE43" s="4">
        <f t="shared" si="18"/>
        <v>360.95</v>
      </c>
      <c r="AF43" s="3">
        <f t="shared" si="19"/>
        <v>131.47499999999999</v>
      </c>
      <c r="AG43" s="5">
        <f t="shared" si="20"/>
        <v>492.42499999999995</v>
      </c>
      <c r="AH43" s="3">
        <f t="shared" si="21"/>
        <v>131.47499999999999</v>
      </c>
      <c r="AI43" s="3">
        <f t="shared" si="22"/>
        <v>623.9</v>
      </c>
      <c r="AJ43" s="4">
        <f t="shared" si="23"/>
        <v>131.47499999999999</v>
      </c>
      <c r="AK43" s="4">
        <f t="shared" si="24"/>
        <v>755.375</v>
      </c>
      <c r="AL43" s="4">
        <f t="shared" si="25"/>
        <v>131.47499999999999</v>
      </c>
      <c r="AM43" s="4">
        <f t="shared" si="26"/>
        <v>886.85</v>
      </c>
      <c r="AN43" s="4">
        <f t="shared" si="27"/>
        <v>4372.1499999999996</v>
      </c>
      <c r="AO43" s="21">
        <f t="shared" si="28"/>
        <v>131.47499999999999</v>
      </c>
      <c r="AP43" s="4">
        <f t="shared" si="40"/>
        <v>1018.325</v>
      </c>
      <c r="AQ43" s="4">
        <v>4240.6749999999993</v>
      </c>
      <c r="AR43" s="21">
        <v>131.47499999999999</v>
      </c>
      <c r="AS43" s="19">
        <v>1149.8</v>
      </c>
      <c r="AT43" s="4">
        <v>4109.2</v>
      </c>
      <c r="AU43" s="21">
        <f t="shared" si="42"/>
        <v>140.24</v>
      </c>
      <c r="AV43" s="19">
        <f t="shared" si="43"/>
        <v>1290.04</v>
      </c>
      <c r="AW43" s="4">
        <f t="shared" si="44"/>
        <v>3968.96</v>
      </c>
      <c r="AX43" s="4">
        <f t="shared" si="45"/>
        <v>140.24</v>
      </c>
      <c r="AY43" s="4">
        <f t="shared" si="46"/>
        <v>1430.28</v>
      </c>
      <c r="AZ43" s="4">
        <f t="shared" si="47"/>
        <v>3828.7200000000003</v>
      </c>
      <c r="BA43" s="22">
        <f t="shared" si="48"/>
        <v>140.24</v>
      </c>
      <c r="BB43" s="4">
        <f t="shared" si="49"/>
        <v>1570.52</v>
      </c>
      <c r="BC43" s="4">
        <f t="shared" si="50"/>
        <v>3688.48</v>
      </c>
      <c r="BF43" s="22">
        <v>140.24</v>
      </c>
      <c r="BG43" s="4">
        <f t="shared" si="51"/>
        <v>0</v>
      </c>
      <c r="BK43" s="4">
        <f t="shared" si="55"/>
        <v>140.24</v>
      </c>
    </row>
    <row r="44" spans="1:63" x14ac:dyDescent="0.35">
      <c r="A44" s="3" t="s">
        <v>110</v>
      </c>
      <c r="B44" s="3" t="s">
        <v>111</v>
      </c>
      <c r="C44" s="4">
        <v>18507</v>
      </c>
      <c r="D44" s="4" t="s">
        <v>80</v>
      </c>
      <c r="E44" s="2">
        <v>37.5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>
        <v>308</v>
      </c>
      <c r="AA44" s="4">
        <f t="shared" si="16"/>
        <v>308</v>
      </c>
      <c r="AB44" s="4">
        <f>18507/40</f>
        <v>462.67500000000001</v>
      </c>
      <c r="AC44" s="4">
        <f t="shared" si="41"/>
        <v>770.67499999999995</v>
      </c>
      <c r="AD44" s="3">
        <f t="shared" si="17"/>
        <v>462.67500000000001</v>
      </c>
      <c r="AE44" s="4">
        <f t="shared" si="18"/>
        <v>1233.3499999999999</v>
      </c>
      <c r="AF44" s="3">
        <f t="shared" si="19"/>
        <v>462.67500000000001</v>
      </c>
      <c r="AG44" s="5">
        <f t="shared" si="20"/>
        <v>1696.0249999999999</v>
      </c>
      <c r="AH44" s="3">
        <f t="shared" si="21"/>
        <v>462.67500000000001</v>
      </c>
      <c r="AI44" s="3">
        <f t="shared" si="22"/>
        <v>2158.6999999999998</v>
      </c>
      <c r="AJ44" s="4">
        <f t="shared" si="23"/>
        <v>462.67500000000001</v>
      </c>
      <c r="AK44" s="4">
        <f t="shared" si="24"/>
        <v>2621.375</v>
      </c>
      <c r="AL44" s="4">
        <f t="shared" si="25"/>
        <v>462.67500000000001</v>
      </c>
      <c r="AM44" s="4">
        <f t="shared" si="26"/>
        <v>3084.05</v>
      </c>
      <c r="AN44" s="4">
        <f t="shared" si="27"/>
        <v>15422.95</v>
      </c>
      <c r="AO44" s="21">
        <f t="shared" si="28"/>
        <v>462.67500000000001</v>
      </c>
      <c r="AP44" s="4">
        <f t="shared" si="40"/>
        <v>3546.7250000000004</v>
      </c>
      <c r="AQ44" s="4">
        <v>14960.275000000001</v>
      </c>
      <c r="AR44" s="21">
        <v>462.67500000000001</v>
      </c>
      <c r="AS44" s="19">
        <v>4009.4000000000005</v>
      </c>
      <c r="AT44" s="4">
        <v>14497.599999999999</v>
      </c>
      <c r="AU44" s="21">
        <f t="shared" si="42"/>
        <v>493.52</v>
      </c>
      <c r="AV44" s="19">
        <f t="shared" si="43"/>
        <v>4502.92</v>
      </c>
      <c r="AW44" s="4">
        <f t="shared" si="44"/>
        <v>14004.08</v>
      </c>
      <c r="AX44" s="4">
        <f t="shared" si="45"/>
        <v>493.52</v>
      </c>
      <c r="AY44" s="4">
        <f t="shared" si="46"/>
        <v>4996.4400000000005</v>
      </c>
      <c r="AZ44" s="4">
        <f t="shared" si="47"/>
        <v>13510.56</v>
      </c>
      <c r="BA44" s="22">
        <f t="shared" si="48"/>
        <v>493.52</v>
      </c>
      <c r="BB44" s="4">
        <f t="shared" si="49"/>
        <v>5489.9600000000009</v>
      </c>
      <c r="BC44" s="4">
        <f t="shared" si="50"/>
        <v>13017.039999999999</v>
      </c>
      <c r="BF44" s="22">
        <v>493.52</v>
      </c>
      <c r="BG44" s="4">
        <f t="shared" si="51"/>
        <v>0</v>
      </c>
      <c r="BK44" s="4">
        <f t="shared" si="55"/>
        <v>493.52</v>
      </c>
    </row>
    <row r="45" spans="1:63" x14ac:dyDescent="0.35">
      <c r="A45" s="3" t="s">
        <v>112</v>
      </c>
      <c r="B45" s="3" t="s">
        <v>113</v>
      </c>
      <c r="C45" s="4">
        <v>7421</v>
      </c>
      <c r="D45" s="4" t="s">
        <v>80</v>
      </c>
      <c r="E45" s="2">
        <v>37.5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>
        <v>77</v>
      </c>
      <c r="AA45" s="4">
        <f t="shared" si="16"/>
        <v>77</v>
      </c>
      <c r="AB45" s="4">
        <f>7421/40</f>
        <v>185.52500000000001</v>
      </c>
      <c r="AC45" s="4">
        <f t="shared" si="41"/>
        <v>262.52499999999998</v>
      </c>
      <c r="AD45" s="3">
        <f t="shared" si="17"/>
        <v>185.52500000000001</v>
      </c>
      <c r="AE45" s="4">
        <f t="shared" si="18"/>
        <v>448.04999999999995</v>
      </c>
      <c r="AF45" s="3">
        <f t="shared" si="19"/>
        <v>185.52500000000001</v>
      </c>
      <c r="AG45" s="5">
        <f t="shared" si="20"/>
        <v>633.57499999999993</v>
      </c>
      <c r="AH45" s="3">
        <f t="shared" si="21"/>
        <v>185.52500000000001</v>
      </c>
      <c r="AI45" s="3">
        <f t="shared" si="22"/>
        <v>819.09999999999991</v>
      </c>
      <c r="AJ45" s="4">
        <f t="shared" si="23"/>
        <v>185.52500000000001</v>
      </c>
      <c r="AK45" s="4">
        <f t="shared" si="24"/>
        <v>1004.6249999999999</v>
      </c>
      <c r="AL45" s="4">
        <f t="shared" si="25"/>
        <v>185.52500000000001</v>
      </c>
      <c r="AM45" s="4">
        <f t="shared" si="26"/>
        <v>1190.1499999999999</v>
      </c>
      <c r="AN45" s="4">
        <f t="shared" si="27"/>
        <v>6230.85</v>
      </c>
      <c r="AO45" s="21">
        <f t="shared" si="28"/>
        <v>185.52500000000001</v>
      </c>
      <c r="AP45" s="4">
        <f t="shared" si="40"/>
        <v>1375.675</v>
      </c>
      <c r="AQ45" s="4">
        <v>6045.3250000000007</v>
      </c>
      <c r="AR45" s="21">
        <v>185.52500000000001</v>
      </c>
      <c r="AS45" s="19">
        <v>1561.2</v>
      </c>
      <c r="AT45" s="4">
        <v>5859.8</v>
      </c>
      <c r="AU45" s="21">
        <f t="shared" si="42"/>
        <v>197.89333333333335</v>
      </c>
      <c r="AV45" s="19">
        <f t="shared" si="43"/>
        <v>1759.0933333333335</v>
      </c>
      <c r="AW45" s="4">
        <f t="shared" si="44"/>
        <v>5661.9066666666668</v>
      </c>
      <c r="AX45" s="4">
        <f t="shared" si="45"/>
        <v>197.89333333333335</v>
      </c>
      <c r="AY45" s="4">
        <f t="shared" si="46"/>
        <v>1956.9866666666669</v>
      </c>
      <c r="AZ45" s="4">
        <f t="shared" si="47"/>
        <v>5464.0133333333333</v>
      </c>
      <c r="BA45" s="22">
        <f t="shared" si="48"/>
        <v>197.89333333333335</v>
      </c>
      <c r="BB45" s="4">
        <f t="shared" si="49"/>
        <v>2154.88</v>
      </c>
      <c r="BC45" s="4">
        <f t="shared" si="50"/>
        <v>5266.12</v>
      </c>
      <c r="BF45" s="22">
        <v>197.89333333333335</v>
      </c>
      <c r="BG45" s="4">
        <f t="shared" si="51"/>
        <v>0</v>
      </c>
      <c r="BK45" s="4">
        <f t="shared" si="55"/>
        <v>197.89333333333335</v>
      </c>
    </row>
    <row r="46" spans="1:63" x14ac:dyDescent="0.35">
      <c r="A46" s="3" t="s">
        <v>114</v>
      </c>
      <c r="B46" s="3" t="s">
        <v>115</v>
      </c>
      <c r="C46" s="4">
        <v>7750</v>
      </c>
      <c r="D46" s="4" t="s">
        <v>80</v>
      </c>
      <c r="E46" s="2">
        <v>37.5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>
        <v>97</v>
      </c>
      <c r="AA46" s="4">
        <f t="shared" si="16"/>
        <v>97</v>
      </c>
      <c r="AB46" s="4">
        <f>7750/40</f>
        <v>193.75</v>
      </c>
      <c r="AC46" s="4">
        <f t="shared" si="41"/>
        <v>290.75</v>
      </c>
      <c r="AD46" s="3">
        <f t="shared" si="17"/>
        <v>193.75</v>
      </c>
      <c r="AE46" s="4">
        <f t="shared" si="18"/>
        <v>484.5</v>
      </c>
      <c r="AF46" s="3">
        <f t="shared" si="19"/>
        <v>193.75</v>
      </c>
      <c r="AG46" s="5">
        <f t="shared" si="20"/>
        <v>678.25</v>
      </c>
      <c r="AH46" s="3">
        <f t="shared" si="21"/>
        <v>193.75</v>
      </c>
      <c r="AI46" s="3">
        <f t="shared" si="22"/>
        <v>872</v>
      </c>
      <c r="AJ46" s="4">
        <f t="shared" si="23"/>
        <v>193.75</v>
      </c>
      <c r="AK46" s="4">
        <f t="shared" si="24"/>
        <v>1065.75</v>
      </c>
      <c r="AL46" s="4">
        <f t="shared" si="25"/>
        <v>193.75</v>
      </c>
      <c r="AM46" s="4">
        <f t="shared" si="26"/>
        <v>1259.5</v>
      </c>
      <c r="AN46" s="4">
        <f t="shared" si="27"/>
        <v>6490.5</v>
      </c>
      <c r="AO46" s="21">
        <f t="shared" si="28"/>
        <v>193.75</v>
      </c>
      <c r="AP46" s="4">
        <f t="shared" si="40"/>
        <v>1453.25</v>
      </c>
      <c r="AQ46" s="4">
        <v>6296.75</v>
      </c>
      <c r="AR46" s="21">
        <v>193.75</v>
      </c>
      <c r="AS46" s="19">
        <v>1647</v>
      </c>
      <c r="AT46" s="4">
        <v>6103</v>
      </c>
      <c r="AU46" s="21">
        <f t="shared" si="42"/>
        <v>206.66666666666666</v>
      </c>
      <c r="AV46" s="19">
        <f t="shared" si="43"/>
        <v>1853.6666666666667</v>
      </c>
      <c r="AW46" s="4">
        <f t="shared" si="44"/>
        <v>5896.333333333333</v>
      </c>
      <c r="AX46" s="4">
        <f t="shared" si="45"/>
        <v>206.66666666666666</v>
      </c>
      <c r="AY46" s="4">
        <f t="shared" si="46"/>
        <v>2060.3333333333335</v>
      </c>
      <c r="AZ46" s="4">
        <f t="shared" si="47"/>
        <v>5689.6666666666661</v>
      </c>
      <c r="BA46" s="22">
        <f t="shared" si="48"/>
        <v>206.66666666666666</v>
      </c>
      <c r="BB46" s="4">
        <f t="shared" si="49"/>
        <v>2267</v>
      </c>
      <c r="BC46" s="4">
        <f t="shared" si="50"/>
        <v>5483</v>
      </c>
      <c r="BF46" s="22">
        <v>206.66666666666666</v>
      </c>
      <c r="BG46" s="4">
        <f t="shared" si="51"/>
        <v>0</v>
      </c>
      <c r="BK46" s="4">
        <f t="shared" si="55"/>
        <v>206.66666666666666</v>
      </c>
    </row>
    <row r="47" spans="1:63" x14ac:dyDescent="0.35">
      <c r="A47" s="3" t="s">
        <v>116</v>
      </c>
      <c r="B47" s="3" t="s">
        <v>117</v>
      </c>
      <c r="C47" s="4">
        <v>1256</v>
      </c>
      <c r="D47" s="4" t="s">
        <v>80</v>
      </c>
      <c r="E47" s="2">
        <v>37.5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>
        <v>8</v>
      </c>
      <c r="AA47" s="4">
        <v>8</v>
      </c>
      <c r="AB47" s="4">
        <f>1256/40</f>
        <v>31.4</v>
      </c>
      <c r="AC47" s="4">
        <f t="shared" si="41"/>
        <v>39.4</v>
      </c>
      <c r="AD47" s="3">
        <f t="shared" si="17"/>
        <v>31.4</v>
      </c>
      <c r="AE47" s="4">
        <f t="shared" si="18"/>
        <v>70.8</v>
      </c>
      <c r="AF47" s="3">
        <f t="shared" si="19"/>
        <v>31.4</v>
      </c>
      <c r="AG47" s="5">
        <f t="shared" si="20"/>
        <v>102.19999999999999</v>
      </c>
      <c r="AH47" s="3">
        <f t="shared" si="21"/>
        <v>31.4</v>
      </c>
      <c r="AI47" s="3">
        <f t="shared" si="22"/>
        <v>133.6</v>
      </c>
      <c r="AJ47" s="4">
        <f t="shared" si="23"/>
        <v>31.4</v>
      </c>
      <c r="AK47" s="4">
        <f t="shared" si="24"/>
        <v>165</v>
      </c>
      <c r="AL47" s="4">
        <f t="shared" si="25"/>
        <v>31.4</v>
      </c>
      <c r="AM47" s="4">
        <f t="shared" si="26"/>
        <v>196.4</v>
      </c>
      <c r="AN47" s="4">
        <f t="shared" si="27"/>
        <v>1059.5999999999999</v>
      </c>
      <c r="AO47" s="21">
        <f t="shared" si="28"/>
        <v>31.4</v>
      </c>
      <c r="AP47" s="4">
        <f t="shared" si="40"/>
        <v>227.8</v>
      </c>
      <c r="AQ47" s="4">
        <v>1028.1999999999998</v>
      </c>
      <c r="AR47" s="21">
        <v>31.4</v>
      </c>
      <c r="AS47" s="19">
        <v>259.2</v>
      </c>
      <c r="AT47" s="4">
        <v>996.8</v>
      </c>
      <c r="AU47" s="21">
        <f t="shared" si="42"/>
        <v>33.493333333333332</v>
      </c>
      <c r="AV47" s="19">
        <f t="shared" si="43"/>
        <v>292.69333333333333</v>
      </c>
      <c r="AW47" s="4">
        <f t="shared" si="44"/>
        <v>963.30666666666662</v>
      </c>
      <c r="AX47" s="4">
        <f t="shared" si="45"/>
        <v>33.493333333333332</v>
      </c>
      <c r="AY47" s="4">
        <f t="shared" si="46"/>
        <v>326.18666666666667</v>
      </c>
      <c r="AZ47" s="4">
        <f t="shared" si="47"/>
        <v>929.81333333333328</v>
      </c>
      <c r="BA47" s="22">
        <f t="shared" si="48"/>
        <v>33.493333333333332</v>
      </c>
      <c r="BB47" s="4">
        <f t="shared" si="49"/>
        <v>359.68</v>
      </c>
      <c r="BC47" s="4">
        <f t="shared" si="50"/>
        <v>896.31999999999994</v>
      </c>
      <c r="BF47" s="22">
        <v>33.493333333333332</v>
      </c>
      <c r="BG47" s="4">
        <f t="shared" si="51"/>
        <v>0</v>
      </c>
      <c r="BK47" s="4">
        <f t="shared" si="55"/>
        <v>33.493333333333332</v>
      </c>
    </row>
    <row r="48" spans="1:63" x14ac:dyDescent="0.35">
      <c r="A48" s="3" t="s">
        <v>118</v>
      </c>
      <c r="B48" s="3" t="s">
        <v>119</v>
      </c>
      <c r="C48" s="4">
        <v>134710</v>
      </c>
      <c r="D48" s="4" t="s">
        <v>80</v>
      </c>
      <c r="E48" s="2">
        <v>37.5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>
        <v>2523</v>
      </c>
      <c r="AC48" s="4">
        <v>2523</v>
      </c>
      <c r="AD48" s="3">
        <v>3368</v>
      </c>
      <c r="AE48" s="4">
        <f t="shared" si="18"/>
        <v>5891</v>
      </c>
      <c r="AF48" s="3">
        <f t="shared" si="19"/>
        <v>3368</v>
      </c>
      <c r="AG48" s="5">
        <f t="shared" si="20"/>
        <v>9259</v>
      </c>
      <c r="AH48" s="3">
        <f t="shared" si="21"/>
        <v>3368</v>
      </c>
      <c r="AI48" s="3">
        <f t="shared" si="22"/>
        <v>12627</v>
      </c>
      <c r="AJ48" s="4">
        <f t="shared" si="23"/>
        <v>3368</v>
      </c>
      <c r="AK48" s="4">
        <f t="shared" si="24"/>
        <v>15995</v>
      </c>
      <c r="AL48" s="4">
        <f t="shared" si="25"/>
        <v>3368</v>
      </c>
      <c r="AM48" s="4">
        <f t="shared" si="26"/>
        <v>19363</v>
      </c>
      <c r="AN48" s="4">
        <f t="shared" si="27"/>
        <v>115347</v>
      </c>
      <c r="AO48" s="21">
        <f t="shared" si="28"/>
        <v>3368</v>
      </c>
      <c r="AP48" s="4">
        <f t="shared" si="40"/>
        <v>22731</v>
      </c>
      <c r="AQ48" s="4">
        <v>111979</v>
      </c>
      <c r="AR48" s="21">
        <v>3368</v>
      </c>
      <c r="AS48" s="19">
        <v>26099</v>
      </c>
      <c r="AT48" s="4">
        <v>108611</v>
      </c>
      <c r="AU48" s="21">
        <f t="shared" si="42"/>
        <v>3592.2666666666669</v>
      </c>
      <c r="AV48" s="19">
        <f t="shared" si="43"/>
        <v>29691.266666666666</v>
      </c>
      <c r="AW48" s="4">
        <f t="shared" si="44"/>
        <v>105018.73333333334</v>
      </c>
      <c r="AX48" s="4">
        <f t="shared" si="45"/>
        <v>3592.2666666666669</v>
      </c>
      <c r="AY48" s="4">
        <f t="shared" si="46"/>
        <v>33283.533333333333</v>
      </c>
      <c r="AZ48" s="4">
        <f t="shared" si="47"/>
        <v>101426.46666666667</v>
      </c>
      <c r="BA48" s="22">
        <f t="shared" si="48"/>
        <v>3592.2666666666669</v>
      </c>
      <c r="BB48" s="4">
        <f t="shared" si="49"/>
        <v>36875.800000000003</v>
      </c>
      <c r="BC48" s="4">
        <f t="shared" si="50"/>
        <v>97834.2</v>
      </c>
      <c r="BF48" s="22">
        <v>3592.2666666666669</v>
      </c>
      <c r="BG48" s="4">
        <f t="shared" si="51"/>
        <v>0</v>
      </c>
      <c r="BK48" s="4">
        <f t="shared" si="55"/>
        <v>3592.2666666666669</v>
      </c>
    </row>
    <row r="49" spans="1:64" x14ac:dyDescent="0.35">
      <c r="A49" s="3" t="s">
        <v>120</v>
      </c>
      <c r="B49" s="3" t="s">
        <v>121</v>
      </c>
      <c r="C49" s="4">
        <v>2699550</v>
      </c>
      <c r="D49" s="4" t="s">
        <v>80</v>
      </c>
      <c r="E49" s="2">
        <v>37.5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>
        <f>C49/40/12*6</f>
        <v>33744.375</v>
      </c>
      <c r="AE49" s="4">
        <f t="shared" si="18"/>
        <v>33744.375</v>
      </c>
      <c r="AF49" s="4">
        <f>C49/E49</f>
        <v>71988</v>
      </c>
      <c r="AG49" s="5">
        <f t="shared" si="20"/>
        <v>105732.375</v>
      </c>
      <c r="AH49" s="3">
        <f t="shared" si="21"/>
        <v>71988</v>
      </c>
      <c r="AI49" s="3">
        <f t="shared" si="22"/>
        <v>177720.375</v>
      </c>
      <c r="AJ49" s="4">
        <f t="shared" si="23"/>
        <v>71988</v>
      </c>
      <c r="AK49" s="4">
        <f t="shared" si="24"/>
        <v>249708.375</v>
      </c>
      <c r="AL49" s="4">
        <f t="shared" si="25"/>
        <v>71988</v>
      </c>
      <c r="AM49" s="4">
        <f t="shared" si="26"/>
        <v>321696.375</v>
      </c>
      <c r="AN49" s="4">
        <f t="shared" si="27"/>
        <v>2377853.625</v>
      </c>
      <c r="AO49" s="21">
        <f t="shared" si="28"/>
        <v>71988</v>
      </c>
      <c r="AP49" s="4">
        <f t="shared" si="40"/>
        <v>393684.375</v>
      </c>
      <c r="AQ49" s="4">
        <v>2328361.875</v>
      </c>
      <c r="AR49" s="21">
        <v>67488.75</v>
      </c>
      <c r="AS49" s="19">
        <v>438676.875</v>
      </c>
      <c r="AT49" s="4">
        <v>2260873.125</v>
      </c>
      <c r="AU49" s="21">
        <f t="shared" si="42"/>
        <v>71988</v>
      </c>
      <c r="AV49" s="19">
        <f t="shared" si="43"/>
        <v>510664.875</v>
      </c>
      <c r="AW49" s="4">
        <f t="shared" si="44"/>
        <v>2188885.125</v>
      </c>
      <c r="AX49" s="4">
        <f t="shared" si="45"/>
        <v>71988</v>
      </c>
      <c r="AY49" s="4">
        <f t="shared" si="46"/>
        <v>582652.875</v>
      </c>
      <c r="AZ49" s="4">
        <f t="shared" si="47"/>
        <v>2116897.125</v>
      </c>
      <c r="BA49" s="22">
        <f t="shared" si="48"/>
        <v>71988</v>
      </c>
      <c r="BB49" s="4">
        <f t="shared" si="49"/>
        <v>654640.875</v>
      </c>
      <c r="BC49" s="4">
        <f t="shared" si="50"/>
        <v>2044909.125</v>
      </c>
      <c r="BF49" s="22">
        <v>71988</v>
      </c>
      <c r="BG49" s="4">
        <f t="shared" si="51"/>
        <v>0</v>
      </c>
      <c r="BH49" s="4">
        <f>BF49</f>
        <v>71988</v>
      </c>
    </row>
    <row r="50" spans="1:64" x14ac:dyDescent="0.35">
      <c r="A50" s="3" t="s">
        <v>122</v>
      </c>
      <c r="B50" s="3" t="s">
        <v>123</v>
      </c>
      <c r="C50" s="4">
        <v>16000</v>
      </c>
      <c r="D50" s="4" t="s">
        <v>80</v>
      </c>
      <c r="E50" s="2">
        <v>37.5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5"/>
      <c r="AH50" s="3">
        <v>369.31</v>
      </c>
      <c r="AI50" s="3">
        <v>369.31</v>
      </c>
      <c r="AJ50" s="4">
        <f>16000/40</f>
        <v>400</v>
      </c>
      <c r="AK50" s="4">
        <f t="shared" si="24"/>
        <v>769.31</v>
      </c>
      <c r="AL50" s="4">
        <f>16000/40</f>
        <v>400</v>
      </c>
      <c r="AM50" s="4">
        <f t="shared" si="26"/>
        <v>1169.31</v>
      </c>
      <c r="AN50" s="4">
        <f t="shared" si="27"/>
        <v>14830.69</v>
      </c>
      <c r="AO50" s="21">
        <f t="shared" si="28"/>
        <v>400</v>
      </c>
      <c r="AP50" s="4">
        <f t="shared" si="40"/>
        <v>1569.31</v>
      </c>
      <c r="AQ50" s="4">
        <v>14430.69</v>
      </c>
      <c r="AR50" s="21">
        <v>400</v>
      </c>
      <c r="AS50" s="19">
        <v>1969.31</v>
      </c>
      <c r="AT50" s="4">
        <v>14030.69</v>
      </c>
      <c r="AU50" s="21">
        <f t="shared" si="42"/>
        <v>426.66666666666669</v>
      </c>
      <c r="AV50" s="19">
        <f t="shared" si="43"/>
        <v>2395.9766666666665</v>
      </c>
      <c r="AW50" s="4">
        <f t="shared" si="44"/>
        <v>13604.023333333334</v>
      </c>
      <c r="AX50" s="4">
        <f t="shared" si="45"/>
        <v>426.66666666666669</v>
      </c>
      <c r="AY50" s="4">
        <f t="shared" si="46"/>
        <v>2822.643333333333</v>
      </c>
      <c r="AZ50" s="4">
        <f t="shared" si="47"/>
        <v>13177.356666666667</v>
      </c>
      <c r="BA50" s="22">
        <f t="shared" si="48"/>
        <v>426.66666666666669</v>
      </c>
      <c r="BB50" s="4">
        <f t="shared" si="49"/>
        <v>3249.3099999999995</v>
      </c>
      <c r="BC50" s="4">
        <f t="shared" si="50"/>
        <v>12750.69</v>
      </c>
      <c r="BF50" s="22">
        <v>426.66666666666669</v>
      </c>
      <c r="BG50" s="4">
        <f t="shared" si="51"/>
        <v>0</v>
      </c>
      <c r="BK50" s="4">
        <f t="shared" ref="BK50:BK52" si="56">BF50</f>
        <v>426.66666666666669</v>
      </c>
    </row>
    <row r="51" spans="1:64" x14ac:dyDescent="0.35">
      <c r="A51" s="3" t="s">
        <v>124</v>
      </c>
      <c r="B51" s="3" t="s">
        <v>123</v>
      </c>
      <c r="C51" s="4">
        <v>6500</v>
      </c>
      <c r="D51" s="4" t="s">
        <v>80</v>
      </c>
      <c r="E51" s="2">
        <v>37.5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5"/>
      <c r="AH51" s="3">
        <v>150.03</v>
      </c>
      <c r="AI51" s="3">
        <v>150.03</v>
      </c>
      <c r="AJ51" s="4">
        <f>6500/40</f>
        <v>162.5</v>
      </c>
      <c r="AK51" s="4">
        <f t="shared" si="24"/>
        <v>312.52999999999997</v>
      </c>
      <c r="AL51" s="4">
        <f>6500/40</f>
        <v>162.5</v>
      </c>
      <c r="AM51" s="4">
        <f t="shared" si="26"/>
        <v>475.03</v>
      </c>
      <c r="AN51" s="4">
        <f t="shared" si="27"/>
        <v>6024.97</v>
      </c>
      <c r="AO51" s="21">
        <f t="shared" si="28"/>
        <v>162.5</v>
      </c>
      <c r="AP51" s="4">
        <f t="shared" si="40"/>
        <v>637.53</v>
      </c>
      <c r="AQ51" s="4">
        <v>5862.47</v>
      </c>
      <c r="AR51" s="21">
        <v>162.5</v>
      </c>
      <c r="AS51" s="19">
        <v>800.03</v>
      </c>
      <c r="AT51" s="4">
        <v>5699.97</v>
      </c>
      <c r="AU51" s="21">
        <f t="shared" si="42"/>
        <v>173.33333333333334</v>
      </c>
      <c r="AV51" s="19">
        <f t="shared" si="43"/>
        <v>973.36333333333334</v>
      </c>
      <c r="AW51" s="4">
        <f t="shared" si="44"/>
        <v>5526.6366666666663</v>
      </c>
      <c r="AX51" s="4">
        <f t="shared" si="45"/>
        <v>173.33333333333334</v>
      </c>
      <c r="AY51" s="4">
        <f t="shared" si="46"/>
        <v>1146.6966666666667</v>
      </c>
      <c r="AZ51" s="4">
        <f t="shared" si="47"/>
        <v>5353.3033333333333</v>
      </c>
      <c r="BA51" s="22">
        <f t="shared" si="48"/>
        <v>173.33333333333334</v>
      </c>
      <c r="BB51" s="4">
        <f t="shared" si="49"/>
        <v>1320.03</v>
      </c>
      <c r="BC51" s="4">
        <f t="shared" si="50"/>
        <v>5179.97</v>
      </c>
      <c r="BF51" s="22">
        <v>173.33333333333334</v>
      </c>
      <c r="BG51" s="4">
        <f t="shared" si="51"/>
        <v>0</v>
      </c>
      <c r="BK51" s="4">
        <f t="shared" si="56"/>
        <v>173.33333333333334</v>
      </c>
    </row>
    <row r="52" spans="1:64" x14ac:dyDescent="0.35">
      <c r="A52" s="3" t="s">
        <v>125</v>
      </c>
      <c r="B52" s="3" t="s">
        <v>126</v>
      </c>
      <c r="C52" s="4">
        <f>7000+4473.14</f>
        <v>11473.14</v>
      </c>
      <c r="D52" s="4" t="s">
        <v>80</v>
      </c>
      <c r="E52" s="2">
        <v>37.5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5"/>
      <c r="AH52" s="3">
        <v>94.3</v>
      </c>
      <c r="AI52" s="3">
        <v>94.3</v>
      </c>
      <c r="AJ52" s="4">
        <f>11443/40</f>
        <v>286.07499999999999</v>
      </c>
      <c r="AK52" s="4">
        <f t="shared" si="24"/>
        <v>380.375</v>
      </c>
      <c r="AL52" s="4">
        <f>11443/40</f>
        <v>286.07499999999999</v>
      </c>
      <c r="AM52" s="4">
        <f t="shared" si="26"/>
        <v>666.45</v>
      </c>
      <c r="AN52" s="4">
        <f t="shared" si="27"/>
        <v>10806.689999999999</v>
      </c>
      <c r="AO52" s="21">
        <f t="shared" si="28"/>
        <v>286.07499999999999</v>
      </c>
      <c r="AP52" s="4">
        <f t="shared" si="40"/>
        <v>952.52500000000009</v>
      </c>
      <c r="AQ52" s="4">
        <v>10520.614999999998</v>
      </c>
      <c r="AR52" s="21">
        <v>286.07499999999999</v>
      </c>
      <c r="AS52" s="19">
        <v>1238.6000000000001</v>
      </c>
      <c r="AT52" s="4">
        <v>10234.539999999999</v>
      </c>
      <c r="AU52" s="21">
        <f t="shared" si="42"/>
        <v>305.9504</v>
      </c>
      <c r="AV52" s="19">
        <f t="shared" si="43"/>
        <v>1544.5504000000001</v>
      </c>
      <c r="AW52" s="4">
        <f t="shared" si="44"/>
        <v>9928.5895999999993</v>
      </c>
      <c r="AX52" s="4">
        <f t="shared" si="45"/>
        <v>305.9504</v>
      </c>
      <c r="AY52" s="4">
        <f t="shared" si="46"/>
        <v>1850.5008</v>
      </c>
      <c r="AZ52" s="4">
        <f t="shared" si="47"/>
        <v>9622.6391999999996</v>
      </c>
      <c r="BA52" s="22">
        <f t="shared" si="48"/>
        <v>305.9504</v>
      </c>
      <c r="BB52" s="4">
        <f t="shared" si="49"/>
        <v>2156.4512</v>
      </c>
      <c r="BC52" s="4">
        <f t="shared" si="50"/>
        <v>9316.6887999999999</v>
      </c>
      <c r="BF52" s="22">
        <v>305.9504</v>
      </c>
      <c r="BG52" s="4">
        <f t="shared" si="51"/>
        <v>0</v>
      </c>
      <c r="BK52" s="4">
        <f t="shared" si="56"/>
        <v>305.9504</v>
      </c>
    </row>
    <row r="53" spans="1:64" x14ac:dyDescent="0.35">
      <c r="A53" s="3" t="s">
        <v>120</v>
      </c>
      <c r="B53" s="3" t="s">
        <v>127</v>
      </c>
      <c r="C53" s="4">
        <v>2079919</v>
      </c>
      <c r="D53" s="4" t="s">
        <v>80</v>
      </c>
      <c r="E53" s="2">
        <v>37.5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5"/>
      <c r="AJ53" s="4"/>
      <c r="AK53" s="4"/>
      <c r="AL53" s="4">
        <f>SUM(C53/E53/12*3)</f>
        <v>13866.126666666667</v>
      </c>
      <c r="AM53" s="4">
        <f t="shared" si="26"/>
        <v>13866.126666666667</v>
      </c>
      <c r="AN53" s="4">
        <f t="shared" si="27"/>
        <v>2066052.8733333333</v>
      </c>
      <c r="AO53" s="21">
        <f>2079919/40</f>
        <v>51997.974999999999</v>
      </c>
      <c r="AP53" s="4">
        <f t="shared" si="40"/>
        <v>65864.101666666669</v>
      </c>
      <c r="AQ53" s="4">
        <v>2014921.53125</v>
      </c>
      <c r="AR53" s="21">
        <v>51997.974999999999</v>
      </c>
      <c r="AS53" s="19">
        <v>116995.44375000001</v>
      </c>
      <c r="AT53" s="4">
        <v>1962923.5562499999</v>
      </c>
      <c r="AU53" s="21">
        <f t="shared" si="42"/>
        <v>55464.506666666668</v>
      </c>
      <c r="AV53" s="19">
        <f t="shared" si="43"/>
        <v>172459.95041666669</v>
      </c>
      <c r="AW53" s="4">
        <f t="shared" si="44"/>
        <v>1907459.0495833333</v>
      </c>
      <c r="AX53" s="4">
        <f t="shared" si="45"/>
        <v>55464.506666666668</v>
      </c>
      <c r="AY53" s="4">
        <f t="shared" si="46"/>
        <v>227924.45708333334</v>
      </c>
      <c r="AZ53" s="4">
        <f t="shared" si="47"/>
        <v>1851994.5429166667</v>
      </c>
      <c r="BA53" s="22">
        <f t="shared" si="48"/>
        <v>55464.506666666668</v>
      </c>
      <c r="BB53" s="4">
        <f t="shared" si="49"/>
        <v>283388.96375</v>
      </c>
      <c r="BC53" s="4">
        <f t="shared" si="50"/>
        <v>1796530.0362499999</v>
      </c>
      <c r="BF53" s="22">
        <v>55464.506666666668</v>
      </c>
      <c r="BG53" s="4">
        <f t="shared" si="51"/>
        <v>0</v>
      </c>
      <c r="BH53" s="4">
        <f>BF53</f>
        <v>55464.506666666668</v>
      </c>
    </row>
    <row r="54" spans="1:64" x14ac:dyDescent="0.35">
      <c r="A54" s="3" t="s">
        <v>128</v>
      </c>
      <c r="B54" s="3" t="s">
        <v>34</v>
      </c>
      <c r="C54" s="4">
        <v>350000</v>
      </c>
      <c r="D54" s="4" t="s">
        <v>80</v>
      </c>
      <c r="E54" s="2">
        <v>37.5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5"/>
      <c r="AJ54" s="4"/>
      <c r="AK54" s="4"/>
      <c r="AL54" s="4">
        <v>0</v>
      </c>
      <c r="AM54" s="4">
        <f t="shared" si="26"/>
        <v>0</v>
      </c>
      <c r="AN54" s="4">
        <f t="shared" si="27"/>
        <v>350000</v>
      </c>
      <c r="AO54" s="21">
        <f>350000/40</f>
        <v>8750</v>
      </c>
      <c r="AP54" s="4">
        <f t="shared" si="40"/>
        <v>8750</v>
      </c>
      <c r="AQ54" s="4">
        <v>341250</v>
      </c>
      <c r="AR54" s="21">
        <v>8750</v>
      </c>
      <c r="AS54" s="19">
        <v>17500</v>
      </c>
      <c r="AT54" s="4">
        <v>332500</v>
      </c>
      <c r="AU54" s="21">
        <f t="shared" si="42"/>
        <v>9333.3333333333339</v>
      </c>
      <c r="AV54" s="19">
        <f t="shared" si="43"/>
        <v>26833.333333333336</v>
      </c>
      <c r="AW54" s="4">
        <f t="shared" si="44"/>
        <v>323166.66666666669</v>
      </c>
      <c r="AX54" s="4">
        <f t="shared" si="45"/>
        <v>9333.3333333333339</v>
      </c>
      <c r="AY54" s="4">
        <f t="shared" si="46"/>
        <v>36166.666666666672</v>
      </c>
      <c r="AZ54" s="4">
        <f t="shared" si="47"/>
        <v>313833.33333333331</v>
      </c>
      <c r="BA54" s="22">
        <f t="shared" si="48"/>
        <v>9333.3333333333339</v>
      </c>
      <c r="BB54" s="4">
        <f t="shared" si="49"/>
        <v>45500.000000000007</v>
      </c>
      <c r="BC54" s="4">
        <f t="shared" si="50"/>
        <v>304500</v>
      </c>
      <c r="BF54" s="22">
        <v>9333.3333333333339</v>
      </c>
      <c r="BG54" s="4">
        <f t="shared" si="51"/>
        <v>0</v>
      </c>
      <c r="BK54" s="4">
        <f t="shared" ref="BK54:BK57" si="57">BF54</f>
        <v>9333.3333333333339</v>
      </c>
    </row>
    <row r="55" spans="1:64" x14ac:dyDescent="0.35">
      <c r="A55" s="3" t="s">
        <v>129</v>
      </c>
      <c r="B55" s="3" t="s">
        <v>34</v>
      </c>
      <c r="C55" s="4">
        <v>55000</v>
      </c>
      <c r="D55" s="4" t="s">
        <v>80</v>
      </c>
      <c r="E55" s="2">
        <v>37.5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5"/>
      <c r="AJ55" s="4"/>
      <c r="AK55" s="4"/>
      <c r="AL55" s="4"/>
      <c r="AM55" s="4">
        <f t="shared" si="26"/>
        <v>0</v>
      </c>
      <c r="AN55" s="4">
        <f t="shared" si="27"/>
        <v>55000</v>
      </c>
      <c r="AO55" s="21">
        <f>55000/40</f>
        <v>1375</v>
      </c>
      <c r="AP55" s="4">
        <f t="shared" si="40"/>
        <v>1375</v>
      </c>
      <c r="AQ55" s="4">
        <v>53625</v>
      </c>
      <c r="AR55" s="21">
        <v>1375</v>
      </c>
      <c r="AS55" s="19">
        <v>2750</v>
      </c>
      <c r="AT55" s="4">
        <v>52250</v>
      </c>
      <c r="AU55" s="21">
        <f t="shared" si="42"/>
        <v>1466.6666666666667</v>
      </c>
      <c r="AV55" s="19">
        <f t="shared" si="43"/>
        <v>4216.666666666667</v>
      </c>
      <c r="AW55" s="4">
        <f t="shared" si="44"/>
        <v>50783.333333333336</v>
      </c>
      <c r="AX55" s="4">
        <f t="shared" si="45"/>
        <v>1466.6666666666667</v>
      </c>
      <c r="AY55" s="4">
        <f t="shared" si="46"/>
        <v>5683.3333333333339</v>
      </c>
      <c r="AZ55" s="4">
        <f t="shared" si="47"/>
        <v>49316.666666666664</v>
      </c>
      <c r="BA55" s="22">
        <f t="shared" si="48"/>
        <v>1466.6666666666667</v>
      </c>
      <c r="BB55" s="4">
        <f t="shared" si="49"/>
        <v>7150.0000000000009</v>
      </c>
      <c r="BC55" s="4">
        <f t="shared" si="50"/>
        <v>47850</v>
      </c>
      <c r="BF55" s="22">
        <v>1466.6666666666667</v>
      </c>
      <c r="BG55" s="4">
        <f t="shared" si="51"/>
        <v>0</v>
      </c>
      <c r="BK55" s="4">
        <f t="shared" si="57"/>
        <v>1466.6666666666667</v>
      </c>
    </row>
    <row r="56" spans="1:64" x14ac:dyDescent="0.35">
      <c r="A56" s="3" t="s">
        <v>130</v>
      </c>
      <c r="B56" s="3" t="s">
        <v>34</v>
      </c>
      <c r="C56" s="4">
        <v>20919</v>
      </c>
      <c r="D56" s="4" t="s">
        <v>80</v>
      </c>
      <c r="E56" s="2">
        <v>37.5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5"/>
      <c r="AJ56" s="4"/>
      <c r="AK56" s="4"/>
      <c r="AL56" s="4"/>
      <c r="AM56" s="4">
        <f t="shared" si="26"/>
        <v>0</v>
      </c>
      <c r="AN56" s="4">
        <f t="shared" si="27"/>
        <v>20919</v>
      </c>
      <c r="AO56" s="21">
        <f>20919/40</f>
        <v>522.97500000000002</v>
      </c>
      <c r="AP56" s="4">
        <f t="shared" si="40"/>
        <v>522.97500000000002</v>
      </c>
      <c r="AQ56" s="4">
        <v>20396.025000000001</v>
      </c>
      <c r="AR56" s="21">
        <v>522.97500000000002</v>
      </c>
      <c r="AS56" s="19">
        <v>1045.95</v>
      </c>
      <c r="AT56" s="4">
        <v>19873.05</v>
      </c>
      <c r="AU56" s="21">
        <f t="shared" si="42"/>
        <v>557.84</v>
      </c>
      <c r="AV56" s="19">
        <f t="shared" si="43"/>
        <v>1603.79</v>
      </c>
      <c r="AW56" s="4">
        <f t="shared" si="44"/>
        <v>19315.21</v>
      </c>
      <c r="AX56" s="4">
        <f t="shared" si="45"/>
        <v>557.84</v>
      </c>
      <c r="AY56" s="4">
        <f t="shared" si="46"/>
        <v>2161.63</v>
      </c>
      <c r="AZ56" s="4">
        <f t="shared" si="47"/>
        <v>18757.37</v>
      </c>
      <c r="BA56" s="22">
        <f t="shared" si="48"/>
        <v>557.84</v>
      </c>
      <c r="BB56" s="4">
        <f t="shared" si="49"/>
        <v>2719.4700000000003</v>
      </c>
      <c r="BC56" s="4">
        <f t="shared" si="50"/>
        <v>18199.53</v>
      </c>
      <c r="BF56" s="22">
        <v>557.84</v>
      </c>
      <c r="BG56" s="4">
        <f t="shared" si="51"/>
        <v>0</v>
      </c>
      <c r="BK56" s="4">
        <f t="shared" si="57"/>
        <v>557.84</v>
      </c>
    </row>
    <row r="57" spans="1:64" x14ac:dyDescent="0.35">
      <c r="A57" s="3" t="s">
        <v>130</v>
      </c>
      <c r="B57" s="3" t="s">
        <v>131</v>
      </c>
      <c r="C57" s="4">
        <v>33865</v>
      </c>
      <c r="D57" s="4" t="s">
        <v>80</v>
      </c>
      <c r="E57" s="2">
        <v>37.5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G57" s="5"/>
      <c r="AM57" s="4"/>
      <c r="AN57" s="4">
        <v>33865</v>
      </c>
      <c r="AO57" s="21">
        <f>33865/40/12*10</f>
        <v>705.52083333333326</v>
      </c>
      <c r="AP57" s="4">
        <f t="shared" si="40"/>
        <v>705.52083333333326</v>
      </c>
      <c r="AQ57" s="4">
        <v>33159.479166666664</v>
      </c>
      <c r="AR57" s="21">
        <v>846.625</v>
      </c>
      <c r="AS57" s="19">
        <v>1552.1458333333333</v>
      </c>
      <c r="AT57" s="4">
        <v>32312.854166666668</v>
      </c>
      <c r="AU57" s="21">
        <f t="shared" si="42"/>
        <v>903.06666666666672</v>
      </c>
      <c r="AV57" s="19">
        <f t="shared" si="43"/>
        <v>2455.2125000000001</v>
      </c>
      <c r="AW57" s="4">
        <f t="shared" si="44"/>
        <v>31409.787499999999</v>
      </c>
      <c r="AX57" s="4">
        <f t="shared" si="45"/>
        <v>903.06666666666672</v>
      </c>
      <c r="AY57" s="4">
        <f t="shared" si="46"/>
        <v>3358.2791666666667</v>
      </c>
      <c r="AZ57" s="4">
        <f t="shared" si="47"/>
        <v>30506.720833333333</v>
      </c>
      <c r="BA57" s="22">
        <f t="shared" si="48"/>
        <v>903.06666666666672</v>
      </c>
      <c r="BB57" s="4">
        <f t="shared" si="49"/>
        <v>4261.3458333333338</v>
      </c>
      <c r="BC57" s="4">
        <f t="shared" si="50"/>
        <v>29603.654166666667</v>
      </c>
      <c r="BF57" s="22">
        <v>903.06666666666672</v>
      </c>
      <c r="BG57" s="4">
        <f t="shared" si="51"/>
        <v>0</v>
      </c>
      <c r="BK57" s="4">
        <f t="shared" si="57"/>
        <v>903.06666666666672</v>
      </c>
    </row>
    <row r="58" spans="1:64" x14ac:dyDescent="0.35">
      <c r="C58" s="4"/>
      <c r="D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G58" s="5"/>
      <c r="AM58" s="4"/>
      <c r="AN58" s="4"/>
      <c r="AO58" s="21">
        <f>AL58</f>
        <v>0</v>
      </c>
      <c r="AP58" s="4">
        <f t="shared" si="40"/>
        <v>0</v>
      </c>
      <c r="AQ58" s="4">
        <v>0</v>
      </c>
      <c r="AR58" s="21">
        <v>0</v>
      </c>
      <c r="AS58" s="19">
        <v>0</v>
      </c>
      <c r="AT58" s="4">
        <v>0</v>
      </c>
      <c r="AU58" s="21"/>
      <c r="AV58" s="19"/>
      <c r="AW58" s="4"/>
      <c r="BA58" s="17"/>
      <c r="BF58" s="17"/>
      <c r="BG58" s="4">
        <f t="shared" si="51"/>
        <v>0</v>
      </c>
      <c r="BH58" s="23">
        <f>SUM(BH24:BH57)</f>
        <v>287814.21333333332</v>
      </c>
      <c r="BI58" s="23">
        <f t="shared" ref="BI58:BK58" si="58">SUM(BI24:BI57)</f>
        <v>888.37333333333333</v>
      </c>
      <c r="BJ58" s="23">
        <f t="shared" si="58"/>
        <v>0</v>
      </c>
      <c r="BK58" s="23">
        <f t="shared" si="58"/>
        <v>28701.76373333334</v>
      </c>
      <c r="BL58" s="3">
        <f>SUM(BH58:BK58)</f>
        <v>317404.3504</v>
      </c>
    </row>
    <row r="59" spans="1:64" x14ac:dyDescent="0.35">
      <c r="A59" s="24" t="s">
        <v>132</v>
      </c>
      <c r="C59" s="19">
        <f>SUM(C24:C57)</f>
        <v>11902663.140000001</v>
      </c>
      <c r="D59" s="4"/>
      <c r="F59" s="4"/>
      <c r="G59" s="19">
        <f t="shared" ref="G59:W59" si="59">SUM(G24:G42)</f>
        <v>420028</v>
      </c>
      <c r="H59" s="19">
        <f t="shared" si="59"/>
        <v>21013</v>
      </c>
      <c r="I59" s="19">
        <f t="shared" si="59"/>
        <v>441041</v>
      </c>
      <c r="J59" s="19">
        <f t="shared" si="59"/>
        <v>90117.61555555556</v>
      </c>
      <c r="K59" s="19">
        <f t="shared" si="59"/>
        <v>531158.61555555544</v>
      </c>
      <c r="L59" s="19">
        <f t="shared" si="59"/>
        <v>171060.23333333334</v>
      </c>
      <c r="M59" s="19">
        <f t="shared" si="59"/>
        <v>702218.84888888884</v>
      </c>
      <c r="N59" s="19">
        <f t="shared" si="59"/>
        <v>171393.85</v>
      </c>
      <c r="O59" s="19">
        <f t="shared" si="59"/>
        <v>873612.69888888882</v>
      </c>
      <c r="P59" s="19">
        <f t="shared" si="59"/>
        <v>171517.28444444443</v>
      </c>
      <c r="Q59" s="19">
        <f t="shared" si="59"/>
        <v>1045129.983333333</v>
      </c>
      <c r="R59" s="19">
        <f t="shared" si="59"/>
        <v>172120.90666666665</v>
      </c>
      <c r="S59" s="19">
        <f t="shared" si="59"/>
        <v>1217250.8899999999</v>
      </c>
      <c r="T59" s="19">
        <f t="shared" si="59"/>
        <v>172120.90666666665</v>
      </c>
      <c r="U59" s="19">
        <f t="shared" si="59"/>
        <v>1389371.7966666666</v>
      </c>
      <c r="V59" s="19">
        <f t="shared" si="59"/>
        <v>172120.90666666665</v>
      </c>
      <c r="W59" s="19">
        <f t="shared" si="59"/>
        <v>1561492.7033333331</v>
      </c>
      <c r="X59" s="19">
        <f>V59</f>
        <v>172120.90666666665</v>
      </c>
      <c r="Y59" s="19">
        <f>W59+V59</f>
        <v>1733613.6099999999</v>
      </c>
      <c r="Z59" s="19">
        <f>SUM(Z24:Z47)</f>
        <v>173360.90666666665</v>
      </c>
      <c r="AA59" s="19">
        <f>SUM(AA24:AA47)</f>
        <v>1906974.5166666666</v>
      </c>
      <c r="AB59" s="19">
        <f>SUM(AB24:AB48)</f>
        <v>175648.73166666663</v>
      </c>
      <c r="AC59" s="19">
        <f>SUM(AC24:AC48)</f>
        <v>2172146.7816666663</v>
      </c>
      <c r="AD59" s="3">
        <f>SUM(AD24:AD49)</f>
        <v>210238.10666666663</v>
      </c>
      <c r="AE59" s="4">
        <f>SUM(AE24:AE49)</f>
        <v>2382384.8883333332</v>
      </c>
      <c r="AF59" s="19">
        <f>SUM(AF24:AF57)</f>
        <v>248481.73166666663</v>
      </c>
      <c r="AG59" s="19">
        <f>SUM(AG24:AG52)</f>
        <v>2630866.62</v>
      </c>
      <c r="AH59" s="19">
        <f>SUM(AH24:AH52)</f>
        <v>249095.37166666662</v>
      </c>
      <c r="AI59" s="19">
        <f>SUM(AI24:AI52)</f>
        <v>2879961.9916666672</v>
      </c>
      <c r="AJ59" s="4">
        <f>SUM(AJ24:AJ57)</f>
        <v>249330.30666666664</v>
      </c>
      <c r="AK59" s="4">
        <f>SUM(AK24:AK57)</f>
        <v>3129292.2983333333</v>
      </c>
      <c r="AL59" s="19">
        <f>SUM(AL24:AL58)</f>
        <v>263196.43333333329</v>
      </c>
      <c r="AM59" s="19">
        <f>SUM(AM24:AM58)</f>
        <v>3392488.7316666669</v>
      </c>
      <c r="AN59" s="19">
        <f>SUM(AN24:AN58)</f>
        <v>8510174.4083333351</v>
      </c>
      <c r="AO59" s="25">
        <f>SUM(AO24:AO58)</f>
        <v>312681.77749999991</v>
      </c>
      <c r="AP59" s="19">
        <f>SUM(AP24:AP57)</f>
        <v>3705245.5091666658</v>
      </c>
      <c r="AQ59" s="19">
        <v>8843469.4083333332</v>
      </c>
      <c r="AR59" s="25">
        <v>297566.07499999995</v>
      </c>
      <c r="AS59" s="19">
        <v>3814672.8066666676</v>
      </c>
      <c r="AT59" s="19">
        <v>8545903.3333333321</v>
      </c>
      <c r="AU59" s="25">
        <f>SUM(AU24:AU58)</f>
        <v>317404.3504</v>
      </c>
      <c r="AV59" s="19">
        <f>SUM(AV24:AV58)</f>
        <v>4132077.1570666661</v>
      </c>
      <c r="AW59" s="19">
        <f>SUM(AW24:AW58)</f>
        <v>7770585.9829333341</v>
      </c>
      <c r="AX59" s="19">
        <f t="shared" ref="AX59:BC59" si="60">SUM(AX24:AX58)</f>
        <v>317404.3504</v>
      </c>
      <c r="AY59" s="19">
        <f t="shared" si="60"/>
        <v>4449481.5074666673</v>
      </c>
      <c r="AZ59" s="19">
        <f t="shared" si="60"/>
        <v>7453181.6325333333</v>
      </c>
      <c r="BA59" s="20">
        <f t="shared" si="60"/>
        <v>317404.3504</v>
      </c>
      <c r="BB59" s="19">
        <f t="shared" si="60"/>
        <v>4766885.8578666663</v>
      </c>
      <c r="BC59" s="19">
        <f t="shared" si="60"/>
        <v>7135777.2821333334</v>
      </c>
      <c r="BF59" s="20">
        <v>317404.3504</v>
      </c>
      <c r="BG59" s="4">
        <f t="shared" si="51"/>
        <v>0</v>
      </c>
    </row>
    <row r="60" spans="1:64" x14ac:dyDescent="0.35">
      <c r="A60" s="26" t="s">
        <v>133</v>
      </c>
      <c r="C60" s="4"/>
      <c r="D60" s="4"/>
      <c r="F60" s="4"/>
      <c r="G60" s="4"/>
      <c r="H60" s="4"/>
      <c r="I60" s="4"/>
      <c r="J60" s="4"/>
      <c r="K60" s="4"/>
      <c r="L60" s="4"/>
      <c r="M60" s="4">
        <f>K60+L60</f>
        <v>0</v>
      </c>
      <c r="N60" s="4"/>
      <c r="O60" s="4"/>
      <c r="P60" s="4"/>
      <c r="Q60" s="4"/>
      <c r="X60" s="4"/>
      <c r="Y60" s="4"/>
      <c r="AC60" s="4">
        <f>SUM(AA60:AB60)</f>
        <v>0</v>
      </c>
      <c r="AG60" s="5"/>
      <c r="AM60" s="4"/>
      <c r="AN60" s="4"/>
      <c r="AO60" s="6"/>
      <c r="AR60" s="6"/>
      <c r="AS60" s="1"/>
      <c r="BA60" s="17"/>
      <c r="BB60" s="4"/>
      <c r="BF60" s="17"/>
      <c r="BG60" s="4">
        <f t="shared" si="51"/>
        <v>0</v>
      </c>
    </row>
    <row r="61" spans="1:64" x14ac:dyDescent="0.35">
      <c r="A61" s="26"/>
      <c r="C61" s="27"/>
      <c r="D61" s="4"/>
      <c r="F61" s="4"/>
      <c r="G61" s="4"/>
      <c r="H61" s="4"/>
      <c r="I61" s="4"/>
      <c r="J61" s="4"/>
      <c r="K61" s="4"/>
      <c r="L61" s="4"/>
      <c r="M61" s="4">
        <f>K61+L61</f>
        <v>0</v>
      </c>
      <c r="N61" s="4"/>
      <c r="O61" s="4"/>
      <c r="P61" s="4"/>
      <c r="Q61" s="4"/>
      <c r="X61" s="4"/>
      <c r="Y61" s="4"/>
      <c r="AC61" s="4">
        <f>SUM(AA61:AB61)</f>
        <v>0</v>
      </c>
      <c r="AG61" s="5"/>
      <c r="AM61" s="4"/>
      <c r="AN61" s="4"/>
      <c r="AO61" s="6"/>
      <c r="AR61" s="6"/>
      <c r="AS61" s="1"/>
      <c r="BA61" s="17"/>
      <c r="BF61" s="17"/>
      <c r="BG61" s="4">
        <f t="shared" si="51"/>
        <v>0</v>
      </c>
    </row>
    <row r="62" spans="1:64" x14ac:dyDescent="0.35">
      <c r="A62" s="26" t="s">
        <v>134</v>
      </c>
      <c r="B62" s="3" t="s">
        <v>79</v>
      </c>
      <c r="C62" s="4"/>
      <c r="D62" s="4" t="s">
        <v>80</v>
      </c>
      <c r="E62" s="2">
        <v>62.5</v>
      </c>
      <c r="F62" s="4"/>
      <c r="G62" s="4">
        <v>502050</v>
      </c>
      <c r="H62" s="4">
        <v>16735</v>
      </c>
      <c r="I62" s="4">
        <f>SUM(G62:H62)</f>
        <v>518785</v>
      </c>
      <c r="J62" s="4">
        <f>H62</f>
        <v>16735</v>
      </c>
      <c r="K62" s="4">
        <f>I62+J62</f>
        <v>535520</v>
      </c>
      <c r="L62" s="4">
        <f>J62</f>
        <v>16735</v>
      </c>
      <c r="M62" s="4">
        <f>K62+L62</f>
        <v>552255</v>
      </c>
      <c r="N62" s="4">
        <f>L62</f>
        <v>16735</v>
      </c>
      <c r="O62" s="4">
        <f>M62+N62</f>
        <v>568990</v>
      </c>
      <c r="P62" s="4">
        <f>C62/E62</f>
        <v>0</v>
      </c>
      <c r="Q62" s="4">
        <f>O62+P62</f>
        <v>568990</v>
      </c>
      <c r="R62" s="4">
        <f>SUM(C62/E62)</f>
        <v>0</v>
      </c>
      <c r="S62" s="4">
        <f>Q62+R62</f>
        <v>568990</v>
      </c>
      <c r="T62" s="4">
        <f>R62</f>
        <v>0</v>
      </c>
      <c r="U62" s="4">
        <f>S62+R62</f>
        <v>568990</v>
      </c>
      <c r="V62" s="4">
        <f>T62</f>
        <v>0</v>
      </c>
      <c r="W62" s="4">
        <f>U62+V62</f>
        <v>568990</v>
      </c>
      <c r="X62" s="4">
        <f>V62</f>
        <v>0</v>
      </c>
      <c r="Y62" s="4">
        <f>W62+V62</f>
        <v>568990</v>
      </c>
      <c r="Z62" s="4">
        <f>X62</f>
        <v>0</v>
      </c>
      <c r="AA62" s="4">
        <f>SUM(Y62:Z62)</f>
        <v>568990</v>
      </c>
      <c r="AB62" s="3">
        <v>8</v>
      </c>
      <c r="AC62" s="4">
        <f>SUM(AA62:AB62)</f>
        <v>568998</v>
      </c>
      <c r="AE62" s="4">
        <f>AC62+AD62</f>
        <v>568998</v>
      </c>
      <c r="AF62" s="3">
        <f>AD62</f>
        <v>0</v>
      </c>
      <c r="AG62" s="5">
        <f>AE62+AF62</f>
        <v>568998</v>
      </c>
      <c r="AH62" s="3">
        <f>AF62</f>
        <v>0</v>
      </c>
      <c r="AI62" s="3">
        <f>SUM(AG62:AH62)</f>
        <v>568998</v>
      </c>
      <c r="AJ62" s="3">
        <v>0</v>
      </c>
      <c r="AK62" s="3">
        <v>669409.35</v>
      </c>
      <c r="AL62" s="3">
        <v>0</v>
      </c>
      <c r="AM62" s="4">
        <v>669409.35</v>
      </c>
      <c r="AN62" s="4">
        <f>C62-AM62</f>
        <v>-669409.35</v>
      </c>
      <c r="AO62" s="21">
        <v>0</v>
      </c>
      <c r="AP62" s="4">
        <f>AM62+AO62</f>
        <v>669409.35</v>
      </c>
      <c r="AQ62" s="4">
        <v>-0.34999999997671694</v>
      </c>
      <c r="AR62" s="21">
        <v>0</v>
      </c>
      <c r="AS62" s="19">
        <v>669409.35</v>
      </c>
      <c r="AT62" s="4">
        <v>-0.34999999997671694</v>
      </c>
      <c r="AU62" s="21">
        <f>SUM(C62/E62)</f>
        <v>0</v>
      </c>
      <c r="AV62" s="19">
        <f>AS62+AU62</f>
        <v>669409.35</v>
      </c>
      <c r="AW62" s="4"/>
      <c r="AX62" s="4"/>
      <c r="AY62" s="4"/>
      <c r="AZ62" s="4"/>
      <c r="BA62" s="22">
        <v>0</v>
      </c>
      <c r="BB62" s="4">
        <f t="shared" ref="BB62:BB64" si="61">SUM(AY62+BA62)</f>
        <v>0</v>
      </c>
      <c r="BC62" s="4">
        <f t="shared" ref="BC62:BC64" si="62">SUM(C62-BB62)</f>
        <v>0</v>
      </c>
      <c r="BF62" s="22">
        <v>0</v>
      </c>
      <c r="BG62" s="4">
        <f t="shared" si="51"/>
        <v>0</v>
      </c>
    </row>
    <row r="63" spans="1:64" x14ac:dyDescent="0.35">
      <c r="A63" s="26" t="s">
        <v>135</v>
      </c>
      <c r="B63" s="3" t="s">
        <v>84</v>
      </c>
      <c r="C63" s="4"/>
      <c r="D63" s="4" t="s">
        <v>80</v>
      </c>
      <c r="E63" s="2">
        <v>62.5</v>
      </c>
      <c r="F63" s="4"/>
      <c r="G63" s="4">
        <v>1501</v>
      </c>
      <c r="H63" s="4">
        <v>231</v>
      </c>
      <c r="I63" s="4">
        <f>SUM(G63:H63)</f>
        <v>1732</v>
      </c>
      <c r="J63" s="4">
        <f>H63</f>
        <v>231</v>
      </c>
      <c r="K63" s="4">
        <f>I63+J63</f>
        <v>1963</v>
      </c>
      <c r="L63" s="4">
        <f>J63</f>
        <v>231</v>
      </c>
      <c r="M63" s="4">
        <f>K63+L63</f>
        <v>2194</v>
      </c>
      <c r="N63" s="4">
        <f>L63</f>
        <v>231</v>
      </c>
      <c r="O63" s="4">
        <f>M63+N63</f>
        <v>2425</v>
      </c>
      <c r="P63" s="4">
        <f>C63/E63</f>
        <v>0</v>
      </c>
      <c r="Q63" s="4">
        <f>O63+P63</f>
        <v>2425</v>
      </c>
      <c r="R63" s="4">
        <f>SUM(C63/E63)</f>
        <v>0</v>
      </c>
      <c r="S63" s="4">
        <f>Q63+R63</f>
        <v>2425</v>
      </c>
      <c r="T63" s="4">
        <f>R63</f>
        <v>0</v>
      </c>
      <c r="U63" s="4">
        <f>S63+R63</f>
        <v>2425</v>
      </c>
      <c r="V63" s="4">
        <f>T63</f>
        <v>0</v>
      </c>
      <c r="W63" s="4">
        <f>U63+V63</f>
        <v>2425</v>
      </c>
      <c r="X63" s="4">
        <f>V63</f>
        <v>0</v>
      </c>
      <c r="Y63" s="4">
        <f>W63+V63</f>
        <v>2425</v>
      </c>
      <c r="Z63" s="4">
        <f>X63</f>
        <v>0</v>
      </c>
      <c r="AA63" s="4">
        <f>SUM(Y63:Z63)</f>
        <v>2425</v>
      </c>
      <c r="AB63" s="3">
        <v>231</v>
      </c>
      <c r="AC63" s="4">
        <f>SUM(AA63:AB63)</f>
        <v>2656</v>
      </c>
      <c r="AD63" s="3">
        <f>AB63</f>
        <v>231</v>
      </c>
      <c r="AE63" s="4">
        <f>AC63+AD63</f>
        <v>2887</v>
      </c>
      <c r="AF63" s="3">
        <f>AD63</f>
        <v>231</v>
      </c>
      <c r="AG63" s="5">
        <f>AE63+AF63</f>
        <v>3118</v>
      </c>
      <c r="AH63" s="3">
        <f>AF63</f>
        <v>231</v>
      </c>
      <c r="AI63" s="3">
        <f>SUM(AG63:AH63)</f>
        <v>3349</v>
      </c>
      <c r="AJ63" s="3">
        <v>231</v>
      </c>
      <c r="AK63" s="3">
        <f>SUM(AI63:AJ63)</f>
        <v>3580</v>
      </c>
      <c r="AL63" s="3">
        <v>231</v>
      </c>
      <c r="AM63" s="4">
        <f>SUM(AK63:AL63)</f>
        <v>3811</v>
      </c>
      <c r="AN63" s="4">
        <f>C63-AM63</f>
        <v>-3811</v>
      </c>
      <c r="AO63" s="21">
        <f>9925/40</f>
        <v>248.125</v>
      </c>
      <c r="AP63" s="4">
        <f>AM63+AO63</f>
        <v>4059.125</v>
      </c>
      <c r="AQ63" s="4">
        <v>3782.125</v>
      </c>
      <c r="AR63" s="21">
        <v>248.125</v>
      </c>
      <c r="AS63" s="19">
        <v>5691</v>
      </c>
      <c r="AT63" s="4">
        <v>3534</v>
      </c>
      <c r="AU63" s="21">
        <f>SUM(C63/E63)</f>
        <v>0</v>
      </c>
      <c r="AV63" s="19">
        <f>AS63+AU63</f>
        <v>5691</v>
      </c>
      <c r="AW63" s="4"/>
      <c r="AX63" s="4"/>
      <c r="AY63" s="4"/>
      <c r="AZ63" s="4"/>
      <c r="BA63" s="22">
        <v>0</v>
      </c>
      <c r="BB63" s="4">
        <f t="shared" si="61"/>
        <v>0</v>
      </c>
      <c r="BC63" s="4">
        <f t="shared" si="62"/>
        <v>0</v>
      </c>
      <c r="BF63" s="22">
        <v>147.6</v>
      </c>
      <c r="BG63" s="4">
        <f t="shared" si="51"/>
        <v>-147.6</v>
      </c>
    </row>
    <row r="64" spans="1:64" x14ac:dyDescent="0.35">
      <c r="A64" s="26" t="s">
        <v>136</v>
      </c>
      <c r="B64" s="3" t="s">
        <v>137</v>
      </c>
      <c r="C64" s="4"/>
      <c r="D64" s="4" t="s">
        <v>80</v>
      </c>
      <c r="E64" s="2">
        <v>62.5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C64" s="4"/>
      <c r="AE64" s="4"/>
      <c r="AG64" s="5"/>
      <c r="AM64" s="4"/>
      <c r="AN64" s="4"/>
      <c r="AO64" s="21"/>
      <c r="AP64" s="4"/>
      <c r="AQ64" s="4"/>
      <c r="AR64" s="21"/>
      <c r="AS64" s="19"/>
      <c r="AT64" s="4"/>
      <c r="AU64" s="21"/>
      <c r="AV64" s="19"/>
      <c r="AW64" s="4"/>
      <c r="AX64" s="4"/>
      <c r="AY64" s="4"/>
      <c r="AZ64" s="4"/>
      <c r="BA64" s="22">
        <v>0</v>
      </c>
      <c r="BB64" s="4">
        <f t="shared" si="61"/>
        <v>0</v>
      </c>
      <c r="BC64" s="4">
        <f t="shared" si="62"/>
        <v>0</v>
      </c>
      <c r="BF64" s="22">
        <v>236.04</v>
      </c>
      <c r="BG64" s="4">
        <f t="shared" si="51"/>
        <v>-236.04</v>
      </c>
    </row>
    <row r="65" spans="1:63" x14ac:dyDescent="0.35">
      <c r="C65" s="19">
        <f>SUM(C62:C64)</f>
        <v>0</v>
      </c>
      <c r="D65" s="4"/>
      <c r="F65" s="4"/>
      <c r="G65" s="19">
        <f>SUM(G62:G63)</f>
        <v>503551</v>
      </c>
      <c r="H65" s="19">
        <f>SUM(H62:H63)</f>
        <v>16966</v>
      </c>
      <c r="I65" s="19">
        <f>SUM(I62:I63)</f>
        <v>520517</v>
      </c>
      <c r="J65" s="19">
        <f>SUM(J62:J63)</f>
        <v>16966</v>
      </c>
      <c r="K65" s="19">
        <f>I65+J65</f>
        <v>537483</v>
      </c>
      <c r="L65" s="19">
        <f>SUM(L62:L63)</f>
        <v>16966</v>
      </c>
      <c r="M65" s="19">
        <f>K65+L65</f>
        <v>554449</v>
      </c>
      <c r="N65" s="19">
        <f>SUM(N62:N63)</f>
        <v>16966</v>
      </c>
      <c r="O65" s="19">
        <f>M65+N65</f>
        <v>571415</v>
      </c>
      <c r="P65" s="19">
        <f t="shared" ref="P65:W65" si="63">SUM(P62:P63)</f>
        <v>0</v>
      </c>
      <c r="Q65" s="19">
        <f t="shared" si="63"/>
        <v>571415</v>
      </c>
      <c r="R65" s="19">
        <f t="shared" si="63"/>
        <v>0</v>
      </c>
      <c r="S65" s="19">
        <f t="shared" si="63"/>
        <v>571415</v>
      </c>
      <c r="T65" s="19">
        <f t="shared" si="63"/>
        <v>0</v>
      </c>
      <c r="U65" s="19">
        <f t="shared" si="63"/>
        <v>571415</v>
      </c>
      <c r="V65" s="19">
        <f t="shared" si="63"/>
        <v>0</v>
      </c>
      <c r="W65" s="19">
        <f t="shared" si="63"/>
        <v>571415</v>
      </c>
      <c r="X65" s="19">
        <f>V65</f>
        <v>0</v>
      </c>
      <c r="Y65" s="19">
        <f>W65+V65</f>
        <v>571415</v>
      </c>
      <c r="Z65" s="19">
        <f>SUM(Z62:Z63)</f>
        <v>0</v>
      </c>
      <c r="AA65" s="19">
        <f>SUM(AA62:AA63)</f>
        <v>571415</v>
      </c>
      <c r="AB65" s="1">
        <f>SUM(AB62:AB63)</f>
        <v>239</v>
      </c>
      <c r="AC65" s="19">
        <f>SUM(AA65:AB65)</f>
        <v>571654</v>
      </c>
      <c r="AD65" s="3">
        <f>SUM(AD62:AD63)</f>
        <v>231</v>
      </c>
      <c r="AE65" s="4">
        <f>AC65+AD65</f>
        <v>571885</v>
      </c>
      <c r="AF65" s="3">
        <f>SUM(AF62:AF63)</f>
        <v>231</v>
      </c>
      <c r="AG65" s="5">
        <f>SUM(AG62:AG63)</f>
        <v>572116</v>
      </c>
      <c r="AH65" s="3">
        <f>SUM(AH62:AH63)</f>
        <v>231</v>
      </c>
      <c r="AI65" s="3">
        <f>SUM(AI62:AI63)</f>
        <v>572347</v>
      </c>
      <c r="AJ65" s="3">
        <v>231</v>
      </c>
      <c r="AK65" s="3">
        <f>SUM(AK62:AK63)</f>
        <v>672989.35</v>
      </c>
      <c r="AL65" s="1">
        <v>231</v>
      </c>
      <c r="AM65" s="19">
        <f>SUM(AM62:AM63)</f>
        <v>673220.35</v>
      </c>
      <c r="AN65" s="19">
        <f>C65-AM65</f>
        <v>-673220.35</v>
      </c>
      <c r="AO65" s="25">
        <f>SUM(AO62:AO63)</f>
        <v>248.125</v>
      </c>
      <c r="AP65" s="19">
        <f>SUM(AP62:AP63)</f>
        <v>673468.47499999998</v>
      </c>
      <c r="AQ65" s="19">
        <v>3781.7750000000233</v>
      </c>
      <c r="AR65" s="25">
        <v>248.125</v>
      </c>
      <c r="AS65" s="19">
        <v>675100.35</v>
      </c>
      <c r="AT65" s="19">
        <v>3533.6500000000233</v>
      </c>
      <c r="AU65" s="25">
        <f>SUM(AU62:AU63)</f>
        <v>0</v>
      </c>
      <c r="AV65" s="19">
        <f>SUM(AV62:AV63)</f>
        <v>675100.35</v>
      </c>
      <c r="AW65" s="19"/>
      <c r="AX65" s="19"/>
      <c r="AY65" s="19"/>
      <c r="AZ65" s="19"/>
      <c r="BA65" s="20">
        <f t="shared" ref="BA65:BC65" si="64">SUM(BA62:BA64)</f>
        <v>0</v>
      </c>
      <c r="BB65" s="19">
        <f t="shared" si="64"/>
        <v>0</v>
      </c>
      <c r="BC65" s="19">
        <f t="shared" si="64"/>
        <v>0</v>
      </c>
      <c r="BF65" s="20">
        <v>383.64</v>
      </c>
      <c r="BG65" s="4">
        <f t="shared" si="51"/>
        <v>-383.64</v>
      </c>
    </row>
    <row r="66" spans="1:63" x14ac:dyDescent="0.35">
      <c r="C66" s="19"/>
      <c r="D66" s="4"/>
      <c r="F66" s="4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"/>
      <c r="AC66" s="19"/>
      <c r="AE66" s="4"/>
      <c r="AG66" s="5"/>
      <c r="AL66" s="1"/>
      <c r="AM66" s="19"/>
      <c r="AN66" s="19"/>
      <c r="AO66" s="25"/>
      <c r="AP66" s="19"/>
      <c r="AQ66" s="19"/>
      <c r="AR66" s="25"/>
      <c r="AS66" s="19"/>
      <c r="AT66" s="19"/>
      <c r="BA66" s="17"/>
      <c r="BB66" s="4"/>
      <c r="BF66" s="17"/>
      <c r="BG66" s="4">
        <f t="shared" si="51"/>
        <v>0</v>
      </c>
    </row>
    <row r="67" spans="1:63" x14ac:dyDescent="0.35">
      <c r="A67" s="3" t="s">
        <v>138</v>
      </c>
      <c r="B67" s="3" t="s">
        <v>79</v>
      </c>
      <c r="C67" s="19">
        <v>11360</v>
      </c>
      <c r="D67" s="4"/>
      <c r="F67" s="4"/>
      <c r="G67" s="19"/>
      <c r="H67" s="19"/>
      <c r="I67" s="19"/>
      <c r="J67" s="4"/>
      <c r="K67" s="4"/>
      <c r="L67" s="4"/>
      <c r="M67" s="4">
        <f>K67+L67</f>
        <v>0</v>
      </c>
      <c r="N67" s="4"/>
      <c r="O67" s="4"/>
      <c r="P67" s="4"/>
      <c r="Q67" s="4"/>
      <c r="R67" s="4"/>
      <c r="X67" s="4"/>
      <c r="Y67" s="4"/>
      <c r="AC67" s="4"/>
      <c r="AG67" s="5"/>
      <c r="AL67" s="1"/>
      <c r="AM67" s="19"/>
      <c r="AN67" s="19">
        <f>C67-AM67</f>
        <v>11360</v>
      </c>
      <c r="AO67" s="28"/>
      <c r="AP67" s="1"/>
      <c r="AQ67" s="1">
        <v>11360</v>
      </c>
      <c r="AR67" s="25">
        <v>0</v>
      </c>
      <c r="AS67" s="19"/>
      <c r="AT67" s="19">
        <v>11360</v>
      </c>
      <c r="AU67" s="25">
        <f>AR67</f>
        <v>0</v>
      </c>
      <c r="AV67" s="19"/>
      <c r="AW67" s="19">
        <f>AT67-AU67</f>
        <v>11360</v>
      </c>
      <c r="AX67" s="25">
        <f>AU67</f>
        <v>0</v>
      </c>
      <c r="AY67" s="19"/>
      <c r="AZ67" s="19">
        <f>AW67-AX67</f>
        <v>11360</v>
      </c>
      <c r="BA67" s="17">
        <v>0</v>
      </c>
      <c r="BB67" s="19"/>
      <c r="BC67" s="19">
        <f>AZ67-BA67</f>
        <v>11360</v>
      </c>
      <c r="BF67" s="17">
        <v>0</v>
      </c>
      <c r="BG67" s="4">
        <f t="shared" si="51"/>
        <v>0</v>
      </c>
    </row>
    <row r="68" spans="1:63" x14ac:dyDescent="0.35">
      <c r="C68" s="4"/>
      <c r="D68" s="4"/>
      <c r="F68" s="4"/>
      <c r="G68" s="4"/>
      <c r="H68" s="4"/>
      <c r="I68" s="4"/>
      <c r="J68" s="4"/>
      <c r="K68" s="4"/>
      <c r="L68" s="4"/>
      <c r="M68" s="4">
        <f>K68+L68</f>
        <v>0</v>
      </c>
      <c r="N68" s="4"/>
      <c r="O68" s="4"/>
      <c r="P68" s="4"/>
      <c r="Q68" s="4"/>
      <c r="R68" s="4"/>
      <c r="X68" s="4"/>
      <c r="Y68" s="4"/>
      <c r="AC68" s="4"/>
      <c r="AG68" s="5"/>
      <c r="AM68" s="4"/>
      <c r="AN68" s="4"/>
      <c r="AO68" s="6"/>
      <c r="AR68" s="6"/>
      <c r="AS68" s="1"/>
      <c r="BA68" s="17"/>
      <c r="BF68" s="17"/>
      <c r="BG68" s="4">
        <f t="shared" si="51"/>
        <v>0</v>
      </c>
    </row>
    <row r="69" spans="1:63" x14ac:dyDescent="0.35">
      <c r="A69" s="3" t="s">
        <v>139</v>
      </c>
      <c r="C69" s="4"/>
      <c r="D69" s="4"/>
      <c r="F69" s="4"/>
      <c r="G69" s="4"/>
      <c r="H69" s="4"/>
      <c r="I69" s="4"/>
      <c r="J69" s="4"/>
      <c r="K69" s="4"/>
      <c r="L69" s="4"/>
      <c r="M69" s="4">
        <f>K69+L69</f>
        <v>0</v>
      </c>
      <c r="N69" s="4"/>
      <c r="O69" s="4"/>
      <c r="P69" s="4"/>
      <c r="Q69" s="4"/>
      <c r="R69" s="4"/>
      <c r="X69" s="4"/>
      <c r="Y69" s="4"/>
      <c r="AC69" s="4"/>
      <c r="AG69" s="5"/>
      <c r="AM69" s="4"/>
      <c r="AN69" s="4"/>
      <c r="AO69" s="6"/>
      <c r="AR69" s="6"/>
      <c r="AS69" s="1"/>
      <c r="BA69" s="17"/>
      <c r="BF69" s="17"/>
      <c r="BG69" s="4">
        <f t="shared" si="51"/>
        <v>0</v>
      </c>
    </row>
    <row r="70" spans="1:63" x14ac:dyDescent="0.35">
      <c r="C70" s="4"/>
      <c r="D70" s="4"/>
      <c r="F70" s="4"/>
      <c r="G70" s="4"/>
      <c r="H70" s="4"/>
      <c r="I70" s="4"/>
      <c r="J70" s="4"/>
      <c r="K70" s="4"/>
      <c r="L70" s="4"/>
      <c r="M70" s="4">
        <f>K70+L70</f>
        <v>0</v>
      </c>
      <c r="N70" s="4"/>
      <c r="O70" s="4"/>
      <c r="P70" s="4"/>
      <c r="Q70" s="4"/>
      <c r="R70" s="4"/>
      <c r="X70" s="4"/>
      <c r="Y70" s="4"/>
      <c r="AC70" s="4"/>
      <c r="AG70" s="5"/>
      <c r="AM70" s="4"/>
      <c r="AN70" s="4"/>
      <c r="AO70" s="6"/>
      <c r="AR70" s="6"/>
      <c r="AS70" s="1"/>
      <c r="BA70" s="17"/>
      <c r="BF70" s="17"/>
      <c r="BG70" s="4">
        <f t="shared" si="51"/>
        <v>0</v>
      </c>
    </row>
    <row r="71" spans="1:63" x14ac:dyDescent="0.35">
      <c r="A71" s="3" t="s">
        <v>140</v>
      </c>
      <c r="B71" s="3" t="s">
        <v>79</v>
      </c>
      <c r="C71" s="19">
        <v>86114</v>
      </c>
      <c r="D71" s="4" t="s">
        <v>80</v>
      </c>
      <c r="E71" s="2">
        <v>62.5</v>
      </c>
      <c r="F71" s="4"/>
      <c r="G71" s="19">
        <v>58131</v>
      </c>
      <c r="H71" s="19">
        <v>2153</v>
      </c>
      <c r="I71" s="19">
        <f>SUM(G71:H71)</f>
        <v>60284</v>
      </c>
      <c r="J71" s="19">
        <v>2153</v>
      </c>
      <c r="K71" s="19">
        <f>I71+J71</f>
        <v>62437</v>
      </c>
      <c r="L71" s="19">
        <v>2153</v>
      </c>
      <c r="M71" s="19">
        <f>K71+L71</f>
        <v>64590</v>
      </c>
      <c r="N71" s="19">
        <v>2153</v>
      </c>
      <c r="O71" s="19">
        <f>M71+N71</f>
        <v>66743</v>
      </c>
      <c r="P71" s="19">
        <f>N71</f>
        <v>2153</v>
      </c>
      <c r="Q71" s="19">
        <f>O71+P71</f>
        <v>68896</v>
      </c>
      <c r="R71" s="19">
        <f>P71</f>
        <v>2153</v>
      </c>
      <c r="S71" s="19">
        <f>Q71+R71</f>
        <v>71049</v>
      </c>
      <c r="T71" s="19">
        <f>R71</f>
        <v>2153</v>
      </c>
      <c r="U71" s="19">
        <f>S71+R71</f>
        <v>73202</v>
      </c>
      <c r="V71" s="19">
        <f>T71</f>
        <v>2153</v>
      </c>
      <c r="W71" s="19">
        <f>U71+V71</f>
        <v>75355</v>
      </c>
      <c r="X71" s="19">
        <f>V71</f>
        <v>2153</v>
      </c>
      <c r="Y71" s="19">
        <f>W71+V71</f>
        <v>77508</v>
      </c>
      <c r="Z71" s="1">
        <v>2153</v>
      </c>
      <c r="AA71" s="1">
        <f>SUM(Y71:Z71)</f>
        <v>79661</v>
      </c>
      <c r="AB71" s="1">
        <v>2153</v>
      </c>
      <c r="AC71" s="19">
        <f>SUM(AA71:AB71)</f>
        <v>81814</v>
      </c>
      <c r="AD71" s="3">
        <f>AB71</f>
        <v>2153</v>
      </c>
      <c r="AE71" s="4">
        <f>AC71+AD71</f>
        <v>83967</v>
      </c>
      <c r="AF71" s="3">
        <f>86114-83967</f>
        <v>2147</v>
      </c>
      <c r="AG71" s="5">
        <f>AE71+AF71</f>
        <v>86114</v>
      </c>
      <c r="AH71" s="3">
        <v>0</v>
      </c>
      <c r="AI71" s="3">
        <v>86114</v>
      </c>
      <c r="AJ71" s="3">
        <v>0</v>
      </c>
      <c r="AK71" s="3">
        <v>86114</v>
      </c>
      <c r="AL71" s="1">
        <v>0</v>
      </c>
      <c r="AM71" s="19">
        <v>86114</v>
      </c>
      <c r="AN71" s="19">
        <f>C71-AM71</f>
        <v>0</v>
      </c>
      <c r="AO71" s="25">
        <f>AL71</f>
        <v>0</v>
      </c>
      <c r="AP71" s="19">
        <v>86114</v>
      </c>
      <c r="AQ71" s="19">
        <v>0</v>
      </c>
      <c r="AR71" s="25">
        <v>0</v>
      </c>
      <c r="AS71" s="19">
        <v>86114</v>
      </c>
      <c r="AT71" s="4">
        <v>0</v>
      </c>
      <c r="AU71" s="21">
        <f>SUM(C71/E71)</f>
        <v>1377.8240000000001</v>
      </c>
      <c r="AV71" s="19">
        <f>AS71+AU71</f>
        <v>87491.823999999993</v>
      </c>
      <c r="AW71" s="4">
        <f>C71-AV71</f>
        <v>-1377.8239999999932</v>
      </c>
      <c r="AX71" s="4">
        <v>0</v>
      </c>
      <c r="AY71" s="4">
        <f t="shared" ref="AY71" si="65">SUM(AV71+AX71)</f>
        <v>87491.823999999993</v>
      </c>
      <c r="AZ71" s="4">
        <f t="shared" ref="AZ71" si="66">SUM(C71-AY71)</f>
        <v>-1377.8239999999932</v>
      </c>
      <c r="BA71" s="22">
        <v>0</v>
      </c>
      <c r="BB71" s="4">
        <f t="shared" ref="BB71" si="67">SUM(AY71+BA71)</f>
        <v>87491.823999999993</v>
      </c>
      <c r="BC71" s="4">
        <f t="shared" ref="BC71" si="68">SUM(C71-BB71)</f>
        <v>-1377.8239999999932</v>
      </c>
      <c r="BF71" s="22">
        <v>0</v>
      </c>
      <c r="BG71" s="4">
        <f t="shared" si="51"/>
        <v>0</v>
      </c>
    </row>
    <row r="72" spans="1:63" x14ac:dyDescent="0.35">
      <c r="C72" s="19"/>
      <c r="D72" s="4"/>
      <c r="F72" s="4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"/>
      <c r="AA72" s="1"/>
      <c r="AC72" s="4"/>
      <c r="AE72" s="4"/>
      <c r="AG72" s="5"/>
      <c r="AM72" s="4"/>
      <c r="AN72" s="4"/>
      <c r="AO72" s="6"/>
      <c r="AR72" s="6"/>
      <c r="AS72" s="1"/>
      <c r="AU72" s="21"/>
      <c r="BA72" s="17"/>
      <c r="BB72" s="4"/>
      <c r="BF72" s="17"/>
      <c r="BG72" s="4">
        <f t="shared" si="51"/>
        <v>0</v>
      </c>
    </row>
    <row r="73" spans="1:63" x14ac:dyDescent="0.35">
      <c r="A73" s="3" t="s">
        <v>141</v>
      </c>
      <c r="B73" s="3" t="s">
        <v>142</v>
      </c>
      <c r="C73" s="1">
        <v>225000</v>
      </c>
      <c r="D73" s="19" t="s">
        <v>80</v>
      </c>
      <c r="E73" s="2">
        <v>12.5</v>
      </c>
      <c r="F73" s="4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>
        <v>312</v>
      </c>
      <c r="W73" s="19">
        <v>312</v>
      </c>
      <c r="X73" s="19">
        <f>225000/30</f>
        <v>7500</v>
      </c>
      <c r="Y73" s="19">
        <f>SUM(W73:X73)</f>
        <v>7812</v>
      </c>
      <c r="Z73" s="1">
        <v>7500</v>
      </c>
      <c r="AA73" s="1">
        <f>7812+7500</f>
        <v>15312</v>
      </c>
      <c r="AB73" s="1">
        <v>7500</v>
      </c>
      <c r="AC73" s="19">
        <f>SUM(AA73:AB73)</f>
        <v>22812</v>
      </c>
      <c r="AD73" s="3">
        <f>AB73</f>
        <v>7500</v>
      </c>
      <c r="AE73" s="4">
        <f>AC73+AD73</f>
        <v>30312</v>
      </c>
      <c r="AF73" s="3">
        <v>7500</v>
      </c>
      <c r="AG73" s="5">
        <f>AE73+AF73</f>
        <v>37812</v>
      </c>
      <c r="AH73" s="3">
        <v>7500</v>
      </c>
      <c r="AI73" s="3">
        <f>SUM(AG73:AH73)</f>
        <v>45312</v>
      </c>
      <c r="AJ73" s="3">
        <v>7500</v>
      </c>
      <c r="AK73" s="3">
        <f>SUM(AI73:AJ73)</f>
        <v>52812</v>
      </c>
      <c r="AL73" s="1">
        <v>7500</v>
      </c>
      <c r="AM73" s="19">
        <f>SUM(AK73:AL73)</f>
        <v>60312</v>
      </c>
      <c r="AN73" s="19">
        <f>C73-AM73</f>
        <v>164688</v>
      </c>
      <c r="AO73" s="25">
        <f>AL73</f>
        <v>7500</v>
      </c>
      <c r="AP73" s="19">
        <f>AM73+AO73</f>
        <v>67812</v>
      </c>
      <c r="AQ73" s="19">
        <v>157188</v>
      </c>
      <c r="AR73" s="25">
        <v>7500</v>
      </c>
      <c r="AS73" s="19">
        <v>75312</v>
      </c>
      <c r="AT73" s="19">
        <v>149688</v>
      </c>
      <c r="AU73" s="21">
        <f>SUM(C73/E73)</f>
        <v>18000</v>
      </c>
      <c r="AV73" s="19">
        <f>AS73+AU73</f>
        <v>93312</v>
      </c>
      <c r="AW73" s="4">
        <f>C73-AV73</f>
        <v>131688</v>
      </c>
      <c r="AX73" s="4">
        <f t="shared" ref="AX73" si="69">SUM(C73/E73)</f>
        <v>18000</v>
      </c>
      <c r="AY73" s="4">
        <f t="shared" ref="AY73" si="70">SUM(AV73+AX73)</f>
        <v>111312</v>
      </c>
      <c r="AZ73" s="4">
        <f t="shared" ref="AZ73" si="71">SUM(C73-AY73)</f>
        <v>113688</v>
      </c>
      <c r="BA73" s="22">
        <f t="shared" ref="BA73" si="72">SUM(C73/E73)</f>
        <v>18000</v>
      </c>
      <c r="BB73" s="4">
        <f t="shared" ref="BB73" si="73">SUM(AY73+BA73)</f>
        <v>129312</v>
      </c>
      <c r="BC73" s="4">
        <f t="shared" ref="BC73" si="74">SUM(C73-BB73)</f>
        <v>95688</v>
      </c>
      <c r="BF73" s="22">
        <v>18000</v>
      </c>
      <c r="BG73" s="4">
        <f t="shared" si="51"/>
        <v>0</v>
      </c>
    </row>
    <row r="74" spans="1:63" x14ac:dyDescent="0.35">
      <c r="C74" s="19"/>
      <c r="D74" s="4"/>
      <c r="F74" s="4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AC74" s="4"/>
      <c r="AE74" s="4"/>
      <c r="AG74" s="5"/>
      <c r="AM74" s="4"/>
      <c r="AN74" s="4"/>
      <c r="AO74" s="6"/>
      <c r="AR74" s="6"/>
      <c r="AS74" s="1"/>
      <c r="AT74" s="4"/>
      <c r="BA74" s="17"/>
      <c r="BB74" s="4"/>
      <c r="BF74" s="17"/>
      <c r="BG74" s="4">
        <f t="shared" si="51"/>
        <v>0</v>
      </c>
    </row>
    <row r="75" spans="1:63" x14ac:dyDescent="0.35">
      <c r="C75" s="4"/>
      <c r="D75" s="4"/>
      <c r="F75" s="4"/>
      <c r="G75" s="19"/>
      <c r="H75" s="19"/>
      <c r="I75" s="19"/>
      <c r="J75" s="4"/>
      <c r="K75" s="4"/>
      <c r="L75" s="4"/>
      <c r="M75" s="4">
        <f t="shared" ref="M75:M86" si="75">K75+L75</f>
        <v>0</v>
      </c>
      <c r="N75" s="4"/>
      <c r="O75" s="4"/>
      <c r="P75" s="4"/>
      <c r="Q75" s="4"/>
      <c r="X75" s="4"/>
      <c r="Y75" s="4"/>
      <c r="AC75" s="4"/>
      <c r="AE75" s="4"/>
      <c r="AG75" s="5"/>
      <c r="AM75" s="4"/>
      <c r="AN75" s="4"/>
      <c r="AO75" s="6"/>
      <c r="AR75" s="6"/>
      <c r="AS75" s="1"/>
      <c r="BA75" s="17"/>
      <c r="BF75" s="17"/>
      <c r="BG75" s="4">
        <f t="shared" si="51"/>
        <v>0</v>
      </c>
      <c r="BH75" s="18" t="s">
        <v>68</v>
      </c>
      <c r="BI75" s="18"/>
      <c r="BJ75" s="18"/>
      <c r="BK75" s="18"/>
    </row>
    <row r="76" spans="1:63" x14ac:dyDescent="0.35">
      <c r="A76" s="3" t="s">
        <v>143</v>
      </c>
      <c r="C76" s="4"/>
      <c r="D76" s="4"/>
      <c r="F76" s="4"/>
      <c r="G76" s="19"/>
      <c r="H76" s="19"/>
      <c r="I76" s="19"/>
      <c r="J76" s="4"/>
      <c r="K76" s="4"/>
      <c r="L76" s="4"/>
      <c r="M76" s="4">
        <f t="shared" si="75"/>
        <v>0</v>
      </c>
      <c r="N76" s="4"/>
      <c r="O76" s="4"/>
      <c r="P76" s="4"/>
      <c r="Q76" s="4"/>
      <c r="X76" s="4"/>
      <c r="Y76" s="4"/>
      <c r="AC76" s="4"/>
      <c r="AE76" s="4"/>
      <c r="AG76" s="5"/>
      <c r="AM76" s="4"/>
      <c r="AN76" s="4"/>
      <c r="AO76" s="6"/>
      <c r="AR76" s="6"/>
      <c r="AS76" s="1"/>
      <c r="BA76" s="17"/>
      <c r="BF76" s="17"/>
      <c r="BG76" s="4">
        <f t="shared" si="51"/>
        <v>0</v>
      </c>
      <c r="BH76" s="3" t="s">
        <v>70</v>
      </c>
      <c r="BI76" s="3" t="s">
        <v>71</v>
      </c>
      <c r="BJ76" s="3" t="s">
        <v>72</v>
      </c>
      <c r="BK76" s="3" t="s">
        <v>73</v>
      </c>
    </row>
    <row r="77" spans="1:63" x14ac:dyDescent="0.35">
      <c r="C77" s="4"/>
      <c r="D77" s="4"/>
      <c r="F77" s="4"/>
      <c r="G77" s="19"/>
      <c r="H77" s="19"/>
      <c r="I77" s="19"/>
      <c r="J77" s="4"/>
      <c r="K77" s="4"/>
      <c r="L77" s="4"/>
      <c r="M77" s="4">
        <f t="shared" si="75"/>
        <v>0</v>
      </c>
      <c r="N77" s="4"/>
      <c r="O77" s="4"/>
      <c r="P77" s="4"/>
      <c r="Q77" s="4"/>
      <c r="X77" s="4"/>
      <c r="Y77" s="4"/>
      <c r="AC77" s="4"/>
      <c r="AE77" s="4"/>
      <c r="AG77" s="5"/>
      <c r="AM77" s="4"/>
      <c r="AN77" s="4"/>
      <c r="AO77" s="6"/>
      <c r="AR77" s="6"/>
      <c r="AS77" s="1"/>
      <c r="BA77" s="17"/>
      <c r="BF77" s="17"/>
      <c r="BG77" s="4">
        <f t="shared" si="51"/>
        <v>0</v>
      </c>
      <c r="BH77" s="3" t="s">
        <v>74</v>
      </c>
      <c r="BI77" s="3" t="s">
        <v>75</v>
      </c>
      <c r="BJ77" s="3" t="s">
        <v>76</v>
      </c>
      <c r="BK77" s="3" t="s">
        <v>77</v>
      </c>
    </row>
    <row r="78" spans="1:63" x14ac:dyDescent="0.35">
      <c r="A78" s="3" t="s">
        <v>144</v>
      </c>
      <c r="B78" s="3" t="s">
        <v>79</v>
      </c>
      <c r="C78" s="4">
        <v>55204</v>
      </c>
      <c r="D78" s="4" t="s">
        <v>80</v>
      </c>
      <c r="E78" s="2">
        <v>20</v>
      </c>
      <c r="F78" s="4"/>
      <c r="G78" s="4">
        <v>31543</v>
      </c>
      <c r="H78" s="4">
        <v>1380</v>
      </c>
      <c r="I78" s="4">
        <f>SUM(G78:H78)</f>
        <v>32923</v>
      </c>
      <c r="J78" s="4">
        <v>1380</v>
      </c>
      <c r="K78" s="4">
        <f>I78+J78</f>
        <v>34303</v>
      </c>
      <c r="L78" s="4">
        <f t="shared" ref="L78:L83" si="76">J78</f>
        <v>1380</v>
      </c>
      <c r="M78" s="4">
        <f t="shared" si="75"/>
        <v>35683</v>
      </c>
      <c r="N78" s="4">
        <f t="shared" ref="N78:N86" si="77">L78</f>
        <v>1380</v>
      </c>
      <c r="O78" s="4">
        <f t="shared" ref="O78:O87" si="78">M78+N78</f>
        <v>37063</v>
      </c>
      <c r="P78" s="4">
        <f t="shared" ref="P78:P87" si="79">C78/E78</f>
        <v>2760.2</v>
      </c>
      <c r="Q78" s="4">
        <f t="shared" ref="Q78:Q87" si="80">O78+P78</f>
        <v>39823.199999999997</v>
      </c>
      <c r="R78" s="4">
        <f t="shared" ref="R78:R87" si="81">SUM(C78/E78)</f>
        <v>2760.2</v>
      </c>
      <c r="S78" s="4">
        <f t="shared" ref="S78:S87" si="82">Q78+R78</f>
        <v>42583.399999999994</v>
      </c>
      <c r="T78" s="4">
        <f t="shared" ref="T78:T87" si="83">R78</f>
        <v>2760.2</v>
      </c>
      <c r="U78" s="4">
        <f t="shared" ref="U78:U87" si="84">S78+T78</f>
        <v>45343.599999999991</v>
      </c>
      <c r="V78" s="4">
        <f t="shared" ref="V78:V87" si="85">T78</f>
        <v>2760.2</v>
      </c>
      <c r="W78" s="4">
        <f t="shared" ref="W78:W87" si="86">U78+V78</f>
        <v>48103.799999999988</v>
      </c>
      <c r="X78" s="4">
        <f t="shared" ref="X78:X87" si="87">V78</f>
        <v>2760.2</v>
      </c>
      <c r="Y78" s="4">
        <f t="shared" ref="Y78:Y89" si="88">SUM(W78:X78)</f>
        <v>50863.999999999985</v>
      </c>
      <c r="Z78" s="4">
        <f t="shared" ref="Z78:Z88" si="89">X78</f>
        <v>2760.2</v>
      </c>
      <c r="AA78" s="4">
        <f t="shared" ref="AA78:AA89" si="90">SUM(Y78:Z78)</f>
        <v>53624.199999999983</v>
      </c>
      <c r="AB78" s="4">
        <f t="shared" ref="AB78:AB89" si="91">Z78</f>
        <v>2760.2</v>
      </c>
      <c r="AC78" s="4">
        <f t="shared" ref="AC78:AC91" si="92">SUM(AA78:AB78)</f>
        <v>56384.39999999998</v>
      </c>
      <c r="AD78" s="3">
        <f t="shared" ref="AD78:AD89" si="93">AB78</f>
        <v>2760.2</v>
      </c>
      <c r="AE78" s="4">
        <f t="shared" ref="AE78:AE91" si="94">AC78+AD78</f>
        <v>59144.599999999977</v>
      </c>
      <c r="AF78" s="3">
        <f t="shared" ref="AF78:AF89" si="95">AD78</f>
        <v>2760.2</v>
      </c>
      <c r="AG78" s="5">
        <f t="shared" ref="AG78:AG89" si="96">AE78+AF78</f>
        <v>61904.799999999974</v>
      </c>
      <c r="AH78" s="3">
        <f t="shared" ref="AH78:AH86" si="97">AF78</f>
        <v>2760.2</v>
      </c>
      <c r="AI78" s="5">
        <f t="shared" ref="AI78:AI89" si="98">AG78+AH78</f>
        <v>64664.999999999971</v>
      </c>
      <c r="AJ78" s="3">
        <f>55204-50864</f>
        <v>4340</v>
      </c>
      <c r="AK78" s="3">
        <f t="shared" ref="AK78:AK85" si="99">SUM(AI78:AJ78)</f>
        <v>69004.999999999971</v>
      </c>
      <c r="AL78" s="3">
        <v>0</v>
      </c>
      <c r="AM78" s="4">
        <f t="shared" ref="AM78:AM88" si="100">SUM(AK78:AL78)</f>
        <v>69004.999999999971</v>
      </c>
      <c r="AN78" s="4">
        <f t="shared" ref="AN78:AN91" si="101">C78-AM78</f>
        <v>-13800.999999999971</v>
      </c>
      <c r="AO78" s="21">
        <f t="shared" ref="AO78:AO91" si="102">AL78</f>
        <v>0</v>
      </c>
      <c r="AP78" s="4">
        <f t="shared" ref="AP78:AP88" si="103">AM78+AO78</f>
        <v>69004.999999999971</v>
      </c>
      <c r="AQ78" s="4">
        <v>0</v>
      </c>
      <c r="AR78" s="21">
        <v>0</v>
      </c>
      <c r="AS78" s="19">
        <v>55203.999999999985</v>
      </c>
      <c r="AT78" s="4">
        <v>0</v>
      </c>
      <c r="AU78" s="21">
        <f>AR78</f>
        <v>0</v>
      </c>
      <c r="AV78" s="19">
        <f t="shared" ref="AV78:AV91" si="104">AS78+AU78</f>
        <v>55203.999999999985</v>
      </c>
      <c r="AW78" s="4">
        <f t="shared" ref="AW78:AW91" si="105">C78-AV78</f>
        <v>0</v>
      </c>
      <c r="AX78" s="4">
        <v>0</v>
      </c>
      <c r="AY78" s="4">
        <f t="shared" ref="AY78:AY89" si="106">SUM(AV78+AX78)</f>
        <v>55203.999999999985</v>
      </c>
      <c r="AZ78" s="4">
        <f t="shared" ref="AZ78:AZ89" si="107">SUM(C78-AY78)</f>
        <v>1.4551915228366852E-11</v>
      </c>
      <c r="BA78" s="29">
        <v>0</v>
      </c>
      <c r="BB78" s="4">
        <f t="shared" ref="BB78:BB89" si="108">SUM(AY78+BA78)</f>
        <v>55203.999999999985</v>
      </c>
      <c r="BC78" s="4">
        <f t="shared" ref="BC78:BC90" si="109">SUM(C78-BB78)</f>
        <v>1.4551915228366852E-11</v>
      </c>
      <c r="BF78" s="22">
        <v>0</v>
      </c>
      <c r="BG78" s="4">
        <f t="shared" si="51"/>
        <v>0</v>
      </c>
    </row>
    <row r="79" spans="1:63" x14ac:dyDescent="0.35">
      <c r="A79" s="3" t="s">
        <v>145</v>
      </c>
      <c r="B79" s="3" t="s">
        <v>146</v>
      </c>
      <c r="C79" s="4">
        <v>3975</v>
      </c>
      <c r="D79" s="4" t="s">
        <v>80</v>
      </c>
      <c r="E79" s="2">
        <v>20</v>
      </c>
      <c r="F79" s="4"/>
      <c r="G79" s="4">
        <v>858</v>
      </c>
      <c r="H79" s="4">
        <v>99</v>
      </c>
      <c r="I79" s="4">
        <f>SUM(G79:H79)</f>
        <v>957</v>
      </c>
      <c r="J79" s="4">
        <v>99</v>
      </c>
      <c r="K79" s="4">
        <f>I79+J79</f>
        <v>1056</v>
      </c>
      <c r="L79" s="4">
        <f t="shared" si="76"/>
        <v>99</v>
      </c>
      <c r="M79" s="4">
        <f t="shared" si="75"/>
        <v>1155</v>
      </c>
      <c r="N79" s="4">
        <f t="shared" si="77"/>
        <v>99</v>
      </c>
      <c r="O79" s="4">
        <f t="shared" si="78"/>
        <v>1254</v>
      </c>
      <c r="P79" s="4">
        <f t="shared" si="79"/>
        <v>198.75</v>
      </c>
      <c r="Q79" s="4">
        <f t="shared" si="80"/>
        <v>1452.75</v>
      </c>
      <c r="R79" s="4">
        <f t="shared" si="81"/>
        <v>198.75</v>
      </c>
      <c r="S79" s="4">
        <f t="shared" si="82"/>
        <v>1651.5</v>
      </c>
      <c r="T79" s="4">
        <f t="shared" si="83"/>
        <v>198.75</v>
      </c>
      <c r="U79" s="4">
        <f t="shared" si="84"/>
        <v>1850.25</v>
      </c>
      <c r="V79" s="4">
        <f t="shared" si="85"/>
        <v>198.75</v>
      </c>
      <c r="W79" s="4">
        <f t="shared" si="86"/>
        <v>2049</v>
      </c>
      <c r="X79" s="4">
        <f t="shared" si="87"/>
        <v>198.75</v>
      </c>
      <c r="Y79" s="4">
        <f t="shared" si="88"/>
        <v>2247.75</v>
      </c>
      <c r="Z79" s="4">
        <f t="shared" si="89"/>
        <v>198.75</v>
      </c>
      <c r="AA79" s="4">
        <f t="shared" si="90"/>
        <v>2446.5</v>
      </c>
      <c r="AB79" s="4">
        <f t="shared" si="91"/>
        <v>198.75</v>
      </c>
      <c r="AC79" s="4">
        <f t="shared" si="92"/>
        <v>2645.25</v>
      </c>
      <c r="AD79" s="3">
        <f t="shared" si="93"/>
        <v>198.75</v>
      </c>
      <c r="AE79" s="4">
        <f t="shared" si="94"/>
        <v>2844</v>
      </c>
      <c r="AF79" s="3">
        <f t="shared" si="95"/>
        <v>198.75</v>
      </c>
      <c r="AG79" s="5">
        <f t="shared" si="96"/>
        <v>3042.75</v>
      </c>
      <c r="AH79" s="3">
        <f t="shared" si="97"/>
        <v>198.75</v>
      </c>
      <c r="AI79" s="5">
        <f t="shared" si="98"/>
        <v>3241.5</v>
      </c>
      <c r="AJ79" s="3">
        <f t="shared" ref="AJ79:AJ86" si="110">AH79</f>
        <v>198.75</v>
      </c>
      <c r="AK79" s="3">
        <f t="shared" si="99"/>
        <v>3440.25</v>
      </c>
      <c r="AL79" s="3">
        <f t="shared" ref="AL79:AL86" si="111">AJ79</f>
        <v>198.75</v>
      </c>
      <c r="AM79" s="4">
        <f t="shared" si="100"/>
        <v>3639</v>
      </c>
      <c r="AN79" s="4">
        <f t="shared" si="101"/>
        <v>336</v>
      </c>
      <c r="AO79" s="21">
        <f t="shared" si="102"/>
        <v>198.75</v>
      </c>
      <c r="AP79" s="4">
        <f t="shared" si="103"/>
        <v>3837.75</v>
      </c>
      <c r="AQ79" s="4">
        <v>1429.125</v>
      </c>
      <c r="AR79" s="21">
        <v>99.375</v>
      </c>
      <c r="AS79" s="19">
        <v>2645.25</v>
      </c>
      <c r="AT79" s="4">
        <v>1329.75</v>
      </c>
      <c r="AU79" s="21">
        <v>0</v>
      </c>
      <c r="AV79" s="19">
        <f t="shared" si="104"/>
        <v>2645.25</v>
      </c>
      <c r="AW79" s="4">
        <f t="shared" si="105"/>
        <v>1329.75</v>
      </c>
      <c r="AX79" s="4">
        <f t="shared" ref="AX79:AX89" si="112">SUM(C79/E79)</f>
        <v>198.75</v>
      </c>
      <c r="AY79" s="4">
        <f t="shared" si="106"/>
        <v>2844</v>
      </c>
      <c r="AZ79" s="4">
        <f t="shared" si="107"/>
        <v>1131</v>
      </c>
      <c r="BA79" s="22">
        <f t="shared" ref="BA79:BA89" si="113">SUM(C79/E79)</f>
        <v>198.75</v>
      </c>
      <c r="BB79" s="4">
        <f t="shared" si="108"/>
        <v>3042.75</v>
      </c>
      <c r="BC79" s="4">
        <f t="shared" si="109"/>
        <v>932.25</v>
      </c>
      <c r="BF79" s="22">
        <v>198.75</v>
      </c>
      <c r="BG79" s="4">
        <f t="shared" si="51"/>
        <v>0</v>
      </c>
      <c r="BI79" s="4">
        <f>BF79</f>
        <v>198.75</v>
      </c>
      <c r="BK79" s="4"/>
    </row>
    <row r="80" spans="1:63" x14ac:dyDescent="0.35">
      <c r="A80" s="3" t="s">
        <v>147</v>
      </c>
      <c r="B80" s="3" t="s">
        <v>148</v>
      </c>
      <c r="C80" s="4">
        <v>9973</v>
      </c>
      <c r="D80" s="4" t="s">
        <v>80</v>
      </c>
      <c r="E80" s="2">
        <v>20</v>
      </c>
      <c r="F80" s="4"/>
      <c r="G80" s="4">
        <v>1829</v>
      </c>
      <c r="H80" s="4">
        <v>249</v>
      </c>
      <c r="I80" s="4">
        <f>SUM(G80:H80)</f>
        <v>2078</v>
      </c>
      <c r="J80" s="4">
        <v>249</v>
      </c>
      <c r="K80" s="4">
        <f>I80+J80</f>
        <v>2327</v>
      </c>
      <c r="L80" s="4">
        <f t="shared" si="76"/>
        <v>249</v>
      </c>
      <c r="M80" s="4">
        <f t="shared" si="75"/>
        <v>2576</v>
      </c>
      <c r="N80" s="4">
        <f t="shared" si="77"/>
        <v>249</v>
      </c>
      <c r="O80" s="4">
        <f t="shared" si="78"/>
        <v>2825</v>
      </c>
      <c r="P80" s="4">
        <f t="shared" si="79"/>
        <v>498.65</v>
      </c>
      <c r="Q80" s="4">
        <f t="shared" si="80"/>
        <v>3323.65</v>
      </c>
      <c r="R80" s="4">
        <f t="shared" si="81"/>
        <v>498.65</v>
      </c>
      <c r="S80" s="4">
        <f t="shared" si="82"/>
        <v>3822.3</v>
      </c>
      <c r="T80" s="4">
        <f t="shared" si="83"/>
        <v>498.65</v>
      </c>
      <c r="U80" s="4">
        <f t="shared" si="84"/>
        <v>4320.95</v>
      </c>
      <c r="V80" s="4">
        <f t="shared" si="85"/>
        <v>498.65</v>
      </c>
      <c r="W80" s="4">
        <f t="shared" si="86"/>
        <v>4819.5999999999995</v>
      </c>
      <c r="X80" s="4">
        <f t="shared" si="87"/>
        <v>498.65</v>
      </c>
      <c r="Y80" s="4">
        <f t="shared" si="88"/>
        <v>5318.2499999999991</v>
      </c>
      <c r="Z80" s="4">
        <f t="shared" si="89"/>
        <v>498.65</v>
      </c>
      <c r="AA80" s="4">
        <f t="shared" si="90"/>
        <v>5816.8999999999987</v>
      </c>
      <c r="AB80" s="4">
        <f t="shared" si="91"/>
        <v>498.65</v>
      </c>
      <c r="AC80" s="4">
        <f t="shared" si="92"/>
        <v>6315.5499999999984</v>
      </c>
      <c r="AD80" s="3">
        <f t="shared" si="93"/>
        <v>498.65</v>
      </c>
      <c r="AE80" s="4">
        <f t="shared" si="94"/>
        <v>6814.199999999998</v>
      </c>
      <c r="AF80" s="3">
        <f t="shared" si="95"/>
        <v>498.65</v>
      </c>
      <c r="AG80" s="5">
        <f t="shared" si="96"/>
        <v>7312.8499999999976</v>
      </c>
      <c r="AH80" s="3">
        <f t="shared" si="97"/>
        <v>498.65</v>
      </c>
      <c r="AI80" s="5">
        <f t="shared" si="98"/>
        <v>7811.4999999999973</v>
      </c>
      <c r="AJ80" s="3">
        <f t="shared" si="110"/>
        <v>498.65</v>
      </c>
      <c r="AK80" s="3">
        <f t="shared" si="99"/>
        <v>8310.1499999999978</v>
      </c>
      <c r="AL80" s="3">
        <f t="shared" si="111"/>
        <v>498.65</v>
      </c>
      <c r="AM80" s="4">
        <f t="shared" si="100"/>
        <v>8808.7999999999975</v>
      </c>
      <c r="AN80" s="4">
        <f t="shared" si="101"/>
        <v>1164.2000000000025</v>
      </c>
      <c r="AO80" s="21">
        <f t="shared" si="102"/>
        <v>498.65</v>
      </c>
      <c r="AP80" s="4">
        <f t="shared" si="103"/>
        <v>9307.4499999999971</v>
      </c>
      <c r="AQ80" s="4">
        <v>3906.7750000000024</v>
      </c>
      <c r="AR80" s="21">
        <v>249.32499999999999</v>
      </c>
      <c r="AS80" s="19">
        <v>6315.5499999999975</v>
      </c>
      <c r="AT80" s="4">
        <v>3657.4500000000025</v>
      </c>
      <c r="AU80" s="21">
        <v>0</v>
      </c>
      <c r="AV80" s="19">
        <f t="shared" si="104"/>
        <v>6315.5499999999975</v>
      </c>
      <c r="AW80" s="4">
        <f t="shared" si="105"/>
        <v>3657.4500000000025</v>
      </c>
      <c r="AX80" s="4">
        <f t="shared" si="112"/>
        <v>498.65</v>
      </c>
      <c r="AY80" s="4">
        <f t="shared" si="106"/>
        <v>6814.1999999999971</v>
      </c>
      <c r="AZ80" s="4">
        <f t="shared" si="107"/>
        <v>3158.8000000000029</v>
      </c>
      <c r="BA80" s="22">
        <f t="shared" si="113"/>
        <v>498.65</v>
      </c>
      <c r="BB80" s="4">
        <f t="shared" si="108"/>
        <v>7312.8499999999967</v>
      </c>
      <c r="BC80" s="4">
        <f t="shared" si="109"/>
        <v>2660.1500000000033</v>
      </c>
      <c r="BF80" s="22">
        <v>498.65</v>
      </c>
      <c r="BG80" s="4">
        <f t="shared" si="51"/>
        <v>0</v>
      </c>
      <c r="BI80" s="4">
        <f t="shared" ref="BI80:BI81" si="114">BF80</f>
        <v>498.65</v>
      </c>
    </row>
    <row r="81" spans="1:64" x14ac:dyDescent="0.35">
      <c r="A81" s="3" t="s">
        <v>147</v>
      </c>
      <c r="B81" s="3" t="s">
        <v>149</v>
      </c>
      <c r="C81" s="4">
        <v>2227</v>
      </c>
      <c r="D81" s="4" t="s">
        <v>80</v>
      </c>
      <c r="E81" s="2">
        <v>20</v>
      </c>
      <c r="F81" s="4"/>
      <c r="G81" s="4">
        <v>294</v>
      </c>
      <c r="H81" s="4">
        <v>56</v>
      </c>
      <c r="I81" s="4">
        <f>294+56</f>
        <v>350</v>
      </c>
      <c r="J81" s="4">
        <v>56</v>
      </c>
      <c r="K81" s="4">
        <f>I81+J81</f>
        <v>406</v>
      </c>
      <c r="L81" s="4">
        <f t="shared" si="76"/>
        <v>56</v>
      </c>
      <c r="M81" s="4">
        <f t="shared" si="75"/>
        <v>462</v>
      </c>
      <c r="N81" s="4">
        <f t="shared" si="77"/>
        <v>56</v>
      </c>
      <c r="O81" s="4">
        <f t="shared" si="78"/>
        <v>518</v>
      </c>
      <c r="P81" s="4">
        <f t="shared" si="79"/>
        <v>111.35</v>
      </c>
      <c r="Q81" s="4">
        <f t="shared" si="80"/>
        <v>629.35</v>
      </c>
      <c r="R81" s="4">
        <f t="shared" si="81"/>
        <v>111.35</v>
      </c>
      <c r="S81" s="4">
        <f t="shared" si="82"/>
        <v>740.7</v>
      </c>
      <c r="T81" s="4">
        <f t="shared" si="83"/>
        <v>111.35</v>
      </c>
      <c r="U81" s="4">
        <f t="shared" si="84"/>
        <v>852.05000000000007</v>
      </c>
      <c r="V81" s="4">
        <f t="shared" si="85"/>
        <v>111.35</v>
      </c>
      <c r="W81" s="4">
        <f t="shared" si="86"/>
        <v>963.40000000000009</v>
      </c>
      <c r="X81" s="4">
        <f t="shared" si="87"/>
        <v>111.35</v>
      </c>
      <c r="Y81" s="4">
        <f t="shared" si="88"/>
        <v>1074.75</v>
      </c>
      <c r="Z81" s="4">
        <f t="shared" si="89"/>
        <v>111.35</v>
      </c>
      <c r="AA81" s="4">
        <f t="shared" si="90"/>
        <v>1186.0999999999999</v>
      </c>
      <c r="AB81" s="4">
        <f t="shared" si="91"/>
        <v>111.35</v>
      </c>
      <c r="AC81" s="4">
        <f t="shared" si="92"/>
        <v>1297.4499999999998</v>
      </c>
      <c r="AD81" s="3">
        <f t="shared" si="93"/>
        <v>111.35</v>
      </c>
      <c r="AE81" s="4">
        <f t="shared" si="94"/>
        <v>1408.7999999999997</v>
      </c>
      <c r="AF81" s="3">
        <f t="shared" si="95"/>
        <v>111.35</v>
      </c>
      <c r="AG81" s="5">
        <f t="shared" si="96"/>
        <v>1520.1499999999996</v>
      </c>
      <c r="AH81" s="3">
        <f t="shared" si="97"/>
        <v>111.35</v>
      </c>
      <c r="AI81" s="5">
        <f t="shared" si="98"/>
        <v>1631.4999999999995</v>
      </c>
      <c r="AJ81" s="3">
        <f t="shared" si="110"/>
        <v>111.35</v>
      </c>
      <c r="AK81" s="3">
        <f t="shared" si="99"/>
        <v>1742.8499999999995</v>
      </c>
      <c r="AL81" s="3">
        <f t="shared" si="111"/>
        <v>111.35</v>
      </c>
      <c r="AM81" s="4">
        <f t="shared" si="100"/>
        <v>1854.1999999999994</v>
      </c>
      <c r="AN81" s="4">
        <f t="shared" si="101"/>
        <v>372.80000000000064</v>
      </c>
      <c r="AO81" s="21">
        <f t="shared" si="102"/>
        <v>111.35</v>
      </c>
      <c r="AP81" s="4">
        <f t="shared" si="103"/>
        <v>1965.5499999999993</v>
      </c>
      <c r="AQ81" s="4">
        <v>985.22500000000059</v>
      </c>
      <c r="AR81" s="21">
        <v>55.674999999999997</v>
      </c>
      <c r="AS81" s="19">
        <v>1297.4499999999994</v>
      </c>
      <c r="AT81" s="4">
        <v>929.55000000000064</v>
      </c>
      <c r="AU81" s="21">
        <v>0</v>
      </c>
      <c r="AV81" s="19">
        <f t="shared" si="104"/>
        <v>1297.4499999999994</v>
      </c>
      <c r="AW81" s="4">
        <f t="shared" si="105"/>
        <v>929.55000000000064</v>
      </c>
      <c r="AX81" s="4">
        <f t="shared" si="112"/>
        <v>111.35</v>
      </c>
      <c r="AY81" s="4">
        <f t="shared" si="106"/>
        <v>1408.7999999999993</v>
      </c>
      <c r="AZ81" s="4">
        <f t="shared" si="107"/>
        <v>818.20000000000073</v>
      </c>
      <c r="BA81" s="22">
        <f t="shared" si="113"/>
        <v>111.35</v>
      </c>
      <c r="BB81" s="4">
        <f t="shared" si="108"/>
        <v>1520.1499999999992</v>
      </c>
      <c r="BC81" s="4">
        <f t="shared" si="109"/>
        <v>706.85000000000082</v>
      </c>
      <c r="BF81" s="22">
        <v>111.35</v>
      </c>
      <c r="BG81" s="4">
        <f t="shared" si="51"/>
        <v>0</v>
      </c>
      <c r="BI81" s="4">
        <f t="shared" si="114"/>
        <v>111.35</v>
      </c>
    </row>
    <row r="82" spans="1:64" x14ac:dyDescent="0.35">
      <c r="A82" s="3" t="s">
        <v>150</v>
      </c>
      <c r="B82" s="3" t="s">
        <v>151</v>
      </c>
      <c r="C82" s="4">
        <v>6980</v>
      </c>
      <c r="D82" s="4" t="s">
        <v>80</v>
      </c>
      <c r="E82" s="2">
        <v>20</v>
      </c>
      <c r="F82" s="4"/>
      <c r="G82" s="4">
        <v>15</v>
      </c>
      <c r="H82" s="4">
        <v>175</v>
      </c>
      <c r="I82" s="4">
        <f>SUM(G82:H82)</f>
        <v>190</v>
      </c>
      <c r="J82" s="4">
        <v>175</v>
      </c>
      <c r="K82" s="4">
        <f>I82+J82</f>
        <v>365</v>
      </c>
      <c r="L82" s="4">
        <f t="shared" si="76"/>
        <v>175</v>
      </c>
      <c r="M82" s="4">
        <f t="shared" si="75"/>
        <v>540</v>
      </c>
      <c r="N82" s="4">
        <f t="shared" si="77"/>
        <v>175</v>
      </c>
      <c r="O82" s="4">
        <f t="shared" si="78"/>
        <v>715</v>
      </c>
      <c r="P82" s="4">
        <f t="shared" si="79"/>
        <v>349</v>
      </c>
      <c r="Q82" s="4">
        <f t="shared" si="80"/>
        <v>1064</v>
      </c>
      <c r="R82" s="4">
        <f t="shared" si="81"/>
        <v>349</v>
      </c>
      <c r="S82" s="4">
        <f t="shared" si="82"/>
        <v>1413</v>
      </c>
      <c r="T82" s="4">
        <f t="shared" si="83"/>
        <v>349</v>
      </c>
      <c r="U82" s="4">
        <f t="shared" si="84"/>
        <v>1762</v>
      </c>
      <c r="V82" s="4">
        <f t="shared" si="85"/>
        <v>349</v>
      </c>
      <c r="W82" s="4">
        <f t="shared" si="86"/>
        <v>2111</v>
      </c>
      <c r="X82" s="4">
        <f t="shared" si="87"/>
        <v>349</v>
      </c>
      <c r="Y82" s="4">
        <f t="shared" si="88"/>
        <v>2460</v>
      </c>
      <c r="Z82" s="4">
        <f t="shared" si="89"/>
        <v>349</v>
      </c>
      <c r="AA82" s="4">
        <f t="shared" si="90"/>
        <v>2809</v>
      </c>
      <c r="AB82" s="4">
        <f t="shared" si="91"/>
        <v>349</v>
      </c>
      <c r="AC82" s="4">
        <f t="shared" si="92"/>
        <v>3158</v>
      </c>
      <c r="AD82" s="3">
        <f t="shared" si="93"/>
        <v>349</v>
      </c>
      <c r="AE82" s="4">
        <f t="shared" si="94"/>
        <v>3507</v>
      </c>
      <c r="AF82" s="3">
        <f t="shared" si="95"/>
        <v>349</v>
      </c>
      <c r="AG82" s="5">
        <f t="shared" si="96"/>
        <v>3856</v>
      </c>
      <c r="AH82" s="3">
        <f t="shared" si="97"/>
        <v>349</v>
      </c>
      <c r="AI82" s="5">
        <f t="shared" si="98"/>
        <v>4205</v>
      </c>
      <c r="AJ82" s="3">
        <f t="shared" si="110"/>
        <v>349</v>
      </c>
      <c r="AK82" s="3">
        <f t="shared" si="99"/>
        <v>4554</v>
      </c>
      <c r="AL82" s="3">
        <f t="shared" si="111"/>
        <v>349</v>
      </c>
      <c r="AM82" s="4">
        <f t="shared" si="100"/>
        <v>4903</v>
      </c>
      <c r="AN82" s="4">
        <f t="shared" si="101"/>
        <v>2077</v>
      </c>
      <c r="AO82" s="21">
        <f t="shared" si="102"/>
        <v>349</v>
      </c>
      <c r="AP82" s="4">
        <f t="shared" si="103"/>
        <v>5252</v>
      </c>
      <c r="AQ82" s="4">
        <v>3996.5</v>
      </c>
      <c r="AR82" s="21">
        <v>174.5</v>
      </c>
      <c r="AS82" s="19">
        <v>3158</v>
      </c>
      <c r="AT82" s="4">
        <v>3822</v>
      </c>
      <c r="AU82" s="21">
        <f t="shared" ref="AU82:AU89" si="115">SUM(C82/E82)</f>
        <v>349</v>
      </c>
      <c r="AV82" s="19">
        <f t="shared" si="104"/>
        <v>3507</v>
      </c>
      <c r="AW82" s="4">
        <f t="shared" si="105"/>
        <v>3473</v>
      </c>
      <c r="AX82" s="4">
        <f t="shared" si="112"/>
        <v>349</v>
      </c>
      <c r="AY82" s="4">
        <f t="shared" si="106"/>
        <v>3856</v>
      </c>
      <c r="AZ82" s="4">
        <f t="shared" si="107"/>
        <v>3124</v>
      </c>
      <c r="BA82" s="22">
        <f t="shared" si="113"/>
        <v>349</v>
      </c>
      <c r="BB82" s="4">
        <f t="shared" si="108"/>
        <v>4205</v>
      </c>
      <c r="BC82" s="4">
        <f t="shared" si="109"/>
        <v>2775</v>
      </c>
      <c r="BF82" s="22">
        <v>349</v>
      </c>
      <c r="BG82" s="4">
        <f t="shared" si="51"/>
        <v>0</v>
      </c>
      <c r="BH82" s="4">
        <f>BF82</f>
        <v>349</v>
      </c>
    </row>
    <row r="83" spans="1:64" x14ac:dyDescent="0.35">
      <c r="A83" s="3" t="s">
        <v>98</v>
      </c>
      <c r="B83" s="3" t="s">
        <v>152</v>
      </c>
      <c r="C83" s="4">
        <v>134000</v>
      </c>
      <c r="D83" s="4" t="s">
        <v>80</v>
      </c>
      <c r="E83" s="2">
        <v>20</v>
      </c>
      <c r="F83" s="4"/>
      <c r="G83" s="4"/>
      <c r="H83" s="4"/>
      <c r="I83" s="4"/>
      <c r="J83" s="4">
        <v>1675</v>
      </c>
      <c r="K83" s="4">
        <f>C83/40/12*6</f>
        <v>1675</v>
      </c>
      <c r="L83" s="4">
        <f t="shared" si="76"/>
        <v>1675</v>
      </c>
      <c r="M83" s="4">
        <f t="shared" si="75"/>
        <v>3350</v>
      </c>
      <c r="N83" s="4">
        <f t="shared" si="77"/>
        <v>1675</v>
      </c>
      <c r="O83" s="4">
        <f t="shared" si="78"/>
        <v>5025</v>
      </c>
      <c r="P83" s="4">
        <f t="shared" si="79"/>
        <v>6700</v>
      </c>
      <c r="Q83" s="4">
        <f t="shared" si="80"/>
        <v>11725</v>
      </c>
      <c r="R83" s="4">
        <f t="shared" si="81"/>
        <v>6700</v>
      </c>
      <c r="S83" s="4">
        <f t="shared" si="82"/>
        <v>18425</v>
      </c>
      <c r="T83" s="4">
        <f t="shared" si="83"/>
        <v>6700</v>
      </c>
      <c r="U83" s="4">
        <f t="shared" si="84"/>
        <v>25125</v>
      </c>
      <c r="V83" s="4">
        <f t="shared" si="85"/>
        <v>6700</v>
      </c>
      <c r="W83" s="4">
        <f t="shared" si="86"/>
        <v>31825</v>
      </c>
      <c r="X83" s="4">
        <f t="shared" si="87"/>
        <v>6700</v>
      </c>
      <c r="Y83" s="4">
        <f t="shared" si="88"/>
        <v>38525</v>
      </c>
      <c r="Z83" s="4">
        <f t="shared" si="89"/>
        <v>6700</v>
      </c>
      <c r="AA83" s="4">
        <f t="shared" si="90"/>
        <v>45225</v>
      </c>
      <c r="AB83" s="4">
        <f t="shared" si="91"/>
        <v>6700</v>
      </c>
      <c r="AC83" s="4">
        <f t="shared" si="92"/>
        <v>51925</v>
      </c>
      <c r="AD83" s="3">
        <f t="shared" si="93"/>
        <v>6700</v>
      </c>
      <c r="AE83" s="4">
        <f t="shared" si="94"/>
        <v>58625</v>
      </c>
      <c r="AF83" s="3">
        <f t="shared" si="95"/>
        <v>6700</v>
      </c>
      <c r="AG83" s="5">
        <f t="shared" si="96"/>
        <v>65325</v>
      </c>
      <c r="AH83" s="3">
        <f t="shared" si="97"/>
        <v>6700</v>
      </c>
      <c r="AI83" s="5">
        <f t="shared" si="98"/>
        <v>72025</v>
      </c>
      <c r="AJ83" s="3">
        <f t="shared" si="110"/>
        <v>6700</v>
      </c>
      <c r="AK83" s="3">
        <f t="shared" si="99"/>
        <v>78725</v>
      </c>
      <c r="AL83" s="3">
        <f t="shared" si="111"/>
        <v>6700</v>
      </c>
      <c r="AM83" s="4">
        <f t="shared" si="100"/>
        <v>85425</v>
      </c>
      <c r="AN83" s="4">
        <f t="shared" si="101"/>
        <v>48575</v>
      </c>
      <c r="AO83" s="21">
        <f t="shared" si="102"/>
        <v>6700</v>
      </c>
      <c r="AP83" s="4">
        <f t="shared" si="103"/>
        <v>92125</v>
      </c>
      <c r="AQ83" s="4">
        <v>85425</v>
      </c>
      <c r="AR83" s="21">
        <v>3350</v>
      </c>
      <c r="AS83" s="19">
        <v>51925</v>
      </c>
      <c r="AT83" s="4">
        <v>82075</v>
      </c>
      <c r="AU83" s="21">
        <f t="shared" si="115"/>
        <v>6700</v>
      </c>
      <c r="AV83" s="19">
        <f t="shared" si="104"/>
        <v>58625</v>
      </c>
      <c r="AW83" s="4">
        <f t="shared" si="105"/>
        <v>75375</v>
      </c>
      <c r="AX83" s="4">
        <f t="shared" si="112"/>
        <v>6700</v>
      </c>
      <c r="AY83" s="4">
        <f t="shared" si="106"/>
        <v>65325</v>
      </c>
      <c r="AZ83" s="4">
        <f t="shared" si="107"/>
        <v>68675</v>
      </c>
      <c r="BA83" s="22">
        <f t="shared" si="113"/>
        <v>6700</v>
      </c>
      <c r="BB83" s="4">
        <f t="shared" si="108"/>
        <v>72025</v>
      </c>
      <c r="BC83" s="4">
        <f t="shared" si="109"/>
        <v>61975</v>
      </c>
      <c r="BF83" s="22">
        <v>6700</v>
      </c>
      <c r="BG83" s="4">
        <f t="shared" si="51"/>
        <v>0</v>
      </c>
      <c r="BH83" s="4">
        <f t="shared" ref="BH83:BH84" si="116">BF83</f>
        <v>6700</v>
      </c>
    </row>
    <row r="84" spans="1:64" x14ac:dyDescent="0.35">
      <c r="A84" s="3" t="s">
        <v>153</v>
      </c>
      <c r="B84" s="3" t="s">
        <v>152</v>
      </c>
      <c r="C84" s="4">
        <v>425000</v>
      </c>
      <c r="D84" s="4" t="s">
        <v>80</v>
      </c>
      <c r="E84" s="2">
        <v>20</v>
      </c>
      <c r="F84" s="4"/>
      <c r="G84" s="4"/>
      <c r="H84" s="4"/>
      <c r="I84" s="4"/>
      <c r="J84" s="4">
        <v>5313</v>
      </c>
      <c r="K84" s="4">
        <f>C84/40/12*6</f>
        <v>5312.5</v>
      </c>
      <c r="L84" s="4">
        <f>C84/E84</f>
        <v>21250</v>
      </c>
      <c r="M84" s="4">
        <f t="shared" si="75"/>
        <v>26562.5</v>
      </c>
      <c r="N84" s="4">
        <f t="shared" si="77"/>
        <v>21250</v>
      </c>
      <c r="O84" s="4">
        <f t="shared" si="78"/>
        <v>47812.5</v>
      </c>
      <c r="P84" s="4">
        <f t="shared" si="79"/>
        <v>21250</v>
      </c>
      <c r="Q84" s="4">
        <f t="shared" si="80"/>
        <v>69062.5</v>
      </c>
      <c r="R84" s="4">
        <f t="shared" si="81"/>
        <v>21250</v>
      </c>
      <c r="S84" s="4">
        <f t="shared" si="82"/>
        <v>90312.5</v>
      </c>
      <c r="T84" s="4">
        <f t="shared" si="83"/>
        <v>21250</v>
      </c>
      <c r="U84" s="4">
        <f t="shared" si="84"/>
        <v>111562.5</v>
      </c>
      <c r="V84" s="4">
        <f t="shared" si="85"/>
        <v>21250</v>
      </c>
      <c r="W84" s="4">
        <f t="shared" si="86"/>
        <v>132812.5</v>
      </c>
      <c r="X84" s="4">
        <f t="shared" si="87"/>
        <v>21250</v>
      </c>
      <c r="Y84" s="4">
        <f t="shared" si="88"/>
        <v>154062.5</v>
      </c>
      <c r="Z84" s="4">
        <f t="shared" si="89"/>
        <v>21250</v>
      </c>
      <c r="AA84" s="4">
        <f t="shared" si="90"/>
        <v>175312.5</v>
      </c>
      <c r="AB84" s="4">
        <f t="shared" si="91"/>
        <v>21250</v>
      </c>
      <c r="AC84" s="4">
        <f t="shared" si="92"/>
        <v>196562.5</v>
      </c>
      <c r="AD84" s="3">
        <f t="shared" si="93"/>
        <v>21250</v>
      </c>
      <c r="AE84" s="4">
        <f t="shared" si="94"/>
        <v>217812.5</v>
      </c>
      <c r="AF84" s="3">
        <f t="shared" si="95"/>
        <v>21250</v>
      </c>
      <c r="AG84" s="5">
        <f t="shared" si="96"/>
        <v>239062.5</v>
      </c>
      <c r="AH84" s="3">
        <f t="shared" si="97"/>
        <v>21250</v>
      </c>
      <c r="AI84" s="5">
        <f t="shared" si="98"/>
        <v>260312.5</v>
      </c>
      <c r="AJ84" s="3">
        <f t="shared" si="110"/>
        <v>21250</v>
      </c>
      <c r="AK84" s="3">
        <f t="shared" si="99"/>
        <v>281562.5</v>
      </c>
      <c r="AL84" s="3">
        <f t="shared" si="111"/>
        <v>21250</v>
      </c>
      <c r="AM84" s="4">
        <f t="shared" si="100"/>
        <v>302812.5</v>
      </c>
      <c r="AN84" s="4">
        <f t="shared" si="101"/>
        <v>122187.5</v>
      </c>
      <c r="AO84" s="21">
        <f t="shared" si="102"/>
        <v>21250</v>
      </c>
      <c r="AP84" s="4">
        <f t="shared" si="103"/>
        <v>324062.5</v>
      </c>
      <c r="AQ84" s="4">
        <v>260312.5</v>
      </c>
      <c r="AR84" s="21">
        <v>10625</v>
      </c>
      <c r="AS84" s="19">
        <v>175312.5</v>
      </c>
      <c r="AT84" s="4">
        <v>249687.5</v>
      </c>
      <c r="AU84" s="21">
        <f t="shared" si="115"/>
        <v>21250</v>
      </c>
      <c r="AV84" s="19">
        <f t="shared" si="104"/>
        <v>196562.5</v>
      </c>
      <c r="AW84" s="4">
        <f t="shared" si="105"/>
        <v>228437.5</v>
      </c>
      <c r="AX84" s="4">
        <f t="shared" si="112"/>
        <v>21250</v>
      </c>
      <c r="AY84" s="4">
        <f t="shared" si="106"/>
        <v>217812.5</v>
      </c>
      <c r="AZ84" s="4">
        <f t="shared" si="107"/>
        <v>207187.5</v>
      </c>
      <c r="BA84" s="22">
        <f t="shared" si="113"/>
        <v>21250</v>
      </c>
      <c r="BB84" s="4">
        <f t="shared" si="108"/>
        <v>239062.5</v>
      </c>
      <c r="BC84" s="4">
        <f t="shared" si="109"/>
        <v>185937.5</v>
      </c>
      <c r="BF84" s="22">
        <v>21250</v>
      </c>
      <c r="BG84" s="4">
        <f t="shared" si="51"/>
        <v>0</v>
      </c>
      <c r="BH84" s="4">
        <f t="shared" si="116"/>
        <v>21250</v>
      </c>
    </row>
    <row r="85" spans="1:64" x14ac:dyDescent="0.35">
      <c r="A85" s="3" t="s">
        <v>154</v>
      </c>
      <c r="B85" s="3" t="s">
        <v>152</v>
      </c>
      <c r="C85" s="4">
        <v>124000</v>
      </c>
      <c r="D85" s="4" t="s">
        <v>80</v>
      </c>
      <c r="E85" s="2">
        <v>20</v>
      </c>
      <c r="F85" s="4"/>
      <c r="G85" s="4"/>
      <c r="H85" s="4"/>
      <c r="I85" s="4"/>
      <c r="J85" s="4">
        <v>1550</v>
      </c>
      <c r="K85" s="4">
        <f>C85/40/12*6</f>
        <v>1550</v>
      </c>
      <c r="L85" s="4">
        <f>C85/E85</f>
        <v>6200</v>
      </c>
      <c r="M85" s="4">
        <f t="shared" si="75"/>
        <v>7750</v>
      </c>
      <c r="N85" s="4">
        <f t="shared" si="77"/>
        <v>6200</v>
      </c>
      <c r="O85" s="4">
        <f t="shared" si="78"/>
        <v>13950</v>
      </c>
      <c r="P85" s="4">
        <f t="shared" si="79"/>
        <v>6200</v>
      </c>
      <c r="Q85" s="4">
        <f t="shared" si="80"/>
        <v>20150</v>
      </c>
      <c r="R85" s="4">
        <f t="shared" si="81"/>
        <v>6200</v>
      </c>
      <c r="S85" s="4">
        <f t="shared" si="82"/>
        <v>26350</v>
      </c>
      <c r="T85" s="4">
        <f t="shared" si="83"/>
        <v>6200</v>
      </c>
      <c r="U85" s="4">
        <f t="shared" si="84"/>
        <v>32550</v>
      </c>
      <c r="V85" s="4">
        <f t="shared" si="85"/>
        <v>6200</v>
      </c>
      <c r="W85" s="4">
        <f t="shared" si="86"/>
        <v>38750</v>
      </c>
      <c r="X85" s="4">
        <f t="shared" si="87"/>
        <v>6200</v>
      </c>
      <c r="Y85" s="4">
        <f t="shared" si="88"/>
        <v>44950</v>
      </c>
      <c r="Z85" s="4">
        <f t="shared" si="89"/>
        <v>6200</v>
      </c>
      <c r="AA85" s="4">
        <f t="shared" si="90"/>
        <v>51150</v>
      </c>
      <c r="AB85" s="4">
        <f t="shared" si="91"/>
        <v>6200</v>
      </c>
      <c r="AC85" s="4">
        <f t="shared" si="92"/>
        <v>57350</v>
      </c>
      <c r="AD85" s="3">
        <f t="shared" si="93"/>
        <v>6200</v>
      </c>
      <c r="AE85" s="4">
        <f t="shared" si="94"/>
        <v>63550</v>
      </c>
      <c r="AF85" s="3">
        <f t="shared" si="95"/>
        <v>6200</v>
      </c>
      <c r="AG85" s="5">
        <f t="shared" si="96"/>
        <v>69750</v>
      </c>
      <c r="AH85" s="3">
        <f t="shared" si="97"/>
        <v>6200</v>
      </c>
      <c r="AI85" s="5">
        <f t="shared" si="98"/>
        <v>75950</v>
      </c>
      <c r="AJ85" s="3">
        <f t="shared" si="110"/>
        <v>6200</v>
      </c>
      <c r="AK85" s="3">
        <f t="shared" si="99"/>
        <v>82150</v>
      </c>
      <c r="AL85" s="3">
        <f t="shared" si="111"/>
        <v>6200</v>
      </c>
      <c r="AM85" s="4">
        <f t="shared" si="100"/>
        <v>88350</v>
      </c>
      <c r="AN85" s="4">
        <f t="shared" si="101"/>
        <v>35650</v>
      </c>
      <c r="AO85" s="21">
        <f t="shared" si="102"/>
        <v>6200</v>
      </c>
      <c r="AP85" s="4">
        <f t="shared" si="103"/>
        <v>94550</v>
      </c>
      <c r="AQ85" s="4">
        <v>75950</v>
      </c>
      <c r="AR85" s="21">
        <v>3100</v>
      </c>
      <c r="AS85" s="19">
        <v>51150</v>
      </c>
      <c r="AT85" s="4">
        <v>72850</v>
      </c>
      <c r="AU85" s="21">
        <f t="shared" si="115"/>
        <v>6200</v>
      </c>
      <c r="AV85" s="19">
        <f t="shared" si="104"/>
        <v>57350</v>
      </c>
      <c r="AW85" s="4">
        <f t="shared" si="105"/>
        <v>66650</v>
      </c>
      <c r="AX85" s="4">
        <f t="shared" si="112"/>
        <v>6200</v>
      </c>
      <c r="AY85" s="4">
        <f t="shared" si="106"/>
        <v>63550</v>
      </c>
      <c r="AZ85" s="4">
        <f t="shared" si="107"/>
        <v>60450</v>
      </c>
      <c r="BA85" s="22">
        <f t="shared" si="113"/>
        <v>6200</v>
      </c>
      <c r="BB85" s="4">
        <f t="shared" si="108"/>
        <v>69750</v>
      </c>
      <c r="BC85" s="4">
        <f t="shared" si="109"/>
        <v>54250</v>
      </c>
      <c r="BF85" s="22">
        <v>6200</v>
      </c>
      <c r="BG85" s="4">
        <f t="shared" si="51"/>
        <v>0</v>
      </c>
      <c r="BI85" s="4">
        <f t="shared" ref="BI85" si="117">BF85</f>
        <v>6200</v>
      </c>
    </row>
    <row r="86" spans="1:64" x14ac:dyDescent="0.35">
      <c r="A86" s="3" t="s">
        <v>101</v>
      </c>
      <c r="B86" s="3" t="s">
        <v>152</v>
      </c>
      <c r="C86" s="4">
        <v>20000</v>
      </c>
      <c r="D86" s="4" t="s">
        <v>80</v>
      </c>
      <c r="E86" s="2">
        <v>20</v>
      </c>
      <c r="F86" s="4"/>
      <c r="G86" s="4"/>
      <c r="H86" s="4"/>
      <c r="I86" s="4"/>
      <c r="J86" s="4">
        <v>250</v>
      </c>
      <c r="K86" s="4">
        <f>C86/40/12*6</f>
        <v>250</v>
      </c>
      <c r="L86" s="4">
        <f>C86/E86</f>
        <v>1000</v>
      </c>
      <c r="M86" s="4">
        <f t="shared" si="75"/>
        <v>1250</v>
      </c>
      <c r="N86" s="4">
        <f t="shared" si="77"/>
        <v>1000</v>
      </c>
      <c r="O86" s="4">
        <f t="shared" si="78"/>
        <v>2250</v>
      </c>
      <c r="P86" s="4">
        <f t="shared" si="79"/>
        <v>1000</v>
      </c>
      <c r="Q86" s="4">
        <f t="shared" si="80"/>
        <v>3250</v>
      </c>
      <c r="R86" s="4">
        <f t="shared" si="81"/>
        <v>1000</v>
      </c>
      <c r="S86" s="4">
        <f t="shared" si="82"/>
        <v>4250</v>
      </c>
      <c r="T86" s="4">
        <f t="shared" si="83"/>
        <v>1000</v>
      </c>
      <c r="U86" s="4">
        <f t="shared" si="84"/>
        <v>5250</v>
      </c>
      <c r="V86" s="4">
        <f t="shared" si="85"/>
        <v>1000</v>
      </c>
      <c r="W86" s="4">
        <f t="shared" si="86"/>
        <v>6250</v>
      </c>
      <c r="X86" s="4">
        <f t="shared" si="87"/>
        <v>1000</v>
      </c>
      <c r="Y86" s="4">
        <f t="shared" si="88"/>
        <v>7250</v>
      </c>
      <c r="Z86" s="4">
        <f t="shared" si="89"/>
        <v>1000</v>
      </c>
      <c r="AA86" s="4">
        <f t="shared" si="90"/>
        <v>8250</v>
      </c>
      <c r="AB86" s="4">
        <f t="shared" si="91"/>
        <v>1000</v>
      </c>
      <c r="AC86" s="4">
        <f t="shared" si="92"/>
        <v>9250</v>
      </c>
      <c r="AD86" s="3">
        <f t="shared" si="93"/>
        <v>1000</v>
      </c>
      <c r="AE86" s="4">
        <f t="shared" si="94"/>
        <v>10250</v>
      </c>
      <c r="AF86" s="3">
        <f t="shared" si="95"/>
        <v>1000</v>
      </c>
      <c r="AG86" s="5">
        <f t="shared" si="96"/>
        <v>11250</v>
      </c>
      <c r="AH86" s="3">
        <f t="shared" si="97"/>
        <v>1000</v>
      </c>
      <c r="AI86" s="5">
        <f t="shared" si="98"/>
        <v>12250</v>
      </c>
      <c r="AJ86" s="3">
        <f t="shared" si="110"/>
        <v>1000</v>
      </c>
      <c r="AK86" s="3">
        <v>7100</v>
      </c>
      <c r="AL86" s="3">
        <f t="shared" si="111"/>
        <v>1000</v>
      </c>
      <c r="AM86" s="4">
        <f t="shared" si="100"/>
        <v>8100</v>
      </c>
      <c r="AN86" s="4">
        <f t="shared" si="101"/>
        <v>11900</v>
      </c>
      <c r="AO86" s="21">
        <f t="shared" si="102"/>
        <v>1000</v>
      </c>
      <c r="AP86" s="4">
        <f t="shared" si="103"/>
        <v>9100</v>
      </c>
      <c r="AQ86" s="4">
        <v>11900</v>
      </c>
      <c r="AR86" s="21">
        <v>500</v>
      </c>
      <c r="AS86" s="19">
        <v>8600</v>
      </c>
      <c r="AT86" s="4">
        <v>11400</v>
      </c>
      <c r="AU86" s="21">
        <f t="shared" si="115"/>
        <v>1000</v>
      </c>
      <c r="AV86" s="19">
        <f t="shared" si="104"/>
        <v>9600</v>
      </c>
      <c r="AW86" s="4">
        <f t="shared" si="105"/>
        <v>10400</v>
      </c>
      <c r="AX86" s="4">
        <f t="shared" si="112"/>
        <v>1000</v>
      </c>
      <c r="AY86" s="4">
        <f t="shared" si="106"/>
        <v>10600</v>
      </c>
      <c r="AZ86" s="4">
        <f t="shared" si="107"/>
        <v>9400</v>
      </c>
      <c r="BA86" s="22">
        <f t="shared" si="113"/>
        <v>1000</v>
      </c>
      <c r="BB86" s="4">
        <f t="shared" si="108"/>
        <v>11600</v>
      </c>
      <c r="BC86" s="4">
        <f t="shared" si="109"/>
        <v>8400</v>
      </c>
      <c r="BF86" s="22">
        <v>1000</v>
      </c>
      <c r="BG86" s="4">
        <f t="shared" si="51"/>
        <v>0</v>
      </c>
      <c r="BH86" s="4">
        <f>BF86</f>
        <v>1000</v>
      </c>
    </row>
    <row r="87" spans="1:64" x14ac:dyDescent="0.35">
      <c r="A87" s="3" t="s">
        <v>155</v>
      </c>
      <c r="B87" s="3" t="s">
        <v>156</v>
      </c>
      <c r="C87" s="4">
        <v>14000</v>
      </c>
      <c r="D87" s="4" t="s">
        <v>80</v>
      </c>
      <c r="E87" s="2">
        <v>7</v>
      </c>
      <c r="F87" s="4"/>
      <c r="G87" s="4"/>
      <c r="H87" s="4"/>
      <c r="I87" s="4"/>
      <c r="J87" s="4"/>
      <c r="K87" s="4"/>
      <c r="L87" s="4"/>
      <c r="M87" s="4"/>
      <c r="N87" s="4">
        <f>14000/10/12*9</f>
        <v>1050</v>
      </c>
      <c r="O87" s="4">
        <f t="shared" si="78"/>
        <v>1050</v>
      </c>
      <c r="P87" s="4">
        <f t="shared" si="79"/>
        <v>2000</v>
      </c>
      <c r="Q87" s="4">
        <f t="shared" si="80"/>
        <v>3050</v>
      </c>
      <c r="R87" s="4">
        <f t="shared" si="81"/>
        <v>2000</v>
      </c>
      <c r="S87" s="4">
        <f t="shared" si="82"/>
        <v>5050</v>
      </c>
      <c r="T87" s="4">
        <f t="shared" si="83"/>
        <v>2000</v>
      </c>
      <c r="U87" s="4">
        <f t="shared" si="84"/>
        <v>7050</v>
      </c>
      <c r="V87" s="4">
        <f t="shared" si="85"/>
        <v>2000</v>
      </c>
      <c r="W87" s="4">
        <f t="shared" si="86"/>
        <v>9050</v>
      </c>
      <c r="X87" s="4">
        <f t="shared" si="87"/>
        <v>2000</v>
      </c>
      <c r="Y87" s="4">
        <f t="shared" si="88"/>
        <v>11050</v>
      </c>
      <c r="Z87" s="4">
        <f t="shared" si="89"/>
        <v>2000</v>
      </c>
      <c r="AA87" s="4">
        <f t="shared" si="90"/>
        <v>13050</v>
      </c>
      <c r="AB87" s="4">
        <f t="shared" si="91"/>
        <v>2000</v>
      </c>
      <c r="AC87" s="4">
        <f t="shared" si="92"/>
        <v>15050</v>
      </c>
      <c r="AD87" s="3">
        <f t="shared" si="93"/>
        <v>2000</v>
      </c>
      <c r="AE87" s="4">
        <f t="shared" si="94"/>
        <v>17050</v>
      </c>
      <c r="AF87" s="3">
        <f t="shared" si="95"/>
        <v>2000</v>
      </c>
      <c r="AG87" s="5">
        <f t="shared" si="96"/>
        <v>19050</v>
      </c>
      <c r="AH87" s="3">
        <f>14000-13650</f>
        <v>350</v>
      </c>
      <c r="AI87" s="5">
        <f t="shared" si="98"/>
        <v>19400</v>
      </c>
      <c r="AJ87" s="3">
        <v>0</v>
      </c>
      <c r="AK87" s="3">
        <f>SUM(AI87:AJ87)</f>
        <v>19400</v>
      </c>
      <c r="AL87" s="3">
        <v>0</v>
      </c>
      <c r="AM87" s="4">
        <f t="shared" si="100"/>
        <v>19400</v>
      </c>
      <c r="AN87" s="4">
        <f t="shared" si="101"/>
        <v>-5400</v>
      </c>
      <c r="AO87" s="21">
        <f t="shared" si="102"/>
        <v>0</v>
      </c>
      <c r="AP87" s="4">
        <f t="shared" si="103"/>
        <v>19400</v>
      </c>
      <c r="AQ87" s="4">
        <v>0</v>
      </c>
      <c r="AR87" s="21">
        <v>0</v>
      </c>
      <c r="AS87" s="19">
        <v>14000</v>
      </c>
      <c r="AT87" s="4">
        <v>0</v>
      </c>
      <c r="AU87" s="21">
        <f t="shared" si="115"/>
        <v>2000</v>
      </c>
      <c r="AV87" s="19">
        <f t="shared" si="104"/>
        <v>16000</v>
      </c>
      <c r="AW87" s="4">
        <f t="shared" si="105"/>
        <v>-2000</v>
      </c>
      <c r="AX87" s="4">
        <v>0</v>
      </c>
      <c r="AY87" s="4">
        <f t="shared" si="106"/>
        <v>16000</v>
      </c>
      <c r="AZ87" s="4">
        <f t="shared" si="107"/>
        <v>-2000</v>
      </c>
      <c r="BA87" s="22">
        <v>0</v>
      </c>
      <c r="BB87" s="4">
        <f t="shared" si="108"/>
        <v>16000</v>
      </c>
      <c r="BC87" s="4">
        <f t="shared" si="109"/>
        <v>-2000</v>
      </c>
      <c r="BF87" s="22">
        <v>0</v>
      </c>
      <c r="BG87" s="4">
        <f t="shared" si="51"/>
        <v>0</v>
      </c>
    </row>
    <row r="88" spans="1:64" x14ac:dyDescent="0.35">
      <c r="A88" s="3" t="s">
        <v>157</v>
      </c>
      <c r="B88" s="3" t="s">
        <v>158</v>
      </c>
      <c r="C88" s="4">
        <v>821509</v>
      </c>
      <c r="D88" s="4" t="s">
        <v>80</v>
      </c>
      <c r="E88" s="2">
        <v>37.5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V88" s="3">
        <v>5134</v>
      </c>
      <c r="W88" s="3">
        <v>5134</v>
      </c>
      <c r="X88" s="4">
        <f>821509/40</f>
        <v>20537.724999999999</v>
      </c>
      <c r="Y88" s="4">
        <f t="shared" si="88"/>
        <v>25671.724999999999</v>
      </c>
      <c r="Z88" s="4">
        <f t="shared" si="89"/>
        <v>20537.724999999999</v>
      </c>
      <c r="AA88" s="4">
        <f t="shared" si="90"/>
        <v>46209.45</v>
      </c>
      <c r="AB88" s="4">
        <f t="shared" si="91"/>
        <v>20537.724999999999</v>
      </c>
      <c r="AC88" s="4">
        <f t="shared" si="92"/>
        <v>66747.174999999988</v>
      </c>
      <c r="AD88" s="3">
        <f t="shared" si="93"/>
        <v>20537.724999999999</v>
      </c>
      <c r="AE88" s="4">
        <f t="shared" si="94"/>
        <v>87284.9</v>
      </c>
      <c r="AF88" s="3">
        <f t="shared" si="95"/>
        <v>20537.724999999999</v>
      </c>
      <c r="AG88" s="5">
        <f t="shared" si="96"/>
        <v>107822.625</v>
      </c>
      <c r="AH88" s="3">
        <f>AF88</f>
        <v>20537.724999999999</v>
      </c>
      <c r="AI88" s="5">
        <f t="shared" si="98"/>
        <v>128360.35</v>
      </c>
      <c r="AJ88" s="3">
        <v>20537.73</v>
      </c>
      <c r="AK88" s="3">
        <f>SUM(AI88:AJ88)</f>
        <v>148898.08000000002</v>
      </c>
      <c r="AL88" s="3">
        <v>20537.73</v>
      </c>
      <c r="AM88" s="4">
        <f t="shared" si="100"/>
        <v>169435.81000000003</v>
      </c>
      <c r="AN88" s="4">
        <f t="shared" si="101"/>
        <v>652073.18999999994</v>
      </c>
      <c r="AO88" s="21">
        <f t="shared" si="102"/>
        <v>20537.73</v>
      </c>
      <c r="AP88" s="4">
        <f t="shared" si="103"/>
        <v>189973.54000000004</v>
      </c>
      <c r="AQ88" s="4">
        <v>631535.46</v>
      </c>
      <c r="AR88" s="21">
        <v>20537.73</v>
      </c>
      <c r="AS88" s="19">
        <v>210511.27000000005</v>
      </c>
      <c r="AT88" s="4">
        <v>610997.73</v>
      </c>
      <c r="AU88" s="21">
        <f t="shared" si="115"/>
        <v>21906.906666666666</v>
      </c>
      <c r="AV88" s="19">
        <f t="shared" si="104"/>
        <v>232418.17666666672</v>
      </c>
      <c r="AW88" s="4">
        <f t="shared" si="105"/>
        <v>589090.82333333325</v>
      </c>
      <c r="AX88" s="4">
        <f t="shared" si="112"/>
        <v>21906.906666666666</v>
      </c>
      <c r="AY88" s="4">
        <f t="shared" si="106"/>
        <v>254325.0833333334</v>
      </c>
      <c r="AZ88" s="4">
        <f t="shared" si="107"/>
        <v>567183.91666666663</v>
      </c>
      <c r="BA88" s="22">
        <f t="shared" si="113"/>
        <v>21906.906666666666</v>
      </c>
      <c r="BB88" s="4">
        <f t="shared" si="108"/>
        <v>276231.99000000005</v>
      </c>
      <c r="BC88" s="4">
        <f t="shared" si="109"/>
        <v>545277.01</v>
      </c>
      <c r="BF88" s="22">
        <v>21906.906666666666</v>
      </c>
      <c r="BG88" s="4">
        <f t="shared" si="51"/>
        <v>0</v>
      </c>
      <c r="BI88" s="4">
        <f t="shared" ref="BI88:BI90" si="118">BF88</f>
        <v>21906.906666666666</v>
      </c>
    </row>
    <row r="89" spans="1:64" x14ac:dyDescent="0.35">
      <c r="A89" s="3" t="s">
        <v>159</v>
      </c>
      <c r="B89" s="3" t="s">
        <v>160</v>
      </c>
      <c r="C89" s="4">
        <v>34586</v>
      </c>
      <c r="D89" s="4" t="s">
        <v>80</v>
      </c>
      <c r="E89" s="2">
        <v>37.5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X89" s="4">
        <f>34586/40/12*2</f>
        <v>144.10833333333332</v>
      </c>
      <c r="Y89" s="4">
        <f t="shared" si="88"/>
        <v>144.10833333333332</v>
      </c>
      <c r="Z89" s="3">
        <f>34586/40</f>
        <v>864.65</v>
      </c>
      <c r="AA89" s="4">
        <f t="shared" si="90"/>
        <v>1008.7583333333333</v>
      </c>
      <c r="AB89" s="4">
        <f t="shared" si="91"/>
        <v>864.65</v>
      </c>
      <c r="AC89" s="4">
        <f t="shared" si="92"/>
        <v>1873.4083333333333</v>
      </c>
      <c r="AD89" s="3">
        <f t="shared" si="93"/>
        <v>864.65</v>
      </c>
      <c r="AE89" s="4">
        <f t="shared" si="94"/>
        <v>2738.0583333333334</v>
      </c>
      <c r="AF89" s="3">
        <f t="shared" si="95"/>
        <v>864.65</v>
      </c>
      <c r="AG89" s="5">
        <f t="shared" si="96"/>
        <v>3602.7083333333335</v>
      </c>
      <c r="AH89" s="3">
        <f>AF89</f>
        <v>864.65</v>
      </c>
      <c r="AI89" s="5">
        <f t="shared" si="98"/>
        <v>4467.3583333333336</v>
      </c>
      <c r="AJ89" s="3">
        <f>AH89</f>
        <v>864.65</v>
      </c>
      <c r="AK89" s="3">
        <f>4467.36+864.65</f>
        <v>5332.0099999999993</v>
      </c>
      <c r="AL89" s="3">
        <f>AJ89</f>
        <v>864.65</v>
      </c>
      <c r="AM89" s="4">
        <f>4467.36+864.65</f>
        <v>5332.0099999999993</v>
      </c>
      <c r="AN89" s="4">
        <f t="shared" si="101"/>
        <v>29253.99</v>
      </c>
      <c r="AO89" s="21">
        <f t="shared" si="102"/>
        <v>864.65</v>
      </c>
      <c r="AP89" s="4">
        <v>7061.31</v>
      </c>
      <c r="AQ89" s="4">
        <v>28389.34</v>
      </c>
      <c r="AR89" s="21">
        <v>864.65</v>
      </c>
      <c r="AS89" s="19">
        <v>7925.96</v>
      </c>
      <c r="AT89" s="4">
        <v>26660.04</v>
      </c>
      <c r="AU89" s="21">
        <f t="shared" si="115"/>
        <v>922.29333333333329</v>
      </c>
      <c r="AV89" s="19">
        <f t="shared" si="104"/>
        <v>8848.253333333334</v>
      </c>
      <c r="AW89" s="4">
        <f t="shared" si="105"/>
        <v>25737.746666666666</v>
      </c>
      <c r="AX89" s="4">
        <f t="shared" si="112"/>
        <v>922.29333333333329</v>
      </c>
      <c r="AY89" s="4">
        <f t="shared" si="106"/>
        <v>9770.5466666666671</v>
      </c>
      <c r="AZ89" s="4">
        <f t="shared" si="107"/>
        <v>24815.453333333331</v>
      </c>
      <c r="BA89" s="22">
        <f t="shared" si="113"/>
        <v>922.29333333333329</v>
      </c>
      <c r="BB89" s="4">
        <f t="shared" si="108"/>
        <v>10692.84</v>
      </c>
      <c r="BC89" s="4">
        <f t="shared" si="109"/>
        <v>23893.16</v>
      </c>
      <c r="BF89" s="22">
        <v>922.29333333333329</v>
      </c>
      <c r="BG89" s="4">
        <f t="shared" si="51"/>
        <v>0</v>
      </c>
      <c r="BI89" s="4">
        <f t="shared" si="118"/>
        <v>922.29333333333329</v>
      </c>
    </row>
    <row r="90" spans="1:64" x14ac:dyDescent="0.35">
      <c r="A90" s="3" t="s">
        <v>161</v>
      </c>
      <c r="B90" s="3" t="s">
        <v>162</v>
      </c>
      <c r="C90" s="4">
        <v>29614</v>
      </c>
      <c r="D90" s="4" t="s">
        <v>80</v>
      </c>
      <c r="E90" s="2">
        <v>20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X90" s="4"/>
      <c r="Y90" s="4"/>
      <c r="AA90" s="4"/>
      <c r="AB90" s="4"/>
      <c r="AC90" s="4"/>
      <c r="AE90" s="4"/>
      <c r="AG90" s="5"/>
      <c r="AI90" s="5"/>
      <c r="AM90" s="4"/>
      <c r="AN90" s="4"/>
      <c r="AO90" s="21"/>
      <c r="AP90" s="4"/>
      <c r="AQ90" s="4"/>
      <c r="AR90" s="21"/>
      <c r="AS90" s="19"/>
      <c r="AT90" s="4"/>
      <c r="AU90" s="21"/>
      <c r="AV90" s="19"/>
      <c r="AW90" s="4"/>
      <c r="AX90" s="4"/>
      <c r="AY90" s="4"/>
      <c r="AZ90" s="4"/>
      <c r="BA90" s="22">
        <f>SUM(C90/E90/2)</f>
        <v>740.35</v>
      </c>
      <c r="BB90" s="4">
        <f t="shared" ref="BB90" si="119">SUM(AY90+BA90)</f>
        <v>740.35</v>
      </c>
      <c r="BC90" s="4">
        <f t="shared" si="109"/>
        <v>28873.65</v>
      </c>
      <c r="BD90" s="3">
        <v>29614</v>
      </c>
      <c r="BF90" s="22">
        <v>740.35</v>
      </c>
      <c r="BG90" s="4">
        <f t="shared" si="51"/>
        <v>0</v>
      </c>
      <c r="BI90" s="4">
        <f t="shared" si="118"/>
        <v>740.35</v>
      </c>
    </row>
    <row r="91" spans="1:64" x14ac:dyDescent="0.35">
      <c r="C91" s="19">
        <f>SUM(C78:C90)</f>
        <v>1681068</v>
      </c>
      <c r="D91" s="4"/>
      <c r="F91" s="4"/>
      <c r="G91" s="19">
        <f t="shared" ref="G91:R91" si="120">SUM(G78:G88)</f>
        <v>34539</v>
      </c>
      <c r="H91" s="19">
        <f t="shared" si="120"/>
        <v>1959</v>
      </c>
      <c r="I91" s="19">
        <f t="shared" si="120"/>
        <v>36498</v>
      </c>
      <c r="J91" s="19">
        <f t="shared" si="120"/>
        <v>10747</v>
      </c>
      <c r="K91" s="19">
        <f t="shared" si="120"/>
        <v>47244.5</v>
      </c>
      <c r="L91" s="19">
        <f t="shared" si="120"/>
        <v>32084</v>
      </c>
      <c r="M91" s="19">
        <f t="shared" si="120"/>
        <v>79328.5</v>
      </c>
      <c r="N91" s="19">
        <f t="shared" si="120"/>
        <v>33134</v>
      </c>
      <c r="O91" s="19">
        <f t="shared" si="120"/>
        <v>112462.5</v>
      </c>
      <c r="P91" s="19">
        <f t="shared" si="120"/>
        <v>41067.949999999997</v>
      </c>
      <c r="Q91" s="19">
        <f t="shared" si="120"/>
        <v>153530.45000000001</v>
      </c>
      <c r="R91" s="19">
        <f t="shared" si="120"/>
        <v>41067.949999999997</v>
      </c>
      <c r="S91" s="19">
        <f>SUM(S78:S87)</f>
        <v>194598.39999999999</v>
      </c>
      <c r="T91" s="19">
        <f>SUM(T78:T87)</f>
        <v>41067.949999999997</v>
      </c>
      <c r="U91" s="19">
        <f>SUM(U78:U87)</f>
        <v>235666.34999999998</v>
      </c>
      <c r="V91" s="19">
        <f>SUM(V78:V88)</f>
        <v>46201.95</v>
      </c>
      <c r="W91" s="19">
        <f>SUM(W78:W88)</f>
        <v>281868.3</v>
      </c>
      <c r="X91" s="19">
        <f>SUM(X78:X89)</f>
        <v>61749.783333333326</v>
      </c>
      <c r="Y91" s="19">
        <f>SUM(Y78:Y89)</f>
        <v>343618.08333333331</v>
      </c>
      <c r="Z91" s="19">
        <f>SUM(Z78:Z89)</f>
        <v>62470.324999999997</v>
      </c>
      <c r="AA91" s="19">
        <f>SUM(AA78:AA89)</f>
        <v>406088.40833333333</v>
      </c>
      <c r="AB91" s="19">
        <f>SUM(AB78:AB89)</f>
        <v>62470.324999999997</v>
      </c>
      <c r="AC91" s="19">
        <f t="shared" si="92"/>
        <v>468558.73333333334</v>
      </c>
      <c r="AD91" s="3">
        <f>SUM(AD78:AD89)</f>
        <v>62470.324999999997</v>
      </c>
      <c r="AE91" s="4">
        <f t="shared" si="94"/>
        <v>531029.05833333335</v>
      </c>
      <c r="AF91" s="3">
        <f>SUM(AF78:AF89)</f>
        <v>62470.324999999997</v>
      </c>
      <c r="AG91" s="5">
        <f>SUM(AG78:AG89)</f>
        <v>593499.3833333333</v>
      </c>
      <c r="AH91" s="3">
        <f>SUM(AH78:AH89)</f>
        <v>60820.324999999997</v>
      </c>
      <c r="AI91" s="3">
        <v>425129.96</v>
      </c>
      <c r="AJ91" s="3">
        <f>SUM(AJ78:AJ89)</f>
        <v>62050.13</v>
      </c>
      <c r="AK91" s="3">
        <f>SUM(AK78:AK89)</f>
        <v>710219.84000000008</v>
      </c>
      <c r="AL91" s="1">
        <f>SUM(AL78:AL89)</f>
        <v>57710.13</v>
      </c>
      <c r="AM91" s="19">
        <f>SUM(AM78:AM89)</f>
        <v>767065.32000000007</v>
      </c>
      <c r="AN91" s="19">
        <f t="shared" si="101"/>
        <v>914002.67999999993</v>
      </c>
      <c r="AO91" s="25">
        <f t="shared" si="102"/>
        <v>57710.13</v>
      </c>
      <c r="AP91" s="19">
        <f>SUM(AP78:AP89)</f>
        <v>825640.10000000009</v>
      </c>
      <c r="AQ91" s="19">
        <v>1103829.925</v>
      </c>
      <c r="AR91" s="25">
        <v>39556.254999999997</v>
      </c>
      <c r="AS91" s="19">
        <v>588044.98</v>
      </c>
      <c r="AT91" s="19">
        <v>1063409.02</v>
      </c>
      <c r="AU91" s="19">
        <f>SUM(AU78:AU89)</f>
        <v>60328.2</v>
      </c>
      <c r="AV91" s="19">
        <f t="shared" si="104"/>
        <v>648373.17999999993</v>
      </c>
      <c r="AW91" s="19">
        <f t="shared" si="105"/>
        <v>1032694.8200000001</v>
      </c>
      <c r="AX91" s="19">
        <f>SUM(AX78:AX89)</f>
        <v>59136.95</v>
      </c>
      <c r="AY91" s="19">
        <f>SUM(AY78:AY90)</f>
        <v>707510.13</v>
      </c>
      <c r="AZ91" s="19">
        <f t="shared" ref="AZ91" si="121">SUM(AZ78:AZ89)</f>
        <v>943943.87</v>
      </c>
      <c r="BA91" s="20">
        <f t="shared" ref="BA91:BC91" si="122">SUM(BA78:BA90)</f>
        <v>59877.299999999996</v>
      </c>
      <c r="BB91" s="19">
        <f t="shared" si="122"/>
        <v>767387.42999999993</v>
      </c>
      <c r="BC91" s="19">
        <f t="shared" si="122"/>
        <v>913680.57000000007</v>
      </c>
      <c r="BF91" s="20">
        <v>59877.299999999996</v>
      </c>
      <c r="BG91" s="4">
        <f t="shared" ref="BG91:BG154" si="123">BA91-BF91</f>
        <v>0</v>
      </c>
      <c r="BH91" s="23">
        <f>SUM(BH78:BH90)</f>
        <v>29299</v>
      </c>
      <c r="BI91" s="23">
        <f t="shared" ref="BI91:BK91" si="124">SUM(BI78:BI90)</f>
        <v>30578.3</v>
      </c>
      <c r="BJ91" s="23">
        <f t="shared" si="124"/>
        <v>0</v>
      </c>
      <c r="BK91" s="23">
        <f t="shared" si="124"/>
        <v>0</v>
      </c>
      <c r="BL91" s="3">
        <f>SUM(BH91:BK91)</f>
        <v>59877.3</v>
      </c>
    </row>
    <row r="92" spans="1:64" x14ac:dyDescent="0.35">
      <c r="C92" s="19"/>
      <c r="D92" s="4"/>
      <c r="F92" s="4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E92" s="4"/>
      <c r="AG92" s="5"/>
      <c r="AL92" s="1"/>
      <c r="AM92" s="19"/>
      <c r="AN92" s="19"/>
      <c r="AO92" s="25"/>
      <c r="AP92" s="19"/>
      <c r="AQ92" s="19"/>
      <c r="AR92" s="25"/>
      <c r="AS92" s="19"/>
      <c r="AT92" s="19"/>
      <c r="AU92" s="19"/>
      <c r="AV92" s="19"/>
      <c r="AW92" s="4"/>
      <c r="AX92" s="4"/>
      <c r="AY92" s="4"/>
      <c r="AZ92" s="4"/>
      <c r="BA92" s="22"/>
      <c r="BB92" s="4"/>
      <c r="BC92" s="4"/>
      <c r="BF92" s="22"/>
      <c r="BG92" s="4">
        <f t="shared" si="123"/>
        <v>0</v>
      </c>
    </row>
    <row r="93" spans="1:64" x14ac:dyDescent="0.35">
      <c r="A93" s="3" t="s">
        <v>163</v>
      </c>
      <c r="C93" s="19"/>
      <c r="D93" s="4"/>
      <c r="F93" s="4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4"/>
      <c r="W93" s="4"/>
      <c r="X93" s="4"/>
      <c r="Y93" s="4"/>
      <c r="AC93" s="4"/>
      <c r="AE93" s="4"/>
      <c r="AG93" s="5"/>
      <c r="AM93" s="4"/>
      <c r="AN93" s="4"/>
      <c r="AO93" s="6"/>
      <c r="AR93" s="6"/>
      <c r="AS93" s="1"/>
      <c r="AT93" s="4"/>
      <c r="BA93" s="17"/>
      <c r="BF93" s="17"/>
      <c r="BG93" s="4">
        <f t="shared" si="123"/>
        <v>0</v>
      </c>
    </row>
    <row r="94" spans="1:64" x14ac:dyDescent="0.35">
      <c r="A94" s="3" t="s">
        <v>164</v>
      </c>
      <c r="B94" s="3" t="s">
        <v>165</v>
      </c>
      <c r="C94" s="19">
        <v>3070460</v>
      </c>
      <c r="D94" s="4" t="s">
        <v>80</v>
      </c>
      <c r="E94" s="2">
        <v>37.5</v>
      </c>
      <c r="F94" s="4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>
        <v>76762</v>
      </c>
      <c r="W94" s="19">
        <v>76762</v>
      </c>
      <c r="X94" s="19">
        <f>3070460/40</f>
        <v>76761.5</v>
      </c>
      <c r="Y94" s="19">
        <f>SUM(W94:X94)</f>
        <v>153523.5</v>
      </c>
      <c r="Z94" s="19">
        <f>3070460/40</f>
        <v>76761.5</v>
      </c>
      <c r="AA94" s="19">
        <f>SUM(Y94:Z94)</f>
        <v>230285</v>
      </c>
      <c r="AB94" s="1">
        <v>76762</v>
      </c>
      <c r="AC94" s="19">
        <f>SUM(AA94:AB94)</f>
        <v>307047</v>
      </c>
      <c r="AD94" s="3">
        <f>AB94</f>
        <v>76762</v>
      </c>
      <c r="AE94" s="4">
        <f>AC94+AD94</f>
        <v>383809</v>
      </c>
      <c r="AF94" s="3">
        <f>AD94</f>
        <v>76762</v>
      </c>
      <c r="AG94" s="5">
        <v>460571</v>
      </c>
      <c r="AH94" s="3">
        <v>76762</v>
      </c>
      <c r="AI94" s="3">
        <f>SUM(AG94:AH94)</f>
        <v>537333</v>
      </c>
      <c r="AJ94" s="3">
        <v>76762</v>
      </c>
      <c r="AK94" s="3">
        <f>SUM(AI94:AJ94)</f>
        <v>614095</v>
      </c>
      <c r="AL94" s="1">
        <v>76762</v>
      </c>
      <c r="AM94" s="19">
        <f>SUM(AK94:AL94)</f>
        <v>690857</v>
      </c>
      <c r="AN94" s="19">
        <f>C94-AM94</f>
        <v>2379603</v>
      </c>
      <c r="AO94" s="25">
        <f>AL94</f>
        <v>76762</v>
      </c>
      <c r="AP94" s="19">
        <f>AM94+AO94</f>
        <v>767619</v>
      </c>
      <c r="AQ94" s="19">
        <v>2302841</v>
      </c>
      <c r="AR94" s="25">
        <v>76762</v>
      </c>
      <c r="AS94" s="19">
        <v>844381</v>
      </c>
      <c r="AT94" s="19">
        <v>2226079</v>
      </c>
      <c r="AU94" s="19">
        <f>SUM(AU80:AU93)</f>
        <v>120656.4</v>
      </c>
      <c r="AV94" s="19">
        <f>AS94+AU94</f>
        <v>965037.4</v>
      </c>
      <c r="AW94" s="4">
        <f>C94-AV94</f>
        <v>2105422.6</v>
      </c>
      <c r="AX94" s="4">
        <f t="shared" ref="AX94" si="125">SUM(C94/E94)</f>
        <v>81878.933333333334</v>
      </c>
      <c r="AY94" s="4">
        <f t="shared" ref="AY94" si="126">SUM(AV94+AX94)</f>
        <v>1046916.3333333334</v>
      </c>
      <c r="AZ94" s="4">
        <f t="shared" ref="AZ94" si="127">SUM(C94-AY94)</f>
        <v>2023543.6666666665</v>
      </c>
      <c r="BA94" s="22">
        <f t="shared" ref="BA94" si="128">SUM(C94/E94)</f>
        <v>81878.933333333334</v>
      </c>
      <c r="BB94" s="4">
        <f t="shared" ref="BB94" si="129">SUM(AY94+BA94)</f>
        <v>1128795.2666666666</v>
      </c>
      <c r="BC94" s="4">
        <f t="shared" ref="BC94" si="130">SUM(C94-BB94)</f>
        <v>1941664.7333333334</v>
      </c>
      <c r="BF94" s="22">
        <v>81878.933333333334</v>
      </c>
      <c r="BG94" s="4">
        <f t="shared" si="123"/>
        <v>0</v>
      </c>
    </row>
    <row r="95" spans="1:64" x14ac:dyDescent="0.35">
      <c r="C95" s="4"/>
      <c r="D95" s="4"/>
      <c r="F95" s="4"/>
      <c r="G95" s="4"/>
      <c r="H95" s="4"/>
      <c r="I95" s="4"/>
      <c r="J95" s="4"/>
      <c r="K95" s="4"/>
      <c r="L95" s="4"/>
      <c r="M95" s="4">
        <f t="shared" ref="M95:M105" si="131">K95+L95</f>
        <v>0</v>
      </c>
      <c r="N95" s="4"/>
      <c r="O95" s="4"/>
      <c r="P95" s="4"/>
      <c r="Q95" s="4"/>
      <c r="X95" s="4"/>
      <c r="Y95" s="4"/>
      <c r="AC95" s="4"/>
      <c r="AE95" s="4"/>
      <c r="AG95" s="5"/>
      <c r="AM95" s="4"/>
      <c r="AN95" s="4"/>
      <c r="AO95" s="6"/>
      <c r="AR95" s="6"/>
      <c r="AS95" s="1"/>
      <c r="AT95" s="4"/>
      <c r="BA95" s="17"/>
      <c r="BF95" s="17"/>
      <c r="BG95" s="4">
        <f t="shared" si="123"/>
        <v>0</v>
      </c>
    </row>
    <row r="96" spans="1:64" x14ac:dyDescent="0.35">
      <c r="A96" s="3" t="s">
        <v>166</v>
      </c>
      <c r="C96" s="4"/>
      <c r="D96" s="4"/>
      <c r="F96" s="4"/>
      <c r="G96" s="4"/>
      <c r="H96" s="4"/>
      <c r="I96" s="4"/>
      <c r="J96" s="4"/>
      <c r="K96" s="4"/>
      <c r="L96" s="4"/>
      <c r="M96" s="4">
        <f t="shared" si="131"/>
        <v>0</v>
      </c>
      <c r="N96" s="4"/>
      <c r="O96" s="4"/>
      <c r="P96" s="4"/>
      <c r="Q96" s="4"/>
      <c r="X96" s="4"/>
      <c r="Y96" s="4"/>
      <c r="AC96" s="4"/>
      <c r="AE96" s="4"/>
      <c r="AG96" s="5"/>
      <c r="AM96" s="4"/>
      <c r="AN96" s="4"/>
      <c r="AO96" s="6"/>
      <c r="AR96" s="6"/>
      <c r="AS96" s="1"/>
      <c r="BA96" s="17"/>
      <c r="BF96" s="17"/>
      <c r="BG96" s="4">
        <f t="shared" si="123"/>
        <v>0</v>
      </c>
    </row>
    <row r="97" spans="1:59" x14ac:dyDescent="0.35">
      <c r="C97" s="4"/>
      <c r="D97" s="4"/>
      <c r="F97" s="27"/>
      <c r="G97" s="27"/>
      <c r="H97" s="27"/>
      <c r="I97" s="27"/>
      <c r="J97" s="27"/>
      <c r="K97" s="27"/>
      <c r="L97" s="27"/>
      <c r="M97" s="27">
        <f t="shared" si="131"/>
        <v>0</v>
      </c>
      <c r="N97" s="27"/>
      <c r="O97" s="27"/>
      <c r="P97" s="27"/>
      <c r="Q97" s="27"/>
      <c r="R97" s="26"/>
      <c r="S97" s="26"/>
      <c r="T97" s="26"/>
      <c r="U97" s="26"/>
      <c r="V97" s="26"/>
      <c r="W97" s="26"/>
      <c r="X97" s="27"/>
      <c r="Y97" s="27"/>
      <c r="Z97" s="26"/>
      <c r="AA97" s="26"/>
      <c r="AB97" s="26"/>
      <c r="AC97" s="27"/>
      <c r="AD97" s="26"/>
      <c r="AE97" s="27"/>
      <c r="AF97" s="26"/>
      <c r="AG97" s="30"/>
      <c r="AH97" s="26"/>
      <c r="AI97" s="26"/>
      <c r="AJ97" s="26"/>
      <c r="AK97" s="26"/>
      <c r="AL97" s="26"/>
      <c r="AM97" s="27"/>
      <c r="AN97" s="27"/>
      <c r="AO97" s="31"/>
      <c r="AP97" s="26"/>
      <c r="AQ97" s="26"/>
      <c r="AR97" s="31"/>
      <c r="AS97" s="32"/>
      <c r="AT97" s="26"/>
      <c r="AU97" s="26"/>
      <c r="AV97" s="26"/>
      <c r="AW97" s="26"/>
      <c r="BA97" s="17"/>
      <c r="BF97" s="17"/>
      <c r="BG97" s="4">
        <f t="shared" si="123"/>
        <v>0</v>
      </c>
    </row>
    <row r="98" spans="1:59" x14ac:dyDescent="0.35">
      <c r="A98" s="3" t="s">
        <v>167</v>
      </c>
      <c r="B98" s="3" t="s">
        <v>79</v>
      </c>
      <c r="C98" s="4">
        <v>1868350</v>
      </c>
      <c r="D98" s="4" t="s">
        <v>80</v>
      </c>
      <c r="E98" s="2">
        <v>62.5</v>
      </c>
      <c r="F98" s="4"/>
      <c r="G98" s="4">
        <v>646044</v>
      </c>
      <c r="H98" s="4">
        <v>46709</v>
      </c>
      <c r="I98" s="4">
        <f t="shared" ref="I98:I104" si="132">SUM(G98:H98)</f>
        <v>692753</v>
      </c>
      <c r="J98" s="4">
        <f t="shared" ref="J98:J104" si="133">H98</f>
        <v>46709</v>
      </c>
      <c r="K98" s="4">
        <f t="shared" ref="K98:K105" si="134">I98+J98</f>
        <v>739462</v>
      </c>
      <c r="L98" s="4">
        <f t="shared" ref="L98:L104" si="135">J98</f>
        <v>46709</v>
      </c>
      <c r="M98" s="4">
        <f t="shared" si="131"/>
        <v>786171</v>
      </c>
      <c r="N98" s="4">
        <f t="shared" ref="N98:N105" si="136">L98</f>
        <v>46709</v>
      </c>
      <c r="O98" s="4">
        <f t="shared" ref="O98:O105" si="137">M98+N98</f>
        <v>832880</v>
      </c>
      <c r="P98" s="4">
        <f t="shared" ref="P98:P105" si="138">C98/E98</f>
        <v>29893.599999999999</v>
      </c>
      <c r="Q98" s="4">
        <f t="shared" ref="Q98:Q105" si="139">O98+P98</f>
        <v>862773.6</v>
      </c>
      <c r="R98" s="4">
        <f t="shared" ref="R98:R105" si="140">SUM(C98/E98)</f>
        <v>29893.599999999999</v>
      </c>
      <c r="S98" s="4">
        <f t="shared" ref="S98:S105" si="141">Q98+R98</f>
        <v>892667.2</v>
      </c>
      <c r="T98" s="4">
        <f t="shared" ref="T98:T105" si="142">R98</f>
        <v>29893.599999999999</v>
      </c>
      <c r="U98" s="4">
        <f t="shared" ref="U98:U105" si="143">S98+T98</f>
        <v>922560.79999999993</v>
      </c>
      <c r="V98" s="4">
        <f t="shared" ref="V98:V105" si="144">T98</f>
        <v>29893.599999999999</v>
      </c>
      <c r="W98" s="4">
        <f t="shared" ref="W98:W105" si="145">U98+V98</f>
        <v>952454.39999999991</v>
      </c>
      <c r="X98" s="4">
        <f t="shared" ref="X98:X105" si="146">V98</f>
        <v>29893.599999999999</v>
      </c>
      <c r="Y98" s="4">
        <f t="shared" ref="Y98:Y105" si="147">W98+V98</f>
        <v>982347.99999999988</v>
      </c>
      <c r="Z98" s="4">
        <f t="shared" ref="Z98:Z105" si="148">X98</f>
        <v>29893.599999999999</v>
      </c>
      <c r="AA98" s="4">
        <f t="shared" ref="AA98:AA104" si="149">Y98+X98</f>
        <v>1012241.5999999999</v>
      </c>
      <c r="AB98" s="4">
        <f t="shared" ref="AB98:AB105" si="150">Z98</f>
        <v>29893.599999999999</v>
      </c>
      <c r="AC98" s="4">
        <f t="shared" ref="AC98:AC105" si="151">SUM(AA98:AB98)</f>
        <v>1042135.1999999998</v>
      </c>
      <c r="AD98" s="3">
        <f t="shared" ref="AD98:AD105" si="152">AB98</f>
        <v>29893.599999999999</v>
      </c>
      <c r="AE98" s="4">
        <f t="shared" ref="AE98:AE105" si="153">AC98+AD98</f>
        <v>1072028.7999999998</v>
      </c>
      <c r="AF98" s="3">
        <f t="shared" ref="AF98:AF105" si="154">AD98</f>
        <v>29893.599999999999</v>
      </c>
      <c r="AG98" s="5">
        <f t="shared" ref="AG98:AG105" si="155">AE98+AF98</f>
        <v>1101922.3999999999</v>
      </c>
      <c r="AH98" s="3">
        <f t="shared" ref="AH98:AH105" si="156">AF98</f>
        <v>29893.599999999999</v>
      </c>
      <c r="AI98" s="5">
        <f t="shared" ref="AI98:AI105" si="157">AG98+AH98</f>
        <v>1131816</v>
      </c>
      <c r="AJ98" s="3">
        <f t="shared" ref="AJ98:AJ105" si="158">AH98</f>
        <v>29893.599999999999</v>
      </c>
      <c r="AK98" s="3">
        <f t="shared" ref="AK98:AK105" si="159">SUM(AI98:AJ98)</f>
        <v>1161709.6000000001</v>
      </c>
      <c r="AL98" s="3">
        <f t="shared" ref="AL98:AL105" si="160">AJ98</f>
        <v>29893.599999999999</v>
      </c>
      <c r="AM98" s="4">
        <f t="shared" ref="AM98:AM105" si="161">SUM(AK98:AL98)</f>
        <v>1191603.2000000002</v>
      </c>
      <c r="AN98" s="4">
        <f t="shared" ref="AN98:AN105" si="162">C98-AM98</f>
        <v>676746.79999999981</v>
      </c>
      <c r="AO98" s="21">
        <f t="shared" ref="AO98:AO105" si="163">AL98</f>
        <v>29893.599999999999</v>
      </c>
      <c r="AP98" s="4">
        <f t="shared" ref="AP98:AP106" si="164">AM98+AO98</f>
        <v>1221496.8000000003</v>
      </c>
      <c r="AQ98" s="4">
        <v>428256.25</v>
      </c>
      <c r="AR98" s="21">
        <v>46708.75</v>
      </c>
      <c r="AS98" s="19">
        <v>1486802.5</v>
      </c>
      <c r="AT98" s="4">
        <v>381547.5</v>
      </c>
      <c r="AU98" s="21">
        <f t="shared" ref="AU98:AU105" si="165">SUM(C98/E98)</f>
        <v>29893.599999999999</v>
      </c>
      <c r="AV98" s="19">
        <f t="shared" ref="AV98:AV105" si="166">AS98+AU98</f>
        <v>1516696.1</v>
      </c>
      <c r="AW98" s="4">
        <f t="shared" ref="AW98:AW105" si="167">C98-AV98</f>
        <v>351653.89999999991</v>
      </c>
      <c r="AX98" s="4">
        <f t="shared" ref="AX98:AX105" si="168">SUM(C98/E98)</f>
        <v>29893.599999999999</v>
      </c>
      <c r="AY98" s="4">
        <f t="shared" ref="AY98:AY105" si="169">SUM(AV98+AX98)</f>
        <v>1546589.7000000002</v>
      </c>
      <c r="AZ98" s="4">
        <f t="shared" ref="AZ98:AZ105" si="170">SUM(C98-AY98)</f>
        <v>321760.29999999981</v>
      </c>
      <c r="BA98" s="22">
        <f t="shared" ref="BA98:BA105" si="171">SUM(C98/E98)</f>
        <v>29893.599999999999</v>
      </c>
      <c r="BB98" s="4">
        <f t="shared" ref="BB98:BB105" si="172">SUM(AY98+BA98)</f>
        <v>1576483.3000000003</v>
      </c>
      <c r="BC98" s="4">
        <f t="shared" ref="BC98:BC105" si="173">SUM(C98-BB98)</f>
        <v>291866.69999999972</v>
      </c>
      <c r="BF98" s="22">
        <v>46708.75</v>
      </c>
      <c r="BG98" s="4">
        <f t="shared" si="123"/>
        <v>-16815.150000000001</v>
      </c>
    </row>
    <row r="99" spans="1:59" x14ac:dyDescent="0.35">
      <c r="A99" s="3" t="s">
        <v>168</v>
      </c>
      <c r="B99" s="3" t="s">
        <v>169</v>
      </c>
      <c r="C99" s="4">
        <v>509552</v>
      </c>
      <c r="D99" s="4" t="s">
        <v>80</v>
      </c>
      <c r="E99" s="2">
        <v>62.5</v>
      </c>
      <c r="F99" s="4"/>
      <c r="G99" s="4">
        <v>127098</v>
      </c>
      <c r="H99" s="4">
        <v>12739</v>
      </c>
      <c r="I99" s="4">
        <f t="shared" si="132"/>
        <v>139837</v>
      </c>
      <c r="J99" s="4">
        <f t="shared" si="133"/>
        <v>12739</v>
      </c>
      <c r="K99" s="4">
        <f t="shared" si="134"/>
        <v>152576</v>
      </c>
      <c r="L99" s="4">
        <f t="shared" si="135"/>
        <v>12739</v>
      </c>
      <c r="M99" s="4">
        <f t="shared" si="131"/>
        <v>165315</v>
      </c>
      <c r="N99" s="4">
        <f t="shared" si="136"/>
        <v>12739</v>
      </c>
      <c r="O99" s="4">
        <f t="shared" si="137"/>
        <v>178054</v>
      </c>
      <c r="P99" s="4">
        <f t="shared" si="138"/>
        <v>8152.8320000000003</v>
      </c>
      <c r="Q99" s="4">
        <f t="shared" si="139"/>
        <v>186206.83199999999</v>
      </c>
      <c r="R99" s="4">
        <f t="shared" si="140"/>
        <v>8152.8320000000003</v>
      </c>
      <c r="S99" s="4">
        <f t="shared" si="141"/>
        <v>194359.66399999999</v>
      </c>
      <c r="T99" s="4">
        <f t="shared" si="142"/>
        <v>8152.8320000000003</v>
      </c>
      <c r="U99" s="4">
        <f t="shared" si="143"/>
        <v>202512.49599999998</v>
      </c>
      <c r="V99" s="4">
        <f t="shared" si="144"/>
        <v>8152.8320000000003</v>
      </c>
      <c r="W99" s="4">
        <f t="shared" si="145"/>
        <v>210665.32799999998</v>
      </c>
      <c r="X99" s="4">
        <f t="shared" si="146"/>
        <v>8152.8320000000003</v>
      </c>
      <c r="Y99" s="4">
        <f t="shared" si="147"/>
        <v>218818.15999999997</v>
      </c>
      <c r="Z99" s="4">
        <f t="shared" si="148"/>
        <v>8152.8320000000003</v>
      </c>
      <c r="AA99" s="4">
        <f t="shared" si="149"/>
        <v>226970.99199999997</v>
      </c>
      <c r="AB99" s="4">
        <f t="shared" si="150"/>
        <v>8152.8320000000003</v>
      </c>
      <c r="AC99" s="4">
        <f t="shared" si="151"/>
        <v>235123.82399999996</v>
      </c>
      <c r="AD99" s="3">
        <f t="shared" si="152"/>
        <v>8152.8320000000003</v>
      </c>
      <c r="AE99" s="4">
        <f t="shared" si="153"/>
        <v>243276.65599999996</v>
      </c>
      <c r="AF99" s="3">
        <f t="shared" si="154"/>
        <v>8152.8320000000003</v>
      </c>
      <c r="AG99" s="5">
        <f t="shared" si="155"/>
        <v>251429.48799999995</v>
      </c>
      <c r="AH99" s="3">
        <f t="shared" si="156"/>
        <v>8152.8320000000003</v>
      </c>
      <c r="AI99" s="5">
        <f t="shared" si="157"/>
        <v>259582.31999999995</v>
      </c>
      <c r="AJ99" s="3">
        <f t="shared" si="158"/>
        <v>8152.8320000000003</v>
      </c>
      <c r="AK99" s="3">
        <f t="shared" si="159"/>
        <v>267735.15199999994</v>
      </c>
      <c r="AL99" s="3">
        <f t="shared" si="160"/>
        <v>8152.8320000000003</v>
      </c>
      <c r="AM99" s="4">
        <f t="shared" si="161"/>
        <v>275887.98399999994</v>
      </c>
      <c r="AN99" s="4">
        <f t="shared" si="162"/>
        <v>233664.01600000006</v>
      </c>
      <c r="AO99" s="21">
        <f t="shared" si="163"/>
        <v>8152.8320000000003</v>
      </c>
      <c r="AP99" s="4">
        <f t="shared" si="164"/>
        <v>284040.81599999993</v>
      </c>
      <c r="AQ99" s="4">
        <v>165893.60000000015</v>
      </c>
      <c r="AR99" s="21">
        <v>12738.8</v>
      </c>
      <c r="AS99" s="19">
        <v>356397.19999999984</v>
      </c>
      <c r="AT99" s="4">
        <v>153154.80000000016</v>
      </c>
      <c r="AU99" s="21">
        <f t="shared" si="165"/>
        <v>8152.8320000000003</v>
      </c>
      <c r="AV99" s="19">
        <f t="shared" si="166"/>
        <v>364550.03199999983</v>
      </c>
      <c r="AW99" s="4">
        <f t="shared" si="167"/>
        <v>145001.96800000017</v>
      </c>
      <c r="AX99" s="4">
        <f t="shared" si="168"/>
        <v>8152.8320000000003</v>
      </c>
      <c r="AY99" s="4">
        <f t="shared" si="169"/>
        <v>372702.86399999983</v>
      </c>
      <c r="AZ99" s="4">
        <f t="shared" si="170"/>
        <v>136849.13600000017</v>
      </c>
      <c r="BA99" s="22">
        <f t="shared" si="171"/>
        <v>8152.8320000000003</v>
      </c>
      <c r="BB99" s="4">
        <f t="shared" si="172"/>
        <v>380855.69599999982</v>
      </c>
      <c r="BC99" s="4">
        <f t="shared" si="173"/>
        <v>128696.30400000018</v>
      </c>
      <c r="BF99" s="22">
        <v>12738.8</v>
      </c>
      <c r="BG99" s="4">
        <f t="shared" si="123"/>
        <v>-4585.9679999999989</v>
      </c>
    </row>
    <row r="100" spans="1:59" x14ac:dyDescent="0.35">
      <c r="A100" s="3" t="s">
        <v>170</v>
      </c>
      <c r="B100" s="3" t="s">
        <v>48</v>
      </c>
      <c r="C100" s="4">
        <v>174707</v>
      </c>
      <c r="D100" s="4" t="s">
        <v>80</v>
      </c>
      <c r="E100" s="2">
        <v>62.5</v>
      </c>
      <c r="F100" s="4"/>
      <c r="G100" s="4">
        <v>37128</v>
      </c>
      <c r="H100" s="4">
        <v>4368</v>
      </c>
      <c r="I100" s="4">
        <f t="shared" si="132"/>
        <v>41496</v>
      </c>
      <c r="J100" s="4">
        <f t="shared" si="133"/>
        <v>4368</v>
      </c>
      <c r="K100" s="4">
        <f t="shared" si="134"/>
        <v>45864</v>
      </c>
      <c r="L100" s="4">
        <f t="shared" si="135"/>
        <v>4368</v>
      </c>
      <c r="M100" s="4">
        <f t="shared" si="131"/>
        <v>50232</v>
      </c>
      <c r="N100" s="4">
        <f t="shared" si="136"/>
        <v>4368</v>
      </c>
      <c r="O100" s="4">
        <f t="shared" si="137"/>
        <v>54600</v>
      </c>
      <c r="P100" s="4">
        <f t="shared" si="138"/>
        <v>2795.3119999999999</v>
      </c>
      <c r="Q100" s="4">
        <f t="shared" si="139"/>
        <v>57395.311999999998</v>
      </c>
      <c r="R100" s="4">
        <f t="shared" si="140"/>
        <v>2795.3119999999999</v>
      </c>
      <c r="S100" s="4">
        <f t="shared" si="141"/>
        <v>60190.623999999996</v>
      </c>
      <c r="T100" s="4">
        <f t="shared" si="142"/>
        <v>2795.3119999999999</v>
      </c>
      <c r="U100" s="4">
        <f t="shared" si="143"/>
        <v>62985.935999999994</v>
      </c>
      <c r="V100" s="4">
        <f t="shared" si="144"/>
        <v>2795.3119999999999</v>
      </c>
      <c r="W100" s="4">
        <f t="shared" si="145"/>
        <v>65781.247999999992</v>
      </c>
      <c r="X100" s="4">
        <f t="shared" si="146"/>
        <v>2795.3119999999999</v>
      </c>
      <c r="Y100" s="4">
        <f t="shared" si="147"/>
        <v>68576.56</v>
      </c>
      <c r="Z100" s="4">
        <f t="shared" si="148"/>
        <v>2795.3119999999999</v>
      </c>
      <c r="AA100" s="4">
        <f t="shared" si="149"/>
        <v>71371.872000000003</v>
      </c>
      <c r="AB100" s="4">
        <f t="shared" si="150"/>
        <v>2795.3119999999999</v>
      </c>
      <c r="AC100" s="4">
        <f t="shared" si="151"/>
        <v>74167.184000000008</v>
      </c>
      <c r="AD100" s="3">
        <f t="shared" si="152"/>
        <v>2795.3119999999999</v>
      </c>
      <c r="AE100" s="4">
        <f t="shared" si="153"/>
        <v>76962.496000000014</v>
      </c>
      <c r="AF100" s="3">
        <f t="shared" si="154"/>
        <v>2795.3119999999999</v>
      </c>
      <c r="AG100" s="5">
        <f t="shared" si="155"/>
        <v>79757.808000000019</v>
      </c>
      <c r="AH100" s="3">
        <f t="shared" si="156"/>
        <v>2795.3119999999999</v>
      </c>
      <c r="AI100" s="5">
        <f t="shared" si="157"/>
        <v>82553.120000000024</v>
      </c>
      <c r="AJ100" s="3">
        <f t="shared" si="158"/>
        <v>2795.3119999999999</v>
      </c>
      <c r="AK100" s="3">
        <f t="shared" si="159"/>
        <v>85348.43200000003</v>
      </c>
      <c r="AL100" s="3">
        <f t="shared" si="160"/>
        <v>2795.3119999999999</v>
      </c>
      <c r="AM100" s="4">
        <f t="shared" si="161"/>
        <v>88143.744000000035</v>
      </c>
      <c r="AN100" s="4">
        <f t="shared" si="162"/>
        <v>86563.255999999965</v>
      </c>
      <c r="AO100" s="21">
        <f t="shared" si="163"/>
        <v>2795.3119999999999</v>
      </c>
      <c r="AP100" s="4">
        <f t="shared" si="164"/>
        <v>90939.056000000041</v>
      </c>
      <c r="AQ100" s="4">
        <v>63327.224999999962</v>
      </c>
      <c r="AR100" s="21">
        <v>4367.6750000000002</v>
      </c>
      <c r="AS100" s="19">
        <v>115747.45000000004</v>
      </c>
      <c r="AT100" s="4">
        <v>58959.549999999959</v>
      </c>
      <c r="AU100" s="21">
        <f t="shared" si="165"/>
        <v>2795.3119999999999</v>
      </c>
      <c r="AV100" s="19">
        <f t="shared" si="166"/>
        <v>118542.76200000005</v>
      </c>
      <c r="AW100" s="4">
        <f t="shared" si="167"/>
        <v>56164.237999999954</v>
      </c>
      <c r="AX100" s="4">
        <f t="shared" si="168"/>
        <v>2795.3119999999999</v>
      </c>
      <c r="AY100" s="4">
        <f t="shared" si="169"/>
        <v>121338.07400000005</v>
      </c>
      <c r="AZ100" s="4">
        <f t="shared" si="170"/>
        <v>53368.925999999949</v>
      </c>
      <c r="BA100" s="22">
        <f t="shared" si="171"/>
        <v>2795.3119999999999</v>
      </c>
      <c r="BB100" s="4">
        <f t="shared" si="172"/>
        <v>124133.38600000006</v>
      </c>
      <c r="BC100" s="4">
        <f t="shared" si="173"/>
        <v>50573.613999999943</v>
      </c>
      <c r="BF100" s="22">
        <v>4367.6750000000002</v>
      </c>
      <c r="BG100" s="4">
        <f t="shared" si="123"/>
        <v>-1572.3630000000003</v>
      </c>
    </row>
    <row r="101" spans="1:59" x14ac:dyDescent="0.35">
      <c r="A101" s="3" t="s">
        <v>171</v>
      </c>
      <c r="B101" s="3" t="s">
        <v>172</v>
      </c>
      <c r="C101" s="4">
        <v>9535</v>
      </c>
      <c r="D101" s="4" t="s">
        <v>80</v>
      </c>
      <c r="E101" s="2">
        <v>27.5</v>
      </c>
      <c r="F101" s="4"/>
      <c r="G101" s="4">
        <v>1210</v>
      </c>
      <c r="H101" s="4">
        <v>238</v>
      </c>
      <c r="I101" s="4">
        <f t="shared" si="132"/>
        <v>1448</v>
      </c>
      <c r="J101" s="4">
        <f t="shared" si="133"/>
        <v>238</v>
      </c>
      <c r="K101" s="4">
        <f t="shared" si="134"/>
        <v>1686</v>
      </c>
      <c r="L101" s="4">
        <f t="shared" si="135"/>
        <v>238</v>
      </c>
      <c r="M101" s="4">
        <f t="shared" si="131"/>
        <v>1924</v>
      </c>
      <c r="N101" s="4">
        <f t="shared" si="136"/>
        <v>238</v>
      </c>
      <c r="O101" s="4">
        <f t="shared" si="137"/>
        <v>2162</v>
      </c>
      <c r="P101" s="4">
        <f t="shared" si="138"/>
        <v>346.72727272727275</v>
      </c>
      <c r="Q101" s="4">
        <f t="shared" si="139"/>
        <v>2508.727272727273</v>
      </c>
      <c r="R101" s="4">
        <f t="shared" si="140"/>
        <v>346.72727272727275</v>
      </c>
      <c r="S101" s="4">
        <f t="shared" si="141"/>
        <v>2855.454545454546</v>
      </c>
      <c r="T101" s="4">
        <f t="shared" si="142"/>
        <v>346.72727272727275</v>
      </c>
      <c r="U101" s="4">
        <f t="shared" si="143"/>
        <v>3202.1818181818189</v>
      </c>
      <c r="V101" s="4">
        <f t="shared" si="144"/>
        <v>346.72727272727275</v>
      </c>
      <c r="W101" s="4">
        <f t="shared" si="145"/>
        <v>3548.9090909090919</v>
      </c>
      <c r="X101" s="4">
        <f t="shared" si="146"/>
        <v>346.72727272727275</v>
      </c>
      <c r="Y101" s="4">
        <f t="shared" si="147"/>
        <v>3895.6363636363649</v>
      </c>
      <c r="Z101" s="4">
        <f t="shared" si="148"/>
        <v>346.72727272727275</v>
      </c>
      <c r="AA101" s="4">
        <f t="shared" si="149"/>
        <v>4242.3636363636379</v>
      </c>
      <c r="AB101" s="4">
        <f t="shared" si="150"/>
        <v>346.72727272727275</v>
      </c>
      <c r="AC101" s="4">
        <f t="shared" si="151"/>
        <v>4589.0909090909108</v>
      </c>
      <c r="AD101" s="3">
        <f t="shared" si="152"/>
        <v>346.72727272727275</v>
      </c>
      <c r="AE101" s="4">
        <f t="shared" si="153"/>
        <v>4935.8181818181838</v>
      </c>
      <c r="AF101" s="3">
        <f t="shared" si="154"/>
        <v>346.72727272727275</v>
      </c>
      <c r="AG101" s="5">
        <f t="shared" si="155"/>
        <v>5282.5454545454568</v>
      </c>
      <c r="AH101" s="3">
        <f t="shared" si="156"/>
        <v>346.72727272727275</v>
      </c>
      <c r="AI101" s="5">
        <f t="shared" si="157"/>
        <v>5629.2727272727298</v>
      </c>
      <c r="AJ101" s="3">
        <f t="shared" si="158"/>
        <v>346.72727272727275</v>
      </c>
      <c r="AK101" s="3">
        <f t="shared" si="159"/>
        <v>5976.0000000000027</v>
      </c>
      <c r="AL101" s="3">
        <f t="shared" si="160"/>
        <v>346.72727272727275</v>
      </c>
      <c r="AM101" s="4">
        <f t="shared" si="161"/>
        <v>6322.7272727272757</v>
      </c>
      <c r="AN101" s="4">
        <f t="shared" si="162"/>
        <v>3212.2727272727243</v>
      </c>
      <c r="AO101" s="21">
        <f t="shared" si="163"/>
        <v>346.72727272727275</v>
      </c>
      <c r="AP101" s="4">
        <f t="shared" si="164"/>
        <v>6669.4545454545487</v>
      </c>
      <c r="AQ101" s="4">
        <v>4274.125</v>
      </c>
      <c r="AR101" s="21">
        <v>238.375</v>
      </c>
      <c r="AS101" s="19">
        <v>5499.25</v>
      </c>
      <c r="AT101" s="4">
        <v>4035.75</v>
      </c>
      <c r="AU101" s="21">
        <f t="shared" si="165"/>
        <v>346.72727272727275</v>
      </c>
      <c r="AV101" s="19">
        <f t="shared" si="166"/>
        <v>5845.977272727273</v>
      </c>
      <c r="AW101" s="4">
        <f t="shared" si="167"/>
        <v>3689.022727272727</v>
      </c>
      <c r="AX101" s="4">
        <f t="shared" si="168"/>
        <v>346.72727272727275</v>
      </c>
      <c r="AY101" s="4">
        <f t="shared" si="169"/>
        <v>6192.704545454546</v>
      </c>
      <c r="AZ101" s="4">
        <f t="shared" si="170"/>
        <v>3342.295454545454</v>
      </c>
      <c r="BA101" s="22">
        <f t="shared" si="171"/>
        <v>346.72727272727275</v>
      </c>
      <c r="BB101" s="4">
        <f t="shared" si="172"/>
        <v>6539.4318181818189</v>
      </c>
      <c r="BC101" s="4">
        <f t="shared" si="173"/>
        <v>2995.5681818181811</v>
      </c>
      <c r="BF101" s="22">
        <v>346.72727272727275</v>
      </c>
      <c r="BG101" s="4">
        <f t="shared" si="123"/>
        <v>0</v>
      </c>
    </row>
    <row r="102" spans="1:59" x14ac:dyDescent="0.35">
      <c r="A102" s="3" t="s">
        <v>171</v>
      </c>
      <c r="B102" s="3" t="s">
        <v>173</v>
      </c>
      <c r="C102" s="4">
        <v>3186</v>
      </c>
      <c r="D102" s="4" t="s">
        <v>80</v>
      </c>
      <c r="E102" s="2">
        <v>27.5</v>
      </c>
      <c r="F102" s="4"/>
      <c r="G102" s="4">
        <v>354</v>
      </c>
      <c r="H102" s="4">
        <v>80</v>
      </c>
      <c r="I102" s="4">
        <f t="shared" si="132"/>
        <v>434</v>
      </c>
      <c r="J102" s="4">
        <f t="shared" si="133"/>
        <v>80</v>
      </c>
      <c r="K102" s="4">
        <f t="shared" si="134"/>
        <v>514</v>
      </c>
      <c r="L102" s="4">
        <f t="shared" si="135"/>
        <v>80</v>
      </c>
      <c r="M102" s="4">
        <f t="shared" si="131"/>
        <v>594</v>
      </c>
      <c r="N102" s="4">
        <f t="shared" si="136"/>
        <v>80</v>
      </c>
      <c r="O102" s="4">
        <f t="shared" si="137"/>
        <v>674</v>
      </c>
      <c r="P102" s="4">
        <f t="shared" si="138"/>
        <v>115.85454545454546</v>
      </c>
      <c r="Q102" s="4">
        <f t="shared" si="139"/>
        <v>789.85454545454547</v>
      </c>
      <c r="R102" s="4">
        <f t="shared" si="140"/>
        <v>115.85454545454546</v>
      </c>
      <c r="S102" s="4">
        <f t="shared" si="141"/>
        <v>905.70909090909095</v>
      </c>
      <c r="T102" s="4">
        <f t="shared" si="142"/>
        <v>115.85454545454546</v>
      </c>
      <c r="U102" s="4">
        <f t="shared" si="143"/>
        <v>1021.5636363636364</v>
      </c>
      <c r="V102" s="4">
        <f t="shared" si="144"/>
        <v>115.85454545454546</v>
      </c>
      <c r="W102" s="4">
        <f t="shared" si="145"/>
        <v>1137.4181818181819</v>
      </c>
      <c r="X102" s="4">
        <f t="shared" si="146"/>
        <v>115.85454545454546</v>
      </c>
      <c r="Y102" s="4">
        <f t="shared" si="147"/>
        <v>1253.2727272727273</v>
      </c>
      <c r="Z102" s="4">
        <f t="shared" si="148"/>
        <v>115.85454545454546</v>
      </c>
      <c r="AA102" s="4">
        <f t="shared" si="149"/>
        <v>1369.1272727272726</v>
      </c>
      <c r="AB102" s="4">
        <f t="shared" si="150"/>
        <v>115.85454545454546</v>
      </c>
      <c r="AC102" s="4">
        <f t="shared" si="151"/>
        <v>1484.981818181818</v>
      </c>
      <c r="AD102" s="3">
        <f t="shared" si="152"/>
        <v>115.85454545454546</v>
      </c>
      <c r="AE102" s="4">
        <f t="shared" si="153"/>
        <v>1600.8363636363633</v>
      </c>
      <c r="AF102" s="3">
        <f t="shared" si="154"/>
        <v>115.85454545454546</v>
      </c>
      <c r="AG102" s="5">
        <f t="shared" si="155"/>
        <v>1716.6909090909087</v>
      </c>
      <c r="AH102" s="3">
        <f t="shared" si="156"/>
        <v>115.85454545454546</v>
      </c>
      <c r="AI102" s="5">
        <f t="shared" si="157"/>
        <v>1832.545454545454</v>
      </c>
      <c r="AJ102" s="3">
        <f t="shared" si="158"/>
        <v>115.85454545454546</v>
      </c>
      <c r="AK102" s="3">
        <f t="shared" si="159"/>
        <v>1948.3999999999994</v>
      </c>
      <c r="AL102" s="3">
        <f t="shared" si="160"/>
        <v>115.85454545454546</v>
      </c>
      <c r="AM102" s="4">
        <f t="shared" si="161"/>
        <v>2064.2545454545448</v>
      </c>
      <c r="AN102" s="4">
        <f t="shared" si="162"/>
        <v>1121.7454545454552</v>
      </c>
      <c r="AO102" s="21">
        <f t="shared" si="163"/>
        <v>115.85454545454546</v>
      </c>
      <c r="AP102" s="4">
        <f t="shared" si="164"/>
        <v>2180.1090909090904</v>
      </c>
      <c r="AQ102" s="4">
        <v>1476.5499999999993</v>
      </c>
      <c r="AR102" s="21">
        <v>79.650000000000006</v>
      </c>
      <c r="AS102" s="19">
        <v>1789.1000000000008</v>
      </c>
      <c r="AT102" s="4">
        <v>1396.8999999999992</v>
      </c>
      <c r="AU102" s="21">
        <f t="shared" si="165"/>
        <v>115.85454545454546</v>
      </c>
      <c r="AV102" s="19">
        <f t="shared" si="166"/>
        <v>1904.9545454545462</v>
      </c>
      <c r="AW102" s="4">
        <f t="shared" si="167"/>
        <v>1281.0454545454538</v>
      </c>
      <c r="AX102" s="4">
        <f t="shared" si="168"/>
        <v>115.85454545454546</v>
      </c>
      <c r="AY102" s="4">
        <f t="shared" si="169"/>
        <v>2020.8090909090915</v>
      </c>
      <c r="AZ102" s="4">
        <f t="shared" si="170"/>
        <v>1165.1909090909085</v>
      </c>
      <c r="BA102" s="22">
        <f t="shared" si="171"/>
        <v>115.85454545454546</v>
      </c>
      <c r="BB102" s="4">
        <f t="shared" si="172"/>
        <v>2136.6636363636371</v>
      </c>
      <c r="BC102" s="4">
        <f t="shared" si="173"/>
        <v>1049.3363636363629</v>
      </c>
      <c r="BF102" s="22">
        <v>115.85454545454546</v>
      </c>
      <c r="BG102" s="4">
        <f t="shared" si="123"/>
        <v>0</v>
      </c>
    </row>
    <row r="103" spans="1:59" x14ac:dyDescent="0.35">
      <c r="A103" s="3" t="s">
        <v>174</v>
      </c>
      <c r="B103" s="3" t="s">
        <v>175</v>
      </c>
      <c r="C103" s="4">
        <v>561010</v>
      </c>
      <c r="D103" s="4" t="s">
        <v>80</v>
      </c>
      <c r="E103" s="2">
        <v>62.5</v>
      </c>
      <c r="F103" s="4"/>
      <c r="G103" s="4">
        <v>56492</v>
      </c>
      <c r="H103" s="4">
        <v>14025</v>
      </c>
      <c r="I103" s="4">
        <f t="shared" si="132"/>
        <v>70517</v>
      </c>
      <c r="J103" s="4">
        <f t="shared" si="133"/>
        <v>14025</v>
      </c>
      <c r="K103" s="4">
        <f t="shared" si="134"/>
        <v>84542</v>
      </c>
      <c r="L103" s="4">
        <f t="shared" si="135"/>
        <v>14025</v>
      </c>
      <c r="M103" s="4">
        <f t="shared" si="131"/>
        <v>98567</v>
      </c>
      <c r="N103" s="4">
        <f t="shared" si="136"/>
        <v>14025</v>
      </c>
      <c r="O103" s="4">
        <f t="shared" si="137"/>
        <v>112592</v>
      </c>
      <c r="P103" s="4">
        <f t="shared" si="138"/>
        <v>8976.16</v>
      </c>
      <c r="Q103" s="4">
        <f t="shared" si="139"/>
        <v>121568.16</v>
      </c>
      <c r="R103" s="4">
        <f t="shared" si="140"/>
        <v>8976.16</v>
      </c>
      <c r="S103" s="4">
        <f t="shared" si="141"/>
        <v>130544.32000000001</v>
      </c>
      <c r="T103" s="4">
        <f t="shared" si="142"/>
        <v>8976.16</v>
      </c>
      <c r="U103" s="4">
        <f t="shared" si="143"/>
        <v>139520.48000000001</v>
      </c>
      <c r="V103" s="4">
        <f t="shared" si="144"/>
        <v>8976.16</v>
      </c>
      <c r="W103" s="4">
        <f t="shared" si="145"/>
        <v>148496.64000000001</v>
      </c>
      <c r="X103" s="4">
        <f t="shared" si="146"/>
        <v>8976.16</v>
      </c>
      <c r="Y103" s="4">
        <f t="shared" si="147"/>
        <v>157472.80000000002</v>
      </c>
      <c r="Z103" s="4">
        <f t="shared" si="148"/>
        <v>8976.16</v>
      </c>
      <c r="AA103" s="4">
        <f t="shared" si="149"/>
        <v>166448.96000000002</v>
      </c>
      <c r="AB103" s="4">
        <f t="shared" si="150"/>
        <v>8976.16</v>
      </c>
      <c r="AC103" s="4">
        <f t="shared" si="151"/>
        <v>175425.12000000002</v>
      </c>
      <c r="AD103" s="3">
        <f t="shared" si="152"/>
        <v>8976.16</v>
      </c>
      <c r="AE103" s="4">
        <f t="shared" si="153"/>
        <v>184401.28000000003</v>
      </c>
      <c r="AF103" s="3">
        <f t="shared" si="154"/>
        <v>8976.16</v>
      </c>
      <c r="AG103" s="5">
        <f t="shared" si="155"/>
        <v>193377.44000000003</v>
      </c>
      <c r="AH103" s="3">
        <f t="shared" si="156"/>
        <v>8976.16</v>
      </c>
      <c r="AI103" s="5">
        <f t="shared" si="157"/>
        <v>202353.60000000003</v>
      </c>
      <c r="AJ103" s="3">
        <f t="shared" si="158"/>
        <v>8976.16</v>
      </c>
      <c r="AK103" s="3">
        <f t="shared" si="159"/>
        <v>211329.76000000004</v>
      </c>
      <c r="AL103" s="3">
        <f t="shared" si="160"/>
        <v>8976.16</v>
      </c>
      <c r="AM103" s="4">
        <f t="shared" si="161"/>
        <v>220305.92000000004</v>
      </c>
      <c r="AN103" s="4">
        <f t="shared" si="162"/>
        <v>340704.07999999996</v>
      </c>
      <c r="AO103" s="21">
        <f t="shared" si="163"/>
        <v>8976.16</v>
      </c>
      <c r="AP103" s="4">
        <f t="shared" si="164"/>
        <v>229282.08000000005</v>
      </c>
      <c r="AQ103" s="4">
        <v>266089.75</v>
      </c>
      <c r="AR103" s="21">
        <v>14025.25</v>
      </c>
      <c r="AS103" s="19">
        <v>308945.5</v>
      </c>
      <c r="AT103" s="4">
        <v>252064.5</v>
      </c>
      <c r="AU103" s="21">
        <f t="shared" si="165"/>
        <v>8976.16</v>
      </c>
      <c r="AV103" s="19">
        <f t="shared" si="166"/>
        <v>317921.65999999997</v>
      </c>
      <c r="AW103" s="4">
        <f t="shared" si="167"/>
        <v>243088.34000000003</v>
      </c>
      <c r="AX103" s="4">
        <f t="shared" si="168"/>
        <v>8976.16</v>
      </c>
      <c r="AY103" s="4">
        <f t="shared" si="169"/>
        <v>326897.81999999995</v>
      </c>
      <c r="AZ103" s="4">
        <f t="shared" si="170"/>
        <v>234112.18000000005</v>
      </c>
      <c r="BA103" s="22">
        <f t="shared" si="171"/>
        <v>8976.16</v>
      </c>
      <c r="BB103" s="4">
        <f t="shared" si="172"/>
        <v>335873.97999999992</v>
      </c>
      <c r="BC103" s="4">
        <f t="shared" si="173"/>
        <v>225136.02000000008</v>
      </c>
      <c r="BF103" s="22">
        <v>14025.25</v>
      </c>
      <c r="BG103" s="4">
        <f t="shared" si="123"/>
        <v>-5049.09</v>
      </c>
    </row>
    <row r="104" spans="1:59" x14ac:dyDescent="0.35">
      <c r="A104" s="3" t="s">
        <v>176</v>
      </c>
      <c r="B104" s="3" t="s">
        <v>177</v>
      </c>
      <c r="C104" s="4">
        <v>3288</v>
      </c>
      <c r="D104" s="4" t="s">
        <v>80</v>
      </c>
      <c r="E104" s="2">
        <v>27.5</v>
      </c>
      <c r="F104" s="4"/>
      <c r="G104" s="4">
        <v>233</v>
      </c>
      <c r="H104" s="4">
        <v>82</v>
      </c>
      <c r="I104" s="4">
        <f t="shared" si="132"/>
        <v>315</v>
      </c>
      <c r="J104" s="4">
        <f t="shared" si="133"/>
        <v>82</v>
      </c>
      <c r="K104" s="4">
        <f t="shared" si="134"/>
        <v>397</v>
      </c>
      <c r="L104" s="4">
        <f t="shared" si="135"/>
        <v>82</v>
      </c>
      <c r="M104" s="4">
        <f t="shared" si="131"/>
        <v>479</v>
      </c>
      <c r="N104" s="4">
        <f t="shared" si="136"/>
        <v>82</v>
      </c>
      <c r="O104" s="4">
        <f t="shared" si="137"/>
        <v>561</v>
      </c>
      <c r="P104" s="4">
        <f t="shared" si="138"/>
        <v>119.56363636363636</v>
      </c>
      <c r="Q104" s="4">
        <f t="shared" si="139"/>
        <v>680.56363636363631</v>
      </c>
      <c r="R104" s="4">
        <f t="shared" si="140"/>
        <v>119.56363636363636</v>
      </c>
      <c r="S104" s="4">
        <f t="shared" si="141"/>
        <v>800.12727272727261</v>
      </c>
      <c r="T104" s="4">
        <f t="shared" si="142"/>
        <v>119.56363636363636</v>
      </c>
      <c r="U104" s="4">
        <f t="shared" si="143"/>
        <v>919.69090909090892</v>
      </c>
      <c r="V104" s="4">
        <f t="shared" si="144"/>
        <v>119.56363636363636</v>
      </c>
      <c r="W104" s="4">
        <f t="shared" si="145"/>
        <v>1039.2545454545452</v>
      </c>
      <c r="X104" s="4">
        <f t="shared" si="146"/>
        <v>119.56363636363636</v>
      </c>
      <c r="Y104" s="4">
        <f t="shared" si="147"/>
        <v>1158.8181818181815</v>
      </c>
      <c r="Z104" s="4">
        <f t="shared" si="148"/>
        <v>119.56363636363636</v>
      </c>
      <c r="AA104" s="4">
        <f t="shared" si="149"/>
        <v>1278.3818181818178</v>
      </c>
      <c r="AB104" s="4">
        <f t="shared" si="150"/>
        <v>119.56363636363636</v>
      </c>
      <c r="AC104" s="4">
        <f t="shared" si="151"/>
        <v>1397.9454545454541</v>
      </c>
      <c r="AD104" s="3">
        <f t="shared" si="152"/>
        <v>119.56363636363636</v>
      </c>
      <c r="AE104" s="4">
        <f t="shared" si="153"/>
        <v>1517.5090909090904</v>
      </c>
      <c r="AF104" s="3">
        <f t="shared" si="154"/>
        <v>119.56363636363636</v>
      </c>
      <c r="AG104" s="5">
        <f t="shared" si="155"/>
        <v>1637.0727272727268</v>
      </c>
      <c r="AH104" s="3">
        <f t="shared" si="156"/>
        <v>119.56363636363636</v>
      </c>
      <c r="AI104" s="5">
        <f t="shared" si="157"/>
        <v>1756.6363636363631</v>
      </c>
      <c r="AJ104" s="3">
        <f t="shared" si="158"/>
        <v>119.56363636363636</v>
      </c>
      <c r="AK104" s="3">
        <f t="shared" si="159"/>
        <v>1876.1999999999994</v>
      </c>
      <c r="AL104" s="3">
        <f t="shared" si="160"/>
        <v>119.56363636363636</v>
      </c>
      <c r="AM104" s="4">
        <f t="shared" si="161"/>
        <v>1995.7636363636357</v>
      </c>
      <c r="AN104" s="4">
        <f t="shared" si="162"/>
        <v>1292.2363636363643</v>
      </c>
      <c r="AO104" s="21">
        <f t="shared" si="163"/>
        <v>119.56363636363636</v>
      </c>
      <c r="AP104" s="4">
        <f t="shared" si="164"/>
        <v>2115.327272727272</v>
      </c>
      <c r="AQ104" s="4">
        <v>1658.3999999999994</v>
      </c>
      <c r="AR104" s="21">
        <v>82.2</v>
      </c>
      <c r="AS104" s="19">
        <v>1711.8000000000006</v>
      </c>
      <c r="AT104" s="4">
        <v>1576.1999999999994</v>
      </c>
      <c r="AU104" s="21">
        <f t="shared" si="165"/>
        <v>119.56363636363636</v>
      </c>
      <c r="AV104" s="19">
        <f t="shared" si="166"/>
        <v>1831.3636363636369</v>
      </c>
      <c r="AW104" s="4">
        <f t="shared" si="167"/>
        <v>1456.6363636363631</v>
      </c>
      <c r="AX104" s="4">
        <f t="shared" si="168"/>
        <v>119.56363636363636</v>
      </c>
      <c r="AY104" s="4">
        <f t="shared" si="169"/>
        <v>1950.9272727272732</v>
      </c>
      <c r="AZ104" s="4">
        <f t="shared" si="170"/>
        <v>1337.0727272727268</v>
      </c>
      <c r="BA104" s="22">
        <f t="shared" si="171"/>
        <v>119.56363636363636</v>
      </c>
      <c r="BB104" s="4">
        <f t="shared" si="172"/>
        <v>2070.4909090909096</v>
      </c>
      <c r="BC104" s="4">
        <f t="shared" si="173"/>
        <v>1217.5090909090904</v>
      </c>
      <c r="BF104" s="22">
        <v>119.56363636363636</v>
      </c>
      <c r="BG104" s="4">
        <f t="shared" si="123"/>
        <v>0</v>
      </c>
    </row>
    <row r="105" spans="1:59" x14ac:dyDescent="0.35">
      <c r="A105" s="3" t="s">
        <v>178</v>
      </c>
      <c r="B105" s="3" t="s">
        <v>99</v>
      </c>
      <c r="C105" s="4">
        <v>117000</v>
      </c>
      <c r="D105" s="4" t="s">
        <v>80</v>
      </c>
      <c r="E105" s="2">
        <v>62.5</v>
      </c>
      <c r="F105" s="4"/>
      <c r="G105" s="19"/>
      <c r="H105" s="19"/>
      <c r="I105" s="19"/>
      <c r="J105" s="4">
        <v>1463</v>
      </c>
      <c r="K105" s="4">
        <f t="shared" si="134"/>
        <v>1463</v>
      </c>
      <c r="L105" s="4">
        <f>C105/E105</f>
        <v>1872</v>
      </c>
      <c r="M105" s="4">
        <f t="shared" si="131"/>
        <v>3335</v>
      </c>
      <c r="N105" s="4">
        <f t="shared" si="136"/>
        <v>1872</v>
      </c>
      <c r="O105" s="4">
        <f t="shared" si="137"/>
        <v>5207</v>
      </c>
      <c r="P105" s="4">
        <f t="shared" si="138"/>
        <v>1872</v>
      </c>
      <c r="Q105" s="4">
        <f t="shared" si="139"/>
        <v>7079</v>
      </c>
      <c r="R105" s="4">
        <f t="shared" si="140"/>
        <v>1872</v>
      </c>
      <c r="S105" s="4">
        <f t="shared" si="141"/>
        <v>8951</v>
      </c>
      <c r="T105" s="4">
        <f t="shared" si="142"/>
        <v>1872</v>
      </c>
      <c r="U105" s="4">
        <f t="shared" si="143"/>
        <v>10823</v>
      </c>
      <c r="V105" s="4">
        <f t="shared" si="144"/>
        <v>1872</v>
      </c>
      <c r="W105" s="4">
        <f t="shared" si="145"/>
        <v>12695</v>
      </c>
      <c r="X105" s="4">
        <f t="shared" si="146"/>
        <v>1872</v>
      </c>
      <c r="Y105" s="4">
        <f t="shared" si="147"/>
        <v>14567</v>
      </c>
      <c r="Z105" s="4">
        <f t="shared" si="148"/>
        <v>1872</v>
      </c>
      <c r="AA105" s="4">
        <v>24954</v>
      </c>
      <c r="AB105" s="4">
        <f t="shared" si="150"/>
        <v>1872</v>
      </c>
      <c r="AC105" s="4">
        <f t="shared" si="151"/>
        <v>26826</v>
      </c>
      <c r="AD105" s="3">
        <f t="shared" si="152"/>
        <v>1872</v>
      </c>
      <c r="AE105" s="4">
        <f t="shared" si="153"/>
        <v>28698</v>
      </c>
      <c r="AF105" s="3">
        <f t="shared" si="154"/>
        <v>1872</v>
      </c>
      <c r="AG105" s="5">
        <f t="shared" si="155"/>
        <v>30570</v>
      </c>
      <c r="AH105" s="3">
        <f t="shared" si="156"/>
        <v>1872</v>
      </c>
      <c r="AI105" s="5">
        <f t="shared" si="157"/>
        <v>32442</v>
      </c>
      <c r="AJ105" s="3">
        <f t="shared" si="158"/>
        <v>1872</v>
      </c>
      <c r="AK105" s="3">
        <f t="shared" si="159"/>
        <v>34314</v>
      </c>
      <c r="AL105" s="3">
        <f t="shared" si="160"/>
        <v>1872</v>
      </c>
      <c r="AM105" s="4">
        <f t="shared" si="161"/>
        <v>36186</v>
      </c>
      <c r="AN105" s="4">
        <f t="shared" si="162"/>
        <v>80814</v>
      </c>
      <c r="AO105" s="21">
        <f t="shared" si="163"/>
        <v>1872</v>
      </c>
      <c r="AP105" s="4">
        <f t="shared" si="164"/>
        <v>38058</v>
      </c>
      <c r="AQ105" s="4">
        <v>71571</v>
      </c>
      <c r="AR105" s="21">
        <v>2925</v>
      </c>
      <c r="AS105" s="19">
        <v>48354</v>
      </c>
      <c r="AT105" s="4">
        <v>68646</v>
      </c>
      <c r="AU105" s="21">
        <f t="shared" si="165"/>
        <v>1872</v>
      </c>
      <c r="AV105" s="19">
        <f t="shared" si="166"/>
        <v>50226</v>
      </c>
      <c r="AW105" s="4">
        <f t="shared" si="167"/>
        <v>66774</v>
      </c>
      <c r="AX105" s="4">
        <f t="shared" si="168"/>
        <v>1872</v>
      </c>
      <c r="AY105" s="4">
        <f t="shared" si="169"/>
        <v>52098</v>
      </c>
      <c r="AZ105" s="4">
        <f t="shared" si="170"/>
        <v>64902</v>
      </c>
      <c r="BA105" s="22">
        <f t="shared" si="171"/>
        <v>1872</v>
      </c>
      <c r="BB105" s="4">
        <f t="shared" si="172"/>
        <v>53970</v>
      </c>
      <c r="BC105" s="4">
        <f t="shared" si="173"/>
        <v>63030</v>
      </c>
      <c r="BF105" s="22">
        <v>2925</v>
      </c>
      <c r="BG105" s="4">
        <f t="shared" si="123"/>
        <v>-1053</v>
      </c>
    </row>
    <row r="106" spans="1:59" x14ac:dyDescent="0.35">
      <c r="B106" s="4"/>
      <c r="C106" s="4"/>
      <c r="D106" s="4"/>
      <c r="F106" s="4"/>
      <c r="G106" s="19"/>
      <c r="H106" s="19"/>
      <c r="I106" s="19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E106" s="4"/>
      <c r="AG106" s="5"/>
      <c r="AM106" s="4"/>
      <c r="AN106" s="4"/>
      <c r="AO106" s="6"/>
      <c r="AP106" s="4">
        <f t="shared" si="164"/>
        <v>0</v>
      </c>
      <c r="AR106" s="6"/>
      <c r="AS106" s="19"/>
      <c r="BA106" s="17"/>
      <c r="BD106" s="4"/>
      <c r="BE106" s="4"/>
      <c r="BF106" s="17"/>
      <c r="BG106" s="4">
        <f t="shared" si="123"/>
        <v>0</v>
      </c>
    </row>
    <row r="107" spans="1:59" x14ac:dyDescent="0.35">
      <c r="C107" s="4"/>
      <c r="D107" s="4"/>
      <c r="F107" s="4"/>
      <c r="G107" s="19"/>
      <c r="H107" s="19"/>
      <c r="I107" s="19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C107" s="4"/>
      <c r="AE107" s="4"/>
      <c r="AG107" s="5"/>
      <c r="AM107" s="4"/>
      <c r="AN107" s="4"/>
      <c r="AO107" s="6"/>
      <c r="AR107" s="6"/>
      <c r="AS107" s="1"/>
      <c r="BA107" s="17"/>
      <c r="BF107" s="17"/>
      <c r="BG107" s="4">
        <f t="shared" si="123"/>
        <v>0</v>
      </c>
    </row>
    <row r="108" spans="1:59" x14ac:dyDescent="0.35">
      <c r="C108" s="19">
        <f>SUM(C98:C106)</f>
        <v>3246628</v>
      </c>
      <c r="D108" s="4"/>
      <c r="F108" s="4"/>
      <c r="G108" s="19">
        <f t="shared" ref="G108:R108" si="174">SUM(G98:G105)</f>
        <v>868559</v>
      </c>
      <c r="H108" s="19">
        <f t="shared" si="174"/>
        <v>78241</v>
      </c>
      <c r="I108" s="19">
        <f t="shared" si="174"/>
        <v>946800</v>
      </c>
      <c r="J108" s="19">
        <f t="shared" si="174"/>
        <v>79704</v>
      </c>
      <c r="K108" s="19">
        <f t="shared" si="174"/>
        <v>1026504</v>
      </c>
      <c r="L108" s="19">
        <f t="shared" si="174"/>
        <v>80113</v>
      </c>
      <c r="M108" s="19">
        <f t="shared" si="174"/>
        <v>1106617</v>
      </c>
      <c r="N108" s="19">
        <f t="shared" si="174"/>
        <v>80113</v>
      </c>
      <c r="O108" s="19">
        <f t="shared" si="174"/>
        <v>1186730</v>
      </c>
      <c r="P108" s="19">
        <f t="shared" si="174"/>
        <v>52272.049454545449</v>
      </c>
      <c r="Q108" s="19">
        <f t="shared" si="174"/>
        <v>1239002.0494545454</v>
      </c>
      <c r="R108" s="19">
        <f t="shared" si="174"/>
        <v>52272.049454545449</v>
      </c>
      <c r="S108" s="19">
        <f>Q108+R108</f>
        <v>1291274.0989090907</v>
      </c>
      <c r="T108" s="19">
        <f>SUM(T98:T105)</f>
        <v>52272.049454545449</v>
      </c>
      <c r="U108" s="19">
        <f>SUM(U98:U105)</f>
        <v>1343546.1483636363</v>
      </c>
      <c r="V108" s="19">
        <f>SUM(V98:V105)</f>
        <v>52272.049454545449</v>
      </c>
      <c r="W108" s="19">
        <f>SUM(W98:W105)</f>
        <v>1395818.1978181817</v>
      </c>
      <c r="X108" s="19">
        <f>V108</f>
        <v>52272.049454545449</v>
      </c>
      <c r="Y108" s="19">
        <f>W108+V108</f>
        <v>1448090.2472727271</v>
      </c>
      <c r="Z108" s="19">
        <f>SUM(Z98:Z105)</f>
        <v>52272.049454545449</v>
      </c>
      <c r="AA108" s="19">
        <f>SUM(AA98:AA106)</f>
        <v>1508877.2967272722</v>
      </c>
      <c r="AB108" s="19">
        <f>SUM(AB98:AB106)</f>
        <v>52272.049454545449</v>
      </c>
      <c r="AC108" s="19">
        <f>SUM(AC98:AC106)</f>
        <v>1561149.3461818181</v>
      </c>
      <c r="AD108" s="3">
        <f>SUM(AD98:AD106)</f>
        <v>52272.049454545449</v>
      </c>
      <c r="AE108" s="4">
        <f>AC108+AD108</f>
        <v>1613421.3956363634</v>
      </c>
      <c r="AF108" s="3">
        <f t="shared" ref="AF108:AM108" si="175">SUM(AF98:AF105)</f>
        <v>52272.049454545449</v>
      </c>
      <c r="AG108" s="5">
        <f t="shared" si="175"/>
        <v>1665693.4450909088</v>
      </c>
      <c r="AH108" s="3">
        <f t="shared" si="175"/>
        <v>52272.049454545449</v>
      </c>
      <c r="AI108" s="3">
        <f t="shared" si="175"/>
        <v>1717965.4945454546</v>
      </c>
      <c r="AJ108" s="3">
        <f t="shared" si="175"/>
        <v>52272.049454545449</v>
      </c>
      <c r="AK108" s="3">
        <f t="shared" si="175"/>
        <v>1770237.544</v>
      </c>
      <c r="AL108" s="1">
        <f t="shared" si="175"/>
        <v>52272.049454545449</v>
      </c>
      <c r="AM108" s="19">
        <f t="shared" si="175"/>
        <v>1822509.5934545458</v>
      </c>
      <c r="AN108" s="19">
        <f>C108-AM108</f>
        <v>1424118.4065454542</v>
      </c>
      <c r="AO108" s="25">
        <f>SUM(AO98:AO107)</f>
        <v>52272.049454545449</v>
      </c>
      <c r="AP108" s="19">
        <f>SUM(AP98:AP106)</f>
        <v>1874781.6429090914</v>
      </c>
      <c r="AQ108" s="19">
        <v>1002546.9000000001</v>
      </c>
      <c r="AR108" s="25">
        <v>81165.7</v>
      </c>
      <c r="AS108" s="19">
        <v>2325246.7999999998</v>
      </c>
      <c r="AT108" s="19">
        <v>921381.20000000007</v>
      </c>
      <c r="AU108" s="25">
        <f>SUM(AU98:AU107)</f>
        <v>52272.049454545449</v>
      </c>
      <c r="AV108" s="19">
        <f>SUM(AV98:AV106)</f>
        <v>2377518.8494545459</v>
      </c>
      <c r="AW108" s="19">
        <f>SUM(AW98:AW106)</f>
        <v>869109.15054545447</v>
      </c>
      <c r="AX108" s="19">
        <f t="shared" ref="AX108:BC108" si="176">SUM(AX98:AX106)</f>
        <v>52272.049454545449</v>
      </c>
      <c r="AY108" s="19">
        <f t="shared" si="176"/>
        <v>2429790.898909091</v>
      </c>
      <c r="AZ108" s="19">
        <f t="shared" si="176"/>
        <v>816837.10109090921</v>
      </c>
      <c r="BA108" s="33">
        <f t="shared" si="176"/>
        <v>52272.049454545449</v>
      </c>
      <c r="BB108" s="34">
        <f t="shared" si="176"/>
        <v>2482062.9483636362</v>
      </c>
      <c r="BC108" s="34">
        <f t="shared" si="176"/>
        <v>764565.0516363635</v>
      </c>
      <c r="BD108" s="35"/>
      <c r="BE108" s="35"/>
      <c r="BF108" s="33">
        <v>81347.620454545453</v>
      </c>
      <c r="BG108" s="35">
        <f t="shared" si="123"/>
        <v>-29075.571000000004</v>
      </c>
    </row>
    <row r="109" spans="1:59" x14ac:dyDescent="0.35">
      <c r="A109" s="3" t="s">
        <v>179</v>
      </c>
      <c r="C109" s="4"/>
      <c r="D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X109" s="4"/>
      <c r="Y109" s="4"/>
      <c r="AC109" s="4"/>
      <c r="AE109" s="4"/>
      <c r="AG109" s="5"/>
      <c r="AM109" s="4"/>
      <c r="AN109" s="4"/>
      <c r="AO109" s="6"/>
      <c r="AR109" s="6"/>
      <c r="AS109" s="1"/>
      <c r="AT109" s="4"/>
      <c r="BA109" s="17"/>
      <c r="BF109" s="17"/>
      <c r="BG109" s="4">
        <f t="shared" si="123"/>
        <v>0</v>
      </c>
    </row>
    <row r="110" spans="1:59" x14ac:dyDescent="0.35">
      <c r="C110" s="4"/>
      <c r="D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X110" s="4"/>
      <c r="Y110" s="4"/>
      <c r="AC110" s="4"/>
      <c r="AE110" s="4"/>
      <c r="AG110" s="5"/>
      <c r="AM110" s="4"/>
      <c r="AN110" s="4"/>
      <c r="AO110" s="6"/>
      <c r="AR110" s="6"/>
      <c r="AS110" s="1"/>
      <c r="BA110" s="17"/>
      <c r="BF110" s="17"/>
      <c r="BG110" s="4">
        <f t="shared" si="123"/>
        <v>0</v>
      </c>
    </row>
    <row r="111" spans="1:59" x14ac:dyDescent="0.35">
      <c r="A111" s="3" t="s">
        <v>180</v>
      </c>
      <c r="B111" s="3" t="s">
        <v>181</v>
      </c>
      <c r="C111" s="4">
        <v>385160</v>
      </c>
      <c r="D111" s="4" t="s">
        <v>80</v>
      </c>
      <c r="E111" s="2">
        <v>45</v>
      </c>
      <c r="F111" s="4"/>
      <c r="G111" s="4">
        <v>256791</v>
      </c>
      <c r="H111" s="4">
        <v>9629</v>
      </c>
      <c r="I111" s="4">
        <f t="shared" ref="I111:I117" si="177">SUM(G111:H111)</f>
        <v>266420</v>
      </c>
      <c r="J111" s="4">
        <f t="shared" ref="J111:J117" si="178">H111</f>
        <v>9629</v>
      </c>
      <c r="K111" s="4">
        <f t="shared" ref="K111:K119" si="179">I111+J111</f>
        <v>276049</v>
      </c>
      <c r="L111" s="4">
        <f t="shared" ref="L111:L117" si="180">J111</f>
        <v>9629</v>
      </c>
      <c r="M111" s="4">
        <f t="shared" ref="M111:M119" si="181">K111+L111</f>
        <v>285678</v>
      </c>
      <c r="N111" s="4">
        <f t="shared" ref="N111:N119" si="182">L111</f>
        <v>9629</v>
      </c>
      <c r="O111" s="4">
        <f t="shared" ref="O111:O119" si="183">M111+N111</f>
        <v>295307</v>
      </c>
      <c r="P111" s="4">
        <f t="shared" ref="P111:P119" si="184">C111/E111</f>
        <v>8559.1111111111113</v>
      </c>
      <c r="Q111" s="4">
        <f t="shared" ref="Q111:Q119" si="185">O111+P111</f>
        <v>303866.11111111112</v>
      </c>
      <c r="R111" s="4">
        <f t="shared" ref="R111:R119" si="186">SUM(C111/E111)</f>
        <v>8559.1111111111113</v>
      </c>
      <c r="S111" s="4">
        <f t="shared" ref="S111:S119" si="187">Q111+R111</f>
        <v>312425.22222222225</v>
      </c>
      <c r="T111" s="4">
        <f t="shared" ref="T111:T119" si="188">R111</f>
        <v>8559.1111111111113</v>
      </c>
      <c r="U111" s="4">
        <f t="shared" ref="U111:U119" si="189">S111+T111</f>
        <v>320984.33333333337</v>
      </c>
      <c r="V111" s="4">
        <f t="shared" ref="V111:V119" si="190">T111</f>
        <v>8559.1111111111113</v>
      </c>
      <c r="W111" s="4">
        <f t="shared" ref="W111:W119" si="191">U111+V111</f>
        <v>329543.4444444445</v>
      </c>
      <c r="X111" s="4">
        <f t="shared" ref="X111:X119" si="192">V111</f>
        <v>8559.1111111111113</v>
      </c>
      <c r="Y111" s="4">
        <f t="shared" ref="Y111:Y119" si="193">W111+V111</f>
        <v>338102.55555555562</v>
      </c>
      <c r="Z111" s="4">
        <f t="shared" ref="Z111:Z120" si="194">X111</f>
        <v>8559.1111111111113</v>
      </c>
      <c r="AA111" s="4">
        <f t="shared" ref="AA111:AA121" si="195">SUM(Y111:Z111)</f>
        <v>346661.66666666674</v>
      </c>
      <c r="AB111" s="4">
        <f t="shared" ref="AB111:AB121" si="196">Z111</f>
        <v>8559.1111111111113</v>
      </c>
      <c r="AC111" s="4">
        <f t="shared" ref="AC111:AC122" si="197">SUM(AA111:AB111)</f>
        <v>355220.77777777787</v>
      </c>
      <c r="AD111" s="3">
        <f t="shared" ref="AD111:AD122" si="198">AB111</f>
        <v>8559.1111111111113</v>
      </c>
      <c r="AE111" s="4">
        <f t="shared" ref="AE111:AE122" si="199">AC111+AD111</f>
        <v>363779.88888888899</v>
      </c>
      <c r="AF111" s="3">
        <f t="shared" ref="AF111:AF122" si="200">AD111</f>
        <v>8559.1111111111113</v>
      </c>
      <c r="AG111" s="5">
        <f t="shared" ref="AG111:AG122" si="201">AE111+AF111</f>
        <v>372339.00000000012</v>
      </c>
      <c r="AH111" s="3">
        <f>385160-381968</f>
        <v>3192</v>
      </c>
      <c r="AI111" s="5">
        <f t="shared" ref="AI111:AI122" si="202">AG111+AH111</f>
        <v>375531.00000000012</v>
      </c>
      <c r="AJ111" s="3">
        <v>0</v>
      </c>
      <c r="AK111" s="3">
        <f t="shared" ref="AK111:AK120" si="203">SUM(AI111:AJ111)</f>
        <v>375531.00000000012</v>
      </c>
      <c r="AL111" s="3">
        <v>0</v>
      </c>
      <c r="AM111" s="4">
        <f t="shared" ref="AM111:AM120" si="204">SUM(AK111:AL111)</f>
        <v>375531.00000000012</v>
      </c>
      <c r="AN111" s="4">
        <f t="shared" ref="AN111:AN122" si="205">C111-AM111</f>
        <v>9628.9999999998836</v>
      </c>
      <c r="AO111" s="21">
        <f t="shared" ref="AO111:AO122" si="206">AL111</f>
        <v>0</v>
      </c>
      <c r="AP111" s="4">
        <f t="shared" ref="AP111:AP124" si="207">AM111+AO111</f>
        <v>375531.00000000012</v>
      </c>
      <c r="AQ111" s="4">
        <v>0</v>
      </c>
      <c r="AR111" s="21">
        <v>0</v>
      </c>
      <c r="AS111" s="19">
        <v>385160</v>
      </c>
      <c r="AT111" s="4">
        <v>0</v>
      </c>
      <c r="AU111" s="21">
        <f>AR111</f>
        <v>0</v>
      </c>
      <c r="AV111" s="19">
        <f t="shared" ref="AV111:AV122" si="208">AS111+AU111</f>
        <v>385160</v>
      </c>
      <c r="AW111" s="4">
        <f t="shared" ref="AW111:AW122" si="209">C111-AV111</f>
        <v>0</v>
      </c>
      <c r="AX111" s="4">
        <v>0</v>
      </c>
      <c r="AY111" s="4">
        <f t="shared" ref="AY111:AY122" si="210">SUM(AV111+AX111)</f>
        <v>385160</v>
      </c>
      <c r="AZ111" s="4">
        <f t="shared" ref="AZ111:AZ122" si="211">SUM(C111-AY111)</f>
        <v>0</v>
      </c>
      <c r="BA111" s="17">
        <v>0</v>
      </c>
      <c r="BB111" s="4">
        <f t="shared" ref="BB111:BB122" si="212">SUM(AY111+BA111)</f>
        <v>385160</v>
      </c>
      <c r="BC111" s="3">
        <v>0</v>
      </c>
      <c r="BF111" s="17">
        <v>0</v>
      </c>
      <c r="BG111" s="4">
        <f t="shared" si="123"/>
        <v>0</v>
      </c>
    </row>
    <row r="112" spans="1:59" x14ac:dyDescent="0.35">
      <c r="A112" s="3" t="s">
        <v>182</v>
      </c>
      <c r="B112" s="3" t="s">
        <v>48</v>
      </c>
      <c r="C112" s="4">
        <v>4835</v>
      </c>
      <c r="D112" s="4" t="s">
        <v>80</v>
      </c>
      <c r="E112" s="2">
        <v>37.5</v>
      </c>
      <c r="F112" s="4"/>
      <c r="G112" s="4">
        <v>1028</v>
      </c>
      <c r="H112" s="4">
        <v>121</v>
      </c>
      <c r="I112" s="4">
        <f t="shared" si="177"/>
        <v>1149</v>
      </c>
      <c r="J112" s="4">
        <f t="shared" si="178"/>
        <v>121</v>
      </c>
      <c r="K112" s="4">
        <f t="shared" si="179"/>
        <v>1270</v>
      </c>
      <c r="L112" s="4">
        <f t="shared" si="180"/>
        <v>121</v>
      </c>
      <c r="M112" s="4">
        <f t="shared" si="181"/>
        <v>1391</v>
      </c>
      <c r="N112" s="4">
        <f t="shared" si="182"/>
        <v>121</v>
      </c>
      <c r="O112" s="4">
        <f t="shared" si="183"/>
        <v>1512</v>
      </c>
      <c r="P112" s="4">
        <f t="shared" si="184"/>
        <v>128.93333333333334</v>
      </c>
      <c r="Q112" s="4">
        <f t="shared" si="185"/>
        <v>1640.9333333333334</v>
      </c>
      <c r="R112" s="4">
        <f t="shared" si="186"/>
        <v>128.93333333333334</v>
      </c>
      <c r="S112" s="4">
        <f t="shared" si="187"/>
        <v>1769.8666666666668</v>
      </c>
      <c r="T112" s="4">
        <f t="shared" si="188"/>
        <v>128.93333333333334</v>
      </c>
      <c r="U112" s="4">
        <f t="shared" si="189"/>
        <v>1898.8000000000002</v>
      </c>
      <c r="V112" s="4">
        <f t="shared" si="190"/>
        <v>128.93333333333334</v>
      </c>
      <c r="W112" s="4">
        <f t="shared" si="191"/>
        <v>2027.7333333333336</v>
      </c>
      <c r="X112" s="4">
        <f t="shared" si="192"/>
        <v>128.93333333333334</v>
      </c>
      <c r="Y112" s="4">
        <f t="shared" si="193"/>
        <v>2156.666666666667</v>
      </c>
      <c r="Z112" s="4">
        <f t="shared" si="194"/>
        <v>128.93333333333334</v>
      </c>
      <c r="AA112" s="4">
        <f t="shared" si="195"/>
        <v>2285.6000000000004</v>
      </c>
      <c r="AB112" s="4">
        <f t="shared" si="196"/>
        <v>128.93333333333334</v>
      </c>
      <c r="AC112" s="4">
        <f t="shared" si="197"/>
        <v>2414.5333333333338</v>
      </c>
      <c r="AD112" s="3">
        <f t="shared" si="198"/>
        <v>128.93333333333334</v>
      </c>
      <c r="AE112" s="4">
        <f t="shared" si="199"/>
        <v>2543.4666666666672</v>
      </c>
      <c r="AF112" s="3">
        <f t="shared" si="200"/>
        <v>128.93333333333334</v>
      </c>
      <c r="AG112" s="5">
        <f t="shared" si="201"/>
        <v>2672.4000000000005</v>
      </c>
      <c r="AH112" s="3">
        <f t="shared" ref="AH112:AH122" si="213">AF112</f>
        <v>128.93333333333334</v>
      </c>
      <c r="AI112" s="5">
        <f t="shared" si="202"/>
        <v>2801.3333333333339</v>
      </c>
      <c r="AJ112" s="3">
        <v>120.88</v>
      </c>
      <c r="AK112" s="3">
        <f t="shared" si="203"/>
        <v>2922.213333333334</v>
      </c>
      <c r="AL112" s="3">
        <v>120.88</v>
      </c>
      <c r="AM112" s="4">
        <f t="shared" si="204"/>
        <v>3043.0933333333342</v>
      </c>
      <c r="AN112" s="4">
        <f t="shared" si="205"/>
        <v>1791.9066666666658</v>
      </c>
      <c r="AO112" s="21">
        <f t="shared" si="206"/>
        <v>120.88</v>
      </c>
      <c r="AP112" s="4">
        <f t="shared" si="207"/>
        <v>3163.9733333333343</v>
      </c>
      <c r="AQ112" s="4">
        <v>1751.6099999999997</v>
      </c>
      <c r="AR112" s="21">
        <v>120.88</v>
      </c>
      <c r="AS112" s="19">
        <v>3204.2700000000004</v>
      </c>
      <c r="AT112" s="4">
        <v>1630.7299999999996</v>
      </c>
      <c r="AU112" s="21">
        <f t="shared" ref="AU112:AU122" si="214">SUM(C112/E112)</f>
        <v>128.93333333333334</v>
      </c>
      <c r="AV112" s="19">
        <f t="shared" si="208"/>
        <v>3333.2033333333338</v>
      </c>
      <c r="AW112" s="4">
        <f t="shared" si="209"/>
        <v>1501.7966666666662</v>
      </c>
      <c r="AX112" s="4">
        <f t="shared" ref="AX112:AX122" si="215">SUM(C112/E112)</f>
        <v>128.93333333333334</v>
      </c>
      <c r="AY112" s="4">
        <f t="shared" si="210"/>
        <v>3462.1366666666672</v>
      </c>
      <c r="AZ112" s="4">
        <f t="shared" si="211"/>
        <v>1372.8633333333328</v>
      </c>
      <c r="BA112" s="22">
        <f t="shared" ref="BA112:BA122" si="216">SUM(C112/E112)</f>
        <v>128.93333333333334</v>
      </c>
      <c r="BB112" s="4">
        <f t="shared" si="212"/>
        <v>3591.0700000000006</v>
      </c>
      <c r="BC112" s="4">
        <f t="shared" ref="BC112:BC123" si="217">SUM(C112-BB112)</f>
        <v>1243.9299999999994</v>
      </c>
      <c r="BF112" s="22">
        <v>128.93333333333334</v>
      </c>
      <c r="BG112" s="4">
        <f t="shared" si="123"/>
        <v>0</v>
      </c>
    </row>
    <row r="113" spans="1:59" x14ac:dyDescent="0.35">
      <c r="A113" s="3" t="s">
        <v>183</v>
      </c>
      <c r="B113" s="3" t="s">
        <v>48</v>
      </c>
      <c r="C113" s="4">
        <v>260320</v>
      </c>
      <c r="D113" s="4" t="s">
        <v>80</v>
      </c>
      <c r="E113" s="2">
        <v>45</v>
      </c>
      <c r="F113" s="4"/>
      <c r="G113" s="4">
        <v>55318</v>
      </c>
      <c r="H113" s="4">
        <v>6508</v>
      </c>
      <c r="I113" s="4">
        <f t="shared" si="177"/>
        <v>61826</v>
      </c>
      <c r="J113" s="4">
        <f t="shared" si="178"/>
        <v>6508</v>
      </c>
      <c r="K113" s="4">
        <f t="shared" si="179"/>
        <v>68334</v>
      </c>
      <c r="L113" s="4">
        <f t="shared" si="180"/>
        <v>6508</v>
      </c>
      <c r="M113" s="4">
        <f t="shared" si="181"/>
        <v>74842</v>
      </c>
      <c r="N113" s="4">
        <f t="shared" si="182"/>
        <v>6508</v>
      </c>
      <c r="O113" s="4">
        <f t="shared" si="183"/>
        <v>81350</v>
      </c>
      <c r="P113" s="4">
        <f t="shared" si="184"/>
        <v>5784.8888888888887</v>
      </c>
      <c r="Q113" s="4">
        <f t="shared" si="185"/>
        <v>87134.888888888891</v>
      </c>
      <c r="R113" s="4">
        <f t="shared" si="186"/>
        <v>5784.8888888888887</v>
      </c>
      <c r="S113" s="4">
        <f t="shared" si="187"/>
        <v>92919.777777777781</v>
      </c>
      <c r="T113" s="4">
        <f t="shared" si="188"/>
        <v>5784.8888888888887</v>
      </c>
      <c r="U113" s="4">
        <f t="shared" si="189"/>
        <v>98704.666666666672</v>
      </c>
      <c r="V113" s="4">
        <f t="shared" si="190"/>
        <v>5784.8888888888887</v>
      </c>
      <c r="W113" s="4">
        <f t="shared" si="191"/>
        <v>104489.55555555556</v>
      </c>
      <c r="X113" s="4">
        <f t="shared" si="192"/>
        <v>5784.8888888888887</v>
      </c>
      <c r="Y113" s="4">
        <f t="shared" si="193"/>
        <v>110274.44444444445</v>
      </c>
      <c r="Z113" s="4">
        <f t="shared" si="194"/>
        <v>5784.8888888888887</v>
      </c>
      <c r="AA113" s="4">
        <f t="shared" si="195"/>
        <v>116059.33333333334</v>
      </c>
      <c r="AB113" s="4">
        <f t="shared" si="196"/>
        <v>5784.8888888888887</v>
      </c>
      <c r="AC113" s="4">
        <f t="shared" si="197"/>
        <v>121844.22222222223</v>
      </c>
      <c r="AD113" s="3">
        <f t="shared" si="198"/>
        <v>5784.8888888888887</v>
      </c>
      <c r="AE113" s="4">
        <f t="shared" si="199"/>
        <v>127629.11111111112</v>
      </c>
      <c r="AF113" s="3">
        <f t="shared" si="200"/>
        <v>5784.8888888888887</v>
      </c>
      <c r="AG113" s="5">
        <f t="shared" si="201"/>
        <v>133414</v>
      </c>
      <c r="AH113" s="3">
        <f t="shared" si="213"/>
        <v>5784.8888888888887</v>
      </c>
      <c r="AI113" s="5">
        <f t="shared" si="202"/>
        <v>139198.88888888888</v>
      </c>
      <c r="AJ113" s="3">
        <f t="shared" ref="AJ113:AJ121" si="218">AH113</f>
        <v>5784.8888888888887</v>
      </c>
      <c r="AK113" s="3">
        <f t="shared" si="203"/>
        <v>144983.77777777775</v>
      </c>
      <c r="AL113" s="3">
        <f t="shared" ref="AL113:AL121" si="219">AJ113</f>
        <v>5784.8888888888887</v>
      </c>
      <c r="AM113" s="4">
        <f t="shared" si="204"/>
        <v>150768.66666666663</v>
      </c>
      <c r="AN113" s="4">
        <f t="shared" si="205"/>
        <v>109551.33333333337</v>
      </c>
      <c r="AO113" s="21">
        <f t="shared" si="206"/>
        <v>5784.8888888888887</v>
      </c>
      <c r="AP113" s="4">
        <f t="shared" si="207"/>
        <v>156553.5555555555</v>
      </c>
      <c r="AQ113" s="4">
        <v>94366</v>
      </c>
      <c r="AR113" s="21">
        <v>6508</v>
      </c>
      <c r="AS113" s="19">
        <v>172462</v>
      </c>
      <c r="AT113" s="4">
        <v>87858</v>
      </c>
      <c r="AU113" s="21">
        <f t="shared" si="214"/>
        <v>5784.8888888888887</v>
      </c>
      <c r="AV113" s="19">
        <f t="shared" si="208"/>
        <v>178246.88888888888</v>
      </c>
      <c r="AW113" s="4">
        <f t="shared" si="209"/>
        <v>82073.111111111124</v>
      </c>
      <c r="AX113" s="4">
        <f t="shared" si="215"/>
        <v>5784.8888888888887</v>
      </c>
      <c r="AY113" s="4">
        <f t="shared" si="210"/>
        <v>184031.77777777775</v>
      </c>
      <c r="AZ113" s="4">
        <f t="shared" si="211"/>
        <v>76288.222222222248</v>
      </c>
      <c r="BA113" s="22">
        <f t="shared" si="216"/>
        <v>5784.8888888888887</v>
      </c>
      <c r="BB113" s="4">
        <f t="shared" si="212"/>
        <v>189816.66666666663</v>
      </c>
      <c r="BC113" s="4">
        <f t="shared" si="217"/>
        <v>70503.333333333372</v>
      </c>
      <c r="BF113" s="22">
        <v>5784.8888888888887</v>
      </c>
      <c r="BG113" s="4">
        <f t="shared" si="123"/>
        <v>0</v>
      </c>
    </row>
    <row r="114" spans="1:59" x14ac:dyDescent="0.35">
      <c r="A114" s="3" t="s">
        <v>184</v>
      </c>
      <c r="B114" s="3" t="s">
        <v>84</v>
      </c>
      <c r="C114" s="4">
        <v>42130</v>
      </c>
      <c r="D114" s="4" t="s">
        <v>80</v>
      </c>
      <c r="E114" s="2">
        <v>45</v>
      </c>
      <c r="F114" s="4"/>
      <c r="G114" s="4">
        <v>6845</v>
      </c>
      <c r="H114" s="4">
        <v>1053</v>
      </c>
      <c r="I114" s="4">
        <f t="shared" si="177"/>
        <v>7898</v>
      </c>
      <c r="J114" s="4">
        <f t="shared" si="178"/>
        <v>1053</v>
      </c>
      <c r="K114" s="4">
        <f t="shared" si="179"/>
        <v>8951</v>
      </c>
      <c r="L114" s="4">
        <f t="shared" si="180"/>
        <v>1053</v>
      </c>
      <c r="M114" s="4">
        <f t="shared" si="181"/>
        <v>10004</v>
      </c>
      <c r="N114" s="4">
        <f t="shared" si="182"/>
        <v>1053</v>
      </c>
      <c r="O114" s="4">
        <f t="shared" si="183"/>
        <v>11057</v>
      </c>
      <c r="P114" s="4">
        <f t="shared" si="184"/>
        <v>936.22222222222217</v>
      </c>
      <c r="Q114" s="4">
        <f t="shared" si="185"/>
        <v>11993.222222222223</v>
      </c>
      <c r="R114" s="4">
        <f t="shared" si="186"/>
        <v>936.22222222222217</v>
      </c>
      <c r="S114" s="4">
        <f t="shared" si="187"/>
        <v>12929.444444444445</v>
      </c>
      <c r="T114" s="4">
        <f t="shared" si="188"/>
        <v>936.22222222222217</v>
      </c>
      <c r="U114" s="4">
        <f t="shared" si="189"/>
        <v>13865.666666666668</v>
      </c>
      <c r="V114" s="4">
        <f t="shared" si="190"/>
        <v>936.22222222222217</v>
      </c>
      <c r="W114" s="4">
        <f t="shared" si="191"/>
        <v>14801.888888888891</v>
      </c>
      <c r="X114" s="4">
        <f t="shared" si="192"/>
        <v>936.22222222222217</v>
      </c>
      <c r="Y114" s="4">
        <f t="shared" si="193"/>
        <v>15738.111111111113</v>
      </c>
      <c r="Z114" s="4">
        <f t="shared" si="194"/>
        <v>936.22222222222217</v>
      </c>
      <c r="AA114" s="4">
        <f t="shared" si="195"/>
        <v>16674.333333333336</v>
      </c>
      <c r="AB114" s="4">
        <f t="shared" si="196"/>
        <v>936.22222222222217</v>
      </c>
      <c r="AC114" s="4">
        <f t="shared" si="197"/>
        <v>17610.555555555558</v>
      </c>
      <c r="AD114" s="3">
        <f t="shared" si="198"/>
        <v>936.22222222222217</v>
      </c>
      <c r="AE114" s="4">
        <f t="shared" si="199"/>
        <v>18546.777777777781</v>
      </c>
      <c r="AF114" s="3">
        <f t="shared" si="200"/>
        <v>936.22222222222217</v>
      </c>
      <c r="AG114" s="5">
        <f t="shared" si="201"/>
        <v>19483.000000000004</v>
      </c>
      <c r="AH114" s="3">
        <f t="shared" si="213"/>
        <v>936.22222222222217</v>
      </c>
      <c r="AI114" s="5">
        <f t="shared" si="202"/>
        <v>20419.222222222226</v>
      </c>
      <c r="AJ114" s="3">
        <f t="shared" si="218"/>
        <v>936.22222222222217</v>
      </c>
      <c r="AK114" s="3">
        <f t="shared" si="203"/>
        <v>21355.444444444449</v>
      </c>
      <c r="AL114" s="3">
        <f t="shared" si="219"/>
        <v>936.22222222222217</v>
      </c>
      <c r="AM114" s="4">
        <f t="shared" si="204"/>
        <v>22291.666666666672</v>
      </c>
      <c r="AN114" s="4">
        <f t="shared" si="205"/>
        <v>19838.333333333328</v>
      </c>
      <c r="AO114" s="21">
        <f t="shared" si="206"/>
        <v>936.22222222222217</v>
      </c>
      <c r="AP114" s="4">
        <f t="shared" si="207"/>
        <v>23227.888888888894</v>
      </c>
      <c r="AQ114" s="4">
        <v>17380.75</v>
      </c>
      <c r="AR114" s="21">
        <v>1053.25</v>
      </c>
      <c r="AS114" s="19">
        <v>25802.5</v>
      </c>
      <c r="AT114" s="4">
        <v>16327.5</v>
      </c>
      <c r="AU114" s="21">
        <f t="shared" si="214"/>
        <v>936.22222222222217</v>
      </c>
      <c r="AV114" s="19">
        <f t="shared" si="208"/>
        <v>26738.722222222223</v>
      </c>
      <c r="AW114" s="4">
        <f t="shared" si="209"/>
        <v>15391.277777777777</v>
      </c>
      <c r="AX114" s="4">
        <f t="shared" si="215"/>
        <v>936.22222222222217</v>
      </c>
      <c r="AY114" s="4">
        <f t="shared" si="210"/>
        <v>27674.944444444445</v>
      </c>
      <c r="AZ114" s="4">
        <f t="shared" si="211"/>
        <v>14455.055555555555</v>
      </c>
      <c r="BA114" s="22">
        <f t="shared" si="216"/>
        <v>936.22222222222217</v>
      </c>
      <c r="BB114" s="4">
        <f t="shared" si="212"/>
        <v>28611.166666666668</v>
      </c>
      <c r="BC114" s="4">
        <f t="shared" si="217"/>
        <v>13518.833333333332</v>
      </c>
      <c r="BF114" s="22">
        <v>936.22222222222217</v>
      </c>
      <c r="BG114" s="4">
        <f t="shared" si="123"/>
        <v>0</v>
      </c>
    </row>
    <row r="115" spans="1:59" x14ac:dyDescent="0.35">
      <c r="A115" s="3" t="s">
        <v>184</v>
      </c>
      <c r="B115" s="3" t="s">
        <v>85</v>
      </c>
      <c r="C115" s="4">
        <v>6340</v>
      </c>
      <c r="D115" s="4" t="s">
        <v>80</v>
      </c>
      <c r="E115" s="2">
        <v>45</v>
      </c>
      <c r="F115" s="4"/>
      <c r="G115" s="4">
        <v>874</v>
      </c>
      <c r="H115" s="4">
        <v>159</v>
      </c>
      <c r="I115" s="4">
        <f t="shared" si="177"/>
        <v>1033</v>
      </c>
      <c r="J115" s="4">
        <f t="shared" si="178"/>
        <v>159</v>
      </c>
      <c r="K115" s="4">
        <f t="shared" si="179"/>
        <v>1192</v>
      </c>
      <c r="L115" s="4">
        <f t="shared" si="180"/>
        <v>159</v>
      </c>
      <c r="M115" s="4">
        <f t="shared" si="181"/>
        <v>1351</v>
      </c>
      <c r="N115" s="4">
        <f t="shared" si="182"/>
        <v>159</v>
      </c>
      <c r="O115" s="4">
        <f t="shared" si="183"/>
        <v>1510</v>
      </c>
      <c r="P115" s="4">
        <f t="shared" si="184"/>
        <v>140.88888888888889</v>
      </c>
      <c r="Q115" s="4">
        <f t="shared" si="185"/>
        <v>1650.8888888888889</v>
      </c>
      <c r="R115" s="4">
        <f t="shared" si="186"/>
        <v>140.88888888888889</v>
      </c>
      <c r="S115" s="4">
        <f t="shared" si="187"/>
        <v>1791.7777777777778</v>
      </c>
      <c r="T115" s="4">
        <f t="shared" si="188"/>
        <v>140.88888888888889</v>
      </c>
      <c r="U115" s="4">
        <f t="shared" si="189"/>
        <v>1932.6666666666667</v>
      </c>
      <c r="V115" s="4">
        <f t="shared" si="190"/>
        <v>140.88888888888889</v>
      </c>
      <c r="W115" s="4">
        <f t="shared" si="191"/>
        <v>2073.5555555555557</v>
      </c>
      <c r="X115" s="4">
        <f t="shared" si="192"/>
        <v>140.88888888888889</v>
      </c>
      <c r="Y115" s="4">
        <f t="shared" si="193"/>
        <v>2214.4444444444443</v>
      </c>
      <c r="Z115" s="4">
        <f t="shared" si="194"/>
        <v>140.88888888888889</v>
      </c>
      <c r="AA115" s="4">
        <f t="shared" si="195"/>
        <v>2355.333333333333</v>
      </c>
      <c r="AB115" s="4">
        <f t="shared" si="196"/>
        <v>140.88888888888889</v>
      </c>
      <c r="AC115" s="4">
        <f t="shared" si="197"/>
        <v>2496.2222222222217</v>
      </c>
      <c r="AD115" s="3">
        <f t="shared" si="198"/>
        <v>140.88888888888889</v>
      </c>
      <c r="AE115" s="4">
        <f t="shared" si="199"/>
        <v>2637.1111111111104</v>
      </c>
      <c r="AF115" s="3">
        <f t="shared" si="200"/>
        <v>140.88888888888889</v>
      </c>
      <c r="AG115" s="5">
        <f t="shared" si="201"/>
        <v>2777.9999999999991</v>
      </c>
      <c r="AH115" s="3">
        <f t="shared" si="213"/>
        <v>140.88888888888889</v>
      </c>
      <c r="AI115" s="5">
        <f t="shared" si="202"/>
        <v>2918.8888888888878</v>
      </c>
      <c r="AJ115" s="3">
        <f t="shared" si="218"/>
        <v>140.88888888888889</v>
      </c>
      <c r="AK115" s="3">
        <f t="shared" si="203"/>
        <v>3059.7777777777765</v>
      </c>
      <c r="AL115" s="3">
        <f t="shared" si="219"/>
        <v>140.88888888888889</v>
      </c>
      <c r="AM115" s="4">
        <f t="shared" si="204"/>
        <v>3200.6666666666652</v>
      </c>
      <c r="AN115" s="4">
        <f t="shared" si="205"/>
        <v>3139.3333333333348</v>
      </c>
      <c r="AO115" s="21">
        <f t="shared" si="206"/>
        <v>140.88888888888889</v>
      </c>
      <c r="AP115" s="4">
        <f t="shared" si="207"/>
        <v>3341.5555555555538</v>
      </c>
      <c r="AQ115" s="4">
        <v>2769.5</v>
      </c>
      <c r="AR115" s="21">
        <v>158.5</v>
      </c>
      <c r="AS115" s="19">
        <v>3729</v>
      </c>
      <c r="AT115" s="4">
        <v>2611</v>
      </c>
      <c r="AU115" s="21">
        <f t="shared" si="214"/>
        <v>140.88888888888889</v>
      </c>
      <c r="AV115" s="19">
        <f t="shared" si="208"/>
        <v>3869.8888888888887</v>
      </c>
      <c r="AW115" s="4">
        <f t="shared" si="209"/>
        <v>2470.1111111111113</v>
      </c>
      <c r="AX115" s="4">
        <f t="shared" si="215"/>
        <v>140.88888888888889</v>
      </c>
      <c r="AY115" s="4">
        <f t="shared" si="210"/>
        <v>4010.7777777777774</v>
      </c>
      <c r="AZ115" s="4">
        <f t="shared" si="211"/>
        <v>2329.2222222222226</v>
      </c>
      <c r="BA115" s="22">
        <f t="shared" si="216"/>
        <v>140.88888888888889</v>
      </c>
      <c r="BB115" s="4">
        <f t="shared" si="212"/>
        <v>4151.6666666666661</v>
      </c>
      <c r="BC115" s="4">
        <f t="shared" si="217"/>
        <v>2188.3333333333339</v>
      </c>
      <c r="BF115" s="22">
        <v>140.88888888888889</v>
      </c>
      <c r="BG115" s="4">
        <f t="shared" si="123"/>
        <v>0</v>
      </c>
    </row>
    <row r="116" spans="1:59" x14ac:dyDescent="0.35">
      <c r="A116" s="3" t="s">
        <v>184</v>
      </c>
      <c r="B116" s="3" t="s">
        <v>86</v>
      </c>
      <c r="C116" s="4">
        <v>17905</v>
      </c>
      <c r="D116" s="4" t="s">
        <v>80</v>
      </c>
      <c r="E116" s="2">
        <v>45</v>
      </c>
      <c r="F116" s="4"/>
      <c r="G116" s="4">
        <v>2016</v>
      </c>
      <c r="H116" s="4">
        <v>448</v>
      </c>
      <c r="I116" s="4">
        <f t="shared" si="177"/>
        <v>2464</v>
      </c>
      <c r="J116" s="4">
        <f t="shared" si="178"/>
        <v>448</v>
      </c>
      <c r="K116" s="4">
        <f t="shared" si="179"/>
        <v>2912</v>
      </c>
      <c r="L116" s="4">
        <f t="shared" si="180"/>
        <v>448</v>
      </c>
      <c r="M116" s="4">
        <f t="shared" si="181"/>
        <v>3360</v>
      </c>
      <c r="N116" s="4">
        <f t="shared" si="182"/>
        <v>448</v>
      </c>
      <c r="O116" s="4">
        <f t="shared" si="183"/>
        <v>3808</v>
      </c>
      <c r="P116" s="4">
        <f t="shared" si="184"/>
        <v>397.88888888888891</v>
      </c>
      <c r="Q116" s="4">
        <f t="shared" si="185"/>
        <v>4205.8888888888887</v>
      </c>
      <c r="R116" s="4">
        <f t="shared" si="186"/>
        <v>397.88888888888891</v>
      </c>
      <c r="S116" s="4">
        <f t="shared" si="187"/>
        <v>4603.7777777777774</v>
      </c>
      <c r="T116" s="4">
        <f t="shared" si="188"/>
        <v>397.88888888888891</v>
      </c>
      <c r="U116" s="4">
        <f t="shared" si="189"/>
        <v>5001.6666666666661</v>
      </c>
      <c r="V116" s="4">
        <f t="shared" si="190"/>
        <v>397.88888888888891</v>
      </c>
      <c r="W116" s="4">
        <f t="shared" si="191"/>
        <v>5399.5555555555547</v>
      </c>
      <c r="X116" s="4">
        <f t="shared" si="192"/>
        <v>397.88888888888891</v>
      </c>
      <c r="Y116" s="4">
        <f t="shared" si="193"/>
        <v>5797.4444444444434</v>
      </c>
      <c r="Z116" s="4">
        <f t="shared" si="194"/>
        <v>397.88888888888891</v>
      </c>
      <c r="AA116" s="4">
        <f t="shared" si="195"/>
        <v>6195.3333333333321</v>
      </c>
      <c r="AB116" s="4">
        <f t="shared" si="196"/>
        <v>397.88888888888891</v>
      </c>
      <c r="AC116" s="4">
        <f t="shared" si="197"/>
        <v>6593.2222222222208</v>
      </c>
      <c r="AD116" s="3">
        <f t="shared" si="198"/>
        <v>397.88888888888891</v>
      </c>
      <c r="AE116" s="4">
        <f t="shared" si="199"/>
        <v>6991.1111111111095</v>
      </c>
      <c r="AF116" s="3">
        <f t="shared" si="200"/>
        <v>397.88888888888891</v>
      </c>
      <c r="AG116" s="5">
        <f t="shared" si="201"/>
        <v>7388.9999999999982</v>
      </c>
      <c r="AH116" s="3">
        <f t="shared" si="213"/>
        <v>397.88888888888891</v>
      </c>
      <c r="AI116" s="5">
        <f t="shared" si="202"/>
        <v>7786.8888888888869</v>
      </c>
      <c r="AJ116" s="3">
        <f t="shared" si="218"/>
        <v>397.88888888888891</v>
      </c>
      <c r="AK116" s="3">
        <f t="shared" si="203"/>
        <v>8184.7777777777756</v>
      </c>
      <c r="AL116" s="3">
        <f t="shared" si="219"/>
        <v>397.88888888888891</v>
      </c>
      <c r="AM116" s="4">
        <f t="shared" si="204"/>
        <v>8582.6666666666642</v>
      </c>
      <c r="AN116" s="4">
        <f t="shared" si="205"/>
        <v>9322.3333333333358</v>
      </c>
      <c r="AO116" s="21">
        <f t="shared" si="206"/>
        <v>397.88888888888891</v>
      </c>
      <c r="AP116" s="4">
        <f t="shared" si="207"/>
        <v>8980.5555555555529</v>
      </c>
      <c r="AQ116" s="4">
        <v>8277.875</v>
      </c>
      <c r="AR116" s="21">
        <v>447.625</v>
      </c>
      <c r="AS116" s="19">
        <v>10074.75</v>
      </c>
      <c r="AT116" s="4">
        <v>7830.25</v>
      </c>
      <c r="AU116" s="21">
        <f t="shared" si="214"/>
        <v>397.88888888888891</v>
      </c>
      <c r="AV116" s="19">
        <f t="shared" si="208"/>
        <v>10472.638888888889</v>
      </c>
      <c r="AW116" s="4">
        <f t="shared" si="209"/>
        <v>7432.3611111111113</v>
      </c>
      <c r="AX116" s="4">
        <f t="shared" si="215"/>
        <v>397.88888888888891</v>
      </c>
      <c r="AY116" s="4">
        <f t="shared" si="210"/>
        <v>10870.527777777777</v>
      </c>
      <c r="AZ116" s="4">
        <f t="shared" si="211"/>
        <v>7034.4722222222226</v>
      </c>
      <c r="BA116" s="22">
        <f t="shared" si="216"/>
        <v>397.88888888888891</v>
      </c>
      <c r="BB116" s="4">
        <f t="shared" si="212"/>
        <v>11268.416666666666</v>
      </c>
      <c r="BC116" s="4">
        <f t="shared" si="217"/>
        <v>6636.5833333333339</v>
      </c>
      <c r="BF116" s="22">
        <v>397.88888888888891</v>
      </c>
      <c r="BG116" s="4">
        <f t="shared" si="123"/>
        <v>0</v>
      </c>
    </row>
    <row r="117" spans="1:59" x14ac:dyDescent="0.35">
      <c r="A117" s="3" t="s">
        <v>183</v>
      </c>
      <c r="B117" s="3" t="s">
        <v>88</v>
      </c>
      <c r="C117" s="4">
        <v>290779</v>
      </c>
      <c r="D117" s="4" t="s">
        <v>80</v>
      </c>
      <c r="E117" s="2">
        <v>45</v>
      </c>
      <c r="F117" s="4"/>
      <c r="G117" s="4">
        <v>25442</v>
      </c>
      <c r="H117" s="4">
        <v>7269</v>
      </c>
      <c r="I117" s="4">
        <f t="shared" si="177"/>
        <v>32711</v>
      </c>
      <c r="J117" s="4">
        <f t="shared" si="178"/>
        <v>7269</v>
      </c>
      <c r="K117" s="4">
        <f t="shared" si="179"/>
        <v>39980</v>
      </c>
      <c r="L117" s="4">
        <f t="shared" si="180"/>
        <v>7269</v>
      </c>
      <c r="M117" s="4">
        <f t="shared" si="181"/>
        <v>47249</v>
      </c>
      <c r="N117" s="4">
        <f t="shared" si="182"/>
        <v>7269</v>
      </c>
      <c r="O117" s="4">
        <f t="shared" si="183"/>
        <v>54518</v>
      </c>
      <c r="P117" s="4">
        <f t="shared" si="184"/>
        <v>6461.7555555555555</v>
      </c>
      <c r="Q117" s="4">
        <f t="shared" si="185"/>
        <v>60979.755555555559</v>
      </c>
      <c r="R117" s="4">
        <f t="shared" si="186"/>
        <v>6461.7555555555555</v>
      </c>
      <c r="S117" s="4">
        <f t="shared" si="187"/>
        <v>67441.511111111118</v>
      </c>
      <c r="T117" s="4">
        <f t="shared" si="188"/>
        <v>6461.7555555555555</v>
      </c>
      <c r="U117" s="4">
        <f t="shared" si="189"/>
        <v>73903.266666666677</v>
      </c>
      <c r="V117" s="4">
        <f t="shared" si="190"/>
        <v>6461.7555555555555</v>
      </c>
      <c r="W117" s="4">
        <f t="shared" si="191"/>
        <v>80365.022222222236</v>
      </c>
      <c r="X117" s="4">
        <f t="shared" si="192"/>
        <v>6461.7555555555555</v>
      </c>
      <c r="Y117" s="4">
        <f t="shared" si="193"/>
        <v>86826.777777777796</v>
      </c>
      <c r="Z117" s="4">
        <f t="shared" si="194"/>
        <v>6461.7555555555555</v>
      </c>
      <c r="AA117" s="4">
        <f t="shared" si="195"/>
        <v>93288.533333333355</v>
      </c>
      <c r="AB117" s="4">
        <f t="shared" si="196"/>
        <v>6461.7555555555555</v>
      </c>
      <c r="AC117" s="4">
        <f t="shared" si="197"/>
        <v>99750.288888888914</v>
      </c>
      <c r="AD117" s="3">
        <f t="shared" si="198"/>
        <v>6461.7555555555555</v>
      </c>
      <c r="AE117" s="4">
        <f t="shared" si="199"/>
        <v>106212.04444444447</v>
      </c>
      <c r="AF117" s="3">
        <f t="shared" si="200"/>
        <v>6461.7555555555555</v>
      </c>
      <c r="AG117" s="5">
        <f t="shared" si="201"/>
        <v>112673.80000000003</v>
      </c>
      <c r="AH117" s="3">
        <f t="shared" si="213"/>
        <v>6461.7555555555555</v>
      </c>
      <c r="AI117" s="5">
        <f t="shared" si="202"/>
        <v>119135.55555555559</v>
      </c>
      <c r="AJ117" s="3">
        <f t="shared" si="218"/>
        <v>6461.7555555555555</v>
      </c>
      <c r="AK117" s="3">
        <f t="shared" si="203"/>
        <v>125597.31111111115</v>
      </c>
      <c r="AL117" s="3">
        <f t="shared" si="219"/>
        <v>6461.7555555555555</v>
      </c>
      <c r="AM117" s="4">
        <f t="shared" si="204"/>
        <v>132059.06666666671</v>
      </c>
      <c r="AN117" s="4">
        <f t="shared" si="205"/>
        <v>158719.93333333329</v>
      </c>
      <c r="AO117" s="21">
        <f t="shared" si="206"/>
        <v>6461.7555555555555</v>
      </c>
      <c r="AP117" s="4">
        <f t="shared" si="207"/>
        <v>138520.82222222225</v>
      </c>
      <c r="AQ117" s="4">
        <v>141757.82499999995</v>
      </c>
      <c r="AR117" s="21">
        <v>7269.4750000000004</v>
      </c>
      <c r="AS117" s="19">
        <v>156290.65000000005</v>
      </c>
      <c r="AT117" s="4">
        <v>134488.34999999995</v>
      </c>
      <c r="AU117" s="21">
        <f t="shared" si="214"/>
        <v>6461.7555555555555</v>
      </c>
      <c r="AV117" s="19">
        <f t="shared" si="208"/>
        <v>162752.4055555556</v>
      </c>
      <c r="AW117" s="4">
        <f t="shared" si="209"/>
        <v>128026.5944444444</v>
      </c>
      <c r="AX117" s="4">
        <f t="shared" si="215"/>
        <v>6461.7555555555555</v>
      </c>
      <c r="AY117" s="4">
        <f t="shared" si="210"/>
        <v>169214.16111111114</v>
      </c>
      <c r="AZ117" s="4">
        <f t="shared" si="211"/>
        <v>121564.83888888886</v>
      </c>
      <c r="BA117" s="22">
        <f t="shared" si="216"/>
        <v>6461.7555555555555</v>
      </c>
      <c r="BB117" s="4">
        <f t="shared" si="212"/>
        <v>175675.91666666669</v>
      </c>
      <c r="BC117" s="4">
        <f t="shared" si="217"/>
        <v>115103.08333333331</v>
      </c>
      <c r="BF117" s="22">
        <v>6461.7555555555555</v>
      </c>
      <c r="BG117" s="4">
        <f t="shared" si="123"/>
        <v>0</v>
      </c>
    </row>
    <row r="118" spans="1:59" x14ac:dyDescent="0.35">
      <c r="A118" s="3" t="s">
        <v>185</v>
      </c>
      <c r="B118" s="3" t="s">
        <v>99</v>
      </c>
      <c r="C118" s="4">
        <v>572628</v>
      </c>
      <c r="D118" s="4" t="s">
        <v>80</v>
      </c>
      <c r="E118" s="2">
        <v>45</v>
      </c>
      <c r="F118" s="4"/>
      <c r="G118" s="4"/>
      <c r="H118" s="4"/>
      <c r="I118" s="4"/>
      <c r="J118" s="4">
        <v>7158</v>
      </c>
      <c r="K118" s="4">
        <f t="shared" si="179"/>
        <v>7158</v>
      </c>
      <c r="L118" s="4">
        <f>C118/E118</f>
        <v>12725.066666666668</v>
      </c>
      <c r="M118" s="4">
        <f t="shared" si="181"/>
        <v>19883.066666666666</v>
      </c>
      <c r="N118" s="4">
        <f t="shared" si="182"/>
        <v>12725.066666666668</v>
      </c>
      <c r="O118" s="4">
        <f t="shared" si="183"/>
        <v>32608.133333333331</v>
      </c>
      <c r="P118" s="4">
        <f t="shared" si="184"/>
        <v>12725.066666666668</v>
      </c>
      <c r="Q118" s="4">
        <f t="shared" si="185"/>
        <v>45333.2</v>
      </c>
      <c r="R118" s="4">
        <f t="shared" si="186"/>
        <v>12725.066666666668</v>
      </c>
      <c r="S118" s="4">
        <f t="shared" si="187"/>
        <v>58058.266666666663</v>
      </c>
      <c r="T118" s="4">
        <f t="shared" si="188"/>
        <v>12725.066666666668</v>
      </c>
      <c r="U118" s="4">
        <f t="shared" si="189"/>
        <v>70783.333333333328</v>
      </c>
      <c r="V118" s="4">
        <f t="shared" si="190"/>
        <v>12725.066666666668</v>
      </c>
      <c r="W118" s="4">
        <f t="shared" si="191"/>
        <v>83508.399999999994</v>
      </c>
      <c r="X118" s="4">
        <f t="shared" si="192"/>
        <v>12725.066666666668</v>
      </c>
      <c r="Y118" s="4">
        <f t="shared" si="193"/>
        <v>96233.46666666666</v>
      </c>
      <c r="Z118" s="4">
        <f t="shared" si="194"/>
        <v>12725.066666666668</v>
      </c>
      <c r="AA118" s="4">
        <f t="shared" si="195"/>
        <v>108958.53333333333</v>
      </c>
      <c r="AB118" s="4">
        <f t="shared" si="196"/>
        <v>12725.066666666668</v>
      </c>
      <c r="AC118" s="4">
        <f t="shared" si="197"/>
        <v>121683.59999999999</v>
      </c>
      <c r="AD118" s="3">
        <f t="shared" si="198"/>
        <v>12725.066666666668</v>
      </c>
      <c r="AE118" s="4">
        <f t="shared" si="199"/>
        <v>134408.66666666666</v>
      </c>
      <c r="AF118" s="3">
        <f t="shared" si="200"/>
        <v>12725.066666666668</v>
      </c>
      <c r="AG118" s="5">
        <f t="shared" si="201"/>
        <v>147133.73333333334</v>
      </c>
      <c r="AH118" s="3">
        <f t="shared" si="213"/>
        <v>12725.066666666668</v>
      </c>
      <c r="AI118" s="5">
        <f t="shared" si="202"/>
        <v>159858.80000000002</v>
      </c>
      <c r="AJ118" s="3">
        <f t="shared" si="218"/>
        <v>12725.066666666668</v>
      </c>
      <c r="AK118" s="3">
        <f t="shared" si="203"/>
        <v>172583.8666666667</v>
      </c>
      <c r="AL118" s="3">
        <f t="shared" si="219"/>
        <v>12725.066666666668</v>
      </c>
      <c r="AM118" s="4">
        <f t="shared" si="204"/>
        <v>185308.93333333338</v>
      </c>
      <c r="AN118" s="4">
        <f t="shared" si="205"/>
        <v>387319.06666666665</v>
      </c>
      <c r="AO118" s="21">
        <f t="shared" si="206"/>
        <v>12725.066666666668</v>
      </c>
      <c r="AP118" s="4">
        <f t="shared" si="207"/>
        <v>198034.00000000006</v>
      </c>
      <c r="AQ118" s="4">
        <v>350734.49999999994</v>
      </c>
      <c r="AR118" s="21">
        <v>14315.7</v>
      </c>
      <c r="AS118" s="19">
        <v>236209.20000000007</v>
      </c>
      <c r="AT118" s="4">
        <v>336418.79999999993</v>
      </c>
      <c r="AU118" s="21">
        <f t="shared" si="214"/>
        <v>12725.066666666668</v>
      </c>
      <c r="AV118" s="19">
        <f t="shared" si="208"/>
        <v>248934.26666666675</v>
      </c>
      <c r="AW118" s="4">
        <f t="shared" si="209"/>
        <v>323693.73333333328</v>
      </c>
      <c r="AX118" s="4">
        <f t="shared" si="215"/>
        <v>12725.066666666668</v>
      </c>
      <c r="AY118" s="4">
        <f t="shared" si="210"/>
        <v>261659.33333333343</v>
      </c>
      <c r="AZ118" s="4">
        <f t="shared" si="211"/>
        <v>310968.66666666657</v>
      </c>
      <c r="BA118" s="22">
        <f t="shared" si="216"/>
        <v>12725.066666666668</v>
      </c>
      <c r="BB118" s="4">
        <f t="shared" si="212"/>
        <v>274384.40000000008</v>
      </c>
      <c r="BC118" s="4">
        <f t="shared" si="217"/>
        <v>298243.59999999992</v>
      </c>
      <c r="BF118" s="22">
        <v>12725.066666666668</v>
      </c>
      <c r="BG118" s="4">
        <f t="shared" si="123"/>
        <v>0</v>
      </c>
    </row>
    <row r="119" spans="1:59" x14ac:dyDescent="0.35">
      <c r="A119" s="3" t="s">
        <v>186</v>
      </c>
      <c r="B119" s="3" t="s">
        <v>99</v>
      </c>
      <c r="C119" s="4">
        <v>913907</v>
      </c>
      <c r="D119" s="4" t="s">
        <v>80</v>
      </c>
      <c r="E119" s="2">
        <v>45</v>
      </c>
      <c r="F119" s="4"/>
      <c r="G119" s="4"/>
      <c r="H119" s="4"/>
      <c r="I119" s="4"/>
      <c r="J119" s="4">
        <v>11424</v>
      </c>
      <c r="K119" s="4">
        <f t="shared" si="179"/>
        <v>11424</v>
      </c>
      <c r="L119" s="4">
        <f>C119/E119</f>
        <v>20309.044444444444</v>
      </c>
      <c r="M119" s="4">
        <f t="shared" si="181"/>
        <v>31733.044444444444</v>
      </c>
      <c r="N119" s="4">
        <f t="shared" si="182"/>
        <v>20309.044444444444</v>
      </c>
      <c r="O119" s="4">
        <f t="shared" si="183"/>
        <v>52042.088888888888</v>
      </c>
      <c r="P119" s="4">
        <f t="shared" si="184"/>
        <v>20309.044444444444</v>
      </c>
      <c r="Q119" s="4">
        <f t="shared" si="185"/>
        <v>72351.133333333331</v>
      </c>
      <c r="R119" s="4">
        <f t="shared" si="186"/>
        <v>20309.044444444444</v>
      </c>
      <c r="S119" s="4">
        <f t="shared" si="187"/>
        <v>92660.177777777775</v>
      </c>
      <c r="T119" s="4">
        <f t="shared" si="188"/>
        <v>20309.044444444444</v>
      </c>
      <c r="U119" s="4">
        <f t="shared" si="189"/>
        <v>112969.22222222222</v>
      </c>
      <c r="V119" s="4">
        <f t="shared" si="190"/>
        <v>20309.044444444444</v>
      </c>
      <c r="W119" s="4">
        <f t="shared" si="191"/>
        <v>133278.26666666666</v>
      </c>
      <c r="X119" s="4">
        <f t="shared" si="192"/>
        <v>20309.044444444444</v>
      </c>
      <c r="Y119" s="4">
        <f t="shared" si="193"/>
        <v>153587.31111111111</v>
      </c>
      <c r="Z119" s="4">
        <f t="shared" si="194"/>
        <v>20309.044444444444</v>
      </c>
      <c r="AA119" s="4">
        <f t="shared" si="195"/>
        <v>173896.35555555555</v>
      </c>
      <c r="AB119" s="4">
        <f t="shared" si="196"/>
        <v>20309.044444444444</v>
      </c>
      <c r="AC119" s="4">
        <f t="shared" si="197"/>
        <v>194205.4</v>
      </c>
      <c r="AD119" s="3">
        <f t="shared" si="198"/>
        <v>20309.044444444444</v>
      </c>
      <c r="AE119" s="4">
        <f t="shared" si="199"/>
        <v>214514.44444444444</v>
      </c>
      <c r="AF119" s="3">
        <f t="shared" si="200"/>
        <v>20309.044444444444</v>
      </c>
      <c r="AG119" s="5">
        <f t="shared" si="201"/>
        <v>234823.48888888888</v>
      </c>
      <c r="AH119" s="3">
        <f t="shared" si="213"/>
        <v>20309.044444444444</v>
      </c>
      <c r="AI119" s="5">
        <f t="shared" si="202"/>
        <v>255132.53333333333</v>
      </c>
      <c r="AJ119" s="3">
        <f t="shared" si="218"/>
        <v>20309.044444444444</v>
      </c>
      <c r="AK119" s="3">
        <f t="shared" si="203"/>
        <v>275441.5777777778</v>
      </c>
      <c r="AL119" s="3">
        <f t="shared" si="219"/>
        <v>20309.044444444444</v>
      </c>
      <c r="AM119" s="4">
        <f t="shared" si="204"/>
        <v>295750.62222222227</v>
      </c>
      <c r="AN119" s="4">
        <f t="shared" si="205"/>
        <v>618156.37777777773</v>
      </c>
      <c r="AO119" s="21">
        <f t="shared" si="206"/>
        <v>20309.044444444444</v>
      </c>
      <c r="AP119" s="4">
        <f t="shared" si="207"/>
        <v>316059.66666666674</v>
      </c>
      <c r="AQ119" s="4">
        <v>559767.875</v>
      </c>
      <c r="AR119" s="21">
        <v>22847.674999999999</v>
      </c>
      <c r="AS119" s="19">
        <v>376986.79999999993</v>
      </c>
      <c r="AT119" s="4">
        <v>536920.20000000007</v>
      </c>
      <c r="AU119" s="21">
        <f t="shared" si="214"/>
        <v>20309.044444444444</v>
      </c>
      <c r="AV119" s="19">
        <f t="shared" si="208"/>
        <v>397295.8444444444</v>
      </c>
      <c r="AW119" s="4">
        <f t="shared" si="209"/>
        <v>516611.1555555556</v>
      </c>
      <c r="AX119" s="4">
        <f t="shared" si="215"/>
        <v>20309.044444444444</v>
      </c>
      <c r="AY119" s="4">
        <f t="shared" si="210"/>
        <v>417604.88888888888</v>
      </c>
      <c r="AZ119" s="4">
        <f t="shared" si="211"/>
        <v>496302.11111111112</v>
      </c>
      <c r="BA119" s="22">
        <f t="shared" si="216"/>
        <v>20309.044444444444</v>
      </c>
      <c r="BB119" s="4">
        <f t="shared" si="212"/>
        <v>437913.93333333335</v>
      </c>
      <c r="BC119" s="4">
        <f t="shared" si="217"/>
        <v>475993.06666666665</v>
      </c>
      <c r="BF119" s="22">
        <v>20309.044444444444</v>
      </c>
      <c r="BG119" s="4">
        <f t="shared" si="123"/>
        <v>0</v>
      </c>
    </row>
    <row r="120" spans="1:59" x14ac:dyDescent="0.35">
      <c r="A120" s="3" t="s">
        <v>187</v>
      </c>
      <c r="B120" s="3" t="s">
        <v>188</v>
      </c>
      <c r="C120" s="4">
        <v>365363</v>
      </c>
      <c r="D120" s="4" t="s">
        <v>80</v>
      </c>
      <c r="E120" s="2">
        <v>45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>
        <v>8373</v>
      </c>
      <c r="W120" s="4">
        <v>8373</v>
      </c>
      <c r="X120" s="4">
        <f>365363/40</f>
        <v>9134.0750000000007</v>
      </c>
      <c r="Y120" s="4">
        <f>SUM(W120:X120)</f>
        <v>17507.075000000001</v>
      </c>
      <c r="Z120" s="4">
        <f t="shared" si="194"/>
        <v>9134.0750000000007</v>
      </c>
      <c r="AA120" s="4">
        <f t="shared" si="195"/>
        <v>26641.15</v>
      </c>
      <c r="AB120" s="4">
        <f t="shared" si="196"/>
        <v>9134.0750000000007</v>
      </c>
      <c r="AC120" s="4">
        <f t="shared" si="197"/>
        <v>35775.225000000006</v>
      </c>
      <c r="AD120" s="3">
        <f t="shared" si="198"/>
        <v>9134.0750000000007</v>
      </c>
      <c r="AE120" s="4">
        <f t="shared" si="199"/>
        <v>44909.3</v>
      </c>
      <c r="AF120" s="3">
        <f t="shared" si="200"/>
        <v>9134.0750000000007</v>
      </c>
      <c r="AG120" s="5">
        <f t="shared" si="201"/>
        <v>54043.375</v>
      </c>
      <c r="AH120" s="3">
        <f t="shared" si="213"/>
        <v>9134.0750000000007</v>
      </c>
      <c r="AI120" s="5">
        <f t="shared" si="202"/>
        <v>63177.45</v>
      </c>
      <c r="AJ120" s="3">
        <f t="shared" si="218"/>
        <v>9134.0750000000007</v>
      </c>
      <c r="AK120" s="3">
        <f t="shared" si="203"/>
        <v>72311.524999999994</v>
      </c>
      <c r="AL120" s="3">
        <f t="shared" si="219"/>
        <v>9134.0750000000007</v>
      </c>
      <c r="AM120" s="4">
        <f t="shared" si="204"/>
        <v>81445.599999999991</v>
      </c>
      <c r="AN120" s="4">
        <f t="shared" si="205"/>
        <v>283917.40000000002</v>
      </c>
      <c r="AO120" s="21">
        <f t="shared" si="206"/>
        <v>9134.0750000000007</v>
      </c>
      <c r="AP120" s="4">
        <f t="shared" si="207"/>
        <v>90579.674999999988</v>
      </c>
      <c r="AQ120" s="4">
        <v>274783.32500000001</v>
      </c>
      <c r="AR120" s="21">
        <v>9134.0750000000007</v>
      </c>
      <c r="AS120" s="19">
        <v>99713.749999999985</v>
      </c>
      <c r="AT120" s="4">
        <v>265649.25</v>
      </c>
      <c r="AU120" s="21">
        <f t="shared" si="214"/>
        <v>8119.1777777777779</v>
      </c>
      <c r="AV120" s="19">
        <f t="shared" si="208"/>
        <v>107832.92777777776</v>
      </c>
      <c r="AW120" s="4">
        <f t="shared" si="209"/>
        <v>257530.07222222222</v>
      </c>
      <c r="AX120" s="4">
        <f t="shared" si="215"/>
        <v>8119.1777777777779</v>
      </c>
      <c r="AY120" s="4">
        <f t="shared" si="210"/>
        <v>115952.10555555554</v>
      </c>
      <c r="AZ120" s="4">
        <f t="shared" si="211"/>
        <v>249410.89444444445</v>
      </c>
      <c r="BA120" s="22">
        <f t="shared" si="216"/>
        <v>8119.1777777777779</v>
      </c>
      <c r="BB120" s="4">
        <f t="shared" si="212"/>
        <v>124071.28333333331</v>
      </c>
      <c r="BC120" s="4">
        <f t="shared" si="217"/>
        <v>241291.71666666667</v>
      </c>
      <c r="BF120" s="22">
        <v>8119.1777777777779</v>
      </c>
      <c r="BG120" s="4">
        <f t="shared" si="123"/>
        <v>0</v>
      </c>
    </row>
    <row r="121" spans="1:59" x14ac:dyDescent="0.35">
      <c r="A121" s="3" t="s">
        <v>189</v>
      </c>
      <c r="B121" s="3" t="s">
        <v>160</v>
      </c>
      <c r="C121" s="4">
        <v>117292</v>
      </c>
      <c r="D121" s="4" t="s">
        <v>80</v>
      </c>
      <c r="E121" s="2">
        <v>45</v>
      </c>
      <c r="F121" s="4"/>
      <c r="G121" s="19"/>
      <c r="H121" s="19"/>
      <c r="I121" s="19"/>
      <c r="J121" s="4"/>
      <c r="K121" s="4"/>
      <c r="L121" s="4"/>
      <c r="M121" s="4"/>
      <c r="N121" s="4"/>
      <c r="O121" s="4"/>
      <c r="P121" s="4"/>
      <c r="Q121" s="4"/>
      <c r="X121" s="4">
        <f>117292/40/12*2</f>
        <v>488.7166666666667</v>
      </c>
      <c r="Y121" s="4">
        <f>SUM(W121:X121)</f>
        <v>488.7166666666667</v>
      </c>
      <c r="Z121" s="4">
        <f>C121/40</f>
        <v>2932.3</v>
      </c>
      <c r="AA121" s="4">
        <f t="shared" si="195"/>
        <v>3421.0166666666669</v>
      </c>
      <c r="AB121" s="4">
        <f t="shared" si="196"/>
        <v>2932.3</v>
      </c>
      <c r="AC121" s="4">
        <f t="shared" si="197"/>
        <v>6353.3166666666675</v>
      </c>
      <c r="AD121" s="3">
        <f t="shared" si="198"/>
        <v>2932.3</v>
      </c>
      <c r="AE121" s="4">
        <f t="shared" si="199"/>
        <v>9285.6166666666686</v>
      </c>
      <c r="AF121" s="3">
        <f t="shared" si="200"/>
        <v>2932.3</v>
      </c>
      <c r="AG121" s="5">
        <f t="shared" si="201"/>
        <v>12217.916666666668</v>
      </c>
      <c r="AH121" s="3">
        <f t="shared" si="213"/>
        <v>2932.3</v>
      </c>
      <c r="AI121" s="5">
        <f t="shared" si="202"/>
        <v>15150.216666666667</v>
      </c>
      <c r="AJ121" s="3">
        <f t="shared" si="218"/>
        <v>2932.3</v>
      </c>
      <c r="AK121" s="3">
        <f>15150.22+2932.3</f>
        <v>18082.52</v>
      </c>
      <c r="AL121" s="3">
        <f t="shared" si="219"/>
        <v>2932.3</v>
      </c>
      <c r="AM121" s="4">
        <v>21014.82</v>
      </c>
      <c r="AN121" s="4">
        <f t="shared" si="205"/>
        <v>96277.18</v>
      </c>
      <c r="AO121" s="21">
        <f t="shared" si="206"/>
        <v>2932.3</v>
      </c>
      <c r="AP121" s="4">
        <f t="shared" si="207"/>
        <v>23947.119999999999</v>
      </c>
      <c r="AQ121" s="4">
        <v>93344.87999999999</v>
      </c>
      <c r="AR121" s="21">
        <v>2932.3</v>
      </c>
      <c r="AS121" s="19">
        <v>26879.42</v>
      </c>
      <c r="AT121" s="4">
        <v>90412.58</v>
      </c>
      <c r="AU121" s="21">
        <f t="shared" si="214"/>
        <v>2606.4888888888891</v>
      </c>
      <c r="AV121" s="19">
        <f t="shared" si="208"/>
        <v>29485.908888888887</v>
      </c>
      <c r="AW121" s="4">
        <f t="shared" si="209"/>
        <v>87806.091111111105</v>
      </c>
      <c r="AX121" s="4">
        <f t="shared" si="215"/>
        <v>2606.4888888888891</v>
      </c>
      <c r="AY121" s="4">
        <f t="shared" si="210"/>
        <v>32092.397777777776</v>
      </c>
      <c r="AZ121" s="4">
        <f t="shared" si="211"/>
        <v>85199.602222222224</v>
      </c>
      <c r="BA121" s="22">
        <f t="shared" si="216"/>
        <v>2606.4888888888891</v>
      </c>
      <c r="BB121" s="4">
        <f t="shared" si="212"/>
        <v>34698.886666666665</v>
      </c>
      <c r="BC121" s="4">
        <f t="shared" si="217"/>
        <v>82593.113333333342</v>
      </c>
      <c r="BF121" s="22">
        <v>2606.4888888888891</v>
      </c>
      <c r="BG121" s="4">
        <f t="shared" si="123"/>
        <v>0</v>
      </c>
    </row>
    <row r="122" spans="1:59" x14ac:dyDescent="0.35">
      <c r="A122" s="3" t="s">
        <v>190</v>
      </c>
      <c r="B122" s="3" t="s">
        <v>191</v>
      </c>
      <c r="C122" s="4">
        <v>408475</v>
      </c>
      <c r="D122" s="4" t="s">
        <v>80</v>
      </c>
      <c r="E122" s="2">
        <v>45</v>
      </c>
      <c r="F122" s="4"/>
      <c r="G122" s="19"/>
      <c r="H122" s="19"/>
      <c r="I122" s="19"/>
      <c r="J122" s="4"/>
      <c r="K122" s="4"/>
      <c r="L122" s="4"/>
      <c r="M122" s="4"/>
      <c r="N122" s="4"/>
      <c r="O122" s="4"/>
      <c r="P122" s="4"/>
      <c r="Q122" s="4"/>
      <c r="X122" s="4"/>
      <c r="Y122" s="4"/>
      <c r="Z122" s="4">
        <v>4255</v>
      </c>
      <c r="AA122" s="4">
        <v>4255</v>
      </c>
      <c r="AB122" s="4">
        <f>408475/40</f>
        <v>10211.875</v>
      </c>
      <c r="AC122" s="4">
        <f t="shared" si="197"/>
        <v>14466.875</v>
      </c>
      <c r="AD122" s="3">
        <f t="shared" si="198"/>
        <v>10211.875</v>
      </c>
      <c r="AE122" s="4">
        <f t="shared" si="199"/>
        <v>24678.75</v>
      </c>
      <c r="AF122" s="3">
        <f t="shared" si="200"/>
        <v>10211.875</v>
      </c>
      <c r="AG122" s="5">
        <f t="shared" si="201"/>
        <v>34890.625</v>
      </c>
      <c r="AH122" s="3">
        <f t="shared" si="213"/>
        <v>10211.875</v>
      </c>
      <c r="AI122" s="5">
        <f t="shared" si="202"/>
        <v>45102.5</v>
      </c>
      <c r="AJ122" s="3">
        <v>10211.879999999999</v>
      </c>
      <c r="AK122" s="3">
        <f>SUM(AI122:AJ122)</f>
        <v>55314.38</v>
      </c>
      <c r="AL122" s="3">
        <v>10211.879999999999</v>
      </c>
      <c r="AM122" s="4">
        <f>SUM(AK122:AL122)</f>
        <v>65526.259999999995</v>
      </c>
      <c r="AN122" s="4">
        <f t="shared" si="205"/>
        <v>342948.74</v>
      </c>
      <c r="AO122" s="21">
        <f t="shared" si="206"/>
        <v>10211.879999999999</v>
      </c>
      <c r="AP122" s="4">
        <f t="shared" si="207"/>
        <v>75738.14</v>
      </c>
      <c r="AQ122" s="4">
        <v>332736.86</v>
      </c>
      <c r="AR122" s="21">
        <v>10211.879999999999</v>
      </c>
      <c r="AS122" s="19">
        <v>85950.02</v>
      </c>
      <c r="AT122" s="4">
        <v>322524.98</v>
      </c>
      <c r="AU122" s="21">
        <f t="shared" si="214"/>
        <v>9077.2222222222226</v>
      </c>
      <c r="AV122" s="19">
        <f t="shared" si="208"/>
        <v>95027.242222222223</v>
      </c>
      <c r="AW122" s="4">
        <f t="shared" si="209"/>
        <v>313447.75777777779</v>
      </c>
      <c r="AX122" s="4">
        <f t="shared" si="215"/>
        <v>9077.2222222222226</v>
      </c>
      <c r="AY122" s="4">
        <f t="shared" si="210"/>
        <v>104104.46444444444</v>
      </c>
      <c r="AZ122" s="4">
        <f t="shared" si="211"/>
        <v>304370.53555555554</v>
      </c>
      <c r="BA122" s="22">
        <f t="shared" si="216"/>
        <v>9077.2222222222226</v>
      </c>
      <c r="BB122" s="4">
        <f t="shared" si="212"/>
        <v>113181.68666666666</v>
      </c>
      <c r="BC122" s="4">
        <f t="shared" si="217"/>
        <v>295293.31333333335</v>
      </c>
      <c r="BF122" s="22">
        <v>9077.2222222222226</v>
      </c>
      <c r="BG122" s="4">
        <f t="shared" si="123"/>
        <v>0</v>
      </c>
    </row>
    <row r="123" spans="1:59" x14ac:dyDescent="0.35">
      <c r="A123" s="3" t="s">
        <v>192</v>
      </c>
      <c r="B123" s="3" t="s">
        <v>193</v>
      </c>
      <c r="C123" s="4">
        <v>697375</v>
      </c>
      <c r="D123" s="4" t="s">
        <v>80</v>
      </c>
      <c r="E123" s="2">
        <v>45</v>
      </c>
      <c r="F123" s="4"/>
      <c r="G123" s="19"/>
      <c r="H123" s="19"/>
      <c r="I123" s="19"/>
      <c r="J123" s="4"/>
      <c r="K123" s="4"/>
      <c r="L123" s="4"/>
      <c r="M123" s="4"/>
      <c r="N123" s="4"/>
      <c r="O123" s="4"/>
      <c r="P123" s="4"/>
      <c r="Q123" s="4"/>
      <c r="X123" s="4"/>
      <c r="Y123" s="4"/>
      <c r="Z123" s="4"/>
      <c r="AA123" s="4"/>
      <c r="AB123" s="4"/>
      <c r="AC123" s="4"/>
      <c r="AE123" s="4"/>
      <c r="AG123" s="5"/>
      <c r="AI123" s="5"/>
      <c r="AM123" s="4"/>
      <c r="AN123" s="4"/>
      <c r="AO123" s="21"/>
      <c r="AP123" s="4"/>
      <c r="AQ123" s="4"/>
      <c r="AR123" s="21"/>
      <c r="AS123" s="19"/>
      <c r="AT123" s="4"/>
      <c r="AU123" s="21"/>
      <c r="AV123" s="19"/>
      <c r="AW123" s="4"/>
      <c r="AX123" s="4"/>
      <c r="AY123" s="4"/>
      <c r="AZ123" s="4"/>
      <c r="BA123" s="22">
        <f>SUM(C123/E123/2)</f>
        <v>7748.6111111111113</v>
      </c>
      <c r="BB123" s="4">
        <f t="shared" ref="BB123" si="220">SUM(AY123+BA123)</f>
        <v>7748.6111111111113</v>
      </c>
      <c r="BC123" s="4">
        <f t="shared" si="217"/>
        <v>689626.38888888888</v>
      </c>
      <c r="BD123" s="3">
        <v>697375</v>
      </c>
      <c r="BF123" s="22">
        <v>7748.6111111111113</v>
      </c>
      <c r="BG123" s="4">
        <f t="shared" si="123"/>
        <v>0</v>
      </c>
    </row>
    <row r="124" spans="1:59" x14ac:dyDescent="0.35">
      <c r="C124" s="4"/>
      <c r="D124" s="4"/>
      <c r="F124" s="4"/>
      <c r="G124" s="19"/>
      <c r="H124" s="19"/>
      <c r="I124" s="19"/>
      <c r="J124" s="4"/>
      <c r="K124" s="4"/>
      <c r="L124" s="4"/>
      <c r="M124" s="4"/>
      <c r="N124" s="4"/>
      <c r="O124" s="4"/>
      <c r="P124" s="4"/>
      <c r="Q124" s="4"/>
      <c r="X124" s="4"/>
      <c r="Y124" s="4"/>
      <c r="Z124" s="4"/>
      <c r="AA124" s="4"/>
      <c r="AB124" s="4"/>
      <c r="AC124" s="4"/>
      <c r="AE124" s="4"/>
      <c r="AG124" s="5"/>
      <c r="AM124" s="4"/>
      <c r="AN124" s="4"/>
      <c r="AO124" s="6"/>
      <c r="AP124" s="4">
        <f t="shared" si="207"/>
        <v>0</v>
      </c>
      <c r="AR124" s="6"/>
      <c r="AS124" s="19">
        <v>0</v>
      </c>
      <c r="BA124" s="17"/>
      <c r="BF124" s="17"/>
      <c r="BG124" s="4">
        <f t="shared" si="123"/>
        <v>0</v>
      </c>
    </row>
    <row r="125" spans="1:59" x14ac:dyDescent="0.35">
      <c r="C125" s="19">
        <f>SUM(C111:C123)</f>
        <v>4082509</v>
      </c>
      <c r="D125" s="4"/>
      <c r="F125" s="4"/>
      <c r="G125" s="19">
        <f t="shared" ref="G125:R125" si="221">SUM(G111:G119)</f>
        <v>348314</v>
      </c>
      <c r="H125" s="19">
        <f t="shared" si="221"/>
        <v>25187</v>
      </c>
      <c r="I125" s="19">
        <f t="shared" si="221"/>
        <v>373501</v>
      </c>
      <c r="J125" s="19">
        <f t="shared" si="221"/>
        <v>43769</v>
      </c>
      <c r="K125" s="19">
        <f t="shared" si="221"/>
        <v>417270</v>
      </c>
      <c r="L125" s="19">
        <f t="shared" si="221"/>
        <v>58221.111111111109</v>
      </c>
      <c r="M125" s="19">
        <f t="shared" si="221"/>
        <v>475491.11111111112</v>
      </c>
      <c r="N125" s="19">
        <f t="shared" si="221"/>
        <v>58221.111111111109</v>
      </c>
      <c r="O125" s="19">
        <f t="shared" si="221"/>
        <v>533712.22222222225</v>
      </c>
      <c r="P125" s="19">
        <f t="shared" si="221"/>
        <v>55443.799999999996</v>
      </c>
      <c r="Q125" s="19">
        <f t="shared" si="221"/>
        <v>589156.02222222229</v>
      </c>
      <c r="R125" s="19">
        <f t="shared" si="221"/>
        <v>55443.799999999996</v>
      </c>
      <c r="S125" s="19">
        <f>Q125+R125</f>
        <v>644599.82222222234</v>
      </c>
      <c r="T125" s="19">
        <f>SUM(T111:T119)</f>
        <v>55443.799999999996</v>
      </c>
      <c r="U125" s="19">
        <f>SUM(U111:U119)</f>
        <v>700043.62222222239</v>
      </c>
      <c r="V125" s="19">
        <f>SUM(V111:V120)</f>
        <v>63816.799999999996</v>
      </c>
      <c r="W125" s="19">
        <f>SUM(W111:W120)</f>
        <v>763860.42222222243</v>
      </c>
      <c r="X125" s="19">
        <f>SUM(X111:X121)</f>
        <v>65066.591666666667</v>
      </c>
      <c r="Y125" s="19">
        <f>SUM(Y111:Y121)</f>
        <v>828927.01388888888</v>
      </c>
      <c r="Z125" s="19">
        <f>SUM(Z111:Z122)</f>
        <v>71765.175000000003</v>
      </c>
      <c r="AA125" s="19">
        <f>SUM(AA111:AA122)</f>
        <v>900692.18888888904</v>
      </c>
      <c r="AB125" s="19">
        <f>SUM(AB111:AB122)</f>
        <v>77722.05</v>
      </c>
      <c r="AC125" s="19">
        <f>SUM(AC111:AC122)</f>
        <v>978414.23888888909</v>
      </c>
      <c r="AD125" s="3">
        <f>SUM(AD111:AD122)</f>
        <v>77722.05</v>
      </c>
      <c r="AE125" s="4">
        <f>AC125+AD125</f>
        <v>1056136.2888888891</v>
      </c>
      <c r="AF125" s="3">
        <f>SUM(AF111:AF122)</f>
        <v>77722.05</v>
      </c>
      <c r="AG125" s="5">
        <f>SUM(AG111:AG122)</f>
        <v>1133858.3388888892</v>
      </c>
      <c r="AH125" s="3">
        <f>SUM(AH111:AH122)</f>
        <v>72354.938888888893</v>
      </c>
      <c r="AI125" s="3">
        <v>1282464.92</v>
      </c>
      <c r="AJ125" s="19">
        <f t="shared" ref="AJ125:AO125" si="222">SUM(AJ111:AJ122)</f>
        <v>69154.890555555568</v>
      </c>
      <c r="AK125" s="19">
        <f t="shared" si="222"/>
        <v>1275368.1716666666</v>
      </c>
      <c r="AL125" s="19">
        <f t="shared" si="222"/>
        <v>69154.890555555568</v>
      </c>
      <c r="AM125" s="19">
        <f t="shared" si="222"/>
        <v>1344523.0622222223</v>
      </c>
      <c r="AN125" s="19">
        <f t="shared" si="222"/>
        <v>2040610.9377777777</v>
      </c>
      <c r="AO125" s="25">
        <f t="shared" si="222"/>
        <v>69154.890555555568</v>
      </c>
      <c r="AP125" s="19">
        <f>SUM(AP111:AP124)</f>
        <v>1413677.9527777778</v>
      </c>
      <c r="AQ125" s="19">
        <v>1877670.9999999995</v>
      </c>
      <c r="AR125" s="25">
        <v>74999.360000000001</v>
      </c>
      <c r="AS125" s="19">
        <v>1582462.3599999999</v>
      </c>
      <c r="AT125" s="19">
        <v>1802671.6400000001</v>
      </c>
      <c r="AU125" s="25">
        <f>SUM(AU111:AU122)</f>
        <v>66687.577777777769</v>
      </c>
      <c r="AV125" s="19">
        <f>SUM(AV111:AV124)</f>
        <v>1649149.9377777774</v>
      </c>
      <c r="AW125" s="19">
        <f>SUM(AW111:AW122)</f>
        <v>1735984.0622222221</v>
      </c>
      <c r="AX125" s="19">
        <f t="shared" ref="AX125:AZ125" si="223">SUM(AX111:AX122)</f>
        <v>66687.577777777769</v>
      </c>
      <c r="AY125" s="19">
        <f t="shared" si="223"/>
        <v>1715837.5155555559</v>
      </c>
      <c r="AZ125" s="19">
        <f t="shared" si="223"/>
        <v>1669296.4844444443</v>
      </c>
      <c r="BA125" s="20">
        <f t="shared" ref="BA125:BC125" si="224">SUM(BA111:BA123)</f>
        <v>74436.188888888879</v>
      </c>
      <c r="BB125" s="19">
        <f t="shared" si="224"/>
        <v>1790273.7044444443</v>
      </c>
      <c r="BC125" s="19">
        <f t="shared" si="224"/>
        <v>2292235.2955555557</v>
      </c>
      <c r="BF125" s="20">
        <v>74436.188888888879</v>
      </c>
      <c r="BG125" s="4">
        <f t="shared" si="123"/>
        <v>0</v>
      </c>
    </row>
    <row r="126" spans="1:59" x14ac:dyDescent="0.35">
      <c r="A126" s="3" t="s">
        <v>194</v>
      </c>
      <c r="C126" s="4"/>
      <c r="D126" s="4"/>
      <c r="F126" s="4"/>
      <c r="G126" s="19"/>
      <c r="H126" s="19"/>
      <c r="I126" s="19"/>
      <c r="J126" s="19"/>
      <c r="K126" s="4"/>
      <c r="L126" s="4"/>
      <c r="M126" s="4"/>
      <c r="N126" s="4"/>
      <c r="O126" s="4"/>
      <c r="P126" s="4"/>
      <c r="Q126" s="4"/>
      <c r="X126" s="4"/>
      <c r="Y126" s="4"/>
      <c r="AC126" s="4"/>
      <c r="AE126" s="4"/>
      <c r="AG126" s="5"/>
      <c r="AM126" s="4"/>
      <c r="AN126" s="4"/>
      <c r="AO126" s="6"/>
      <c r="AR126" s="6"/>
      <c r="AS126" s="1"/>
      <c r="AT126" s="4"/>
      <c r="BA126" s="17"/>
      <c r="BF126" s="17"/>
      <c r="BG126" s="4">
        <f t="shared" si="123"/>
        <v>0</v>
      </c>
    </row>
    <row r="127" spans="1:59" x14ac:dyDescent="0.35">
      <c r="C127" s="4"/>
      <c r="D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X127" s="4"/>
      <c r="Y127" s="4"/>
      <c r="AC127" s="4"/>
      <c r="AE127" s="4"/>
      <c r="AG127" s="5"/>
      <c r="AM127" s="4"/>
      <c r="AN127" s="4"/>
      <c r="AO127" s="6"/>
      <c r="AR127" s="6"/>
      <c r="AS127" s="1"/>
      <c r="BA127" s="17"/>
      <c r="BF127" s="17"/>
      <c r="BG127" s="4">
        <f t="shared" si="123"/>
        <v>0</v>
      </c>
    </row>
    <row r="128" spans="1:59" x14ac:dyDescent="0.35">
      <c r="A128" s="3" t="s">
        <v>195</v>
      </c>
      <c r="B128" s="3" t="s">
        <v>79</v>
      </c>
      <c r="C128" s="4">
        <v>2527951</v>
      </c>
      <c r="D128" s="4" t="s">
        <v>80</v>
      </c>
      <c r="E128" s="2">
        <v>62.5</v>
      </c>
      <c r="F128" s="4"/>
      <c r="G128" s="4">
        <v>1072589</v>
      </c>
      <c r="H128" s="4">
        <v>63199</v>
      </c>
      <c r="I128" s="4">
        <f t="shared" ref="I128:I141" si="225">SUM(G128:H128)</f>
        <v>1135788</v>
      </c>
      <c r="J128" s="4">
        <f t="shared" ref="J128:J141" si="226">H128</f>
        <v>63199</v>
      </c>
      <c r="K128" s="4">
        <f t="shared" ref="K128:K145" si="227">I128+J128</f>
        <v>1198987</v>
      </c>
      <c r="L128" s="4">
        <f t="shared" ref="L128:L142" si="228">J128</f>
        <v>63199</v>
      </c>
      <c r="M128" s="4">
        <f t="shared" ref="M128:M146" si="229">K128+L128</f>
        <v>1262186</v>
      </c>
      <c r="N128" s="4">
        <f t="shared" ref="N128:N145" si="230">L128</f>
        <v>63199</v>
      </c>
      <c r="O128" s="4">
        <f t="shared" ref="O128:O146" si="231">M128+N128</f>
        <v>1325385</v>
      </c>
      <c r="P128" s="4">
        <f t="shared" ref="P128:P148" si="232">C128/E128</f>
        <v>40447.216</v>
      </c>
      <c r="Q128" s="4">
        <f t="shared" ref="Q128:Q150" si="233">O128+P128</f>
        <v>1365832.216</v>
      </c>
      <c r="R128" s="4">
        <f t="shared" ref="R128:R150" si="234">SUM(C128/E128)</f>
        <v>40447.216</v>
      </c>
      <c r="S128" s="4">
        <f t="shared" ref="S128:S151" si="235">Q128+R128</f>
        <v>1406279.432</v>
      </c>
      <c r="T128" s="4">
        <f t="shared" ref="T128:T150" si="236">R128</f>
        <v>40447.216</v>
      </c>
      <c r="U128" s="4">
        <v>1517596</v>
      </c>
      <c r="V128" s="4">
        <f t="shared" ref="V128:V151" si="237">T128</f>
        <v>40447.216</v>
      </c>
      <c r="W128" s="4">
        <f t="shared" ref="W128:W133" si="238">U128+V128</f>
        <v>1558043.216</v>
      </c>
      <c r="X128" s="4">
        <f t="shared" ref="X128:X152" si="239">V128</f>
        <v>40447.216</v>
      </c>
      <c r="Y128" s="4">
        <f t="shared" ref="Y128:Y162" si="240">SUM(W128:X128)</f>
        <v>1598490.432</v>
      </c>
      <c r="Z128" s="4">
        <f t="shared" ref="Z128:Z159" si="241">X128</f>
        <v>40447.216</v>
      </c>
      <c r="AA128" s="4">
        <f t="shared" ref="AA128:AA161" si="242">SUM(Y128:Z128)</f>
        <v>1638937.648</v>
      </c>
      <c r="AB128" s="4">
        <f t="shared" ref="AB128:AB161" si="243">Z128</f>
        <v>40447.216</v>
      </c>
      <c r="AC128" s="4">
        <f t="shared" ref="AC128:AC162" si="244">SUM(AA128:AB128)</f>
        <v>1679384.8640000001</v>
      </c>
      <c r="AD128" s="3">
        <f t="shared" ref="AD128:AD162" si="245">AB128</f>
        <v>40447.216</v>
      </c>
      <c r="AE128" s="4">
        <f t="shared" ref="AE128:AE165" si="246">AC128+AD128</f>
        <v>1719832.08</v>
      </c>
      <c r="AF128" s="3">
        <f t="shared" ref="AF128:AF163" si="247">AD128</f>
        <v>40447.216</v>
      </c>
      <c r="AG128" s="5">
        <f t="shared" ref="AG128:AG166" si="248">AE128+AF128</f>
        <v>1760279.2960000001</v>
      </c>
      <c r="AH128" s="3">
        <f t="shared" ref="AH128:AH165" si="249">AF128</f>
        <v>40447.216</v>
      </c>
      <c r="AI128" s="5">
        <f t="shared" ref="AI128:AI166" si="250">AG128+AH128</f>
        <v>1800726.5120000001</v>
      </c>
      <c r="AJ128" s="3">
        <f t="shared" ref="AJ128:AJ166" si="251">AH128</f>
        <v>40447.216</v>
      </c>
      <c r="AK128" s="3">
        <f t="shared" ref="AK128:AK167" si="252">SUM(AI128:AJ128)</f>
        <v>1841173.7280000001</v>
      </c>
      <c r="AL128" s="3">
        <f t="shared" ref="AL128:AL166" si="253">AJ128</f>
        <v>40447.216</v>
      </c>
      <c r="AM128" s="4">
        <f t="shared" ref="AM128:AM167" si="254">SUM(AK128:AL128)</f>
        <v>1881620.9440000001</v>
      </c>
      <c r="AN128" s="4">
        <f t="shared" ref="AN128:AN171" si="255">C128-AM128</f>
        <v>646330.05599999987</v>
      </c>
      <c r="AO128" s="21">
        <f t="shared" ref="AO128:AO170" si="256">AL128</f>
        <v>40447.216</v>
      </c>
      <c r="AP128" s="4">
        <f t="shared" ref="AP128:AP173" si="257">AM128+AO128</f>
        <v>1922068.1600000001</v>
      </c>
      <c r="AQ128" s="4">
        <v>378367.25000000081</v>
      </c>
      <c r="AR128" s="21">
        <v>63198.775000000001</v>
      </c>
      <c r="AS128" s="19">
        <v>2212782.524999999</v>
      </c>
      <c r="AT128" s="4">
        <v>315168.47500000102</v>
      </c>
      <c r="AU128" s="21">
        <f t="shared" ref="AU128:AU173" si="258">SUM(C128/E128)</f>
        <v>40447.216</v>
      </c>
      <c r="AV128" s="19">
        <f t="shared" ref="AV128:AV174" si="259">AS128+AU128</f>
        <v>2253229.740999999</v>
      </c>
      <c r="AW128" s="4">
        <f t="shared" ref="AW128:AW174" si="260">C128-AV128</f>
        <v>274721.25900000101</v>
      </c>
      <c r="AX128" s="4">
        <f t="shared" ref="AX128:AX174" si="261">SUM(C128/E128)</f>
        <v>40447.216</v>
      </c>
      <c r="AY128" s="4">
        <f t="shared" ref="AY128:AY174" si="262">SUM(AV128+AX128)</f>
        <v>2293676.956999999</v>
      </c>
      <c r="AZ128" s="4">
        <f t="shared" ref="AZ128:AZ174" si="263">SUM(C128-AY128)</f>
        <v>234274.04300000099</v>
      </c>
      <c r="BA128" s="22">
        <f t="shared" ref="BA128:BA181" si="264">SUM(C128/E128)</f>
        <v>40447.216</v>
      </c>
      <c r="BB128" s="4">
        <f t="shared" ref="BB128:BB181" si="265">SUM(AY128+BA128)</f>
        <v>2334124.172999999</v>
      </c>
      <c r="BC128" s="4">
        <f t="shared" ref="BC128:BC182" si="266">SUM(C128-BB128)</f>
        <v>193826.82700000098</v>
      </c>
      <c r="BF128" s="22">
        <v>40447.216</v>
      </c>
      <c r="BG128" s="4">
        <f t="shared" si="123"/>
        <v>0</v>
      </c>
    </row>
    <row r="129" spans="1:59" x14ac:dyDescent="0.35">
      <c r="A129" s="3" t="s">
        <v>196</v>
      </c>
      <c r="B129" s="3" t="s">
        <v>169</v>
      </c>
      <c r="C129" s="4">
        <v>31029</v>
      </c>
      <c r="D129" s="4" t="s">
        <v>80</v>
      </c>
      <c r="E129" s="2">
        <v>62.5</v>
      </c>
      <c r="F129" s="4"/>
      <c r="G129" s="4">
        <v>7372</v>
      </c>
      <c r="H129" s="4">
        <v>776</v>
      </c>
      <c r="I129" s="4">
        <f t="shared" si="225"/>
        <v>8148</v>
      </c>
      <c r="J129" s="4">
        <f t="shared" si="226"/>
        <v>776</v>
      </c>
      <c r="K129" s="4">
        <f t="shared" si="227"/>
        <v>8924</v>
      </c>
      <c r="L129" s="4">
        <f t="shared" si="228"/>
        <v>776</v>
      </c>
      <c r="M129" s="4">
        <f t="shared" si="229"/>
        <v>9700</v>
      </c>
      <c r="N129" s="4">
        <f t="shared" si="230"/>
        <v>776</v>
      </c>
      <c r="O129" s="4">
        <f t="shared" si="231"/>
        <v>10476</v>
      </c>
      <c r="P129" s="4">
        <f t="shared" si="232"/>
        <v>496.464</v>
      </c>
      <c r="Q129" s="4">
        <f t="shared" si="233"/>
        <v>10972.464</v>
      </c>
      <c r="R129" s="4">
        <f t="shared" si="234"/>
        <v>496.464</v>
      </c>
      <c r="S129" s="4">
        <f t="shared" si="235"/>
        <v>11468.928</v>
      </c>
      <c r="T129" s="4">
        <f t="shared" si="236"/>
        <v>496.464</v>
      </c>
      <c r="U129" s="4">
        <f t="shared" ref="U129:U152" si="267">S129+T129</f>
        <v>11965.392</v>
      </c>
      <c r="V129" s="4">
        <f t="shared" si="237"/>
        <v>496.464</v>
      </c>
      <c r="W129" s="4">
        <f t="shared" si="238"/>
        <v>12461.856</v>
      </c>
      <c r="X129" s="4">
        <f t="shared" si="239"/>
        <v>496.464</v>
      </c>
      <c r="Y129" s="4">
        <f t="shared" si="240"/>
        <v>12958.32</v>
      </c>
      <c r="Z129" s="4">
        <f t="shared" si="241"/>
        <v>496.464</v>
      </c>
      <c r="AA129" s="4">
        <f t="shared" si="242"/>
        <v>13454.784</v>
      </c>
      <c r="AB129" s="4">
        <f t="shared" si="243"/>
        <v>496.464</v>
      </c>
      <c r="AC129" s="4">
        <f t="shared" si="244"/>
        <v>13951.248</v>
      </c>
      <c r="AD129" s="3">
        <f t="shared" si="245"/>
        <v>496.464</v>
      </c>
      <c r="AE129" s="4">
        <f t="shared" si="246"/>
        <v>14447.712</v>
      </c>
      <c r="AF129" s="3">
        <f t="shared" si="247"/>
        <v>496.464</v>
      </c>
      <c r="AG129" s="5">
        <f t="shared" si="248"/>
        <v>14944.175999999999</v>
      </c>
      <c r="AH129" s="3">
        <f t="shared" si="249"/>
        <v>496.464</v>
      </c>
      <c r="AI129" s="5">
        <f t="shared" si="250"/>
        <v>15440.64</v>
      </c>
      <c r="AJ129" s="3">
        <f t="shared" si="251"/>
        <v>496.464</v>
      </c>
      <c r="AK129" s="3">
        <f t="shared" si="252"/>
        <v>15937.103999999999</v>
      </c>
      <c r="AL129" s="3">
        <f t="shared" si="253"/>
        <v>496.464</v>
      </c>
      <c r="AM129" s="4">
        <f t="shared" si="254"/>
        <v>16433.567999999999</v>
      </c>
      <c r="AN129" s="4">
        <f t="shared" si="255"/>
        <v>14595.432000000001</v>
      </c>
      <c r="AO129" s="21">
        <f t="shared" si="256"/>
        <v>496.464</v>
      </c>
      <c r="AP129" s="4">
        <f t="shared" si="257"/>
        <v>16930.031999999999</v>
      </c>
      <c r="AQ129" s="4">
        <v>10468.575000000003</v>
      </c>
      <c r="AR129" s="21">
        <v>775.72500000000002</v>
      </c>
      <c r="AS129" s="19">
        <v>21336.149999999994</v>
      </c>
      <c r="AT129" s="4">
        <v>9692.8500000000058</v>
      </c>
      <c r="AU129" s="21">
        <f t="shared" si="258"/>
        <v>496.464</v>
      </c>
      <c r="AV129" s="19">
        <f t="shared" si="259"/>
        <v>21832.613999999994</v>
      </c>
      <c r="AW129" s="4">
        <f t="shared" si="260"/>
        <v>9196.3860000000059</v>
      </c>
      <c r="AX129" s="4">
        <f t="shared" si="261"/>
        <v>496.464</v>
      </c>
      <c r="AY129" s="4">
        <f t="shared" si="262"/>
        <v>22329.077999999994</v>
      </c>
      <c r="AZ129" s="4">
        <f t="shared" si="263"/>
        <v>8699.9220000000059</v>
      </c>
      <c r="BA129" s="22">
        <f t="shared" si="264"/>
        <v>496.464</v>
      </c>
      <c r="BB129" s="4">
        <f t="shared" si="265"/>
        <v>22825.541999999994</v>
      </c>
      <c r="BC129" s="4">
        <f t="shared" si="266"/>
        <v>8203.458000000006</v>
      </c>
      <c r="BF129" s="22">
        <v>496.464</v>
      </c>
      <c r="BG129" s="4">
        <f t="shared" si="123"/>
        <v>0</v>
      </c>
    </row>
    <row r="130" spans="1:59" x14ac:dyDescent="0.35">
      <c r="A130" s="3" t="s">
        <v>196</v>
      </c>
      <c r="B130" s="3" t="s">
        <v>197</v>
      </c>
      <c r="C130" s="4">
        <v>50637</v>
      </c>
      <c r="D130" s="4" t="s">
        <v>80</v>
      </c>
      <c r="E130" s="2">
        <v>62.5</v>
      </c>
      <c r="F130" s="4"/>
      <c r="G130" s="4">
        <v>10761</v>
      </c>
      <c r="H130" s="4">
        <v>1266</v>
      </c>
      <c r="I130" s="4">
        <f t="shared" si="225"/>
        <v>12027</v>
      </c>
      <c r="J130" s="4">
        <f t="shared" si="226"/>
        <v>1266</v>
      </c>
      <c r="K130" s="4">
        <f t="shared" si="227"/>
        <v>13293</v>
      </c>
      <c r="L130" s="4">
        <f t="shared" si="228"/>
        <v>1266</v>
      </c>
      <c r="M130" s="4">
        <f t="shared" si="229"/>
        <v>14559</v>
      </c>
      <c r="N130" s="4">
        <f t="shared" si="230"/>
        <v>1266</v>
      </c>
      <c r="O130" s="4">
        <f t="shared" si="231"/>
        <v>15825</v>
      </c>
      <c r="P130" s="4">
        <f t="shared" si="232"/>
        <v>810.19200000000001</v>
      </c>
      <c r="Q130" s="4">
        <f t="shared" si="233"/>
        <v>16635.191999999999</v>
      </c>
      <c r="R130" s="4">
        <f t="shared" si="234"/>
        <v>810.19200000000001</v>
      </c>
      <c r="S130" s="4">
        <f t="shared" si="235"/>
        <v>17445.383999999998</v>
      </c>
      <c r="T130" s="4">
        <f t="shared" si="236"/>
        <v>810.19200000000001</v>
      </c>
      <c r="U130" s="4">
        <f t="shared" si="267"/>
        <v>18255.575999999997</v>
      </c>
      <c r="V130" s="4">
        <f t="shared" si="237"/>
        <v>810.19200000000001</v>
      </c>
      <c r="W130" s="4">
        <f t="shared" si="238"/>
        <v>19065.767999999996</v>
      </c>
      <c r="X130" s="4">
        <f t="shared" si="239"/>
        <v>810.19200000000001</v>
      </c>
      <c r="Y130" s="4">
        <f t="shared" si="240"/>
        <v>19875.959999999995</v>
      </c>
      <c r="Z130" s="4">
        <f t="shared" si="241"/>
        <v>810.19200000000001</v>
      </c>
      <c r="AA130" s="4">
        <f t="shared" si="242"/>
        <v>20686.151999999995</v>
      </c>
      <c r="AB130" s="4">
        <f t="shared" si="243"/>
        <v>810.19200000000001</v>
      </c>
      <c r="AC130" s="4">
        <f t="shared" si="244"/>
        <v>21496.343999999994</v>
      </c>
      <c r="AD130" s="3">
        <f t="shared" si="245"/>
        <v>810.19200000000001</v>
      </c>
      <c r="AE130" s="4">
        <f t="shared" si="246"/>
        <v>22306.535999999993</v>
      </c>
      <c r="AF130" s="3">
        <f t="shared" si="247"/>
        <v>810.19200000000001</v>
      </c>
      <c r="AG130" s="5">
        <f t="shared" si="248"/>
        <v>23116.727999999992</v>
      </c>
      <c r="AH130" s="3">
        <f t="shared" si="249"/>
        <v>810.19200000000001</v>
      </c>
      <c r="AI130" s="5">
        <f t="shared" si="250"/>
        <v>23926.919999999991</v>
      </c>
      <c r="AJ130" s="3">
        <f t="shared" si="251"/>
        <v>810.19200000000001</v>
      </c>
      <c r="AK130" s="3">
        <f t="shared" si="252"/>
        <v>24737.11199999999</v>
      </c>
      <c r="AL130" s="3">
        <f t="shared" si="253"/>
        <v>810.19200000000001</v>
      </c>
      <c r="AM130" s="4">
        <f t="shared" si="254"/>
        <v>25547.303999999989</v>
      </c>
      <c r="AN130" s="4">
        <f t="shared" si="255"/>
        <v>25089.696000000011</v>
      </c>
      <c r="AO130" s="21">
        <f t="shared" si="256"/>
        <v>810.19200000000001</v>
      </c>
      <c r="AP130" s="4">
        <f t="shared" si="257"/>
        <v>26357.495999999988</v>
      </c>
      <c r="AQ130" s="4">
        <v>18354.975000000009</v>
      </c>
      <c r="AR130" s="21">
        <v>1265.925</v>
      </c>
      <c r="AS130" s="19">
        <v>33547.94999999999</v>
      </c>
      <c r="AT130" s="4">
        <v>17089.05000000001</v>
      </c>
      <c r="AU130" s="21">
        <f t="shared" si="258"/>
        <v>810.19200000000001</v>
      </c>
      <c r="AV130" s="19">
        <f t="shared" si="259"/>
        <v>34358.141999999993</v>
      </c>
      <c r="AW130" s="4">
        <f t="shared" si="260"/>
        <v>16278.858000000007</v>
      </c>
      <c r="AX130" s="4">
        <f t="shared" si="261"/>
        <v>810.19200000000001</v>
      </c>
      <c r="AY130" s="4">
        <f t="shared" si="262"/>
        <v>35168.333999999995</v>
      </c>
      <c r="AZ130" s="4">
        <f t="shared" si="263"/>
        <v>15468.666000000005</v>
      </c>
      <c r="BA130" s="22">
        <f t="shared" si="264"/>
        <v>810.19200000000001</v>
      </c>
      <c r="BB130" s="4">
        <f t="shared" si="265"/>
        <v>35978.525999999998</v>
      </c>
      <c r="BC130" s="4">
        <f t="shared" si="266"/>
        <v>14658.474000000002</v>
      </c>
      <c r="BF130" s="22">
        <v>810.19200000000001</v>
      </c>
      <c r="BG130" s="4">
        <f t="shared" si="123"/>
        <v>0</v>
      </c>
    </row>
    <row r="131" spans="1:59" x14ac:dyDescent="0.35">
      <c r="A131" s="3" t="s">
        <v>195</v>
      </c>
      <c r="B131" s="3" t="s">
        <v>197</v>
      </c>
      <c r="C131" s="4">
        <v>444640</v>
      </c>
      <c r="D131" s="4" t="s">
        <v>80</v>
      </c>
      <c r="E131" s="2">
        <v>62.5</v>
      </c>
      <c r="F131" s="4"/>
      <c r="G131" s="4">
        <v>94486</v>
      </c>
      <c r="H131" s="4">
        <v>11116</v>
      </c>
      <c r="I131" s="4">
        <f t="shared" si="225"/>
        <v>105602</v>
      </c>
      <c r="J131" s="4">
        <f t="shared" si="226"/>
        <v>11116</v>
      </c>
      <c r="K131" s="4">
        <f t="shared" si="227"/>
        <v>116718</v>
      </c>
      <c r="L131" s="4">
        <f t="shared" si="228"/>
        <v>11116</v>
      </c>
      <c r="M131" s="4">
        <f t="shared" si="229"/>
        <v>127834</v>
      </c>
      <c r="N131" s="4">
        <f t="shared" si="230"/>
        <v>11116</v>
      </c>
      <c r="O131" s="4">
        <f t="shared" si="231"/>
        <v>138950</v>
      </c>
      <c r="P131" s="4">
        <f t="shared" si="232"/>
        <v>7114.24</v>
      </c>
      <c r="Q131" s="4">
        <f t="shared" si="233"/>
        <v>146064.24</v>
      </c>
      <c r="R131" s="4">
        <f t="shared" si="234"/>
        <v>7114.24</v>
      </c>
      <c r="S131" s="4">
        <f t="shared" si="235"/>
        <v>153178.47999999998</v>
      </c>
      <c r="T131" s="4">
        <f t="shared" si="236"/>
        <v>7114.24</v>
      </c>
      <c r="U131" s="4">
        <f t="shared" si="267"/>
        <v>160292.71999999997</v>
      </c>
      <c r="V131" s="4">
        <f t="shared" si="237"/>
        <v>7114.24</v>
      </c>
      <c r="W131" s="4">
        <f t="shared" si="238"/>
        <v>167406.95999999996</v>
      </c>
      <c r="X131" s="4">
        <f t="shared" si="239"/>
        <v>7114.24</v>
      </c>
      <c r="Y131" s="4">
        <f t="shared" si="240"/>
        <v>174521.19999999995</v>
      </c>
      <c r="Z131" s="4">
        <f t="shared" si="241"/>
        <v>7114.24</v>
      </c>
      <c r="AA131" s="4">
        <f t="shared" si="242"/>
        <v>181635.43999999994</v>
      </c>
      <c r="AB131" s="4">
        <f t="shared" si="243"/>
        <v>7114.24</v>
      </c>
      <c r="AC131" s="4">
        <f t="shared" si="244"/>
        <v>188749.67999999993</v>
      </c>
      <c r="AD131" s="3">
        <f t="shared" si="245"/>
        <v>7114.24</v>
      </c>
      <c r="AE131" s="4">
        <f t="shared" si="246"/>
        <v>195863.91999999993</v>
      </c>
      <c r="AF131" s="3">
        <f t="shared" si="247"/>
        <v>7114.24</v>
      </c>
      <c r="AG131" s="5">
        <f t="shared" si="248"/>
        <v>202978.15999999992</v>
      </c>
      <c r="AH131" s="3">
        <f t="shared" si="249"/>
        <v>7114.24</v>
      </c>
      <c r="AI131" s="5">
        <f t="shared" si="250"/>
        <v>210092.39999999991</v>
      </c>
      <c r="AJ131" s="3">
        <f t="shared" si="251"/>
        <v>7114.24</v>
      </c>
      <c r="AK131" s="3">
        <f t="shared" si="252"/>
        <v>217206.6399999999</v>
      </c>
      <c r="AL131" s="3">
        <f t="shared" si="253"/>
        <v>7114.24</v>
      </c>
      <c r="AM131" s="4">
        <f t="shared" si="254"/>
        <v>224320.87999999989</v>
      </c>
      <c r="AN131" s="4">
        <f t="shared" si="255"/>
        <v>220319.12000000011</v>
      </c>
      <c r="AO131" s="21">
        <f t="shared" si="256"/>
        <v>7114.24</v>
      </c>
      <c r="AP131" s="4">
        <f t="shared" si="257"/>
        <v>231435.11999999988</v>
      </c>
      <c r="AQ131" s="4">
        <v>161182</v>
      </c>
      <c r="AR131" s="21">
        <v>11116</v>
      </c>
      <c r="AS131" s="19">
        <v>294574</v>
      </c>
      <c r="AT131" s="4">
        <v>150066</v>
      </c>
      <c r="AU131" s="21">
        <f t="shared" si="258"/>
        <v>7114.24</v>
      </c>
      <c r="AV131" s="19">
        <f t="shared" si="259"/>
        <v>301688.24</v>
      </c>
      <c r="AW131" s="4">
        <f t="shared" si="260"/>
        <v>142951.76</v>
      </c>
      <c r="AX131" s="4">
        <f t="shared" si="261"/>
        <v>7114.24</v>
      </c>
      <c r="AY131" s="4">
        <f t="shared" si="262"/>
        <v>308802.48</v>
      </c>
      <c r="AZ131" s="4">
        <f t="shared" si="263"/>
        <v>135837.52000000002</v>
      </c>
      <c r="BA131" s="22">
        <f t="shared" si="264"/>
        <v>7114.24</v>
      </c>
      <c r="BB131" s="4">
        <f t="shared" si="265"/>
        <v>315916.71999999997</v>
      </c>
      <c r="BC131" s="4">
        <f t="shared" si="266"/>
        <v>128723.28000000003</v>
      </c>
      <c r="BF131" s="22">
        <v>7114.24</v>
      </c>
      <c r="BG131" s="4">
        <f t="shared" si="123"/>
        <v>0</v>
      </c>
    </row>
    <row r="132" spans="1:59" x14ac:dyDescent="0.35">
      <c r="A132" s="3" t="s">
        <v>196</v>
      </c>
      <c r="B132" s="3" t="s">
        <v>48</v>
      </c>
      <c r="C132" s="4">
        <v>70060</v>
      </c>
      <c r="D132" s="4" t="s">
        <v>80</v>
      </c>
      <c r="E132" s="2">
        <v>62.5</v>
      </c>
      <c r="F132" s="4"/>
      <c r="G132" s="4">
        <v>28938</v>
      </c>
      <c r="H132" s="4">
        <v>1752</v>
      </c>
      <c r="I132" s="4">
        <f t="shared" si="225"/>
        <v>30690</v>
      </c>
      <c r="J132" s="4">
        <f t="shared" si="226"/>
        <v>1752</v>
      </c>
      <c r="K132" s="4">
        <f t="shared" si="227"/>
        <v>32442</v>
      </c>
      <c r="L132" s="4">
        <f t="shared" si="228"/>
        <v>1752</v>
      </c>
      <c r="M132" s="4">
        <f t="shared" si="229"/>
        <v>34194</v>
      </c>
      <c r="N132" s="4">
        <f t="shared" si="230"/>
        <v>1752</v>
      </c>
      <c r="O132" s="4">
        <f t="shared" si="231"/>
        <v>35946</v>
      </c>
      <c r="P132" s="4">
        <f t="shared" si="232"/>
        <v>1120.96</v>
      </c>
      <c r="Q132" s="4">
        <f t="shared" si="233"/>
        <v>37066.959999999999</v>
      </c>
      <c r="R132" s="4">
        <f t="shared" si="234"/>
        <v>1120.96</v>
      </c>
      <c r="S132" s="4">
        <f t="shared" si="235"/>
        <v>38187.919999999998</v>
      </c>
      <c r="T132" s="4">
        <f t="shared" si="236"/>
        <v>1120.96</v>
      </c>
      <c r="U132" s="4">
        <f t="shared" si="267"/>
        <v>39308.879999999997</v>
      </c>
      <c r="V132" s="4">
        <f t="shared" si="237"/>
        <v>1120.96</v>
      </c>
      <c r="W132" s="4">
        <f t="shared" si="238"/>
        <v>40429.839999999997</v>
      </c>
      <c r="X132" s="4">
        <f t="shared" si="239"/>
        <v>1120.96</v>
      </c>
      <c r="Y132" s="4">
        <f t="shared" si="240"/>
        <v>41550.799999999996</v>
      </c>
      <c r="Z132" s="4">
        <f t="shared" si="241"/>
        <v>1120.96</v>
      </c>
      <c r="AA132" s="4">
        <f t="shared" si="242"/>
        <v>42671.759999999995</v>
      </c>
      <c r="AB132" s="4">
        <f t="shared" si="243"/>
        <v>1120.96</v>
      </c>
      <c r="AC132" s="4">
        <f t="shared" si="244"/>
        <v>43792.719999999994</v>
      </c>
      <c r="AD132" s="3">
        <f t="shared" si="245"/>
        <v>1120.96</v>
      </c>
      <c r="AE132" s="4">
        <f t="shared" si="246"/>
        <v>44913.679999999993</v>
      </c>
      <c r="AF132" s="3">
        <f t="shared" si="247"/>
        <v>1120.96</v>
      </c>
      <c r="AG132" s="5">
        <f t="shared" si="248"/>
        <v>46034.639999999992</v>
      </c>
      <c r="AH132" s="3">
        <f t="shared" si="249"/>
        <v>1120.96</v>
      </c>
      <c r="AI132" s="5">
        <f t="shared" si="250"/>
        <v>47155.599999999991</v>
      </c>
      <c r="AJ132" s="3">
        <f t="shared" si="251"/>
        <v>1120.96</v>
      </c>
      <c r="AK132" s="3">
        <f t="shared" si="252"/>
        <v>48276.55999999999</v>
      </c>
      <c r="AL132" s="3">
        <f t="shared" si="253"/>
        <v>1120.96</v>
      </c>
      <c r="AM132" s="4">
        <f t="shared" si="254"/>
        <v>49397.51999999999</v>
      </c>
      <c r="AN132" s="4">
        <f t="shared" si="255"/>
        <v>20662.48000000001</v>
      </c>
      <c r="AO132" s="21">
        <f t="shared" si="256"/>
        <v>1120.96</v>
      </c>
      <c r="AP132" s="4">
        <f t="shared" si="257"/>
        <v>50518.479999999989</v>
      </c>
      <c r="AQ132" s="4">
        <v>11344.5</v>
      </c>
      <c r="AR132" s="21">
        <v>1751.5</v>
      </c>
      <c r="AS132" s="19">
        <v>60467</v>
      </c>
      <c r="AT132" s="4">
        <v>9593</v>
      </c>
      <c r="AU132" s="21">
        <f t="shared" si="258"/>
        <v>1120.96</v>
      </c>
      <c r="AV132" s="19">
        <f t="shared" si="259"/>
        <v>61587.96</v>
      </c>
      <c r="AW132" s="4">
        <f t="shared" si="260"/>
        <v>8472.0400000000009</v>
      </c>
      <c r="AX132" s="4">
        <f t="shared" si="261"/>
        <v>1120.96</v>
      </c>
      <c r="AY132" s="4">
        <f t="shared" si="262"/>
        <v>62708.92</v>
      </c>
      <c r="AZ132" s="4">
        <f t="shared" si="263"/>
        <v>7351.0800000000017</v>
      </c>
      <c r="BA132" s="22">
        <f t="shared" si="264"/>
        <v>1120.96</v>
      </c>
      <c r="BB132" s="4">
        <f t="shared" si="265"/>
        <v>63829.88</v>
      </c>
      <c r="BC132" s="4">
        <f t="shared" si="266"/>
        <v>6230.1200000000026</v>
      </c>
      <c r="BF132" s="22">
        <v>1120.96</v>
      </c>
      <c r="BG132" s="4">
        <f t="shared" si="123"/>
        <v>0</v>
      </c>
    </row>
    <row r="133" spans="1:59" x14ac:dyDescent="0.35">
      <c r="A133" s="3" t="s">
        <v>196</v>
      </c>
      <c r="B133" s="3" t="s">
        <v>83</v>
      </c>
      <c r="C133" s="4">
        <v>50887</v>
      </c>
      <c r="D133" s="4" t="s">
        <v>80</v>
      </c>
      <c r="E133" s="2">
        <v>62.5</v>
      </c>
      <c r="F133" s="4"/>
      <c r="G133" s="4">
        <v>9541</v>
      </c>
      <c r="H133" s="4">
        <v>1272</v>
      </c>
      <c r="I133" s="4">
        <f t="shared" si="225"/>
        <v>10813</v>
      </c>
      <c r="J133" s="4">
        <f t="shared" si="226"/>
        <v>1272</v>
      </c>
      <c r="K133" s="4">
        <f t="shared" si="227"/>
        <v>12085</v>
      </c>
      <c r="L133" s="4">
        <f t="shared" si="228"/>
        <v>1272</v>
      </c>
      <c r="M133" s="4">
        <f t="shared" si="229"/>
        <v>13357</v>
      </c>
      <c r="N133" s="4">
        <f t="shared" si="230"/>
        <v>1272</v>
      </c>
      <c r="O133" s="4">
        <f t="shared" si="231"/>
        <v>14629</v>
      </c>
      <c r="P133" s="4">
        <f t="shared" si="232"/>
        <v>814.19200000000001</v>
      </c>
      <c r="Q133" s="4">
        <f t="shared" si="233"/>
        <v>15443.191999999999</v>
      </c>
      <c r="R133" s="4">
        <f t="shared" si="234"/>
        <v>814.19200000000001</v>
      </c>
      <c r="S133" s="4">
        <f t="shared" si="235"/>
        <v>16257.383999999998</v>
      </c>
      <c r="T133" s="4">
        <f t="shared" si="236"/>
        <v>814.19200000000001</v>
      </c>
      <c r="U133" s="4">
        <f t="shared" si="267"/>
        <v>17071.575999999997</v>
      </c>
      <c r="V133" s="4">
        <f t="shared" si="237"/>
        <v>814.19200000000001</v>
      </c>
      <c r="W133" s="4">
        <f t="shared" si="238"/>
        <v>17885.767999999996</v>
      </c>
      <c r="X133" s="4">
        <f t="shared" si="239"/>
        <v>814.19200000000001</v>
      </c>
      <c r="Y133" s="4">
        <f t="shared" si="240"/>
        <v>18699.959999999995</v>
      </c>
      <c r="Z133" s="4">
        <f t="shared" si="241"/>
        <v>814.19200000000001</v>
      </c>
      <c r="AA133" s="4">
        <f t="shared" si="242"/>
        <v>19514.151999999995</v>
      </c>
      <c r="AB133" s="4">
        <f t="shared" si="243"/>
        <v>814.19200000000001</v>
      </c>
      <c r="AC133" s="4">
        <f t="shared" si="244"/>
        <v>20328.343999999994</v>
      </c>
      <c r="AD133" s="3">
        <f t="shared" si="245"/>
        <v>814.19200000000001</v>
      </c>
      <c r="AE133" s="4">
        <f t="shared" si="246"/>
        <v>21142.535999999993</v>
      </c>
      <c r="AF133" s="3">
        <f t="shared" si="247"/>
        <v>814.19200000000001</v>
      </c>
      <c r="AG133" s="5">
        <f t="shared" si="248"/>
        <v>21956.727999999992</v>
      </c>
      <c r="AH133" s="3">
        <f t="shared" si="249"/>
        <v>814.19200000000001</v>
      </c>
      <c r="AI133" s="5">
        <f t="shared" si="250"/>
        <v>22770.919999999991</v>
      </c>
      <c r="AJ133" s="3">
        <f t="shared" si="251"/>
        <v>814.19200000000001</v>
      </c>
      <c r="AK133" s="3">
        <f t="shared" si="252"/>
        <v>23585.11199999999</v>
      </c>
      <c r="AL133" s="3">
        <f t="shared" si="253"/>
        <v>814.19200000000001</v>
      </c>
      <c r="AM133" s="4">
        <f t="shared" si="254"/>
        <v>24399.303999999989</v>
      </c>
      <c r="AN133" s="4">
        <f t="shared" si="255"/>
        <v>26487.696000000011</v>
      </c>
      <c r="AO133" s="21">
        <f t="shared" si="256"/>
        <v>814.19200000000001</v>
      </c>
      <c r="AP133" s="4">
        <f t="shared" si="257"/>
        <v>25213.495999999988</v>
      </c>
      <c r="AQ133" s="4">
        <v>19719.725000000009</v>
      </c>
      <c r="AR133" s="21">
        <v>1272.175</v>
      </c>
      <c r="AS133" s="19">
        <v>32439.44999999999</v>
      </c>
      <c r="AT133" s="4">
        <v>18447.55000000001</v>
      </c>
      <c r="AU133" s="21">
        <f t="shared" si="258"/>
        <v>814.19200000000001</v>
      </c>
      <c r="AV133" s="19">
        <f t="shared" si="259"/>
        <v>33253.641999999993</v>
      </c>
      <c r="AW133" s="4">
        <f t="shared" si="260"/>
        <v>17633.358000000007</v>
      </c>
      <c r="AX133" s="4">
        <f t="shared" si="261"/>
        <v>814.19200000000001</v>
      </c>
      <c r="AY133" s="4">
        <f t="shared" si="262"/>
        <v>34067.833999999995</v>
      </c>
      <c r="AZ133" s="4">
        <f t="shared" si="263"/>
        <v>16819.166000000005</v>
      </c>
      <c r="BA133" s="22">
        <f t="shared" si="264"/>
        <v>814.19200000000001</v>
      </c>
      <c r="BB133" s="4">
        <f t="shared" si="265"/>
        <v>34882.025999999998</v>
      </c>
      <c r="BC133" s="4">
        <f t="shared" si="266"/>
        <v>16004.974000000002</v>
      </c>
      <c r="BF133" s="22">
        <v>814.19200000000001</v>
      </c>
      <c r="BG133" s="4">
        <f t="shared" si="123"/>
        <v>0</v>
      </c>
    </row>
    <row r="134" spans="1:59" x14ac:dyDescent="0.35">
      <c r="A134" s="3" t="s">
        <v>196</v>
      </c>
      <c r="B134" s="3" t="s">
        <v>84</v>
      </c>
      <c r="C134" s="4">
        <v>63704</v>
      </c>
      <c r="D134" s="4" t="s">
        <v>80</v>
      </c>
      <c r="E134" s="2">
        <v>62.5</v>
      </c>
      <c r="F134" s="4"/>
      <c r="G134" s="4">
        <v>10354</v>
      </c>
      <c r="H134" s="4">
        <v>1593</v>
      </c>
      <c r="I134" s="4">
        <f t="shared" si="225"/>
        <v>11947</v>
      </c>
      <c r="J134" s="4">
        <f t="shared" si="226"/>
        <v>1593</v>
      </c>
      <c r="K134" s="4">
        <f t="shared" si="227"/>
        <v>13540</v>
      </c>
      <c r="L134" s="4">
        <f t="shared" si="228"/>
        <v>1593</v>
      </c>
      <c r="M134" s="4">
        <f t="shared" si="229"/>
        <v>15133</v>
      </c>
      <c r="N134" s="4">
        <f t="shared" si="230"/>
        <v>1593</v>
      </c>
      <c r="O134" s="4">
        <f t="shared" si="231"/>
        <v>16726</v>
      </c>
      <c r="P134" s="4">
        <f t="shared" si="232"/>
        <v>1019.264</v>
      </c>
      <c r="Q134" s="4">
        <f t="shared" si="233"/>
        <v>17745.263999999999</v>
      </c>
      <c r="R134" s="4">
        <f t="shared" si="234"/>
        <v>1019.264</v>
      </c>
      <c r="S134" s="4">
        <f t="shared" si="235"/>
        <v>18764.527999999998</v>
      </c>
      <c r="T134" s="4">
        <f t="shared" si="236"/>
        <v>1019.264</v>
      </c>
      <c r="U134" s="4">
        <f t="shared" si="267"/>
        <v>19783.791999999998</v>
      </c>
      <c r="V134" s="4">
        <f t="shared" si="237"/>
        <v>1019.264</v>
      </c>
      <c r="W134" s="4">
        <v>23097</v>
      </c>
      <c r="X134" s="4">
        <f t="shared" si="239"/>
        <v>1019.264</v>
      </c>
      <c r="Y134" s="4">
        <f t="shared" si="240"/>
        <v>24116.263999999999</v>
      </c>
      <c r="Z134" s="4">
        <f t="shared" si="241"/>
        <v>1019.264</v>
      </c>
      <c r="AA134" s="4">
        <f t="shared" si="242"/>
        <v>25135.527999999998</v>
      </c>
      <c r="AB134" s="4">
        <f t="shared" si="243"/>
        <v>1019.264</v>
      </c>
      <c r="AC134" s="4">
        <f t="shared" si="244"/>
        <v>26154.791999999998</v>
      </c>
      <c r="AD134" s="3">
        <f t="shared" si="245"/>
        <v>1019.264</v>
      </c>
      <c r="AE134" s="4">
        <f t="shared" si="246"/>
        <v>27174.055999999997</v>
      </c>
      <c r="AF134" s="3">
        <f t="shared" si="247"/>
        <v>1019.264</v>
      </c>
      <c r="AG134" s="5">
        <f t="shared" si="248"/>
        <v>28193.319999999996</v>
      </c>
      <c r="AH134" s="3">
        <f t="shared" si="249"/>
        <v>1019.264</v>
      </c>
      <c r="AI134" s="5">
        <f t="shared" si="250"/>
        <v>29212.583999999995</v>
      </c>
      <c r="AJ134" s="3">
        <f t="shared" si="251"/>
        <v>1019.264</v>
      </c>
      <c r="AK134" s="3">
        <f t="shared" si="252"/>
        <v>30231.847999999994</v>
      </c>
      <c r="AL134" s="3">
        <f t="shared" si="253"/>
        <v>1019.264</v>
      </c>
      <c r="AM134" s="4">
        <f t="shared" si="254"/>
        <v>31251.111999999994</v>
      </c>
      <c r="AN134" s="4">
        <f t="shared" si="255"/>
        <v>32452.888000000006</v>
      </c>
      <c r="AO134" s="21">
        <f t="shared" si="256"/>
        <v>1019.264</v>
      </c>
      <c r="AP134" s="4">
        <f t="shared" si="257"/>
        <v>32270.375999999993</v>
      </c>
      <c r="AQ134" s="4">
        <v>26273.600000000013</v>
      </c>
      <c r="AR134" s="21">
        <v>1592.6</v>
      </c>
      <c r="AS134" s="19">
        <v>39022.999999999985</v>
      </c>
      <c r="AT134" s="4">
        <v>24681.000000000015</v>
      </c>
      <c r="AU134" s="21">
        <f t="shared" si="258"/>
        <v>1019.264</v>
      </c>
      <c r="AV134" s="19">
        <f t="shared" si="259"/>
        <v>40042.263999999988</v>
      </c>
      <c r="AW134" s="4">
        <f t="shared" si="260"/>
        <v>23661.736000000012</v>
      </c>
      <c r="AX134" s="4">
        <f t="shared" si="261"/>
        <v>1019.264</v>
      </c>
      <c r="AY134" s="4">
        <f t="shared" si="262"/>
        <v>41061.527999999991</v>
      </c>
      <c r="AZ134" s="4">
        <f t="shared" si="263"/>
        <v>22642.472000000009</v>
      </c>
      <c r="BA134" s="22">
        <f t="shared" si="264"/>
        <v>1019.264</v>
      </c>
      <c r="BB134" s="4">
        <f t="shared" si="265"/>
        <v>42080.791999999994</v>
      </c>
      <c r="BC134" s="4">
        <f t="shared" si="266"/>
        <v>21623.208000000006</v>
      </c>
      <c r="BF134" s="22">
        <v>1019.264</v>
      </c>
      <c r="BG134" s="4">
        <f t="shared" si="123"/>
        <v>0</v>
      </c>
    </row>
    <row r="135" spans="1:59" x14ac:dyDescent="0.35">
      <c r="A135" s="3" t="s">
        <v>196</v>
      </c>
      <c r="B135" s="3" t="s">
        <v>85</v>
      </c>
      <c r="C135" s="4">
        <v>48511</v>
      </c>
      <c r="D135" s="4" t="s">
        <v>80</v>
      </c>
      <c r="E135" s="2">
        <v>62.5</v>
      </c>
      <c r="F135" s="4"/>
      <c r="G135" s="4">
        <v>6671</v>
      </c>
      <c r="H135" s="4">
        <v>1213</v>
      </c>
      <c r="I135" s="4">
        <f t="shared" si="225"/>
        <v>7884</v>
      </c>
      <c r="J135" s="4">
        <f t="shared" si="226"/>
        <v>1213</v>
      </c>
      <c r="K135" s="4">
        <f t="shared" si="227"/>
        <v>9097</v>
      </c>
      <c r="L135" s="4">
        <f t="shared" si="228"/>
        <v>1213</v>
      </c>
      <c r="M135" s="4">
        <f t="shared" si="229"/>
        <v>10310</v>
      </c>
      <c r="N135" s="4">
        <f t="shared" si="230"/>
        <v>1213</v>
      </c>
      <c r="O135" s="4">
        <f t="shared" si="231"/>
        <v>11523</v>
      </c>
      <c r="P135" s="4">
        <f t="shared" si="232"/>
        <v>776.17600000000004</v>
      </c>
      <c r="Q135" s="4">
        <f t="shared" si="233"/>
        <v>12299.175999999999</v>
      </c>
      <c r="R135" s="4">
        <f t="shared" si="234"/>
        <v>776.17600000000004</v>
      </c>
      <c r="S135" s="4">
        <f t="shared" si="235"/>
        <v>13075.351999999999</v>
      </c>
      <c r="T135" s="4">
        <f t="shared" si="236"/>
        <v>776.17600000000004</v>
      </c>
      <c r="U135" s="4">
        <f t="shared" si="267"/>
        <v>13851.527999999998</v>
      </c>
      <c r="V135" s="4">
        <f t="shared" si="237"/>
        <v>776.17600000000004</v>
      </c>
      <c r="W135" s="4">
        <f>U135+V135</f>
        <v>14627.703999999998</v>
      </c>
      <c r="X135" s="4">
        <f t="shared" si="239"/>
        <v>776.17600000000004</v>
      </c>
      <c r="Y135" s="4">
        <f t="shared" si="240"/>
        <v>15403.879999999997</v>
      </c>
      <c r="Z135" s="4">
        <f t="shared" si="241"/>
        <v>776.17600000000004</v>
      </c>
      <c r="AA135" s="4">
        <f t="shared" si="242"/>
        <v>16180.055999999997</v>
      </c>
      <c r="AB135" s="4">
        <f t="shared" si="243"/>
        <v>776.17600000000004</v>
      </c>
      <c r="AC135" s="4">
        <f t="shared" si="244"/>
        <v>16956.231999999996</v>
      </c>
      <c r="AD135" s="3">
        <f t="shared" si="245"/>
        <v>776.17600000000004</v>
      </c>
      <c r="AE135" s="4">
        <f t="shared" si="246"/>
        <v>17732.407999999996</v>
      </c>
      <c r="AF135" s="3">
        <f t="shared" si="247"/>
        <v>776.17600000000004</v>
      </c>
      <c r="AG135" s="5">
        <f t="shared" si="248"/>
        <v>18508.583999999995</v>
      </c>
      <c r="AH135" s="3">
        <f t="shared" si="249"/>
        <v>776.17600000000004</v>
      </c>
      <c r="AI135" s="5">
        <f t="shared" si="250"/>
        <v>19284.759999999995</v>
      </c>
      <c r="AJ135" s="3">
        <f t="shared" si="251"/>
        <v>776.17600000000004</v>
      </c>
      <c r="AK135" s="3">
        <f t="shared" si="252"/>
        <v>20060.935999999994</v>
      </c>
      <c r="AL135" s="3">
        <f t="shared" si="253"/>
        <v>776.17600000000004</v>
      </c>
      <c r="AM135" s="4">
        <f t="shared" si="254"/>
        <v>20837.111999999994</v>
      </c>
      <c r="AN135" s="4">
        <f t="shared" si="255"/>
        <v>27673.888000000006</v>
      </c>
      <c r="AO135" s="21">
        <f t="shared" si="256"/>
        <v>776.17600000000004</v>
      </c>
      <c r="AP135" s="4">
        <f t="shared" si="257"/>
        <v>21613.287999999993</v>
      </c>
      <c r="AQ135" s="4">
        <v>21221.924999999988</v>
      </c>
      <c r="AR135" s="21">
        <v>1212.7750000000001</v>
      </c>
      <c r="AS135" s="19">
        <v>28501.850000000013</v>
      </c>
      <c r="AT135" s="4">
        <v>20009.149999999987</v>
      </c>
      <c r="AU135" s="21">
        <f t="shared" si="258"/>
        <v>776.17600000000004</v>
      </c>
      <c r="AV135" s="19">
        <f t="shared" si="259"/>
        <v>29278.026000000013</v>
      </c>
      <c r="AW135" s="4">
        <f t="shared" si="260"/>
        <v>19232.973999999987</v>
      </c>
      <c r="AX135" s="4">
        <f t="shared" si="261"/>
        <v>776.17600000000004</v>
      </c>
      <c r="AY135" s="4">
        <f t="shared" si="262"/>
        <v>30054.202000000012</v>
      </c>
      <c r="AZ135" s="4">
        <f t="shared" si="263"/>
        <v>18456.797999999988</v>
      </c>
      <c r="BA135" s="22">
        <f t="shared" si="264"/>
        <v>776.17600000000004</v>
      </c>
      <c r="BB135" s="4">
        <f t="shared" si="265"/>
        <v>30830.378000000012</v>
      </c>
      <c r="BC135" s="4">
        <f t="shared" si="266"/>
        <v>17680.621999999988</v>
      </c>
      <c r="BF135" s="22">
        <v>776.17600000000004</v>
      </c>
      <c r="BG135" s="4">
        <f t="shared" si="123"/>
        <v>0</v>
      </c>
    </row>
    <row r="136" spans="1:59" x14ac:dyDescent="0.35">
      <c r="A136" s="3" t="s">
        <v>196</v>
      </c>
      <c r="B136" s="3" t="s">
        <v>86</v>
      </c>
      <c r="C136" s="4">
        <v>53460</v>
      </c>
      <c r="D136" s="4" t="s">
        <v>80</v>
      </c>
      <c r="E136" s="2">
        <v>62.5</v>
      </c>
      <c r="F136" s="4"/>
      <c r="G136" s="4">
        <v>6016</v>
      </c>
      <c r="H136" s="4">
        <v>1337</v>
      </c>
      <c r="I136" s="4">
        <f t="shared" si="225"/>
        <v>7353</v>
      </c>
      <c r="J136" s="4">
        <f t="shared" si="226"/>
        <v>1337</v>
      </c>
      <c r="K136" s="4">
        <f t="shared" si="227"/>
        <v>8690</v>
      </c>
      <c r="L136" s="4">
        <f t="shared" si="228"/>
        <v>1337</v>
      </c>
      <c r="M136" s="4">
        <f t="shared" si="229"/>
        <v>10027</v>
      </c>
      <c r="N136" s="4">
        <f t="shared" si="230"/>
        <v>1337</v>
      </c>
      <c r="O136" s="4">
        <f t="shared" si="231"/>
        <v>11364</v>
      </c>
      <c r="P136" s="4">
        <f t="shared" si="232"/>
        <v>855.36</v>
      </c>
      <c r="Q136" s="4">
        <f t="shared" si="233"/>
        <v>12219.36</v>
      </c>
      <c r="R136" s="4">
        <f t="shared" si="234"/>
        <v>855.36</v>
      </c>
      <c r="S136" s="4">
        <f t="shared" si="235"/>
        <v>13074.720000000001</v>
      </c>
      <c r="T136" s="4">
        <f t="shared" si="236"/>
        <v>855.36</v>
      </c>
      <c r="U136" s="4">
        <f t="shared" si="267"/>
        <v>13930.080000000002</v>
      </c>
      <c r="V136" s="4">
        <f t="shared" si="237"/>
        <v>855.36</v>
      </c>
      <c r="W136" s="4">
        <v>16711</v>
      </c>
      <c r="X136" s="4">
        <f t="shared" si="239"/>
        <v>855.36</v>
      </c>
      <c r="Y136" s="4">
        <f t="shared" si="240"/>
        <v>17566.36</v>
      </c>
      <c r="Z136" s="4">
        <f t="shared" si="241"/>
        <v>855.36</v>
      </c>
      <c r="AA136" s="4">
        <f t="shared" si="242"/>
        <v>18421.72</v>
      </c>
      <c r="AB136" s="4">
        <f t="shared" si="243"/>
        <v>855.36</v>
      </c>
      <c r="AC136" s="4">
        <f t="shared" si="244"/>
        <v>19277.080000000002</v>
      </c>
      <c r="AD136" s="3">
        <f t="shared" si="245"/>
        <v>855.36</v>
      </c>
      <c r="AE136" s="4">
        <f t="shared" si="246"/>
        <v>20132.440000000002</v>
      </c>
      <c r="AF136" s="3">
        <f t="shared" si="247"/>
        <v>855.36</v>
      </c>
      <c r="AG136" s="5">
        <f t="shared" si="248"/>
        <v>20987.800000000003</v>
      </c>
      <c r="AH136" s="3">
        <f t="shared" si="249"/>
        <v>855.36</v>
      </c>
      <c r="AI136" s="5">
        <f t="shared" si="250"/>
        <v>21843.160000000003</v>
      </c>
      <c r="AJ136" s="3">
        <f t="shared" si="251"/>
        <v>855.36</v>
      </c>
      <c r="AK136" s="3">
        <f t="shared" si="252"/>
        <v>22698.520000000004</v>
      </c>
      <c r="AL136" s="3">
        <f t="shared" si="253"/>
        <v>855.36</v>
      </c>
      <c r="AM136" s="4">
        <f t="shared" si="254"/>
        <v>23553.880000000005</v>
      </c>
      <c r="AN136" s="4">
        <f t="shared" si="255"/>
        <v>29906.119999999995</v>
      </c>
      <c r="AO136" s="21">
        <f t="shared" si="256"/>
        <v>855.36</v>
      </c>
      <c r="AP136" s="4">
        <f t="shared" si="257"/>
        <v>24409.240000000005</v>
      </c>
      <c r="AQ136" s="4">
        <v>24720.5</v>
      </c>
      <c r="AR136" s="21">
        <v>1336.5</v>
      </c>
      <c r="AS136" s="19">
        <v>30076</v>
      </c>
      <c r="AT136" s="4">
        <v>23384</v>
      </c>
      <c r="AU136" s="21">
        <f t="shared" si="258"/>
        <v>855.36</v>
      </c>
      <c r="AV136" s="19">
        <f t="shared" si="259"/>
        <v>30931.360000000001</v>
      </c>
      <c r="AW136" s="4">
        <f t="shared" si="260"/>
        <v>22528.639999999999</v>
      </c>
      <c r="AX136" s="4">
        <f t="shared" si="261"/>
        <v>855.36</v>
      </c>
      <c r="AY136" s="4">
        <f t="shared" si="262"/>
        <v>31786.720000000001</v>
      </c>
      <c r="AZ136" s="4">
        <f t="shared" si="263"/>
        <v>21673.279999999999</v>
      </c>
      <c r="BA136" s="22">
        <f t="shared" si="264"/>
        <v>855.36</v>
      </c>
      <c r="BB136" s="4">
        <f t="shared" si="265"/>
        <v>32642.080000000002</v>
      </c>
      <c r="BC136" s="4">
        <f t="shared" si="266"/>
        <v>20817.919999999998</v>
      </c>
      <c r="BF136" s="22">
        <v>855.36</v>
      </c>
      <c r="BG136" s="4">
        <f t="shared" si="123"/>
        <v>0</v>
      </c>
    </row>
    <row r="137" spans="1:59" x14ac:dyDescent="0.35">
      <c r="A137" s="3" t="s">
        <v>196</v>
      </c>
      <c r="B137" s="3" t="s">
        <v>88</v>
      </c>
      <c r="C137" s="4">
        <v>74746</v>
      </c>
      <c r="D137" s="4" t="s">
        <v>80</v>
      </c>
      <c r="E137" s="2">
        <v>62.5</v>
      </c>
      <c r="F137" s="4"/>
      <c r="G137" s="4">
        <v>6541</v>
      </c>
      <c r="H137" s="4">
        <v>1869</v>
      </c>
      <c r="I137" s="4">
        <f t="shared" si="225"/>
        <v>8410</v>
      </c>
      <c r="J137" s="4">
        <f t="shared" si="226"/>
        <v>1869</v>
      </c>
      <c r="K137" s="4">
        <f t="shared" si="227"/>
        <v>10279</v>
      </c>
      <c r="L137" s="4">
        <f t="shared" si="228"/>
        <v>1869</v>
      </c>
      <c r="M137" s="4">
        <f t="shared" si="229"/>
        <v>12148</v>
      </c>
      <c r="N137" s="4">
        <f t="shared" si="230"/>
        <v>1869</v>
      </c>
      <c r="O137" s="4">
        <f t="shared" si="231"/>
        <v>14017</v>
      </c>
      <c r="P137" s="4">
        <f t="shared" si="232"/>
        <v>1195.9359999999999</v>
      </c>
      <c r="Q137" s="4">
        <f t="shared" si="233"/>
        <v>15212.936</v>
      </c>
      <c r="R137" s="4">
        <f t="shared" si="234"/>
        <v>1195.9359999999999</v>
      </c>
      <c r="S137" s="4">
        <f t="shared" si="235"/>
        <v>16408.871999999999</v>
      </c>
      <c r="T137" s="4">
        <f t="shared" si="236"/>
        <v>1195.9359999999999</v>
      </c>
      <c r="U137" s="4">
        <f t="shared" si="267"/>
        <v>17604.808000000001</v>
      </c>
      <c r="V137" s="4">
        <f t="shared" si="237"/>
        <v>1195.9359999999999</v>
      </c>
      <c r="W137" s="4">
        <f>U137+V137</f>
        <v>18800.744000000002</v>
      </c>
      <c r="X137" s="4">
        <f t="shared" si="239"/>
        <v>1195.9359999999999</v>
      </c>
      <c r="Y137" s="4">
        <f t="shared" si="240"/>
        <v>19996.680000000004</v>
      </c>
      <c r="Z137" s="4">
        <f t="shared" si="241"/>
        <v>1195.9359999999999</v>
      </c>
      <c r="AA137" s="4">
        <f t="shared" si="242"/>
        <v>21192.616000000005</v>
      </c>
      <c r="AB137" s="4">
        <f t="shared" si="243"/>
        <v>1195.9359999999999</v>
      </c>
      <c r="AC137" s="4">
        <f t="shared" si="244"/>
        <v>22388.552000000007</v>
      </c>
      <c r="AD137" s="3">
        <f t="shared" si="245"/>
        <v>1195.9359999999999</v>
      </c>
      <c r="AE137" s="4">
        <f t="shared" si="246"/>
        <v>23584.488000000008</v>
      </c>
      <c r="AF137" s="3">
        <f t="shared" si="247"/>
        <v>1195.9359999999999</v>
      </c>
      <c r="AG137" s="5">
        <f t="shared" si="248"/>
        <v>24780.42400000001</v>
      </c>
      <c r="AH137" s="3">
        <f t="shared" si="249"/>
        <v>1195.9359999999999</v>
      </c>
      <c r="AI137" s="5">
        <f t="shared" si="250"/>
        <v>25976.360000000011</v>
      </c>
      <c r="AJ137" s="3">
        <f t="shared" si="251"/>
        <v>1195.9359999999999</v>
      </c>
      <c r="AK137" s="3">
        <f t="shared" si="252"/>
        <v>27172.296000000013</v>
      </c>
      <c r="AL137" s="3">
        <f t="shared" si="253"/>
        <v>1195.9359999999999</v>
      </c>
      <c r="AM137" s="4">
        <f t="shared" si="254"/>
        <v>28368.232000000015</v>
      </c>
      <c r="AN137" s="4">
        <f t="shared" si="255"/>
        <v>46377.767999999982</v>
      </c>
      <c r="AO137" s="21">
        <f t="shared" si="256"/>
        <v>1195.9359999999999</v>
      </c>
      <c r="AP137" s="4">
        <f t="shared" si="257"/>
        <v>29564.168000000016</v>
      </c>
      <c r="AQ137" s="4">
        <v>36436.549999999988</v>
      </c>
      <c r="AR137" s="21">
        <v>1868.65</v>
      </c>
      <c r="AS137" s="19">
        <v>40178.100000000013</v>
      </c>
      <c r="AT137" s="4">
        <v>34567.899999999987</v>
      </c>
      <c r="AU137" s="21">
        <f t="shared" si="258"/>
        <v>1195.9359999999999</v>
      </c>
      <c r="AV137" s="19">
        <f t="shared" si="259"/>
        <v>41374.036000000015</v>
      </c>
      <c r="AW137" s="4">
        <f t="shared" si="260"/>
        <v>33371.963999999985</v>
      </c>
      <c r="AX137" s="4">
        <f t="shared" si="261"/>
        <v>1195.9359999999999</v>
      </c>
      <c r="AY137" s="4">
        <f t="shared" si="262"/>
        <v>42569.972000000016</v>
      </c>
      <c r="AZ137" s="4">
        <f t="shared" si="263"/>
        <v>32176.027999999984</v>
      </c>
      <c r="BA137" s="22">
        <f t="shared" si="264"/>
        <v>1195.9359999999999</v>
      </c>
      <c r="BB137" s="4">
        <f t="shared" si="265"/>
        <v>43765.908000000018</v>
      </c>
      <c r="BC137" s="4">
        <f t="shared" si="266"/>
        <v>30980.091999999982</v>
      </c>
      <c r="BF137" s="22">
        <v>1195.9359999999999</v>
      </c>
      <c r="BG137" s="4">
        <f t="shared" si="123"/>
        <v>0</v>
      </c>
    </row>
    <row r="138" spans="1:59" x14ac:dyDescent="0.35">
      <c r="A138" s="3" t="s">
        <v>196</v>
      </c>
      <c r="B138" s="3" t="s">
        <v>50</v>
      </c>
      <c r="C138" s="4">
        <v>38727</v>
      </c>
      <c r="D138" s="4" t="s">
        <v>80</v>
      </c>
      <c r="E138" s="2">
        <v>62.5</v>
      </c>
      <c r="F138" s="4"/>
      <c r="G138" s="4">
        <v>2420</v>
      </c>
      <c r="H138" s="4">
        <v>968</v>
      </c>
      <c r="I138" s="4">
        <f t="shared" si="225"/>
        <v>3388</v>
      </c>
      <c r="J138" s="4">
        <f t="shared" si="226"/>
        <v>968</v>
      </c>
      <c r="K138" s="4">
        <f t="shared" si="227"/>
        <v>4356</v>
      </c>
      <c r="L138" s="4">
        <f t="shared" si="228"/>
        <v>968</v>
      </c>
      <c r="M138" s="4">
        <f t="shared" si="229"/>
        <v>5324</v>
      </c>
      <c r="N138" s="4">
        <f t="shared" si="230"/>
        <v>968</v>
      </c>
      <c r="O138" s="4">
        <f t="shared" si="231"/>
        <v>6292</v>
      </c>
      <c r="P138" s="4">
        <f t="shared" si="232"/>
        <v>619.63199999999995</v>
      </c>
      <c r="Q138" s="4">
        <f t="shared" si="233"/>
        <v>6911.6319999999996</v>
      </c>
      <c r="R138" s="4">
        <f t="shared" si="234"/>
        <v>619.63199999999995</v>
      </c>
      <c r="S138" s="4">
        <f t="shared" si="235"/>
        <v>7531.2639999999992</v>
      </c>
      <c r="T138" s="4">
        <f t="shared" si="236"/>
        <v>619.63199999999995</v>
      </c>
      <c r="U138" s="4">
        <f t="shared" si="267"/>
        <v>8150.8959999999988</v>
      </c>
      <c r="V138" s="4">
        <f t="shared" si="237"/>
        <v>619.63199999999995</v>
      </c>
      <c r="W138" s="4">
        <f>U138+V138</f>
        <v>8770.5279999999984</v>
      </c>
      <c r="X138" s="4">
        <f t="shared" si="239"/>
        <v>619.63199999999995</v>
      </c>
      <c r="Y138" s="4">
        <f t="shared" si="240"/>
        <v>9390.159999999998</v>
      </c>
      <c r="Z138" s="4">
        <f t="shared" si="241"/>
        <v>619.63199999999995</v>
      </c>
      <c r="AA138" s="4">
        <f t="shared" si="242"/>
        <v>10009.791999999998</v>
      </c>
      <c r="AB138" s="4">
        <f t="shared" si="243"/>
        <v>619.63199999999995</v>
      </c>
      <c r="AC138" s="4">
        <f t="shared" si="244"/>
        <v>10629.423999999997</v>
      </c>
      <c r="AD138" s="3">
        <f t="shared" si="245"/>
        <v>619.63199999999995</v>
      </c>
      <c r="AE138" s="4">
        <f t="shared" si="246"/>
        <v>11249.055999999997</v>
      </c>
      <c r="AF138" s="3">
        <f t="shared" si="247"/>
        <v>619.63199999999995</v>
      </c>
      <c r="AG138" s="5">
        <f t="shared" si="248"/>
        <v>11868.687999999996</v>
      </c>
      <c r="AH138" s="3">
        <f t="shared" si="249"/>
        <v>619.63199999999995</v>
      </c>
      <c r="AI138" s="5">
        <f t="shared" si="250"/>
        <v>12488.319999999996</v>
      </c>
      <c r="AJ138" s="3">
        <f t="shared" si="251"/>
        <v>619.63199999999995</v>
      </c>
      <c r="AK138" s="3">
        <f t="shared" si="252"/>
        <v>13107.951999999996</v>
      </c>
      <c r="AL138" s="3">
        <f t="shared" si="253"/>
        <v>619.63199999999995</v>
      </c>
      <c r="AM138" s="4">
        <f t="shared" si="254"/>
        <v>13727.583999999995</v>
      </c>
      <c r="AN138" s="4">
        <f t="shared" si="255"/>
        <v>24999.416000000005</v>
      </c>
      <c r="AO138" s="21">
        <f t="shared" si="256"/>
        <v>619.63199999999995</v>
      </c>
      <c r="AP138" s="4">
        <f t="shared" si="257"/>
        <v>14347.215999999995</v>
      </c>
      <c r="AQ138" s="4">
        <v>19848.725000000006</v>
      </c>
      <c r="AR138" s="21">
        <v>968.17499999999995</v>
      </c>
      <c r="AS138" s="19">
        <v>19846.449999999993</v>
      </c>
      <c r="AT138" s="4">
        <v>18880.550000000007</v>
      </c>
      <c r="AU138" s="21">
        <f t="shared" si="258"/>
        <v>619.63199999999995</v>
      </c>
      <c r="AV138" s="19">
        <f t="shared" si="259"/>
        <v>20466.081999999995</v>
      </c>
      <c r="AW138" s="4">
        <f t="shared" si="260"/>
        <v>18260.918000000005</v>
      </c>
      <c r="AX138" s="4">
        <f t="shared" si="261"/>
        <v>619.63199999999995</v>
      </c>
      <c r="AY138" s="4">
        <f t="shared" si="262"/>
        <v>21085.713999999996</v>
      </c>
      <c r="AZ138" s="4">
        <f t="shared" si="263"/>
        <v>17641.286000000004</v>
      </c>
      <c r="BA138" s="22">
        <f t="shared" si="264"/>
        <v>619.63199999999995</v>
      </c>
      <c r="BB138" s="4">
        <f t="shared" si="265"/>
        <v>21705.345999999998</v>
      </c>
      <c r="BC138" s="4">
        <f t="shared" si="266"/>
        <v>17021.654000000002</v>
      </c>
      <c r="BF138" s="22">
        <v>619.63199999999995</v>
      </c>
      <c r="BG138" s="4">
        <f t="shared" si="123"/>
        <v>0</v>
      </c>
    </row>
    <row r="139" spans="1:59" x14ac:dyDescent="0.35">
      <c r="A139" s="3" t="s">
        <v>196</v>
      </c>
      <c r="B139" s="3" t="s">
        <v>198</v>
      </c>
      <c r="C139" s="4">
        <v>50531</v>
      </c>
      <c r="D139" s="4" t="s">
        <v>80</v>
      </c>
      <c r="E139" s="2">
        <v>62.5</v>
      </c>
      <c r="F139" s="4"/>
      <c r="G139" s="4">
        <v>1895</v>
      </c>
      <c r="H139" s="4">
        <v>1263</v>
      </c>
      <c r="I139" s="4">
        <f t="shared" si="225"/>
        <v>3158</v>
      </c>
      <c r="J139" s="4">
        <f t="shared" si="226"/>
        <v>1263</v>
      </c>
      <c r="K139" s="4">
        <f t="shared" si="227"/>
        <v>4421</v>
      </c>
      <c r="L139" s="4">
        <f t="shared" si="228"/>
        <v>1263</v>
      </c>
      <c r="M139" s="4">
        <f t="shared" si="229"/>
        <v>5684</v>
      </c>
      <c r="N139" s="4">
        <f t="shared" si="230"/>
        <v>1263</v>
      </c>
      <c r="O139" s="4">
        <f t="shared" si="231"/>
        <v>6947</v>
      </c>
      <c r="P139" s="4">
        <f t="shared" si="232"/>
        <v>808.49599999999998</v>
      </c>
      <c r="Q139" s="4">
        <f t="shared" si="233"/>
        <v>7755.4960000000001</v>
      </c>
      <c r="R139" s="4">
        <f t="shared" si="234"/>
        <v>808.49599999999998</v>
      </c>
      <c r="S139" s="4">
        <f t="shared" si="235"/>
        <v>8563.9920000000002</v>
      </c>
      <c r="T139" s="4">
        <f t="shared" si="236"/>
        <v>808.49599999999998</v>
      </c>
      <c r="U139" s="4">
        <f t="shared" si="267"/>
        <v>9372.4879999999994</v>
      </c>
      <c r="V139" s="4">
        <f t="shared" si="237"/>
        <v>808.49599999999998</v>
      </c>
      <c r="W139" s="4">
        <f>U139+V139</f>
        <v>10180.983999999999</v>
      </c>
      <c r="X139" s="4">
        <f t="shared" si="239"/>
        <v>808.49599999999998</v>
      </c>
      <c r="Y139" s="4">
        <f t="shared" si="240"/>
        <v>10989.479999999998</v>
      </c>
      <c r="Z139" s="4">
        <f t="shared" si="241"/>
        <v>808.49599999999998</v>
      </c>
      <c r="AA139" s="4">
        <f t="shared" si="242"/>
        <v>11797.975999999997</v>
      </c>
      <c r="AB139" s="4">
        <f t="shared" si="243"/>
        <v>808.49599999999998</v>
      </c>
      <c r="AC139" s="4">
        <f t="shared" si="244"/>
        <v>12606.471999999996</v>
      </c>
      <c r="AD139" s="3">
        <f t="shared" si="245"/>
        <v>808.49599999999998</v>
      </c>
      <c r="AE139" s="4">
        <f t="shared" si="246"/>
        <v>13414.967999999995</v>
      </c>
      <c r="AF139" s="3">
        <f t="shared" si="247"/>
        <v>808.49599999999998</v>
      </c>
      <c r="AG139" s="5">
        <f t="shared" si="248"/>
        <v>14223.463999999994</v>
      </c>
      <c r="AH139" s="3">
        <f t="shared" si="249"/>
        <v>808.49599999999998</v>
      </c>
      <c r="AI139" s="5">
        <f t="shared" si="250"/>
        <v>15031.959999999994</v>
      </c>
      <c r="AJ139" s="3">
        <f t="shared" si="251"/>
        <v>808.49599999999998</v>
      </c>
      <c r="AK139" s="3">
        <f t="shared" si="252"/>
        <v>15840.455999999993</v>
      </c>
      <c r="AL139" s="3">
        <f t="shared" si="253"/>
        <v>808.49599999999998</v>
      </c>
      <c r="AM139" s="4">
        <f t="shared" si="254"/>
        <v>16648.951999999994</v>
      </c>
      <c r="AN139" s="4">
        <f t="shared" si="255"/>
        <v>33882.04800000001</v>
      </c>
      <c r="AO139" s="21">
        <f t="shared" si="256"/>
        <v>808.49599999999998</v>
      </c>
      <c r="AP139" s="4">
        <f t="shared" si="257"/>
        <v>17457.447999999993</v>
      </c>
      <c r="AQ139" s="4">
        <v>27161.424999999996</v>
      </c>
      <c r="AR139" s="21">
        <v>1263.2750000000001</v>
      </c>
      <c r="AS139" s="19">
        <v>24632.850000000006</v>
      </c>
      <c r="AT139" s="4">
        <v>25898.149999999994</v>
      </c>
      <c r="AU139" s="21">
        <f t="shared" si="258"/>
        <v>808.49599999999998</v>
      </c>
      <c r="AV139" s="19">
        <f t="shared" si="259"/>
        <v>25441.346000000005</v>
      </c>
      <c r="AW139" s="4">
        <f t="shared" si="260"/>
        <v>25089.653999999995</v>
      </c>
      <c r="AX139" s="4">
        <f t="shared" si="261"/>
        <v>808.49599999999998</v>
      </c>
      <c r="AY139" s="4">
        <f t="shared" si="262"/>
        <v>26249.842000000004</v>
      </c>
      <c r="AZ139" s="4">
        <f t="shared" si="263"/>
        <v>24281.157999999996</v>
      </c>
      <c r="BA139" s="22">
        <f t="shared" si="264"/>
        <v>808.49599999999998</v>
      </c>
      <c r="BB139" s="4">
        <f t="shared" si="265"/>
        <v>27058.338000000003</v>
      </c>
      <c r="BC139" s="4">
        <f t="shared" si="266"/>
        <v>23472.661999999997</v>
      </c>
      <c r="BF139" s="22">
        <v>808.49599999999998</v>
      </c>
      <c r="BG139" s="4">
        <f t="shared" si="123"/>
        <v>0</v>
      </c>
    </row>
    <row r="140" spans="1:59" x14ac:dyDescent="0.35">
      <c r="A140" s="3" t="s">
        <v>196</v>
      </c>
      <c r="B140" s="3" t="s">
        <v>199</v>
      </c>
      <c r="C140" s="4">
        <v>27544</v>
      </c>
      <c r="D140" s="4" t="s">
        <v>80</v>
      </c>
      <c r="E140" s="2">
        <v>62.5</v>
      </c>
      <c r="F140" s="4"/>
      <c r="G140" s="4">
        <v>344</v>
      </c>
      <c r="H140" s="4">
        <v>689</v>
      </c>
      <c r="I140" s="4">
        <f t="shared" si="225"/>
        <v>1033</v>
      </c>
      <c r="J140" s="4">
        <f t="shared" si="226"/>
        <v>689</v>
      </c>
      <c r="K140" s="4">
        <f t="shared" si="227"/>
        <v>1722</v>
      </c>
      <c r="L140" s="4">
        <f t="shared" si="228"/>
        <v>689</v>
      </c>
      <c r="M140" s="4">
        <f t="shared" si="229"/>
        <v>2411</v>
      </c>
      <c r="N140" s="4">
        <f t="shared" si="230"/>
        <v>689</v>
      </c>
      <c r="O140" s="4">
        <f t="shared" si="231"/>
        <v>3100</v>
      </c>
      <c r="P140" s="4">
        <f t="shared" si="232"/>
        <v>440.70400000000001</v>
      </c>
      <c r="Q140" s="4">
        <f t="shared" si="233"/>
        <v>3540.7040000000002</v>
      </c>
      <c r="R140" s="4">
        <f t="shared" si="234"/>
        <v>440.70400000000001</v>
      </c>
      <c r="S140" s="4">
        <f t="shared" si="235"/>
        <v>3981.4080000000004</v>
      </c>
      <c r="T140" s="4">
        <f t="shared" si="236"/>
        <v>440.70400000000001</v>
      </c>
      <c r="U140" s="4">
        <f t="shared" si="267"/>
        <v>4422.1120000000001</v>
      </c>
      <c r="V140" s="4">
        <f t="shared" si="237"/>
        <v>440.70400000000001</v>
      </c>
      <c r="W140" s="4">
        <v>5855</v>
      </c>
      <c r="X140" s="4">
        <f t="shared" si="239"/>
        <v>440.70400000000001</v>
      </c>
      <c r="Y140" s="4">
        <f t="shared" si="240"/>
        <v>6295.7039999999997</v>
      </c>
      <c r="Z140" s="4">
        <f t="shared" si="241"/>
        <v>440.70400000000001</v>
      </c>
      <c r="AA140" s="4">
        <f t="shared" si="242"/>
        <v>6736.4079999999994</v>
      </c>
      <c r="AB140" s="4">
        <f t="shared" si="243"/>
        <v>440.70400000000001</v>
      </c>
      <c r="AC140" s="4">
        <f t="shared" si="244"/>
        <v>7177.1119999999992</v>
      </c>
      <c r="AD140" s="3">
        <f t="shared" si="245"/>
        <v>440.70400000000001</v>
      </c>
      <c r="AE140" s="4">
        <f t="shared" si="246"/>
        <v>7617.8159999999989</v>
      </c>
      <c r="AF140" s="3">
        <f t="shared" si="247"/>
        <v>440.70400000000001</v>
      </c>
      <c r="AG140" s="5">
        <f t="shared" si="248"/>
        <v>8058.5199999999986</v>
      </c>
      <c r="AH140" s="3">
        <f t="shared" si="249"/>
        <v>440.70400000000001</v>
      </c>
      <c r="AI140" s="5">
        <f t="shared" si="250"/>
        <v>8499.2239999999983</v>
      </c>
      <c r="AJ140" s="3">
        <f t="shared" si="251"/>
        <v>440.70400000000001</v>
      </c>
      <c r="AK140" s="3">
        <f t="shared" si="252"/>
        <v>8939.9279999999981</v>
      </c>
      <c r="AL140" s="3">
        <f t="shared" si="253"/>
        <v>440.70400000000001</v>
      </c>
      <c r="AM140" s="4">
        <f t="shared" si="254"/>
        <v>9380.6319999999978</v>
      </c>
      <c r="AN140" s="4">
        <f t="shared" si="255"/>
        <v>18163.368000000002</v>
      </c>
      <c r="AO140" s="21">
        <f t="shared" si="256"/>
        <v>440.70400000000001</v>
      </c>
      <c r="AP140" s="4">
        <f t="shared" si="257"/>
        <v>9821.3359999999975</v>
      </c>
      <c r="AQ140" s="4">
        <v>15491.599999999997</v>
      </c>
      <c r="AR140" s="21">
        <v>688.6</v>
      </c>
      <c r="AS140" s="19">
        <v>12741.000000000004</v>
      </c>
      <c r="AT140" s="4">
        <v>14802.999999999996</v>
      </c>
      <c r="AU140" s="21">
        <f t="shared" si="258"/>
        <v>440.70400000000001</v>
      </c>
      <c r="AV140" s="19">
        <f t="shared" si="259"/>
        <v>13181.704000000003</v>
      </c>
      <c r="AW140" s="4">
        <f t="shared" si="260"/>
        <v>14362.295999999997</v>
      </c>
      <c r="AX140" s="4">
        <f t="shared" si="261"/>
        <v>440.70400000000001</v>
      </c>
      <c r="AY140" s="4">
        <f t="shared" si="262"/>
        <v>13622.408000000003</v>
      </c>
      <c r="AZ140" s="4">
        <f t="shared" si="263"/>
        <v>13921.591999999997</v>
      </c>
      <c r="BA140" s="22">
        <f t="shared" si="264"/>
        <v>440.70400000000001</v>
      </c>
      <c r="BB140" s="4">
        <f t="shared" si="265"/>
        <v>14063.112000000003</v>
      </c>
      <c r="BC140" s="4">
        <f t="shared" si="266"/>
        <v>13480.887999999997</v>
      </c>
      <c r="BF140" s="22">
        <v>440.70400000000001</v>
      </c>
      <c r="BG140" s="4">
        <f t="shared" si="123"/>
        <v>0</v>
      </c>
    </row>
    <row r="141" spans="1:59" x14ac:dyDescent="0.35">
      <c r="A141" s="3" t="s">
        <v>196</v>
      </c>
      <c r="B141" s="3" t="s">
        <v>200</v>
      </c>
      <c r="C141" s="4">
        <v>25617</v>
      </c>
      <c r="D141" s="4" t="s">
        <v>80</v>
      </c>
      <c r="E141" s="2">
        <v>62.5</v>
      </c>
      <c r="F141" s="4"/>
      <c r="G141" s="4"/>
      <c r="H141" s="4">
        <v>320</v>
      </c>
      <c r="I141" s="4">
        <f t="shared" si="225"/>
        <v>320</v>
      </c>
      <c r="J141" s="4">
        <f t="shared" si="226"/>
        <v>320</v>
      </c>
      <c r="K141" s="4">
        <f t="shared" si="227"/>
        <v>640</v>
      </c>
      <c r="L141" s="4">
        <f t="shared" si="228"/>
        <v>320</v>
      </c>
      <c r="M141" s="4">
        <f t="shared" si="229"/>
        <v>960</v>
      </c>
      <c r="N141" s="4">
        <f t="shared" si="230"/>
        <v>320</v>
      </c>
      <c r="O141" s="4">
        <f t="shared" si="231"/>
        <v>1280</v>
      </c>
      <c r="P141" s="4">
        <f t="shared" si="232"/>
        <v>409.87200000000001</v>
      </c>
      <c r="Q141" s="4">
        <f t="shared" si="233"/>
        <v>1689.8720000000001</v>
      </c>
      <c r="R141" s="4">
        <f t="shared" si="234"/>
        <v>409.87200000000001</v>
      </c>
      <c r="S141" s="4">
        <f t="shared" si="235"/>
        <v>2099.7440000000001</v>
      </c>
      <c r="T141" s="4">
        <f t="shared" si="236"/>
        <v>409.87200000000001</v>
      </c>
      <c r="U141" s="4">
        <f t="shared" si="267"/>
        <v>2509.616</v>
      </c>
      <c r="V141" s="4">
        <f t="shared" si="237"/>
        <v>409.87200000000001</v>
      </c>
      <c r="W141" s="4">
        <v>3841</v>
      </c>
      <c r="X141" s="4">
        <f t="shared" si="239"/>
        <v>409.87200000000001</v>
      </c>
      <c r="Y141" s="4">
        <f t="shared" si="240"/>
        <v>4250.8720000000003</v>
      </c>
      <c r="Z141" s="4">
        <f t="shared" si="241"/>
        <v>409.87200000000001</v>
      </c>
      <c r="AA141" s="4">
        <f t="shared" si="242"/>
        <v>4660.7440000000006</v>
      </c>
      <c r="AB141" s="4">
        <f t="shared" si="243"/>
        <v>409.87200000000001</v>
      </c>
      <c r="AC141" s="4">
        <f t="shared" si="244"/>
        <v>5070.6160000000009</v>
      </c>
      <c r="AD141" s="3">
        <f t="shared" si="245"/>
        <v>409.87200000000001</v>
      </c>
      <c r="AE141" s="4">
        <f t="shared" si="246"/>
        <v>5480.4880000000012</v>
      </c>
      <c r="AF141" s="3">
        <f t="shared" si="247"/>
        <v>409.87200000000001</v>
      </c>
      <c r="AG141" s="5">
        <f t="shared" si="248"/>
        <v>5890.3600000000015</v>
      </c>
      <c r="AH141" s="3">
        <f t="shared" si="249"/>
        <v>409.87200000000001</v>
      </c>
      <c r="AI141" s="5">
        <f t="shared" si="250"/>
        <v>6300.2320000000018</v>
      </c>
      <c r="AJ141" s="3">
        <f t="shared" si="251"/>
        <v>409.87200000000001</v>
      </c>
      <c r="AK141" s="3">
        <f t="shared" si="252"/>
        <v>6710.1040000000021</v>
      </c>
      <c r="AL141" s="3">
        <f t="shared" si="253"/>
        <v>409.87200000000001</v>
      </c>
      <c r="AM141" s="4">
        <f t="shared" si="254"/>
        <v>7119.9760000000024</v>
      </c>
      <c r="AN141" s="4">
        <f t="shared" si="255"/>
        <v>18497.023999999998</v>
      </c>
      <c r="AO141" s="21">
        <f t="shared" si="256"/>
        <v>409.87200000000001</v>
      </c>
      <c r="AP141" s="4">
        <f t="shared" si="257"/>
        <v>7529.8480000000027</v>
      </c>
      <c r="AQ141" s="4">
        <v>16012.174999999999</v>
      </c>
      <c r="AR141" s="21">
        <v>640.42499999999995</v>
      </c>
      <c r="AS141" s="19">
        <v>10245.249999999998</v>
      </c>
      <c r="AT141" s="4">
        <v>15371.750000000002</v>
      </c>
      <c r="AU141" s="21">
        <f t="shared" si="258"/>
        <v>409.87200000000001</v>
      </c>
      <c r="AV141" s="19">
        <f t="shared" si="259"/>
        <v>10655.121999999998</v>
      </c>
      <c r="AW141" s="4">
        <f t="shared" si="260"/>
        <v>14961.878000000002</v>
      </c>
      <c r="AX141" s="4">
        <f t="shared" si="261"/>
        <v>409.87200000000001</v>
      </c>
      <c r="AY141" s="4">
        <f t="shared" si="262"/>
        <v>11064.993999999997</v>
      </c>
      <c r="AZ141" s="4">
        <f t="shared" si="263"/>
        <v>14552.006000000003</v>
      </c>
      <c r="BA141" s="22">
        <f t="shared" si="264"/>
        <v>409.87200000000001</v>
      </c>
      <c r="BB141" s="4">
        <f t="shared" si="265"/>
        <v>11474.865999999996</v>
      </c>
      <c r="BC141" s="4">
        <f t="shared" si="266"/>
        <v>14142.134000000004</v>
      </c>
      <c r="BF141" s="22">
        <v>409.87200000000001</v>
      </c>
      <c r="BG141" s="4">
        <f t="shared" si="123"/>
        <v>0</v>
      </c>
    </row>
    <row r="142" spans="1:59" x14ac:dyDescent="0.35">
      <c r="A142" s="3" t="s">
        <v>201</v>
      </c>
      <c r="B142" s="3" t="s">
        <v>99</v>
      </c>
      <c r="C142" s="4">
        <v>749296</v>
      </c>
      <c r="D142" s="4" t="s">
        <v>80</v>
      </c>
      <c r="E142" s="2">
        <v>62.5</v>
      </c>
      <c r="F142" s="4"/>
      <c r="G142" s="4"/>
      <c r="H142" s="4"/>
      <c r="I142" s="4"/>
      <c r="J142" s="4">
        <f>C142/40/12*6</f>
        <v>9366.2000000000007</v>
      </c>
      <c r="K142" s="4">
        <f t="shared" si="227"/>
        <v>9366.2000000000007</v>
      </c>
      <c r="L142" s="4">
        <f t="shared" si="228"/>
        <v>9366.2000000000007</v>
      </c>
      <c r="M142" s="4">
        <f t="shared" si="229"/>
        <v>18732.400000000001</v>
      </c>
      <c r="N142" s="4">
        <f t="shared" si="230"/>
        <v>9366.2000000000007</v>
      </c>
      <c r="O142" s="4">
        <f t="shared" si="231"/>
        <v>28098.600000000002</v>
      </c>
      <c r="P142" s="4">
        <f t="shared" si="232"/>
        <v>11988.736000000001</v>
      </c>
      <c r="Q142" s="4">
        <f t="shared" si="233"/>
        <v>40087.336000000003</v>
      </c>
      <c r="R142" s="4">
        <f t="shared" si="234"/>
        <v>11988.736000000001</v>
      </c>
      <c r="S142" s="4">
        <f t="shared" si="235"/>
        <v>52076.072</v>
      </c>
      <c r="T142" s="4">
        <f t="shared" si="236"/>
        <v>11988.736000000001</v>
      </c>
      <c r="U142" s="4">
        <f t="shared" si="267"/>
        <v>64064.808000000005</v>
      </c>
      <c r="V142" s="4">
        <f t="shared" si="237"/>
        <v>11988.736000000001</v>
      </c>
      <c r="W142" s="4">
        <f>U142+V142</f>
        <v>76053.544000000009</v>
      </c>
      <c r="X142" s="4">
        <f t="shared" si="239"/>
        <v>11988.736000000001</v>
      </c>
      <c r="Y142" s="4">
        <f t="shared" si="240"/>
        <v>88042.280000000013</v>
      </c>
      <c r="Z142" s="4">
        <f t="shared" si="241"/>
        <v>11988.736000000001</v>
      </c>
      <c r="AA142" s="4">
        <f t="shared" si="242"/>
        <v>100031.01600000002</v>
      </c>
      <c r="AB142" s="4">
        <f t="shared" si="243"/>
        <v>11988.736000000001</v>
      </c>
      <c r="AC142" s="4">
        <f t="shared" si="244"/>
        <v>112019.75200000002</v>
      </c>
      <c r="AD142" s="3">
        <f t="shared" si="245"/>
        <v>11988.736000000001</v>
      </c>
      <c r="AE142" s="4">
        <f t="shared" si="246"/>
        <v>124008.48800000003</v>
      </c>
      <c r="AF142" s="3">
        <f t="shared" si="247"/>
        <v>11988.736000000001</v>
      </c>
      <c r="AG142" s="5">
        <f t="shared" si="248"/>
        <v>135997.22400000002</v>
      </c>
      <c r="AH142" s="3">
        <f t="shared" si="249"/>
        <v>11988.736000000001</v>
      </c>
      <c r="AI142" s="5">
        <f t="shared" si="250"/>
        <v>147985.96000000002</v>
      </c>
      <c r="AJ142" s="3">
        <f t="shared" si="251"/>
        <v>11988.736000000001</v>
      </c>
      <c r="AK142" s="3">
        <f t="shared" si="252"/>
        <v>159974.69600000003</v>
      </c>
      <c r="AL142" s="3">
        <f t="shared" si="253"/>
        <v>11988.736000000001</v>
      </c>
      <c r="AM142" s="4">
        <f t="shared" si="254"/>
        <v>171963.43200000003</v>
      </c>
      <c r="AN142" s="4">
        <f t="shared" si="255"/>
        <v>577332.56799999997</v>
      </c>
      <c r="AO142" s="21">
        <f t="shared" si="256"/>
        <v>11988.736000000001</v>
      </c>
      <c r="AP142" s="4">
        <f t="shared" si="257"/>
        <v>183952.16800000003</v>
      </c>
      <c r="AQ142" s="4">
        <v>477676.20000000007</v>
      </c>
      <c r="AR142" s="21">
        <v>18732.400000000001</v>
      </c>
      <c r="AS142" s="19">
        <v>290352.19999999995</v>
      </c>
      <c r="AT142" s="4">
        <v>458943.80000000005</v>
      </c>
      <c r="AU142" s="21">
        <f t="shared" si="258"/>
        <v>11988.736000000001</v>
      </c>
      <c r="AV142" s="19">
        <f t="shared" si="259"/>
        <v>302340.93599999993</v>
      </c>
      <c r="AW142" s="4">
        <f t="shared" si="260"/>
        <v>446955.06400000007</v>
      </c>
      <c r="AX142" s="4">
        <f t="shared" si="261"/>
        <v>11988.736000000001</v>
      </c>
      <c r="AY142" s="4">
        <f t="shared" si="262"/>
        <v>314329.6719999999</v>
      </c>
      <c r="AZ142" s="4">
        <f t="shared" si="263"/>
        <v>434966.3280000001</v>
      </c>
      <c r="BA142" s="22">
        <f t="shared" si="264"/>
        <v>11988.736000000001</v>
      </c>
      <c r="BB142" s="4">
        <f t="shared" si="265"/>
        <v>326318.40799999988</v>
      </c>
      <c r="BC142" s="4">
        <f t="shared" si="266"/>
        <v>422977.59200000012</v>
      </c>
      <c r="BF142" s="22">
        <v>11988.736000000001</v>
      </c>
      <c r="BG142" s="4">
        <f t="shared" si="123"/>
        <v>0</v>
      </c>
    </row>
    <row r="143" spans="1:59" x14ac:dyDescent="0.35">
      <c r="A143" s="3" t="s">
        <v>154</v>
      </c>
      <c r="B143" s="3" t="s">
        <v>99</v>
      </c>
      <c r="C143" s="4">
        <v>878379</v>
      </c>
      <c r="D143" s="4" t="s">
        <v>80</v>
      </c>
      <c r="E143" s="2">
        <v>62.5</v>
      </c>
      <c r="F143" s="4"/>
      <c r="G143" s="4"/>
      <c r="H143" s="4"/>
      <c r="I143" s="4"/>
      <c r="J143" s="4">
        <f>C143/40/12*6</f>
        <v>10979.737499999999</v>
      </c>
      <c r="K143" s="4">
        <f t="shared" si="227"/>
        <v>10979.737499999999</v>
      </c>
      <c r="L143" s="4">
        <f>C143/E143</f>
        <v>14054.064</v>
      </c>
      <c r="M143" s="4">
        <f t="shared" si="229"/>
        <v>25033.801500000001</v>
      </c>
      <c r="N143" s="4">
        <f t="shared" si="230"/>
        <v>14054.064</v>
      </c>
      <c r="O143" s="4">
        <f t="shared" si="231"/>
        <v>39087.8655</v>
      </c>
      <c r="P143" s="4">
        <f t="shared" si="232"/>
        <v>14054.064</v>
      </c>
      <c r="Q143" s="4">
        <f t="shared" si="233"/>
        <v>53141.929499999998</v>
      </c>
      <c r="R143" s="4">
        <f t="shared" si="234"/>
        <v>14054.064</v>
      </c>
      <c r="S143" s="4">
        <f t="shared" si="235"/>
        <v>67195.993499999997</v>
      </c>
      <c r="T143" s="4">
        <f t="shared" si="236"/>
        <v>14054.064</v>
      </c>
      <c r="U143" s="4">
        <f t="shared" si="267"/>
        <v>81250.057499999995</v>
      </c>
      <c r="V143" s="4">
        <f t="shared" si="237"/>
        <v>14054.064</v>
      </c>
      <c r="W143" s="4">
        <v>142736</v>
      </c>
      <c r="X143" s="4">
        <f t="shared" si="239"/>
        <v>14054.064</v>
      </c>
      <c r="Y143" s="4">
        <f t="shared" si="240"/>
        <v>156790.06400000001</v>
      </c>
      <c r="Z143" s="4">
        <f t="shared" si="241"/>
        <v>14054.064</v>
      </c>
      <c r="AA143" s="4">
        <f t="shared" si="242"/>
        <v>170844.12800000003</v>
      </c>
      <c r="AB143" s="4">
        <f t="shared" si="243"/>
        <v>14054.064</v>
      </c>
      <c r="AC143" s="4">
        <f t="shared" si="244"/>
        <v>184898.19200000004</v>
      </c>
      <c r="AD143" s="3">
        <f t="shared" si="245"/>
        <v>14054.064</v>
      </c>
      <c r="AE143" s="4">
        <f t="shared" si="246"/>
        <v>198952.25600000005</v>
      </c>
      <c r="AF143" s="3">
        <f t="shared" si="247"/>
        <v>14054.064</v>
      </c>
      <c r="AG143" s="5">
        <f t="shared" si="248"/>
        <v>213006.32000000007</v>
      </c>
      <c r="AH143" s="3">
        <f t="shared" si="249"/>
        <v>14054.064</v>
      </c>
      <c r="AI143" s="5">
        <f t="shared" si="250"/>
        <v>227060.38400000008</v>
      </c>
      <c r="AJ143" s="3">
        <f t="shared" si="251"/>
        <v>14054.064</v>
      </c>
      <c r="AK143" s="3">
        <f t="shared" si="252"/>
        <v>241114.44800000009</v>
      </c>
      <c r="AL143" s="3">
        <f t="shared" si="253"/>
        <v>14054.064</v>
      </c>
      <c r="AM143" s="4">
        <f t="shared" si="254"/>
        <v>255168.5120000001</v>
      </c>
      <c r="AN143" s="4">
        <f t="shared" si="255"/>
        <v>623210.4879999999</v>
      </c>
      <c r="AO143" s="21">
        <f t="shared" si="256"/>
        <v>14054.064</v>
      </c>
      <c r="AP143" s="4">
        <f t="shared" si="257"/>
        <v>269222.57600000012</v>
      </c>
      <c r="AQ143" s="4">
        <v>538007.72499999998</v>
      </c>
      <c r="AR143" s="21">
        <v>21959.474999999999</v>
      </c>
      <c r="AS143" s="19">
        <v>362330.74999999994</v>
      </c>
      <c r="AT143" s="4">
        <v>516048.25000000006</v>
      </c>
      <c r="AU143" s="21">
        <f t="shared" si="258"/>
        <v>14054.064</v>
      </c>
      <c r="AV143" s="19">
        <f t="shared" si="259"/>
        <v>376384.81399999995</v>
      </c>
      <c r="AW143" s="4">
        <f t="shared" si="260"/>
        <v>501994.18600000005</v>
      </c>
      <c r="AX143" s="4">
        <f t="shared" si="261"/>
        <v>14054.064</v>
      </c>
      <c r="AY143" s="4">
        <f t="shared" si="262"/>
        <v>390438.87799999997</v>
      </c>
      <c r="AZ143" s="4">
        <f t="shared" si="263"/>
        <v>487940.12200000003</v>
      </c>
      <c r="BA143" s="22">
        <f t="shared" si="264"/>
        <v>14054.064</v>
      </c>
      <c r="BB143" s="4">
        <f t="shared" si="265"/>
        <v>404492.94199999998</v>
      </c>
      <c r="BC143" s="4">
        <f t="shared" si="266"/>
        <v>473886.05800000002</v>
      </c>
      <c r="BF143" s="22">
        <v>14054.064</v>
      </c>
      <c r="BG143" s="4">
        <f t="shared" si="123"/>
        <v>0</v>
      </c>
    </row>
    <row r="144" spans="1:59" x14ac:dyDescent="0.35">
      <c r="A144" s="3" t="s">
        <v>202</v>
      </c>
      <c r="B144" s="3" t="s">
        <v>99</v>
      </c>
      <c r="C144" s="4">
        <v>495391</v>
      </c>
      <c r="D144" s="4" t="s">
        <v>80</v>
      </c>
      <c r="E144" s="2">
        <v>62.5</v>
      </c>
      <c r="F144" s="4"/>
      <c r="G144" s="4"/>
      <c r="H144" s="4"/>
      <c r="I144" s="4"/>
      <c r="J144" s="4">
        <f>C144/40/12*6</f>
        <v>6192.3874999999998</v>
      </c>
      <c r="K144" s="4">
        <f t="shared" si="227"/>
        <v>6192.3874999999998</v>
      </c>
      <c r="L144" s="4">
        <f>C144/E144</f>
        <v>7926.2560000000003</v>
      </c>
      <c r="M144" s="4">
        <f t="shared" si="229"/>
        <v>14118.6435</v>
      </c>
      <c r="N144" s="4">
        <f t="shared" si="230"/>
        <v>7926.2560000000003</v>
      </c>
      <c r="O144" s="4">
        <f t="shared" si="231"/>
        <v>22044.8995</v>
      </c>
      <c r="P144" s="4">
        <f t="shared" si="232"/>
        <v>7926.2560000000003</v>
      </c>
      <c r="Q144" s="4">
        <f t="shared" si="233"/>
        <v>29971.155500000001</v>
      </c>
      <c r="R144" s="4">
        <f t="shared" si="234"/>
        <v>7926.2560000000003</v>
      </c>
      <c r="S144" s="4">
        <f t="shared" si="235"/>
        <v>37897.411500000002</v>
      </c>
      <c r="T144" s="4">
        <f t="shared" si="236"/>
        <v>7926.2560000000003</v>
      </c>
      <c r="U144" s="4">
        <f t="shared" si="267"/>
        <v>45823.667500000003</v>
      </c>
      <c r="V144" s="4">
        <f t="shared" si="237"/>
        <v>7926.2560000000003</v>
      </c>
      <c r="W144" s="4">
        <f>U144+V144</f>
        <v>53749.923500000004</v>
      </c>
      <c r="X144" s="4">
        <f t="shared" si="239"/>
        <v>7926.2560000000003</v>
      </c>
      <c r="Y144" s="4">
        <f t="shared" si="240"/>
        <v>61676.179500000006</v>
      </c>
      <c r="Z144" s="4">
        <f t="shared" si="241"/>
        <v>7926.2560000000003</v>
      </c>
      <c r="AA144" s="4">
        <f t="shared" si="242"/>
        <v>69602.435500000007</v>
      </c>
      <c r="AB144" s="4">
        <f t="shared" si="243"/>
        <v>7926.2560000000003</v>
      </c>
      <c r="AC144" s="4">
        <f t="shared" si="244"/>
        <v>77528.691500000001</v>
      </c>
      <c r="AD144" s="3">
        <f t="shared" si="245"/>
        <v>7926.2560000000003</v>
      </c>
      <c r="AE144" s="4">
        <f t="shared" si="246"/>
        <v>85454.947499999995</v>
      </c>
      <c r="AF144" s="3">
        <f t="shared" si="247"/>
        <v>7926.2560000000003</v>
      </c>
      <c r="AG144" s="5">
        <f t="shared" si="248"/>
        <v>93381.203499999989</v>
      </c>
      <c r="AH144" s="3">
        <f t="shared" si="249"/>
        <v>7926.2560000000003</v>
      </c>
      <c r="AI144" s="5">
        <f t="shared" si="250"/>
        <v>101307.45949999998</v>
      </c>
      <c r="AJ144" s="3">
        <f t="shared" si="251"/>
        <v>7926.2560000000003</v>
      </c>
      <c r="AK144" s="3">
        <f t="shared" si="252"/>
        <v>109233.71549999998</v>
      </c>
      <c r="AL144" s="3">
        <f t="shared" si="253"/>
        <v>7926.2560000000003</v>
      </c>
      <c r="AM144" s="4">
        <f t="shared" si="254"/>
        <v>117159.97149999997</v>
      </c>
      <c r="AN144" s="4">
        <f t="shared" si="255"/>
        <v>378231.02850000001</v>
      </c>
      <c r="AO144" s="21">
        <f t="shared" si="256"/>
        <v>7926.2560000000003</v>
      </c>
      <c r="AP144" s="4">
        <f t="shared" si="257"/>
        <v>125086.22749999996</v>
      </c>
      <c r="AQ144" s="4">
        <v>303426.98750000005</v>
      </c>
      <c r="AR144" s="21">
        <v>12384.775</v>
      </c>
      <c r="AS144" s="19">
        <v>204348.78749999995</v>
      </c>
      <c r="AT144" s="4">
        <v>291042.21250000002</v>
      </c>
      <c r="AU144" s="21">
        <f t="shared" si="258"/>
        <v>7926.2560000000003</v>
      </c>
      <c r="AV144" s="19">
        <f t="shared" si="259"/>
        <v>212275.04349999994</v>
      </c>
      <c r="AW144" s="4">
        <f t="shared" si="260"/>
        <v>283115.95650000009</v>
      </c>
      <c r="AX144" s="4">
        <f t="shared" si="261"/>
        <v>7926.2560000000003</v>
      </c>
      <c r="AY144" s="4">
        <f t="shared" si="262"/>
        <v>220201.29949999994</v>
      </c>
      <c r="AZ144" s="4">
        <f t="shared" si="263"/>
        <v>275189.70050000004</v>
      </c>
      <c r="BA144" s="22">
        <f t="shared" si="264"/>
        <v>7926.2560000000003</v>
      </c>
      <c r="BB144" s="4">
        <f t="shared" si="265"/>
        <v>228127.55549999993</v>
      </c>
      <c r="BC144" s="4">
        <f t="shared" si="266"/>
        <v>267263.4445000001</v>
      </c>
      <c r="BF144" s="22">
        <v>7926.2560000000003</v>
      </c>
      <c r="BG144" s="4">
        <f t="shared" si="123"/>
        <v>0</v>
      </c>
    </row>
    <row r="145" spans="1:59" x14ac:dyDescent="0.35">
      <c r="A145" s="3" t="s">
        <v>203</v>
      </c>
      <c r="B145" s="3" t="s">
        <v>99</v>
      </c>
      <c r="C145" s="4">
        <v>62127</v>
      </c>
      <c r="D145" s="4" t="s">
        <v>80</v>
      </c>
      <c r="E145" s="2">
        <v>62.5</v>
      </c>
      <c r="F145" s="4"/>
      <c r="G145" s="4"/>
      <c r="H145" s="4"/>
      <c r="I145" s="4"/>
      <c r="J145" s="4">
        <f>C145/40/12*6</f>
        <v>776.58750000000009</v>
      </c>
      <c r="K145" s="4">
        <f t="shared" si="227"/>
        <v>776.58750000000009</v>
      </c>
      <c r="L145" s="4">
        <f>C145/E145</f>
        <v>994.03200000000004</v>
      </c>
      <c r="M145" s="4">
        <f t="shared" si="229"/>
        <v>1770.6195000000002</v>
      </c>
      <c r="N145" s="4">
        <f t="shared" si="230"/>
        <v>994.03200000000004</v>
      </c>
      <c r="O145" s="4">
        <f t="shared" si="231"/>
        <v>2764.6515000000004</v>
      </c>
      <c r="P145" s="4">
        <f t="shared" si="232"/>
        <v>994.03200000000004</v>
      </c>
      <c r="Q145" s="4">
        <f t="shared" si="233"/>
        <v>3758.6835000000005</v>
      </c>
      <c r="R145" s="4">
        <f t="shared" si="234"/>
        <v>994.03200000000004</v>
      </c>
      <c r="S145" s="4">
        <f t="shared" si="235"/>
        <v>4752.7155000000002</v>
      </c>
      <c r="T145" s="4">
        <f t="shared" si="236"/>
        <v>994.03200000000004</v>
      </c>
      <c r="U145" s="4">
        <f t="shared" si="267"/>
        <v>5746.7475000000004</v>
      </c>
      <c r="V145" s="4">
        <f t="shared" si="237"/>
        <v>994.03200000000004</v>
      </c>
      <c r="W145" s="4">
        <v>10095</v>
      </c>
      <c r="X145" s="4">
        <f t="shared" si="239"/>
        <v>994.03200000000004</v>
      </c>
      <c r="Y145" s="4">
        <f t="shared" si="240"/>
        <v>11089.031999999999</v>
      </c>
      <c r="Z145" s="4">
        <f t="shared" si="241"/>
        <v>994.03200000000004</v>
      </c>
      <c r="AA145" s="4">
        <f t="shared" si="242"/>
        <v>12083.063999999998</v>
      </c>
      <c r="AB145" s="4">
        <f t="shared" si="243"/>
        <v>994.03200000000004</v>
      </c>
      <c r="AC145" s="4">
        <f t="shared" si="244"/>
        <v>13077.095999999998</v>
      </c>
      <c r="AD145" s="3">
        <f t="shared" si="245"/>
        <v>994.03200000000004</v>
      </c>
      <c r="AE145" s="4">
        <f t="shared" si="246"/>
        <v>14071.127999999997</v>
      </c>
      <c r="AF145" s="3">
        <f t="shared" si="247"/>
        <v>994.03200000000004</v>
      </c>
      <c r="AG145" s="5">
        <f t="shared" si="248"/>
        <v>15065.159999999996</v>
      </c>
      <c r="AH145" s="3">
        <f t="shared" si="249"/>
        <v>994.03200000000004</v>
      </c>
      <c r="AI145" s="5">
        <f t="shared" si="250"/>
        <v>16059.191999999995</v>
      </c>
      <c r="AJ145" s="3">
        <f t="shared" si="251"/>
        <v>994.03200000000004</v>
      </c>
      <c r="AK145" s="3">
        <f t="shared" si="252"/>
        <v>17053.223999999995</v>
      </c>
      <c r="AL145" s="3">
        <f t="shared" si="253"/>
        <v>994.03200000000004</v>
      </c>
      <c r="AM145" s="4">
        <f t="shared" si="254"/>
        <v>18047.255999999994</v>
      </c>
      <c r="AN145" s="4">
        <f t="shared" si="255"/>
        <v>44079.744000000006</v>
      </c>
      <c r="AO145" s="21">
        <f t="shared" si="256"/>
        <v>994.03200000000004</v>
      </c>
      <c r="AP145" s="4">
        <f t="shared" si="257"/>
        <v>19041.287999999993</v>
      </c>
      <c r="AQ145" s="4">
        <v>38053.425000000003</v>
      </c>
      <c r="AR145" s="21">
        <v>1553.175</v>
      </c>
      <c r="AS145" s="19">
        <v>25626.749999999993</v>
      </c>
      <c r="AT145" s="4">
        <v>36500.250000000007</v>
      </c>
      <c r="AU145" s="21">
        <f t="shared" si="258"/>
        <v>994.03200000000004</v>
      </c>
      <c r="AV145" s="19">
        <f t="shared" si="259"/>
        <v>26620.781999999992</v>
      </c>
      <c r="AW145" s="4">
        <f t="shared" si="260"/>
        <v>35506.218000000008</v>
      </c>
      <c r="AX145" s="4">
        <f t="shared" si="261"/>
        <v>994.03200000000004</v>
      </c>
      <c r="AY145" s="4">
        <f t="shared" si="262"/>
        <v>27614.813999999991</v>
      </c>
      <c r="AZ145" s="4">
        <f t="shared" si="263"/>
        <v>34512.186000000009</v>
      </c>
      <c r="BA145" s="22">
        <f t="shared" si="264"/>
        <v>994.03200000000004</v>
      </c>
      <c r="BB145" s="4">
        <f t="shared" si="265"/>
        <v>28608.84599999999</v>
      </c>
      <c r="BC145" s="4">
        <f t="shared" si="266"/>
        <v>33518.15400000001</v>
      </c>
      <c r="BF145" s="22">
        <v>994.03200000000004</v>
      </c>
      <c r="BG145" s="4">
        <f t="shared" si="123"/>
        <v>0</v>
      </c>
    </row>
    <row r="146" spans="1:59" x14ac:dyDescent="0.35">
      <c r="A146" s="3" t="s">
        <v>204</v>
      </c>
      <c r="B146" s="3" t="s">
        <v>205</v>
      </c>
      <c r="C146" s="4">
        <v>44297</v>
      </c>
      <c r="D146" s="4" t="s">
        <v>80</v>
      </c>
      <c r="E146" s="2">
        <v>62.5</v>
      </c>
      <c r="F146" s="4"/>
      <c r="G146" s="4"/>
      <c r="H146" s="4"/>
      <c r="I146" s="4"/>
      <c r="J146" s="4"/>
      <c r="K146" s="4"/>
      <c r="L146" s="4">
        <f>44297/40*0.5</f>
        <v>553.71249999999998</v>
      </c>
      <c r="M146" s="4">
        <f t="shared" si="229"/>
        <v>553.71249999999998</v>
      </c>
      <c r="N146" s="4">
        <f>44297/40</f>
        <v>1107.425</v>
      </c>
      <c r="O146" s="4">
        <f t="shared" si="231"/>
        <v>1661.1374999999998</v>
      </c>
      <c r="P146" s="4">
        <f t="shared" si="232"/>
        <v>708.75199999999995</v>
      </c>
      <c r="Q146" s="4">
        <f t="shared" si="233"/>
        <v>2369.8894999999998</v>
      </c>
      <c r="R146" s="4">
        <f t="shared" si="234"/>
        <v>708.75199999999995</v>
      </c>
      <c r="S146" s="4">
        <f t="shared" si="235"/>
        <v>3078.6414999999997</v>
      </c>
      <c r="T146" s="4">
        <f t="shared" si="236"/>
        <v>708.75199999999995</v>
      </c>
      <c r="U146" s="4">
        <f t="shared" si="267"/>
        <v>3787.3934999999997</v>
      </c>
      <c r="V146" s="4">
        <f t="shared" si="237"/>
        <v>708.75199999999995</v>
      </c>
      <c r="W146" s="4">
        <v>6090</v>
      </c>
      <c r="X146" s="4">
        <f t="shared" si="239"/>
        <v>708.75199999999995</v>
      </c>
      <c r="Y146" s="4">
        <f t="shared" si="240"/>
        <v>6798.7520000000004</v>
      </c>
      <c r="Z146" s="4">
        <f t="shared" si="241"/>
        <v>708.75199999999995</v>
      </c>
      <c r="AA146" s="4">
        <f t="shared" si="242"/>
        <v>7507.5040000000008</v>
      </c>
      <c r="AB146" s="4">
        <f t="shared" si="243"/>
        <v>708.75199999999995</v>
      </c>
      <c r="AC146" s="4">
        <f t="shared" si="244"/>
        <v>8216.2560000000012</v>
      </c>
      <c r="AD146" s="3">
        <f t="shared" si="245"/>
        <v>708.75199999999995</v>
      </c>
      <c r="AE146" s="4">
        <f t="shared" si="246"/>
        <v>8925.0080000000016</v>
      </c>
      <c r="AF146" s="3">
        <f t="shared" si="247"/>
        <v>708.75199999999995</v>
      </c>
      <c r="AG146" s="5">
        <f t="shared" si="248"/>
        <v>9633.760000000002</v>
      </c>
      <c r="AH146" s="3">
        <f t="shared" si="249"/>
        <v>708.75199999999995</v>
      </c>
      <c r="AI146" s="5">
        <f t="shared" si="250"/>
        <v>10342.512000000002</v>
      </c>
      <c r="AJ146" s="3">
        <f t="shared" si="251"/>
        <v>708.75199999999995</v>
      </c>
      <c r="AK146" s="3">
        <f t="shared" si="252"/>
        <v>11051.264000000003</v>
      </c>
      <c r="AL146" s="3">
        <f t="shared" si="253"/>
        <v>708.75199999999995</v>
      </c>
      <c r="AM146" s="4">
        <f t="shared" si="254"/>
        <v>11760.016000000003</v>
      </c>
      <c r="AN146" s="4">
        <f t="shared" si="255"/>
        <v>32536.983999999997</v>
      </c>
      <c r="AO146" s="21">
        <f t="shared" si="256"/>
        <v>708.75199999999995</v>
      </c>
      <c r="AP146" s="4">
        <f t="shared" si="257"/>
        <v>12468.768000000004</v>
      </c>
      <c r="AQ146" s="4">
        <v>28240.175000000007</v>
      </c>
      <c r="AR146" s="21">
        <v>1107.425</v>
      </c>
      <c r="AS146" s="19">
        <v>17164.249999999996</v>
      </c>
      <c r="AT146" s="4">
        <v>27132.750000000004</v>
      </c>
      <c r="AU146" s="21">
        <f t="shared" si="258"/>
        <v>708.75199999999995</v>
      </c>
      <c r="AV146" s="19">
        <f t="shared" si="259"/>
        <v>17873.001999999997</v>
      </c>
      <c r="AW146" s="4">
        <f t="shared" si="260"/>
        <v>26423.998000000003</v>
      </c>
      <c r="AX146" s="4">
        <f t="shared" si="261"/>
        <v>708.75199999999995</v>
      </c>
      <c r="AY146" s="4">
        <f t="shared" si="262"/>
        <v>18581.753999999997</v>
      </c>
      <c r="AZ146" s="4">
        <f t="shared" si="263"/>
        <v>25715.246000000003</v>
      </c>
      <c r="BA146" s="22">
        <f t="shared" si="264"/>
        <v>708.75199999999995</v>
      </c>
      <c r="BB146" s="4">
        <f t="shared" si="265"/>
        <v>19290.505999999998</v>
      </c>
      <c r="BC146" s="4">
        <f t="shared" si="266"/>
        <v>25006.494000000002</v>
      </c>
      <c r="BF146" s="22">
        <v>708.75199999999995</v>
      </c>
      <c r="BG146" s="4">
        <f t="shared" si="123"/>
        <v>0</v>
      </c>
    </row>
    <row r="147" spans="1:59" x14ac:dyDescent="0.35">
      <c r="A147" s="3" t="s">
        <v>206</v>
      </c>
      <c r="B147" s="3" t="s">
        <v>207</v>
      </c>
      <c r="C147" s="4">
        <v>3604201</v>
      </c>
      <c r="D147" s="4" t="s">
        <v>80</v>
      </c>
      <c r="E147" s="2">
        <v>62.5</v>
      </c>
      <c r="F147" s="4"/>
      <c r="G147" s="4"/>
      <c r="H147" s="4"/>
      <c r="I147" s="4"/>
      <c r="J147" s="4"/>
      <c r="K147" s="4"/>
      <c r="L147" s="4"/>
      <c r="M147" s="4"/>
      <c r="N147" s="4">
        <f>3604203/40/12*3</f>
        <v>22526.268749999999</v>
      </c>
      <c r="O147" s="4">
        <v>22526</v>
      </c>
      <c r="P147" s="4">
        <f t="shared" si="232"/>
        <v>57667.216</v>
      </c>
      <c r="Q147" s="4">
        <f t="shared" si="233"/>
        <v>80193.216</v>
      </c>
      <c r="R147" s="4">
        <f t="shared" si="234"/>
        <v>57667.216</v>
      </c>
      <c r="S147" s="4">
        <f t="shared" si="235"/>
        <v>137860.432</v>
      </c>
      <c r="T147" s="4">
        <f t="shared" si="236"/>
        <v>57667.216</v>
      </c>
      <c r="U147" s="4">
        <f t="shared" si="267"/>
        <v>195527.64799999999</v>
      </c>
      <c r="V147" s="4">
        <f t="shared" si="237"/>
        <v>57667.216</v>
      </c>
      <c r="W147" s="4">
        <f t="shared" ref="W147:W159" si="268">U147+V147</f>
        <v>253194.864</v>
      </c>
      <c r="X147" s="4">
        <f t="shared" si="239"/>
        <v>57667.216</v>
      </c>
      <c r="Y147" s="4">
        <f t="shared" si="240"/>
        <v>310862.08000000002</v>
      </c>
      <c r="Z147" s="4">
        <f t="shared" si="241"/>
        <v>57667.216</v>
      </c>
      <c r="AA147" s="4">
        <f t="shared" si="242"/>
        <v>368529.29600000003</v>
      </c>
      <c r="AB147" s="4">
        <f t="shared" si="243"/>
        <v>57667.216</v>
      </c>
      <c r="AC147" s="4">
        <f t="shared" si="244"/>
        <v>426196.51200000005</v>
      </c>
      <c r="AD147" s="3">
        <f t="shared" si="245"/>
        <v>57667.216</v>
      </c>
      <c r="AE147" s="4">
        <f t="shared" si="246"/>
        <v>483863.72800000006</v>
      </c>
      <c r="AF147" s="3">
        <f t="shared" si="247"/>
        <v>57667.216</v>
      </c>
      <c r="AG147" s="5">
        <f t="shared" si="248"/>
        <v>541530.94400000002</v>
      </c>
      <c r="AH147" s="3">
        <f t="shared" si="249"/>
        <v>57667.216</v>
      </c>
      <c r="AI147" s="5">
        <f t="shared" si="250"/>
        <v>599198.16</v>
      </c>
      <c r="AJ147" s="3">
        <f t="shared" si="251"/>
        <v>57667.216</v>
      </c>
      <c r="AK147" s="3">
        <f t="shared" si="252"/>
        <v>656865.37600000005</v>
      </c>
      <c r="AL147" s="3">
        <f t="shared" si="253"/>
        <v>57667.216</v>
      </c>
      <c r="AM147" s="4">
        <f t="shared" si="254"/>
        <v>714532.59200000006</v>
      </c>
      <c r="AN147" s="4">
        <f t="shared" si="255"/>
        <v>2889668.4079999998</v>
      </c>
      <c r="AO147" s="21">
        <f t="shared" si="256"/>
        <v>57667.216</v>
      </c>
      <c r="AP147" s="4">
        <f t="shared" si="257"/>
        <v>772199.80800000008</v>
      </c>
      <c r="AQ147" s="4">
        <v>2410311.0250000004</v>
      </c>
      <c r="AR147" s="21">
        <v>94500</v>
      </c>
      <c r="AS147" s="19">
        <v>1288391</v>
      </c>
      <c r="AT147" s="4">
        <v>2315576</v>
      </c>
      <c r="AU147" s="21">
        <v>56158</v>
      </c>
      <c r="AV147" s="19">
        <f t="shared" si="259"/>
        <v>1344549</v>
      </c>
      <c r="AW147" s="4">
        <f t="shared" si="260"/>
        <v>2259652</v>
      </c>
      <c r="AX147" s="4">
        <f t="shared" si="261"/>
        <v>57667.216</v>
      </c>
      <c r="AY147" s="4">
        <f t="shared" si="262"/>
        <v>1402216.216</v>
      </c>
      <c r="AZ147" s="4">
        <f t="shared" si="263"/>
        <v>2201984.784</v>
      </c>
      <c r="BA147" s="22">
        <f t="shared" si="264"/>
        <v>57667.216</v>
      </c>
      <c r="BB147" s="4">
        <f t="shared" si="265"/>
        <v>1459883.432</v>
      </c>
      <c r="BC147" s="4">
        <f t="shared" si="266"/>
        <v>2144317.568</v>
      </c>
      <c r="BF147" s="22">
        <v>57667.216</v>
      </c>
      <c r="BG147" s="4">
        <f t="shared" si="123"/>
        <v>0</v>
      </c>
    </row>
    <row r="148" spans="1:59" x14ac:dyDescent="0.35">
      <c r="A148" s="3" t="s">
        <v>208</v>
      </c>
      <c r="B148" s="3" t="s">
        <v>209</v>
      </c>
      <c r="C148" s="4">
        <v>11982</v>
      </c>
      <c r="D148" s="4" t="s">
        <v>80</v>
      </c>
      <c r="E148" s="2">
        <v>62.5</v>
      </c>
      <c r="F148" s="4"/>
      <c r="G148" s="4"/>
      <c r="H148" s="4"/>
      <c r="I148" s="4"/>
      <c r="J148" s="4"/>
      <c r="K148" s="4"/>
      <c r="L148" s="4"/>
      <c r="M148" s="4">
        <f>K148+L148</f>
        <v>0</v>
      </c>
      <c r="N148" s="4">
        <f>11982/40*0.5</f>
        <v>149.77500000000001</v>
      </c>
      <c r="O148" s="4">
        <f>M148+N148</f>
        <v>149.77500000000001</v>
      </c>
      <c r="P148" s="4">
        <f t="shared" si="232"/>
        <v>191.71199999999999</v>
      </c>
      <c r="Q148" s="4">
        <f t="shared" si="233"/>
        <v>341.48699999999997</v>
      </c>
      <c r="R148" s="4">
        <f t="shared" si="234"/>
        <v>191.71199999999999</v>
      </c>
      <c r="S148" s="4">
        <f t="shared" si="235"/>
        <v>533.19899999999996</v>
      </c>
      <c r="T148" s="4">
        <f t="shared" si="236"/>
        <v>191.71199999999999</v>
      </c>
      <c r="U148" s="4">
        <f t="shared" si="267"/>
        <v>724.91099999999994</v>
      </c>
      <c r="V148" s="4">
        <f t="shared" si="237"/>
        <v>191.71199999999999</v>
      </c>
      <c r="W148" s="4">
        <f t="shared" si="268"/>
        <v>916.62299999999993</v>
      </c>
      <c r="X148" s="4">
        <f t="shared" si="239"/>
        <v>191.71199999999999</v>
      </c>
      <c r="Y148" s="4">
        <f t="shared" si="240"/>
        <v>1108.335</v>
      </c>
      <c r="Z148" s="4">
        <f t="shared" si="241"/>
        <v>191.71199999999999</v>
      </c>
      <c r="AA148" s="4">
        <f t="shared" si="242"/>
        <v>1300.047</v>
      </c>
      <c r="AB148" s="4">
        <f t="shared" si="243"/>
        <v>191.71199999999999</v>
      </c>
      <c r="AC148" s="4">
        <f t="shared" si="244"/>
        <v>1491.759</v>
      </c>
      <c r="AD148" s="3">
        <f t="shared" si="245"/>
        <v>191.71199999999999</v>
      </c>
      <c r="AE148" s="4">
        <f t="shared" si="246"/>
        <v>1683.471</v>
      </c>
      <c r="AF148" s="3">
        <f t="shared" si="247"/>
        <v>191.71199999999999</v>
      </c>
      <c r="AG148" s="5">
        <f t="shared" si="248"/>
        <v>1875.183</v>
      </c>
      <c r="AH148" s="3">
        <f t="shared" si="249"/>
        <v>191.71199999999999</v>
      </c>
      <c r="AI148" s="5">
        <f t="shared" si="250"/>
        <v>2066.895</v>
      </c>
      <c r="AJ148" s="3">
        <f t="shared" si="251"/>
        <v>191.71199999999999</v>
      </c>
      <c r="AK148" s="3">
        <f t="shared" si="252"/>
        <v>2258.607</v>
      </c>
      <c r="AL148" s="3">
        <f t="shared" si="253"/>
        <v>191.71199999999999</v>
      </c>
      <c r="AM148" s="4">
        <f t="shared" si="254"/>
        <v>2450.319</v>
      </c>
      <c r="AN148" s="4">
        <f t="shared" si="255"/>
        <v>9531.6810000000005</v>
      </c>
      <c r="AO148" s="21">
        <f t="shared" si="256"/>
        <v>191.71199999999999</v>
      </c>
      <c r="AP148" s="4">
        <f t="shared" si="257"/>
        <v>2642.0309999999999</v>
      </c>
      <c r="AQ148" s="4">
        <v>7938.0749999999998</v>
      </c>
      <c r="AR148" s="21">
        <v>299.55</v>
      </c>
      <c r="AS148" s="19">
        <v>4343.4750000000013</v>
      </c>
      <c r="AT148" s="4">
        <v>7638.5249999999987</v>
      </c>
      <c r="AU148" s="21">
        <f t="shared" si="258"/>
        <v>191.71199999999999</v>
      </c>
      <c r="AV148" s="19">
        <f t="shared" si="259"/>
        <v>4535.1870000000017</v>
      </c>
      <c r="AW148" s="4">
        <f t="shared" si="260"/>
        <v>7446.8129999999983</v>
      </c>
      <c r="AX148" s="4">
        <f t="shared" si="261"/>
        <v>191.71199999999999</v>
      </c>
      <c r="AY148" s="4">
        <f t="shared" si="262"/>
        <v>4726.8990000000013</v>
      </c>
      <c r="AZ148" s="4">
        <f t="shared" si="263"/>
        <v>7255.1009999999987</v>
      </c>
      <c r="BA148" s="22">
        <f t="shared" si="264"/>
        <v>191.71199999999999</v>
      </c>
      <c r="BB148" s="4">
        <f t="shared" si="265"/>
        <v>4918.6110000000008</v>
      </c>
      <c r="BC148" s="4">
        <f t="shared" si="266"/>
        <v>7063.3889999999992</v>
      </c>
      <c r="BF148" s="22">
        <v>191.71199999999999</v>
      </c>
      <c r="BG148" s="4">
        <f t="shared" si="123"/>
        <v>0</v>
      </c>
    </row>
    <row r="149" spans="1:59" x14ac:dyDescent="0.35">
      <c r="A149" s="3" t="s">
        <v>210</v>
      </c>
      <c r="B149" s="3" t="s">
        <v>211</v>
      </c>
      <c r="C149" s="4">
        <v>1184477</v>
      </c>
      <c r="D149" s="4" t="s">
        <v>80</v>
      </c>
      <c r="E149" s="2">
        <v>62.5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>
        <f>SUM(C149/40*0.5)</f>
        <v>14805.9625</v>
      </c>
      <c r="Q149" s="4">
        <f t="shared" si="233"/>
        <v>14805.9625</v>
      </c>
      <c r="R149" s="4">
        <f t="shared" si="234"/>
        <v>18951.632000000001</v>
      </c>
      <c r="S149" s="4">
        <f t="shared" si="235"/>
        <v>33757.594499999999</v>
      </c>
      <c r="T149" s="4">
        <f t="shared" si="236"/>
        <v>18951.632000000001</v>
      </c>
      <c r="U149" s="4">
        <f t="shared" si="267"/>
        <v>52709.226500000004</v>
      </c>
      <c r="V149" s="4">
        <f t="shared" si="237"/>
        <v>18951.632000000001</v>
      </c>
      <c r="W149" s="4">
        <f t="shared" si="268"/>
        <v>71660.858500000002</v>
      </c>
      <c r="X149" s="4">
        <f t="shared" si="239"/>
        <v>18951.632000000001</v>
      </c>
      <c r="Y149" s="4">
        <f t="shared" si="240"/>
        <v>90612.4905</v>
      </c>
      <c r="Z149" s="4">
        <f t="shared" si="241"/>
        <v>18951.632000000001</v>
      </c>
      <c r="AA149" s="4">
        <f t="shared" si="242"/>
        <v>109564.1225</v>
      </c>
      <c r="AB149" s="4">
        <f t="shared" si="243"/>
        <v>18951.632000000001</v>
      </c>
      <c r="AC149" s="4">
        <f t="shared" si="244"/>
        <v>128515.7545</v>
      </c>
      <c r="AD149" s="3">
        <f t="shared" si="245"/>
        <v>18951.632000000001</v>
      </c>
      <c r="AE149" s="4">
        <f t="shared" si="246"/>
        <v>147467.38649999999</v>
      </c>
      <c r="AF149" s="3">
        <f t="shared" si="247"/>
        <v>18951.632000000001</v>
      </c>
      <c r="AG149" s="5">
        <f t="shared" si="248"/>
        <v>166419.01850000001</v>
      </c>
      <c r="AH149" s="3">
        <f t="shared" si="249"/>
        <v>18951.632000000001</v>
      </c>
      <c r="AI149" s="5">
        <f t="shared" si="250"/>
        <v>185370.65050000002</v>
      </c>
      <c r="AJ149" s="3">
        <f t="shared" si="251"/>
        <v>18951.632000000001</v>
      </c>
      <c r="AK149" s="3">
        <f t="shared" si="252"/>
        <v>204322.28250000003</v>
      </c>
      <c r="AL149" s="3">
        <f t="shared" si="253"/>
        <v>18951.632000000001</v>
      </c>
      <c r="AM149" s="4">
        <f t="shared" si="254"/>
        <v>223273.91450000004</v>
      </c>
      <c r="AN149" s="4">
        <f t="shared" si="255"/>
        <v>961203.08549999993</v>
      </c>
      <c r="AO149" s="21">
        <f t="shared" si="256"/>
        <v>18951.632000000001</v>
      </c>
      <c r="AP149" s="4">
        <f t="shared" si="257"/>
        <v>242225.54650000005</v>
      </c>
      <c r="AQ149" s="4">
        <v>814327.9375</v>
      </c>
      <c r="AR149" s="21">
        <v>29611.924999999999</v>
      </c>
      <c r="AS149" s="19">
        <v>399760.98749999993</v>
      </c>
      <c r="AT149" s="4">
        <v>784716.01250000007</v>
      </c>
      <c r="AU149" s="21">
        <f t="shared" si="258"/>
        <v>18951.632000000001</v>
      </c>
      <c r="AV149" s="19">
        <f t="shared" si="259"/>
        <v>418712.61949999991</v>
      </c>
      <c r="AW149" s="4">
        <f t="shared" si="260"/>
        <v>765764.38050000009</v>
      </c>
      <c r="AX149" s="4">
        <f t="shared" si="261"/>
        <v>18951.632000000001</v>
      </c>
      <c r="AY149" s="4">
        <f t="shared" si="262"/>
        <v>437664.2514999999</v>
      </c>
      <c r="AZ149" s="4">
        <f t="shared" si="263"/>
        <v>746812.7485000001</v>
      </c>
      <c r="BA149" s="22">
        <f t="shared" si="264"/>
        <v>18951.632000000001</v>
      </c>
      <c r="BB149" s="4">
        <f t="shared" si="265"/>
        <v>456615.88349999988</v>
      </c>
      <c r="BC149" s="4">
        <f t="shared" si="266"/>
        <v>727861.11650000012</v>
      </c>
      <c r="BF149" s="22">
        <v>18951.632000000001</v>
      </c>
      <c r="BG149" s="4">
        <f t="shared" si="123"/>
        <v>0</v>
      </c>
    </row>
    <row r="150" spans="1:59" x14ac:dyDescent="0.35">
      <c r="A150" s="3" t="s">
        <v>210</v>
      </c>
      <c r="B150" s="3" t="s">
        <v>211</v>
      </c>
      <c r="C150" s="4">
        <v>39285</v>
      </c>
      <c r="D150" s="4" t="s">
        <v>80</v>
      </c>
      <c r="E150" s="2">
        <v>62.5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>
        <f>SUM(C150/40*0.5)</f>
        <v>491.0625</v>
      </c>
      <c r="Q150" s="4">
        <f t="shared" si="233"/>
        <v>491.0625</v>
      </c>
      <c r="R150" s="4">
        <f t="shared" si="234"/>
        <v>628.55999999999995</v>
      </c>
      <c r="S150" s="4">
        <f t="shared" si="235"/>
        <v>1119.6224999999999</v>
      </c>
      <c r="T150" s="4">
        <f t="shared" si="236"/>
        <v>628.55999999999995</v>
      </c>
      <c r="U150" s="4">
        <f t="shared" si="267"/>
        <v>1748.1824999999999</v>
      </c>
      <c r="V150" s="4">
        <f t="shared" si="237"/>
        <v>628.55999999999995</v>
      </c>
      <c r="W150" s="4">
        <f t="shared" si="268"/>
        <v>2376.7424999999998</v>
      </c>
      <c r="X150" s="4">
        <f t="shared" si="239"/>
        <v>628.55999999999995</v>
      </c>
      <c r="Y150" s="4">
        <f t="shared" si="240"/>
        <v>3005.3024999999998</v>
      </c>
      <c r="Z150" s="4">
        <f t="shared" si="241"/>
        <v>628.55999999999995</v>
      </c>
      <c r="AA150" s="4">
        <f t="shared" si="242"/>
        <v>3633.8624999999997</v>
      </c>
      <c r="AB150" s="4">
        <f t="shared" si="243"/>
        <v>628.55999999999995</v>
      </c>
      <c r="AC150" s="4">
        <f t="shared" si="244"/>
        <v>4262.4224999999997</v>
      </c>
      <c r="AD150" s="3">
        <f t="shared" si="245"/>
        <v>628.55999999999995</v>
      </c>
      <c r="AE150" s="4">
        <f t="shared" si="246"/>
        <v>4890.9825000000001</v>
      </c>
      <c r="AF150" s="3">
        <f t="shared" si="247"/>
        <v>628.55999999999995</v>
      </c>
      <c r="AG150" s="5">
        <f t="shared" si="248"/>
        <v>5519.5424999999996</v>
      </c>
      <c r="AH150" s="3">
        <f t="shared" si="249"/>
        <v>628.55999999999995</v>
      </c>
      <c r="AI150" s="5">
        <f t="shared" si="250"/>
        <v>6148.1024999999991</v>
      </c>
      <c r="AJ150" s="3">
        <f t="shared" si="251"/>
        <v>628.55999999999995</v>
      </c>
      <c r="AK150" s="3">
        <f t="shared" si="252"/>
        <v>6776.6624999999985</v>
      </c>
      <c r="AL150" s="3">
        <f t="shared" si="253"/>
        <v>628.55999999999995</v>
      </c>
      <c r="AM150" s="4">
        <f t="shared" si="254"/>
        <v>7405.222499999998</v>
      </c>
      <c r="AN150" s="4">
        <f t="shared" si="255"/>
        <v>31879.777500000004</v>
      </c>
      <c r="AO150" s="21">
        <f t="shared" si="256"/>
        <v>628.55999999999995</v>
      </c>
      <c r="AP150" s="4">
        <f t="shared" si="257"/>
        <v>8033.7824999999975</v>
      </c>
      <c r="AQ150" s="4">
        <v>27008.4375</v>
      </c>
      <c r="AR150" s="21">
        <v>982.125</v>
      </c>
      <c r="AS150" s="19">
        <v>13258.6875</v>
      </c>
      <c r="AT150" s="4">
        <v>26026.3125</v>
      </c>
      <c r="AU150" s="21">
        <f t="shared" si="258"/>
        <v>628.55999999999995</v>
      </c>
      <c r="AV150" s="19">
        <f t="shared" si="259"/>
        <v>13887.247499999999</v>
      </c>
      <c r="AW150" s="4">
        <f t="shared" si="260"/>
        <v>25397.752500000002</v>
      </c>
      <c r="AX150" s="4">
        <f t="shared" si="261"/>
        <v>628.55999999999995</v>
      </c>
      <c r="AY150" s="4">
        <f t="shared" si="262"/>
        <v>14515.807499999999</v>
      </c>
      <c r="AZ150" s="4">
        <f t="shared" si="263"/>
        <v>24769.192500000001</v>
      </c>
      <c r="BA150" s="22">
        <f t="shared" si="264"/>
        <v>628.55999999999995</v>
      </c>
      <c r="BB150" s="4">
        <f t="shared" si="265"/>
        <v>15144.367499999998</v>
      </c>
      <c r="BC150" s="4">
        <f t="shared" si="266"/>
        <v>24140.6325</v>
      </c>
      <c r="BF150" s="22">
        <v>628.55999999999995</v>
      </c>
      <c r="BG150" s="4">
        <f t="shared" si="123"/>
        <v>0</v>
      </c>
    </row>
    <row r="151" spans="1:59" x14ac:dyDescent="0.35">
      <c r="A151" s="3" t="s">
        <v>212</v>
      </c>
      <c r="B151" s="3" t="s">
        <v>213</v>
      </c>
      <c r="C151" s="4">
        <v>35545</v>
      </c>
      <c r="D151" s="4" t="s">
        <v>80</v>
      </c>
      <c r="E151" s="2">
        <v>62.5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>
        <f>C151/40*0.5</f>
        <v>444.3125</v>
      </c>
      <c r="S151" s="4">
        <f t="shared" si="235"/>
        <v>444.3125</v>
      </c>
      <c r="T151" s="4">
        <v>889</v>
      </c>
      <c r="U151" s="4">
        <f t="shared" si="267"/>
        <v>1333.3125</v>
      </c>
      <c r="V151" s="4">
        <f t="shared" si="237"/>
        <v>889</v>
      </c>
      <c r="W151" s="4">
        <f t="shared" si="268"/>
        <v>2222.3125</v>
      </c>
      <c r="X151" s="4">
        <f t="shared" si="239"/>
        <v>889</v>
      </c>
      <c r="Y151" s="4">
        <f t="shared" si="240"/>
        <v>3111.3125</v>
      </c>
      <c r="Z151" s="4">
        <f t="shared" si="241"/>
        <v>889</v>
      </c>
      <c r="AA151" s="4">
        <f t="shared" si="242"/>
        <v>4000.3125</v>
      </c>
      <c r="AB151" s="4">
        <f t="shared" si="243"/>
        <v>889</v>
      </c>
      <c r="AC151" s="4">
        <f t="shared" si="244"/>
        <v>4889.3125</v>
      </c>
      <c r="AD151" s="3">
        <f t="shared" si="245"/>
        <v>889</v>
      </c>
      <c r="AE151" s="4">
        <f t="shared" si="246"/>
        <v>5778.3125</v>
      </c>
      <c r="AF151" s="3">
        <f t="shared" si="247"/>
        <v>889</v>
      </c>
      <c r="AG151" s="5">
        <f t="shared" si="248"/>
        <v>6667.3125</v>
      </c>
      <c r="AH151" s="3">
        <f t="shared" si="249"/>
        <v>889</v>
      </c>
      <c r="AI151" s="5">
        <f t="shared" si="250"/>
        <v>7556.3125</v>
      </c>
      <c r="AJ151" s="3">
        <f t="shared" si="251"/>
        <v>889</v>
      </c>
      <c r="AK151" s="3">
        <f t="shared" si="252"/>
        <v>8445.3125</v>
      </c>
      <c r="AL151" s="3">
        <f t="shared" si="253"/>
        <v>889</v>
      </c>
      <c r="AM151" s="4">
        <f t="shared" si="254"/>
        <v>9334.3125</v>
      </c>
      <c r="AN151" s="4">
        <f t="shared" si="255"/>
        <v>26210.6875</v>
      </c>
      <c r="AO151" s="21">
        <f t="shared" si="256"/>
        <v>889</v>
      </c>
      <c r="AP151" s="4">
        <f t="shared" si="257"/>
        <v>10223.3125</v>
      </c>
      <c r="AQ151" s="4">
        <v>25321.6875</v>
      </c>
      <c r="AR151" s="21">
        <v>889</v>
      </c>
      <c r="AS151" s="19">
        <v>11112.3125</v>
      </c>
      <c r="AT151" s="4">
        <v>24432.6875</v>
      </c>
      <c r="AU151" s="21">
        <f t="shared" si="258"/>
        <v>568.72</v>
      </c>
      <c r="AV151" s="19">
        <f t="shared" si="259"/>
        <v>11681.032499999999</v>
      </c>
      <c r="AW151" s="4">
        <f t="shared" si="260"/>
        <v>23863.967499999999</v>
      </c>
      <c r="AX151" s="4">
        <f t="shared" si="261"/>
        <v>568.72</v>
      </c>
      <c r="AY151" s="4">
        <f t="shared" si="262"/>
        <v>12249.752499999999</v>
      </c>
      <c r="AZ151" s="4">
        <f t="shared" si="263"/>
        <v>23295.247500000001</v>
      </c>
      <c r="BA151" s="22">
        <f t="shared" si="264"/>
        <v>568.72</v>
      </c>
      <c r="BB151" s="4">
        <f t="shared" si="265"/>
        <v>12818.472499999998</v>
      </c>
      <c r="BC151" s="4">
        <f t="shared" si="266"/>
        <v>22726.527500000004</v>
      </c>
      <c r="BF151" s="22">
        <v>568.72</v>
      </c>
      <c r="BG151" s="4">
        <f t="shared" si="123"/>
        <v>0</v>
      </c>
    </row>
    <row r="152" spans="1:59" x14ac:dyDescent="0.35">
      <c r="A152" s="3" t="s">
        <v>214</v>
      </c>
      <c r="B152" s="3" t="s">
        <v>215</v>
      </c>
      <c r="C152" s="4">
        <v>5195.7</v>
      </c>
      <c r="D152" s="4" t="s">
        <v>80</v>
      </c>
      <c r="E152" s="2">
        <v>62.5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>
        <v>65</v>
      </c>
      <c r="U152" s="4">
        <f t="shared" si="267"/>
        <v>65</v>
      </c>
      <c r="V152" s="4">
        <f>5196/40</f>
        <v>129.9</v>
      </c>
      <c r="W152" s="4">
        <f t="shared" si="268"/>
        <v>194.9</v>
      </c>
      <c r="X152" s="4">
        <f t="shared" si="239"/>
        <v>129.9</v>
      </c>
      <c r="Y152" s="4">
        <f t="shared" si="240"/>
        <v>324.8</v>
      </c>
      <c r="Z152" s="4">
        <f t="shared" si="241"/>
        <v>129.9</v>
      </c>
      <c r="AA152" s="4">
        <f t="shared" si="242"/>
        <v>454.70000000000005</v>
      </c>
      <c r="AB152" s="4">
        <f t="shared" si="243"/>
        <v>129.9</v>
      </c>
      <c r="AC152" s="4">
        <f t="shared" si="244"/>
        <v>584.6</v>
      </c>
      <c r="AD152" s="3">
        <f t="shared" si="245"/>
        <v>129.9</v>
      </c>
      <c r="AE152" s="4">
        <f t="shared" si="246"/>
        <v>714.5</v>
      </c>
      <c r="AF152" s="3">
        <f t="shared" si="247"/>
        <v>129.9</v>
      </c>
      <c r="AG152" s="5">
        <f t="shared" si="248"/>
        <v>844.4</v>
      </c>
      <c r="AH152" s="3">
        <f t="shared" si="249"/>
        <v>129.9</v>
      </c>
      <c r="AI152" s="5">
        <f t="shared" si="250"/>
        <v>974.3</v>
      </c>
      <c r="AJ152" s="3">
        <f t="shared" si="251"/>
        <v>129.9</v>
      </c>
      <c r="AK152" s="3">
        <f t="shared" si="252"/>
        <v>1104.2</v>
      </c>
      <c r="AL152" s="3">
        <f t="shared" si="253"/>
        <v>129.9</v>
      </c>
      <c r="AM152" s="4">
        <f t="shared" si="254"/>
        <v>1234.1000000000001</v>
      </c>
      <c r="AN152" s="4">
        <f t="shared" si="255"/>
        <v>3961.5999999999995</v>
      </c>
      <c r="AO152" s="21">
        <f t="shared" si="256"/>
        <v>129.9</v>
      </c>
      <c r="AP152" s="4">
        <f t="shared" si="257"/>
        <v>1364.0000000000002</v>
      </c>
      <c r="AQ152" s="4">
        <v>3831.6999999999994</v>
      </c>
      <c r="AR152" s="21">
        <v>129.9</v>
      </c>
      <c r="AS152" s="19">
        <v>1493.9000000000003</v>
      </c>
      <c r="AT152" s="4">
        <v>3701.7999999999993</v>
      </c>
      <c r="AU152" s="21">
        <f t="shared" si="258"/>
        <v>83.131199999999993</v>
      </c>
      <c r="AV152" s="19">
        <f t="shared" si="259"/>
        <v>1577.0312000000004</v>
      </c>
      <c r="AW152" s="4">
        <f t="shared" si="260"/>
        <v>3618.6687999999995</v>
      </c>
      <c r="AX152" s="4">
        <f t="shared" si="261"/>
        <v>83.131199999999993</v>
      </c>
      <c r="AY152" s="4">
        <f t="shared" si="262"/>
        <v>1660.1624000000004</v>
      </c>
      <c r="AZ152" s="4">
        <f t="shared" si="263"/>
        <v>3535.5375999999997</v>
      </c>
      <c r="BA152" s="22">
        <f t="shared" si="264"/>
        <v>83.131199999999993</v>
      </c>
      <c r="BB152" s="4">
        <f t="shared" si="265"/>
        <v>1743.2936000000004</v>
      </c>
      <c r="BC152" s="4">
        <f t="shared" si="266"/>
        <v>3452.4063999999994</v>
      </c>
      <c r="BF152" s="22">
        <v>83.131199999999993</v>
      </c>
      <c r="BG152" s="4">
        <f t="shared" si="123"/>
        <v>0</v>
      </c>
    </row>
    <row r="153" spans="1:59" x14ac:dyDescent="0.35">
      <c r="A153" s="3" t="s">
        <v>216</v>
      </c>
      <c r="B153" s="3" t="s">
        <v>217</v>
      </c>
      <c r="C153" s="4">
        <v>33130</v>
      </c>
      <c r="D153" s="4" t="s">
        <v>80</v>
      </c>
      <c r="E153" s="2">
        <v>62.5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331</v>
      </c>
      <c r="W153" s="4">
        <f t="shared" si="268"/>
        <v>331</v>
      </c>
      <c r="X153" s="4">
        <v>663</v>
      </c>
      <c r="Y153" s="4">
        <f t="shared" si="240"/>
        <v>994</v>
      </c>
      <c r="Z153" s="4">
        <f t="shared" si="241"/>
        <v>663</v>
      </c>
      <c r="AA153" s="4">
        <f t="shared" si="242"/>
        <v>1657</v>
      </c>
      <c r="AB153" s="4">
        <f t="shared" si="243"/>
        <v>663</v>
      </c>
      <c r="AC153" s="4">
        <f t="shared" si="244"/>
        <v>2320</v>
      </c>
      <c r="AD153" s="3">
        <f t="shared" si="245"/>
        <v>663</v>
      </c>
      <c r="AE153" s="4">
        <f t="shared" si="246"/>
        <v>2983</v>
      </c>
      <c r="AF153" s="3">
        <f t="shared" si="247"/>
        <v>663</v>
      </c>
      <c r="AG153" s="5">
        <f t="shared" si="248"/>
        <v>3646</v>
      </c>
      <c r="AH153" s="3">
        <f t="shared" si="249"/>
        <v>663</v>
      </c>
      <c r="AI153" s="5">
        <f t="shared" si="250"/>
        <v>4309</v>
      </c>
      <c r="AJ153" s="3">
        <f t="shared" si="251"/>
        <v>663</v>
      </c>
      <c r="AK153" s="3">
        <f t="shared" si="252"/>
        <v>4972</v>
      </c>
      <c r="AL153" s="3">
        <f t="shared" si="253"/>
        <v>663</v>
      </c>
      <c r="AM153" s="4">
        <f t="shared" si="254"/>
        <v>5635</v>
      </c>
      <c r="AN153" s="4">
        <f t="shared" si="255"/>
        <v>27495</v>
      </c>
      <c r="AO153" s="21">
        <f t="shared" si="256"/>
        <v>663</v>
      </c>
      <c r="AP153" s="4">
        <f t="shared" si="257"/>
        <v>6298</v>
      </c>
      <c r="AQ153" s="4">
        <v>26832</v>
      </c>
      <c r="AR153" s="21">
        <v>663</v>
      </c>
      <c r="AS153" s="19">
        <v>6961</v>
      </c>
      <c r="AT153" s="4">
        <v>26169</v>
      </c>
      <c r="AU153" s="21">
        <f t="shared" si="258"/>
        <v>530.08000000000004</v>
      </c>
      <c r="AV153" s="19">
        <f t="shared" si="259"/>
        <v>7491.08</v>
      </c>
      <c r="AW153" s="4">
        <f t="shared" si="260"/>
        <v>25638.92</v>
      </c>
      <c r="AX153" s="4">
        <f t="shared" si="261"/>
        <v>530.08000000000004</v>
      </c>
      <c r="AY153" s="4">
        <f t="shared" si="262"/>
        <v>8021.16</v>
      </c>
      <c r="AZ153" s="4">
        <f t="shared" si="263"/>
        <v>25108.84</v>
      </c>
      <c r="BA153" s="22">
        <f t="shared" si="264"/>
        <v>530.08000000000004</v>
      </c>
      <c r="BB153" s="4">
        <f t="shared" si="265"/>
        <v>8551.24</v>
      </c>
      <c r="BC153" s="4">
        <f t="shared" si="266"/>
        <v>24578.760000000002</v>
      </c>
      <c r="BF153" s="22">
        <v>530.08000000000004</v>
      </c>
      <c r="BG153" s="4">
        <f t="shared" si="123"/>
        <v>0</v>
      </c>
    </row>
    <row r="154" spans="1:59" x14ac:dyDescent="0.35">
      <c r="A154" s="3" t="s">
        <v>218</v>
      </c>
      <c r="B154" s="3" t="s">
        <v>219</v>
      </c>
      <c r="C154" s="4">
        <v>351267</v>
      </c>
      <c r="D154" s="4" t="s">
        <v>80</v>
      </c>
      <c r="E154" s="2">
        <v>62.5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>
        <v>4391</v>
      </c>
      <c r="W154" s="4">
        <f t="shared" si="268"/>
        <v>4391</v>
      </c>
      <c r="X154" s="4">
        <v>35127</v>
      </c>
      <c r="Y154" s="4">
        <f t="shared" si="240"/>
        <v>39518</v>
      </c>
      <c r="Z154" s="4">
        <f t="shared" si="241"/>
        <v>35127</v>
      </c>
      <c r="AA154" s="4">
        <f t="shared" si="242"/>
        <v>74645</v>
      </c>
      <c r="AB154" s="4">
        <f t="shared" si="243"/>
        <v>35127</v>
      </c>
      <c r="AC154" s="4">
        <f t="shared" si="244"/>
        <v>109772</v>
      </c>
      <c r="AD154" s="3">
        <f t="shared" si="245"/>
        <v>35127</v>
      </c>
      <c r="AE154" s="4">
        <f t="shared" si="246"/>
        <v>144899</v>
      </c>
      <c r="AF154" s="3">
        <f t="shared" si="247"/>
        <v>35127</v>
      </c>
      <c r="AG154" s="5">
        <f t="shared" si="248"/>
        <v>180026</v>
      </c>
      <c r="AH154" s="3">
        <f t="shared" si="249"/>
        <v>35127</v>
      </c>
      <c r="AI154" s="5">
        <f t="shared" si="250"/>
        <v>215153</v>
      </c>
      <c r="AJ154" s="3">
        <f t="shared" si="251"/>
        <v>35127</v>
      </c>
      <c r="AK154" s="3">
        <f t="shared" si="252"/>
        <v>250280</v>
      </c>
      <c r="AL154" s="3">
        <f t="shared" si="253"/>
        <v>35127</v>
      </c>
      <c r="AM154" s="4">
        <f t="shared" si="254"/>
        <v>285407</v>
      </c>
      <c r="AN154" s="4">
        <f t="shared" si="255"/>
        <v>65860</v>
      </c>
      <c r="AO154" s="21">
        <f t="shared" si="256"/>
        <v>35127</v>
      </c>
      <c r="AP154" s="4">
        <f t="shared" si="257"/>
        <v>320534</v>
      </c>
      <c r="AQ154" s="4">
        <v>30733</v>
      </c>
      <c r="AR154" s="21">
        <v>30733</v>
      </c>
      <c r="AS154" s="19">
        <v>351267</v>
      </c>
      <c r="AT154" s="4">
        <v>0</v>
      </c>
      <c r="AU154" s="21">
        <v>0</v>
      </c>
      <c r="AV154" s="19">
        <f t="shared" si="259"/>
        <v>351267</v>
      </c>
      <c r="AW154" s="4">
        <f t="shared" si="260"/>
        <v>0</v>
      </c>
      <c r="AX154" s="4">
        <f t="shared" si="261"/>
        <v>5620.2719999999999</v>
      </c>
      <c r="AY154" s="4">
        <f t="shared" si="262"/>
        <v>356887.272</v>
      </c>
      <c r="AZ154" s="4">
        <f t="shared" si="263"/>
        <v>-5620.2719999999972</v>
      </c>
      <c r="BA154" s="22">
        <f t="shared" si="264"/>
        <v>5620.2719999999999</v>
      </c>
      <c r="BB154" s="4">
        <f t="shared" si="265"/>
        <v>362507.54399999999</v>
      </c>
      <c r="BC154" s="4">
        <f t="shared" si="266"/>
        <v>-11240.543999999994</v>
      </c>
      <c r="BF154" s="22">
        <v>5620.2719999999999</v>
      </c>
      <c r="BG154" s="4">
        <f t="shared" si="123"/>
        <v>0</v>
      </c>
    </row>
    <row r="155" spans="1:59" x14ac:dyDescent="0.35">
      <c r="A155" s="3" t="s">
        <v>220</v>
      </c>
      <c r="B155" s="3" t="s">
        <v>188</v>
      </c>
      <c r="C155" s="4">
        <v>417540</v>
      </c>
      <c r="D155" s="4" t="s">
        <v>80</v>
      </c>
      <c r="E155" s="2">
        <v>62.5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>
        <v>7655</v>
      </c>
      <c r="W155" s="4">
        <f t="shared" si="268"/>
        <v>7655</v>
      </c>
      <c r="X155" s="4">
        <v>8351</v>
      </c>
      <c r="Y155" s="4">
        <f t="shared" si="240"/>
        <v>16006</v>
      </c>
      <c r="Z155" s="4">
        <f t="shared" si="241"/>
        <v>8351</v>
      </c>
      <c r="AA155" s="4">
        <f t="shared" si="242"/>
        <v>24357</v>
      </c>
      <c r="AB155" s="4">
        <f t="shared" si="243"/>
        <v>8351</v>
      </c>
      <c r="AC155" s="4">
        <f t="shared" si="244"/>
        <v>32708</v>
      </c>
      <c r="AD155" s="3">
        <f t="shared" si="245"/>
        <v>8351</v>
      </c>
      <c r="AE155" s="4">
        <f t="shared" si="246"/>
        <v>41059</v>
      </c>
      <c r="AF155" s="3">
        <f t="shared" si="247"/>
        <v>8351</v>
      </c>
      <c r="AG155" s="5">
        <f t="shared" si="248"/>
        <v>49410</v>
      </c>
      <c r="AH155" s="3">
        <f t="shared" si="249"/>
        <v>8351</v>
      </c>
      <c r="AI155" s="5">
        <f t="shared" si="250"/>
        <v>57761</v>
      </c>
      <c r="AJ155" s="3">
        <f t="shared" si="251"/>
        <v>8351</v>
      </c>
      <c r="AK155" s="3">
        <f t="shared" si="252"/>
        <v>66112</v>
      </c>
      <c r="AL155" s="3">
        <f t="shared" si="253"/>
        <v>8351</v>
      </c>
      <c r="AM155" s="4">
        <f t="shared" si="254"/>
        <v>74463</v>
      </c>
      <c r="AN155" s="4">
        <f t="shared" si="255"/>
        <v>343077</v>
      </c>
      <c r="AO155" s="21">
        <f t="shared" si="256"/>
        <v>8351</v>
      </c>
      <c r="AP155" s="4">
        <f t="shared" si="257"/>
        <v>82814</v>
      </c>
      <c r="AQ155" s="4">
        <v>334726</v>
      </c>
      <c r="AR155" s="21">
        <v>8351</v>
      </c>
      <c r="AS155" s="19">
        <v>91165</v>
      </c>
      <c r="AT155" s="4">
        <v>326375</v>
      </c>
      <c r="AU155" s="21">
        <f t="shared" si="258"/>
        <v>6680.64</v>
      </c>
      <c r="AV155" s="19">
        <f t="shared" si="259"/>
        <v>97845.64</v>
      </c>
      <c r="AW155" s="4">
        <f t="shared" si="260"/>
        <v>319694.36</v>
      </c>
      <c r="AX155" s="4">
        <f t="shared" si="261"/>
        <v>6680.64</v>
      </c>
      <c r="AY155" s="4">
        <f t="shared" si="262"/>
        <v>104526.28</v>
      </c>
      <c r="AZ155" s="4">
        <f t="shared" si="263"/>
        <v>313013.71999999997</v>
      </c>
      <c r="BA155" s="22">
        <f t="shared" si="264"/>
        <v>6680.64</v>
      </c>
      <c r="BB155" s="4">
        <f t="shared" si="265"/>
        <v>111206.92</v>
      </c>
      <c r="BC155" s="4">
        <f t="shared" si="266"/>
        <v>306333.08</v>
      </c>
      <c r="BF155" s="22">
        <v>6680.64</v>
      </c>
      <c r="BG155" s="4">
        <f t="shared" ref="BG155:BG218" si="269">BA155-BF155</f>
        <v>0</v>
      </c>
    </row>
    <row r="156" spans="1:59" x14ac:dyDescent="0.35">
      <c r="A156" s="3" t="s">
        <v>221</v>
      </c>
      <c r="B156" s="3" t="s">
        <v>222</v>
      </c>
      <c r="C156" s="4">
        <v>500000</v>
      </c>
      <c r="D156" s="4" t="s">
        <v>80</v>
      </c>
      <c r="E156" s="2">
        <v>62.5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>
        <v>5417</v>
      </c>
      <c r="W156" s="4">
        <f t="shared" si="268"/>
        <v>5417</v>
      </c>
      <c r="X156" s="4">
        <v>10000</v>
      </c>
      <c r="Y156" s="4">
        <f t="shared" si="240"/>
        <v>15417</v>
      </c>
      <c r="Z156" s="4">
        <f t="shared" si="241"/>
        <v>10000</v>
      </c>
      <c r="AA156" s="4">
        <f t="shared" si="242"/>
        <v>25417</v>
      </c>
      <c r="AB156" s="4">
        <f t="shared" si="243"/>
        <v>10000</v>
      </c>
      <c r="AC156" s="4">
        <f t="shared" si="244"/>
        <v>35417</v>
      </c>
      <c r="AD156" s="3">
        <f t="shared" si="245"/>
        <v>10000</v>
      </c>
      <c r="AE156" s="4">
        <f t="shared" si="246"/>
        <v>45417</v>
      </c>
      <c r="AF156" s="3">
        <f t="shared" si="247"/>
        <v>10000</v>
      </c>
      <c r="AG156" s="5">
        <f t="shared" si="248"/>
        <v>55417</v>
      </c>
      <c r="AH156" s="3">
        <f t="shared" si="249"/>
        <v>10000</v>
      </c>
      <c r="AI156" s="5">
        <f t="shared" si="250"/>
        <v>65417</v>
      </c>
      <c r="AJ156" s="3">
        <f t="shared" si="251"/>
        <v>10000</v>
      </c>
      <c r="AK156" s="3">
        <f t="shared" si="252"/>
        <v>75417</v>
      </c>
      <c r="AL156" s="3">
        <f t="shared" si="253"/>
        <v>10000</v>
      </c>
      <c r="AM156" s="4">
        <f t="shared" si="254"/>
        <v>85417</v>
      </c>
      <c r="AN156" s="4">
        <f t="shared" si="255"/>
        <v>414583</v>
      </c>
      <c r="AO156" s="21">
        <f t="shared" si="256"/>
        <v>10000</v>
      </c>
      <c r="AP156" s="4">
        <f t="shared" si="257"/>
        <v>95417</v>
      </c>
      <c r="AQ156" s="4">
        <v>404583</v>
      </c>
      <c r="AR156" s="21">
        <v>10000</v>
      </c>
      <c r="AS156" s="19">
        <v>105417</v>
      </c>
      <c r="AT156" s="4">
        <v>394583</v>
      </c>
      <c r="AU156" s="21">
        <f t="shared" si="258"/>
        <v>8000</v>
      </c>
      <c r="AV156" s="19">
        <f t="shared" si="259"/>
        <v>113417</v>
      </c>
      <c r="AW156" s="4">
        <f t="shared" si="260"/>
        <v>386583</v>
      </c>
      <c r="AX156" s="4">
        <f t="shared" si="261"/>
        <v>8000</v>
      </c>
      <c r="AY156" s="4">
        <f t="shared" si="262"/>
        <v>121417</v>
      </c>
      <c r="AZ156" s="4">
        <f t="shared" si="263"/>
        <v>378583</v>
      </c>
      <c r="BA156" s="22">
        <f t="shared" si="264"/>
        <v>8000</v>
      </c>
      <c r="BB156" s="4">
        <f t="shared" si="265"/>
        <v>129417</v>
      </c>
      <c r="BC156" s="4">
        <f t="shared" si="266"/>
        <v>370583</v>
      </c>
      <c r="BF156" s="22">
        <v>8000</v>
      </c>
      <c r="BG156" s="4">
        <f t="shared" si="269"/>
        <v>0</v>
      </c>
    </row>
    <row r="157" spans="1:59" x14ac:dyDescent="0.35">
      <c r="A157" s="3" t="s">
        <v>223</v>
      </c>
      <c r="B157" s="3" t="s">
        <v>224</v>
      </c>
      <c r="C157" s="4">
        <v>633314</v>
      </c>
      <c r="D157" s="4" t="s">
        <v>80</v>
      </c>
      <c r="E157" s="2">
        <v>62.5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>
        <v>11611</v>
      </c>
      <c r="W157" s="4">
        <f t="shared" si="268"/>
        <v>11611</v>
      </c>
      <c r="X157" s="4">
        <v>12666</v>
      </c>
      <c r="Y157" s="4">
        <f t="shared" si="240"/>
        <v>24277</v>
      </c>
      <c r="Z157" s="4">
        <f t="shared" si="241"/>
        <v>12666</v>
      </c>
      <c r="AA157" s="4">
        <f t="shared" si="242"/>
        <v>36943</v>
      </c>
      <c r="AB157" s="4">
        <f t="shared" si="243"/>
        <v>12666</v>
      </c>
      <c r="AC157" s="4">
        <f t="shared" si="244"/>
        <v>49609</v>
      </c>
      <c r="AD157" s="3">
        <f t="shared" si="245"/>
        <v>12666</v>
      </c>
      <c r="AE157" s="4">
        <f t="shared" si="246"/>
        <v>62275</v>
      </c>
      <c r="AF157" s="3">
        <f t="shared" si="247"/>
        <v>12666</v>
      </c>
      <c r="AG157" s="5">
        <f t="shared" si="248"/>
        <v>74941</v>
      </c>
      <c r="AH157" s="3">
        <f t="shared" si="249"/>
        <v>12666</v>
      </c>
      <c r="AI157" s="5">
        <f t="shared" si="250"/>
        <v>87607</v>
      </c>
      <c r="AJ157" s="3">
        <f t="shared" si="251"/>
        <v>12666</v>
      </c>
      <c r="AK157" s="3">
        <f t="shared" si="252"/>
        <v>100273</v>
      </c>
      <c r="AL157" s="3">
        <f t="shared" si="253"/>
        <v>12666</v>
      </c>
      <c r="AM157" s="4">
        <f t="shared" si="254"/>
        <v>112939</v>
      </c>
      <c r="AN157" s="4">
        <f t="shared" si="255"/>
        <v>520375</v>
      </c>
      <c r="AO157" s="21">
        <f t="shared" si="256"/>
        <v>12666</v>
      </c>
      <c r="AP157" s="4">
        <f t="shared" si="257"/>
        <v>125605</v>
      </c>
      <c r="AQ157" s="4">
        <v>507709</v>
      </c>
      <c r="AR157" s="21">
        <v>12666</v>
      </c>
      <c r="AS157" s="19">
        <v>138271</v>
      </c>
      <c r="AT157" s="4">
        <v>495043</v>
      </c>
      <c r="AU157" s="21">
        <f t="shared" si="258"/>
        <v>10133.023999999999</v>
      </c>
      <c r="AV157" s="19">
        <f t="shared" si="259"/>
        <v>148404.024</v>
      </c>
      <c r="AW157" s="4">
        <f t="shared" si="260"/>
        <v>484909.97600000002</v>
      </c>
      <c r="AX157" s="4">
        <f t="shared" si="261"/>
        <v>10133.023999999999</v>
      </c>
      <c r="AY157" s="4">
        <f t="shared" si="262"/>
        <v>158537.04800000001</v>
      </c>
      <c r="AZ157" s="4">
        <f t="shared" si="263"/>
        <v>474776.95199999999</v>
      </c>
      <c r="BA157" s="22">
        <f t="shared" si="264"/>
        <v>10133.023999999999</v>
      </c>
      <c r="BB157" s="4">
        <f t="shared" si="265"/>
        <v>168670.07200000001</v>
      </c>
      <c r="BC157" s="4">
        <f t="shared" si="266"/>
        <v>464643.92799999996</v>
      </c>
      <c r="BF157" s="22">
        <v>10133.023999999999</v>
      </c>
      <c r="BG157" s="4">
        <f t="shared" si="269"/>
        <v>0</v>
      </c>
    </row>
    <row r="158" spans="1:59" x14ac:dyDescent="0.35">
      <c r="A158" s="3" t="s">
        <v>225</v>
      </c>
      <c r="B158" s="3" t="s">
        <v>226</v>
      </c>
      <c r="C158" s="4">
        <v>549816</v>
      </c>
      <c r="D158" s="4" t="s">
        <v>80</v>
      </c>
      <c r="E158" s="2">
        <v>62.5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916</v>
      </c>
      <c r="W158" s="4">
        <f t="shared" si="268"/>
        <v>916</v>
      </c>
      <c r="X158" s="4">
        <v>10996</v>
      </c>
      <c r="Y158" s="4">
        <f t="shared" si="240"/>
        <v>11912</v>
      </c>
      <c r="Z158" s="4">
        <f t="shared" si="241"/>
        <v>10996</v>
      </c>
      <c r="AA158" s="4">
        <f t="shared" si="242"/>
        <v>22908</v>
      </c>
      <c r="AB158" s="4">
        <f t="shared" si="243"/>
        <v>10996</v>
      </c>
      <c r="AC158" s="4">
        <f t="shared" si="244"/>
        <v>33904</v>
      </c>
      <c r="AD158" s="3">
        <f t="shared" si="245"/>
        <v>10996</v>
      </c>
      <c r="AE158" s="4">
        <f t="shared" si="246"/>
        <v>44900</v>
      </c>
      <c r="AF158" s="3">
        <f t="shared" si="247"/>
        <v>10996</v>
      </c>
      <c r="AG158" s="5">
        <f t="shared" si="248"/>
        <v>55896</v>
      </c>
      <c r="AH158" s="3">
        <f t="shared" si="249"/>
        <v>10996</v>
      </c>
      <c r="AI158" s="5">
        <f t="shared" si="250"/>
        <v>66892</v>
      </c>
      <c r="AJ158" s="3">
        <f t="shared" si="251"/>
        <v>10996</v>
      </c>
      <c r="AK158" s="3">
        <f t="shared" si="252"/>
        <v>77888</v>
      </c>
      <c r="AL158" s="3">
        <f t="shared" si="253"/>
        <v>10996</v>
      </c>
      <c r="AM158" s="4">
        <f t="shared" si="254"/>
        <v>88884</v>
      </c>
      <c r="AN158" s="4">
        <f t="shared" si="255"/>
        <v>460932</v>
      </c>
      <c r="AO158" s="21">
        <f t="shared" si="256"/>
        <v>10996</v>
      </c>
      <c r="AP158" s="4">
        <f t="shared" si="257"/>
        <v>99880</v>
      </c>
      <c r="AQ158" s="4">
        <v>449936</v>
      </c>
      <c r="AR158" s="21">
        <v>10996</v>
      </c>
      <c r="AS158" s="19">
        <v>110876</v>
      </c>
      <c r="AT158" s="4">
        <v>438940</v>
      </c>
      <c r="AU158" s="21">
        <f t="shared" si="258"/>
        <v>8797.0560000000005</v>
      </c>
      <c r="AV158" s="19">
        <f t="shared" si="259"/>
        <v>119673.056</v>
      </c>
      <c r="AW158" s="4">
        <f t="shared" si="260"/>
        <v>430142.94400000002</v>
      </c>
      <c r="AX158" s="4">
        <f t="shared" si="261"/>
        <v>8797.0560000000005</v>
      </c>
      <c r="AY158" s="4">
        <f t="shared" si="262"/>
        <v>128470.11199999999</v>
      </c>
      <c r="AZ158" s="4">
        <f t="shared" si="263"/>
        <v>421345.88800000004</v>
      </c>
      <c r="BA158" s="22">
        <f t="shared" si="264"/>
        <v>8797.0560000000005</v>
      </c>
      <c r="BB158" s="4">
        <f t="shared" si="265"/>
        <v>137267.16800000001</v>
      </c>
      <c r="BC158" s="4">
        <f t="shared" si="266"/>
        <v>412548.83199999999</v>
      </c>
      <c r="BF158" s="22">
        <v>8797.0560000000005</v>
      </c>
      <c r="BG158" s="4">
        <f t="shared" si="269"/>
        <v>0</v>
      </c>
    </row>
    <row r="159" spans="1:59" x14ac:dyDescent="0.35">
      <c r="A159" s="3" t="s">
        <v>227</v>
      </c>
      <c r="B159" s="3" t="s">
        <v>226</v>
      </c>
      <c r="C159" s="4">
        <v>531089</v>
      </c>
      <c r="D159" s="4" t="s">
        <v>80</v>
      </c>
      <c r="E159" s="2">
        <v>62.5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>
        <v>885</v>
      </c>
      <c r="W159" s="4">
        <f t="shared" si="268"/>
        <v>885</v>
      </c>
      <c r="X159" s="4">
        <v>10622</v>
      </c>
      <c r="Y159" s="4">
        <f t="shared" si="240"/>
        <v>11507</v>
      </c>
      <c r="Z159" s="4">
        <f t="shared" si="241"/>
        <v>10622</v>
      </c>
      <c r="AA159" s="4">
        <f t="shared" si="242"/>
        <v>22129</v>
      </c>
      <c r="AB159" s="4">
        <f t="shared" si="243"/>
        <v>10622</v>
      </c>
      <c r="AC159" s="4">
        <f t="shared" si="244"/>
        <v>32751</v>
      </c>
      <c r="AD159" s="3">
        <f t="shared" si="245"/>
        <v>10622</v>
      </c>
      <c r="AE159" s="4">
        <f t="shared" si="246"/>
        <v>43373</v>
      </c>
      <c r="AF159" s="3">
        <f t="shared" si="247"/>
        <v>10622</v>
      </c>
      <c r="AG159" s="5">
        <f t="shared" si="248"/>
        <v>53995</v>
      </c>
      <c r="AH159" s="3">
        <f t="shared" si="249"/>
        <v>10622</v>
      </c>
      <c r="AI159" s="5">
        <f t="shared" si="250"/>
        <v>64617</v>
      </c>
      <c r="AJ159" s="3">
        <f t="shared" si="251"/>
        <v>10622</v>
      </c>
      <c r="AK159" s="3">
        <f t="shared" si="252"/>
        <v>75239</v>
      </c>
      <c r="AL159" s="3">
        <f t="shared" si="253"/>
        <v>10622</v>
      </c>
      <c r="AM159" s="4">
        <f t="shared" si="254"/>
        <v>85861</v>
      </c>
      <c r="AN159" s="4">
        <f t="shared" si="255"/>
        <v>445228</v>
      </c>
      <c r="AO159" s="21">
        <f t="shared" si="256"/>
        <v>10622</v>
      </c>
      <c r="AP159" s="4">
        <f t="shared" si="257"/>
        <v>96483</v>
      </c>
      <c r="AQ159" s="4">
        <v>434606</v>
      </c>
      <c r="AR159" s="21">
        <v>10622</v>
      </c>
      <c r="AS159" s="19">
        <v>107105</v>
      </c>
      <c r="AT159" s="4">
        <v>423984</v>
      </c>
      <c r="AU159" s="21">
        <f t="shared" si="258"/>
        <v>8497.4240000000009</v>
      </c>
      <c r="AV159" s="19">
        <f t="shared" si="259"/>
        <v>115602.424</v>
      </c>
      <c r="AW159" s="4">
        <f t="shared" si="260"/>
        <v>415486.576</v>
      </c>
      <c r="AX159" s="4">
        <f t="shared" si="261"/>
        <v>8497.4240000000009</v>
      </c>
      <c r="AY159" s="4">
        <f t="shared" si="262"/>
        <v>124099.848</v>
      </c>
      <c r="AZ159" s="4">
        <f t="shared" si="263"/>
        <v>406989.152</v>
      </c>
      <c r="BA159" s="22">
        <f t="shared" si="264"/>
        <v>8497.4240000000009</v>
      </c>
      <c r="BB159" s="4">
        <f t="shared" si="265"/>
        <v>132597.272</v>
      </c>
      <c r="BC159" s="4">
        <f t="shared" si="266"/>
        <v>398491.728</v>
      </c>
      <c r="BF159" s="22">
        <v>8497.4240000000009</v>
      </c>
      <c r="BG159" s="4">
        <f t="shared" si="269"/>
        <v>0</v>
      </c>
    </row>
    <row r="160" spans="1:59" x14ac:dyDescent="0.35">
      <c r="A160" s="1" t="s">
        <v>228</v>
      </c>
      <c r="B160" s="1">
        <v>2010</v>
      </c>
      <c r="C160" s="19">
        <v>-39215</v>
      </c>
      <c r="D160" s="19"/>
      <c r="E160" s="2">
        <v>62.5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>
        <v>-19608</v>
      </c>
      <c r="X160" s="19"/>
      <c r="Y160" s="19">
        <f t="shared" si="240"/>
        <v>-19608</v>
      </c>
      <c r="Z160" s="1"/>
      <c r="AA160" s="19">
        <f t="shared" si="242"/>
        <v>-19608</v>
      </c>
      <c r="AB160" s="19">
        <f t="shared" si="243"/>
        <v>0</v>
      </c>
      <c r="AC160" s="19">
        <f t="shared" si="244"/>
        <v>-19608</v>
      </c>
      <c r="AD160" s="1">
        <f t="shared" si="245"/>
        <v>0</v>
      </c>
      <c r="AE160" s="19">
        <f t="shared" si="246"/>
        <v>-19608</v>
      </c>
      <c r="AF160" s="1">
        <f t="shared" si="247"/>
        <v>0</v>
      </c>
      <c r="AG160" s="36">
        <f t="shared" si="248"/>
        <v>-19608</v>
      </c>
      <c r="AH160" s="1">
        <f t="shared" si="249"/>
        <v>0</v>
      </c>
      <c r="AI160" s="36">
        <f t="shared" si="250"/>
        <v>-19608</v>
      </c>
      <c r="AJ160" s="1">
        <f t="shared" si="251"/>
        <v>0</v>
      </c>
      <c r="AK160" s="1">
        <f t="shared" si="252"/>
        <v>-19608</v>
      </c>
      <c r="AL160" s="1">
        <f t="shared" si="253"/>
        <v>0</v>
      </c>
      <c r="AM160" s="19">
        <f t="shared" si="254"/>
        <v>-19608</v>
      </c>
      <c r="AN160" s="19">
        <f t="shared" si="255"/>
        <v>-19607</v>
      </c>
      <c r="AO160" s="21">
        <f t="shared" si="256"/>
        <v>0</v>
      </c>
      <c r="AP160" s="4">
        <f t="shared" si="257"/>
        <v>-19608</v>
      </c>
      <c r="AQ160" s="4">
        <v>-19607</v>
      </c>
      <c r="AR160" s="21">
        <v>0</v>
      </c>
      <c r="AS160" s="19">
        <v>-19608</v>
      </c>
      <c r="AT160" s="4">
        <v>-19607</v>
      </c>
      <c r="AU160" s="21">
        <f t="shared" si="258"/>
        <v>-627.44000000000005</v>
      </c>
      <c r="AV160" s="19">
        <f t="shared" si="259"/>
        <v>-20235.439999999999</v>
      </c>
      <c r="AW160" s="4">
        <f t="shared" si="260"/>
        <v>-18979.560000000001</v>
      </c>
      <c r="AX160" s="4">
        <f t="shared" si="261"/>
        <v>-627.44000000000005</v>
      </c>
      <c r="AY160" s="4">
        <f t="shared" si="262"/>
        <v>-20862.879999999997</v>
      </c>
      <c r="AZ160" s="4">
        <f t="shared" si="263"/>
        <v>-18352.120000000003</v>
      </c>
      <c r="BA160" s="22">
        <f t="shared" si="264"/>
        <v>-627.44000000000005</v>
      </c>
      <c r="BB160" s="4">
        <f t="shared" si="265"/>
        <v>-21490.319999999996</v>
      </c>
      <c r="BC160" s="4">
        <f t="shared" si="266"/>
        <v>-17724.680000000004</v>
      </c>
      <c r="BF160" s="22">
        <v>-627.44000000000005</v>
      </c>
      <c r="BG160" s="4">
        <f t="shared" si="269"/>
        <v>0</v>
      </c>
    </row>
    <row r="161" spans="1:59" x14ac:dyDescent="0.35">
      <c r="A161" s="3" t="s">
        <v>229</v>
      </c>
      <c r="B161" s="3" t="s">
        <v>230</v>
      </c>
      <c r="C161" s="4">
        <v>2776.8</v>
      </c>
      <c r="D161" s="4" t="s">
        <v>80</v>
      </c>
      <c r="E161" s="2">
        <v>62.5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>
        <f>U161+V161</f>
        <v>0</v>
      </c>
      <c r="X161" s="4">
        <f>2777/50/2</f>
        <v>27.77</v>
      </c>
      <c r="Y161" s="4">
        <f t="shared" si="240"/>
        <v>27.77</v>
      </c>
      <c r="Z161" s="3">
        <f>2777/50</f>
        <v>55.54</v>
      </c>
      <c r="AA161" s="4">
        <f t="shared" si="242"/>
        <v>83.31</v>
      </c>
      <c r="AB161" s="4">
        <f t="shared" si="243"/>
        <v>55.54</v>
      </c>
      <c r="AC161" s="4">
        <f t="shared" si="244"/>
        <v>138.85</v>
      </c>
      <c r="AD161" s="3">
        <f t="shared" si="245"/>
        <v>55.54</v>
      </c>
      <c r="AE161" s="4">
        <f t="shared" si="246"/>
        <v>194.39</v>
      </c>
      <c r="AF161" s="3">
        <f t="shared" si="247"/>
        <v>55.54</v>
      </c>
      <c r="AG161" s="5">
        <f t="shared" si="248"/>
        <v>249.92999999999998</v>
      </c>
      <c r="AH161" s="3">
        <f t="shared" si="249"/>
        <v>55.54</v>
      </c>
      <c r="AI161" s="5">
        <f t="shared" si="250"/>
        <v>305.46999999999997</v>
      </c>
      <c r="AJ161" s="3">
        <f t="shared" si="251"/>
        <v>55.54</v>
      </c>
      <c r="AK161" s="3">
        <f t="shared" si="252"/>
        <v>361.01</v>
      </c>
      <c r="AL161" s="3">
        <f t="shared" si="253"/>
        <v>55.54</v>
      </c>
      <c r="AM161" s="4">
        <f t="shared" si="254"/>
        <v>416.55</v>
      </c>
      <c r="AN161" s="4">
        <f t="shared" si="255"/>
        <v>2360.25</v>
      </c>
      <c r="AO161" s="21">
        <f t="shared" si="256"/>
        <v>55.54</v>
      </c>
      <c r="AP161" s="4">
        <f t="shared" si="257"/>
        <v>472.09000000000003</v>
      </c>
      <c r="AQ161" s="4">
        <v>2304.71</v>
      </c>
      <c r="AR161" s="21">
        <v>55.54</v>
      </c>
      <c r="AS161" s="19">
        <v>527.63</v>
      </c>
      <c r="AT161" s="4">
        <v>2249.17</v>
      </c>
      <c r="AU161" s="21">
        <f t="shared" si="258"/>
        <v>44.428800000000003</v>
      </c>
      <c r="AV161" s="19">
        <f t="shared" si="259"/>
        <v>572.05880000000002</v>
      </c>
      <c r="AW161" s="4">
        <f t="shared" si="260"/>
        <v>2204.7412000000004</v>
      </c>
      <c r="AX161" s="4">
        <f t="shared" si="261"/>
        <v>44.428800000000003</v>
      </c>
      <c r="AY161" s="4">
        <f t="shared" si="262"/>
        <v>616.48760000000004</v>
      </c>
      <c r="AZ161" s="4">
        <f t="shared" si="263"/>
        <v>2160.3124000000003</v>
      </c>
      <c r="BA161" s="22">
        <f t="shared" si="264"/>
        <v>44.428800000000003</v>
      </c>
      <c r="BB161" s="4">
        <f t="shared" si="265"/>
        <v>660.91640000000007</v>
      </c>
      <c r="BC161" s="4">
        <f t="shared" si="266"/>
        <v>2115.8836000000001</v>
      </c>
      <c r="BF161" s="22">
        <v>44.428800000000003</v>
      </c>
      <c r="BG161" s="4">
        <f t="shared" si="269"/>
        <v>0</v>
      </c>
    </row>
    <row r="162" spans="1:59" x14ac:dyDescent="0.35">
      <c r="A162" s="3" t="s">
        <v>231</v>
      </c>
      <c r="B162" s="3" t="s">
        <v>232</v>
      </c>
      <c r="C162" s="4">
        <v>24163</v>
      </c>
      <c r="D162" s="4" t="s">
        <v>80</v>
      </c>
      <c r="E162" s="2">
        <v>62.5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>
        <f t="shared" si="240"/>
        <v>0</v>
      </c>
      <c r="Z162" s="3">
        <v>242</v>
      </c>
      <c r="AA162" s="3">
        <v>242</v>
      </c>
      <c r="AB162" s="3">
        <f>24163/50</f>
        <v>483.26</v>
      </c>
      <c r="AC162" s="4">
        <f t="shared" si="244"/>
        <v>725.26</v>
      </c>
      <c r="AD162" s="3">
        <f t="shared" si="245"/>
        <v>483.26</v>
      </c>
      <c r="AE162" s="4">
        <f t="shared" si="246"/>
        <v>1208.52</v>
      </c>
      <c r="AF162" s="3">
        <f t="shared" si="247"/>
        <v>483.26</v>
      </c>
      <c r="AG162" s="5">
        <f t="shared" si="248"/>
        <v>1691.78</v>
      </c>
      <c r="AH162" s="3">
        <f t="shared" si="249"/>
        <v>483.26</v>
      </c>
      <c r="AI162" s="5">
        <f t="shared" si="250"/>
        <v>2175.04</v>
      </c>
      <c r="AJ162" s="3">
        <f t="shared" si="251"/>
        <v>483.26</v>
      </c>
      <c r="AK162" s="3">
        <f t="shared" si="252"/>
        <v>2658.3</v>
      </c>
      <c r="AL162" s="3">
        <f t="shared" si="253"/>
        <v>483.26</v>
      </c>
      <c r="AM162" s="4">
        <f t="shared" si="254"/>
        <v>3141.5600000000004</v>
      </c>
      <c r="AN162" s="4">
        <f t="shared" si="255"/>
        <v>21021.439999999999</v>
      </c>
      <c r="AO162" s="21">
        <f t="shared" si="256"/>
        <v>483.26</v>
      </c>
      <c r="AP162" s="4">
        <f t="shared" si="257"/>
        <v>3624.8200000000006</v>
      </c>
      <c r="AQ162" s="4">
        <v>20538.18</v>
      </c>
      <c r="AR162" s="21">
        <v>483.26</v>
      </c>
      <c r="AS162" s="19">
        <v>4108.0800000000008</v>
      </c>
      <c r="AT162" s="4">
        <v>20054.919999999998</v>
      </c>
      <c r="AU162" s="21">
        <f t="shared" si="258"/>
        <v>386.608</v>
      </c>
      <c r="AV162" s="19">
        <f t="shared" si="259"/>
        <v>4494.688000000001</v>
      </c>
      <c r="AW162" s="4">
        <f t="shared" si="260"/>
        <v>19668.311999999998</v>
      </c>
      <c r="AX162" s="4">
        <f t="shared" si="261"/>
        <v>386.608</v>
      </c>
      <c r="AY162" s="4">
        <f t="shared" si="262"/>
        <v>4881.2960000000012</v>
      </c>
      <c r="AZ162" s="4">
        <f t="shared" si="263"/>
        <v>19281.703999999998</v>
      </c>
      <c r="BA162" s="22">
        <f t="shared" si="264"/>
        <v>386.608</v>
      </c>
      <c r="BB162" s="4">
        <f t="shared" si="265"/>
        <v>5267.9040000000014</v>
      </c>
      <c r="BC162" s="4">
        <f t="shared" si="266"/>
        <v>18895.095999999998</v>
      </c>
      <c r="BF162" s="22">
        <v>386.608</v>
      </c>
      <c r="BG162" s="4">
        <f t="shared" si="269"/>
        <v>0</v>
      </c>
    </row>
    <row r="163" spans="1:59" x14ac:dyDescent="0.35">
      <c r="A163" s="3" t="s">
        <v>233</v>
      </c>
      <c r="B163" s="3" t="s">
        <v>234</v>
      </c>
      <c r="C163" s="4">
        <v>6434</v>
      </c>
      <c r="D163" s="4" t="s">
        <v>80</v>
      </c>
      <c r="E163" s="2">
        <v>62.5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AB163" s="3">
        <v>257</v>
      </c>
      <c r="AC163" s="4">
        <v>257</v>
      </c>
      <c r="AD163" s="3">
        <f>6434/50</f>
        <v>128.68</v>
      </c>
      <c r="AE163" s="4">
        <f t="shared" si="246"/>
        <v>385.68</v>
      </c>
      <c r="AF163" s="3">
        <f t="shared" si="247"/>
        <v>128.68</v>
      </c>
      <c r="AG163" s="5">
        <f t="shared" si="248"/>
        <v>514.36</v>
      </c>
      <c r="AH163" s="3">
        <f t="shared" si="249"/>
        <v>128.68</v>
      </c>
      <c r="AI163" s="5">
        <f t="shared" si="250"/>
        <v>643.04</v>
      </c>
      <c r="AJ163" s="3">
        <f t="shared" si="251"/>
        <v>128.68</v>
      </c>
      <c r="AK163" s="3">
        <f t="shared" si="252"/>
        <v>771.72</v>
      </c>
      <c r="AL163" s="3">
        <f t="shared" si="253"/>
        <v>128.68</v>
      </c>
      <c r="AM163" s="4">
        <f t="shared" si="254"/>
        <v>900.40000000000009</v>
      </c>
      <c r="AN163" s="4">
        <f t="shared" si="255"/>
        <v>5533.6</v>
      </c>
      <c r="AO163" s="21">
        <f t="shared" si="256"/>
        <v>128.68</v>
      </c>
      <c r="AP163" s="4">
        <f t="shared" si="257"/>
        <v>1029.0800000000002</v>
      </c>
      <c r="AQ163" s="4">
        <v>5404.92</v>
      </c>
      <c r="AR163" s="21">
        <v>128.68</v>
      </c>
      <c r="AS163" s="19">
        <v>1157.7600000000002</v>
      </c>
      <c r="AT163" s="4">
        <v>5276.24</v>
      </c>
      <c r="AU163" s="21">
        <f t="shared" si="258"/>
        <v>102.944</v>
      </c>
      <c r="AV163" s="19">
        <f t="shared" si="259"/>
        <v>1260.7040000000002</v>
      </c>
      <c r="AW163" s="4">
        <f t="shared" si="260"/>
        <v>5173.2960000000003</v>
      </c>
      <c r="AX163" s="4">
        <f t="shared" si="261"/>
        <v>102.944</v>
      </c>
      <c r="AY163" s="4">
        <f t="shared" si="262"/>
        <v>1363.6480000000001</v>
      </c>
      <c r="AZ163" s="4">
        <f t="shared" si="263"/>
        <v>5070.3519999999999</v>
      </c>
      <c r="BA163" s="22">
        <f t="shared" si="264"/>
        <v>102.944</v>
      </c>
      <c r="BB163" s="4">
        <f t="shared" si="265"/>
        <v>1466.5920000000001</v>
      </c>
      <c r="BC163" s="4">
        <f t="shared" si="266"/>
        <v>4967.4079999999994</v>
      </c>
      <c r="BF163" s="22">
        <v>102.944</v>
      </c>
      <c r="BG163" s="4">
        <f t="shared" si="269"/>
        <v>0</v>
      </c>
    </row>
    <row r="164" spans="1:59" x14ac:dyDescent="0.35">
      <c r="A164" s="3" t="s">
        <v>235</v>
      </c>
      <c r="B164" s="3" t="s">
        <v>121</v>
      </c>
      <c r="C164" s="4">
        <v>2816</v>
      </c>
      <c r="D164" s="4" t="s">
        <v>80</v>
      </c>
      <c r="E164" s="2">
        <v>62.5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AC164" s="4"/>
      <c r="AD164" s="3">
        <f>2816/50/2</f>
        <v>28.16</v>
      </c>
      <c r="AE164" s="4">
        <f t="shared" si="246"/>
        <v>28.16</v>
      </c>
      <c r="AF164" s="3">
        <f>2816/50</f>
        <v>56.32</v>
      </c>
      <c r="AG164" s="5">
        <f t="shared" si="248"/>
        <v>84.48</v>
      </c>
      <c r="AH164" s="3">
        <f t="shared" si="249"/>
        <v>56.32</v>
      </c>
      <c r="AI164" s="5">
        <f t="shared" si="250"/>
        <v>140.80000000000001</v>
      </c>
      <c r="AJ164" s="3">
        <f t="shared" si="251"/>
        <v>56.32</v>
      </c>
      <c r="AK164" s="3">
        <f t="shared" si="252"/>
        <v>197.12</v>
      </c>
      <c r="AL164" s="3">
        <f t="shared" si="253"/>
        <v>56.32</v>
      </c>
      <c r="AM164" s="4">
        <f t="shared" si="254"/>
        <v>253.44</v>
      </c>
      <c r="AN164" s="4">
        <f t="shared" si="255"/>
        <v>2562.56</v>
      </c>
      <c r="AO164" s="21">
        <f t="shared" si="256"/>
        <v>56.32</v>
      </c>
      <c r="AP164" s="4">
        <f t="shared" si="257"/>
        <v>309.76</v>
      </c>
      <c r="AQ164" s="4">
        <v>2506.2399999999998</v>
      </c>
      <c r="AR164" s="21">
        <v>56.32</v>
      </c>
      <c r="AS164" s="19">
        <v>366.08</v>
      </c>
      <c r="AT164" s="4">
        <v>2449.92</v>
      </c>
      <c r="AU164" s="21">
        <f t="shared" si="258"/>
        <v>45.055999999999997</v>
      </c>
      <c r="AV164" s="19">
        <f t="shared" si="259"/>
        <v>411.13599999999997</v>
      </c>
      <c r="AW164" s="4">
        <f t="shared" si="260"/>
        <v>2404.864</v>
      </c>
      <c r="AX164" s="4">
        <f t="shared" si="261"/>
        <v>45.055999999999997</v>
      </c>
      <c r="AY164" s="4">
        <f t="shared" si="262"/>
        <v>456.19199999999995</v>
      </c>
      <c r="AZ164" s="4">
        <f t="shared" si="263"/>
        <v>2359.808</v>
      </c>
      <c r="BA164" s="22">
        <f t="shared" si="264"/>
        <v>45.055999999999997</v>
      </c>
      <c r="BB164" s="4">
        <f t="shared" si="265"/>
        <v>501.24799999999993</v>
      </c>
      <c r="BC164" s="4">
        <f t="shared" si="266"/>
        <v>2314.752</v>
      </c>
      <c r="BF164" s="22">
        <v>45.055999999999997</v>
      </c>
      <c r="BG164" s="4">
        <f t="shared" si="269"/>
        <v>0</v>
      </c>
    </row>
    <row r="165" spans="1:59" x14ac:dyDescent="0.35">
      <c r="A165" s="3" t="s">
        <v>218</v>
      </c>
      <c r="B165" s="3" t="s">
        <v>236</v>
      </c>
      <c r="C165" s="4">
        <v>120245</v>
      </c>
      <c r="D165" s="4" t="s">
        <v>80</v>
      </c>
      <c r="E165" s="2">
        <v>62.5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AC165" s="4"/>
      <c r="AD165" s="3">
        <f>120245/10/12*9</f>
        <v>9018.375</v>
      </c>
      <c r="AE165" s="4">
        <f t="shared" si="246"/>
        <v>9018.375</v>
      </c>
      <c r="AF165" s="3">
        <f>120245/10</f>
        <v>12024.5</v>
      </c>
      <c r="AG165" s="5">
        <f t="shared" si="248"/>
        <v>21042.875</v>
      </c>
      <c r="AH165" s="3">
        <f t="shared" si="249"/>
        <v>12024.5</v>
      </c>
      <c r="AI165" s="5">
        <f t="shared" si="250"/>
        <v>33067.375</v>
      </c>
      <c r="AJ165" s="3">
        <f t="shared" si="251"/>
        <v>12024.5</v>
      </c>
      <c r="AK165" s="3">
        <f t="shared" si="252"/>
        <v>45091.875</v>
      </c>
      <c r="AL165" s="3">
        <f t="shared" si="253"/>
        <v>12024.5</v>
      </c>
      <c r="AM165" s="4">
        <f t="shared" si="254"/>
        <v>57116.375</v>
      </c>
      <c r="AN165" s="4">
        <f t="shared" si="255"/>
        <v>63128.625</v>
      </c>
      <c r="AO165" s="21">
        <f t="shared" si="256"/>
        <v>12024.5</v>
      </c>
      <c r="AP165" s="4">
        <f t="shared" si="257"/>
        <v>69140.875</v>
      </c>
      <c r="AQ165" s="4">
        <v>51104.125</v>
      </c>
      <c r="AR165" s="21">
        <v>12024.5</v>
      </c>
      <c r="AS165" s="19">
        <v>81165.375</v>
      </c>
      <c r="AT165" s="4">
        <v>39079.625</v>
      </c>
      <c r="AU165" s="21">
        <f t="shared" si="258"/>
        <v>1923.92</v>
      </c>
      <c r="AV165" s="19">
        <f t="shared" si="259"/>
        <v>83089.294999999998</v>
      </c>
      <c r="AW165" s="4">
        <f t="shared" si="260"/>
        <v>37155.705000000002</v>
      </c>
      <c r="AX165" s="4">
        <f t="shared" si="261"/>
        <v>1923.92</v>
      </c>
      <c r="AY165" s="4">
        <f t="shared" si="262"/>
        <v>85013.214999999997</v>
      </c>
      <c r="AZ165" s="4">
        <f t="shared" si="263"/>
        <v>35231.785000000003</v>
      </c>
      <c r="BA165" s="22">
        <f t="shared" si="264"/>
        <v>1923.92</v>
      </c>
      <c r="BB165" s="4">
        <f t="shared" si="265"/>
        <v>86937.134999999995</v>
      </c>
      <c r="BC165" s="4">
        <f t="shared" si="266"/>
        <v>33307.865000000005</v>
      </c>
      <c r="BF165" s="22">
        <v>1923.92</v>
      </c>
      <c r="BG165" s="4">
        <f t="shared" si="269"/>
        <v>0</v>
      </c>
    </row>
    <row r="166" spans="1:59" x14ac:dyDescent="0.35">
      <c r="A166" s="3" t="s">
        <v>237</v>
      </c>
      <c r="B166" s="3" t="s">
        <v>238</v>
      </c>
      <c r="C166" s="4">
        <v>5756</v>
      </c>
      <c r="D166" s="4" t="s">
        <v>80</v>
      </c>
      <c r="E166" s="2">
        <v>62.5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AC166" s="4"/>
      <c r="AE166" s="4"/>
      <c r="AF166" s="3">
        <f>5756/50/2</f>
        <v>57.56</v>
      </c>
      <c r="AG166" s="5">
        <f t="shared" si="248"/>
        <v>57.56</v>
      </c>
      <c r="AH166" s="3">
        <f>5756/50</f>
        <v>115.12</v>
      </c>
      <c r="AI166" s="5">
        <f t="shared" si="250"/>
        <v>172.68</v>
      </c>
      <c r="AJ166" s="3">
        <f t="shared" si="251"/>
        <v>115.12</v>
      </c>
      <c r="AK166" s="3">
        <f t="shared" si="252"/>
        <v>287.8</v>
      </c>
      <c r="AL166" s="3">
        <f t="shared" si="253"/>
        <v>115.12</v>
      </c>
      <c r="AM166" s="4">
        <f t="shared" si="254"/>
        <v>402.92</v>
      </c>
      <c r="AN166" s="4">
        <f t="shared" si="255"/>
        <v>5353.08</v>
      </c>
      <c r="AO166" s="21">
        <f t="shared" si="256"/>
        <v>115.12</v>
      </c>
      <c r="AP166" s="4">
        <f t="shared" si="257"/>
        <v>518.04</v>
      </c>
      <c r="AQ166" s="4">
        <v>5237.96</v>
      </c>
      <c r="AR166" s="21">
        <v>115.12</v>
      </c>
      <c r="AS166" s="19">
        <v>633.16</v>
      </c>
      <c r="AT166" s="4">
        <v>5122.84</v>
      </c>
      <c r="AU166" s="21">
        <f t="shared" si="258"/>
        <v>92.096000000000004</v>
      </c>
      <c r="AV166" s="19">
        <f t="shared" si="259"/>
        <v>725.25599999999997</v>
      </c>
      <c r="AW166" s="4">
        <f t="shared" si="260"/>
        <v>5030.7439999999997</v>
      </c>
      <c r="AX166" s="4">
        <f t="shared" si="261"/>
        <v>92.096000000000004</v>
      </c>
      <c r="AY166" s="4">
        <f t="shared" si="262"/>
        <v>817.35199999999998</v>
      </c>
      <c r="AZ166" s="4">
        <f t="shared" si="263"/>
        <v>4938.6480000000001</v>
      </c>
      <c r="BA166" s="22">
        <f t="shared" si="264"/>
        <v>92.096000000000004</v>
      </c>
      <c r="BB166" s="4">
        <f t="shared" si="265"/>
        <v>909.44799999999998</v>
      </c>
      <c r="BC166" s="4">
        <f t="shared" si="266"/>
        <v>4846.5519999999997</v>
      </c>
      <c r="BF166" s="22">
        <v>92.096000000000004</v>
      </c>
      <c r="BG166" s="4">
        <f t="shared" si="269"/>
        <v>0</v>
      </c>
    </row>
    <row r="167" spans="1:59" x14ac:dyDescent="0.35">
      <c r="A167" s="3" t="s">
        <v>239</v>
      </c>
      <c r="B167" s="3" t="s">
        <v>240</v>
      </c>
      <c r="C167" s="4">
        <v>22007</v>
      </c>
      <c r="D167" s="4" t="s">
        <v>80</v>
      </c>
      <c r="E167" s="2">
        <v>62.5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AC167" s="4"/>
      <c r="AE167" s="4"/>
      <c r="AG167" s="5"/>
      <c r="AH167" s="3">
        <f>22007/50/2</f>
        <v>220.07</v>
      </c>
      <c r="AI167" s="5">
        <v>220.07</v>
      </c>
      <c r="AJ167" s="3">
        <f>22007/50</f>
        <v>440.14</v>
      </c>
      <c r="AK167" s="3">
        <f t="shared" si="252"/>
        <v>660.21</v>
      </c>
      <c r="AL167" s="3">
        <f>22007/50</f>
        <v>440.14</v>
      </c>
      <c r="AM167" s="4">
        <f t="shared" si="254"/>
        <v>1100.3499999999999</v>
      </c>
      <c r="AN167" s="4">
        <f t="shared" si="255"/>
        <v>20906.650000000001</v>
      </c>
      <c r="AO167" s="21">
        <f t="shared" si="256"/>
        <v>440.14</v>
      </c>
      <c r="AP167" s="4">
        <f t="shared" si="257"/>
        <v>1540.4899999999998</v>
      </c>
      <c r="AQ167" s="4">
        <v>20466.510000000002</v>
      </c>
      <c r="AR167" s="21">
        <v>440.14</v>
      </c>
      <c r="AS167" s="19">
        <v>1980.6299999999997</v>
      </c>
      <c r="AT167" s="4">
        <v>20026.37</v>
      </c>
      <c r="AU167" s="21">
        <f t="shared" si="258"/>
        <v>352.11200000000002</v>
      </c>
      <c r="AV167" s="19">
        <f t="shared" si="259"/>
        <v>2332.7419999999997</v>
      </c>
      <c r="AW167" s="4">
        <f t="shared" si="260"/>
        <v>19674.258000000002</v>
      </c>
      <c r="AX167" s="4">
        <f t="shared" si="261"/>
        <v>352.11200000000002</v>
      </c>
      <c r="AY167" s="4">
        <f t="shared" si="262"/>
        <v>2684.8539999999998</v>
      </c>
      <c r="AZ167" s="4">
        <f t="shared" si="263"/>
        <v>19322.146000000001</v>
      </c>
      <c r="BA167" s="22">
        <f t="shared" si="264"/>
        <v>352.11200000000002</v>
      </c>
      <c r="BB167" s="4">
        <f t="shared" si="265"/>
        <v>3036.9659999999999</v>
      </c>
      <c r="BC167" s="4">
        <f t="shared" si="266"/>
        <v>18970.034</v>
      </c>
      <c r="BF167" s="22">
        <v>352.11200000000002</v>
      </c>
      <c r="BG167" s="4">
        <f t="shared" si="269"/>
        <v>0</v>
      </c>
    </row>
    <row r="168" spans="1:59" x14ac:dyDescent="0.35">
      <c r="A168" s="1" t="s">
        <v>241</v>
      </c>
      <c r="B168" s="1" t="s">
        <v>242</v>
      </c>
      <c r="C168" s="19">
        <v>-186555</v>
      </c>
      <c r="D168" s="4"/>
      <c r="E168" s="2">
        <v>62.5</v>
      </c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"/>
      <c r="AA168" s="1"/>
      <c r="AB168" s="1"/>
      <c r="AC168" s="19"/>
      <c r="AD168" s="1"/>
      <c r="AE168" s="19"/>
      <c r="AF168" s="1"/>
      <c r="AG168" s="36"/>
      <c r="AH168" s="1"/>
      <c r="AI168" s="36"/>
      <c r="AJ168" s="1"/>
      <c r="AK168" s="1">
        <v>-48971</v>
      </c>
      <c r="AL168" s="1"/>
      <c r="AM168" s="19">
        <v>-48971</v>
      </c>
      <c r="AN168" s="19">
        <f t="shared" si="255"/>
        <v>-137584</v>
      </c>
      <c r="AO168" s="21">
        <f t="shared" si="256"/>
        <v>0</v>
      </c>
      <c r="AP168" s="4">
        <f t="shared" si="257"/>
        <v>-48971</v>
      </c>
      <c r="AQ168" s="4">
        <v>-137584</v>
      </c>
      <c r="AR168" s="21">
        <v>0</v>
      </c>
      <c r="AS168" s="19">
        <v>-48971</v>
      </c>
      <c r="AT168" s="4">
        <v>-137584</v>
      </c>
      <c r="AU168" s="21">
        <f t="shared" si="258"/>
        <v>-2984.88</v>
      </c>
      <c r="AV168" s="19">
        <f t="shared" si="259"/>
        <v>-51955.88</v>
      </c>
      <c r="AW168" s="4">
        <f t="shared" si="260"/>
        <v>-134599.12</v>
      </c>
      <c r="AX168" s="4">
        <f t="shared" si="261"/>
        <v>-2984.88</v>
      </c>
      <c r="AY168" s="4">
        <f t="shared" si="262"/>
        <v>-54940.759999999995</v>
      </c>
      <c r="AZ168" s="4">
        <f t="shared" si="263"/>
        <v>-131614.24</v>
      </c>
      <c r="BA168" s="22">
        <f t="shared" si="264"/>
        <v>-2984.88</v>
      </c>
      <c r="BB168" s="4">
        <f t="shared" si="265"/>
        <v>-57925.639999999992</v>
      </c>
      <c r="BC168" s="4">
        <f t="shared" si="266"/>
        <v>-128629.36000000002</v>
      </c>
      <c r="BF168" s="22">
        <v>-2984.88</v>
      </c>
      <c r="BG168" s="4">
        <f t="shared" si="269"/>
        <v>0</v>
      </c>
    </row>
    <row r="169" spans="1:59" x14ac:dyDescent="0.35">
      <c r="A169" s="3" t="s">
        <v>243</v>
      </c>
      <c r="B169" s="3" t="s">
        <v>244</v>
      </c>
      <c r="C169" s="4">
        <v>31101</v>
      </c>
      <c r="D169" s="4" t="s">
        <v>80</v>
      </c>
      <c r="E169" s="2">
        <v>62.5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AC169" s="4"/>
      <c r="AE169" s="4"/>
      <c r="AG169" s="5"/>
      <c r="AI169" s="5"/>
      <c r="AJ169" s="3">
        <v>311</v>
      </c>
      <c r="AK169" s="3">
        <f>SUM(AI169:AJ169)</f>
        <v>311</v>
      </c>
      <c r="AL169" s="3">
        <f>31101/50</f>
        <v>622.02</v>
      </c>
      <c r="AM169" s="4">
        <f>SUM(AK169:AL169)</f>
        <v>933.02</v>
      </c>
      <c r="AN169" s="4">
        <f t="shared" si="255"/>
        <v>30167.98</v>
      </c>
      <c r="AO169" s="21">
        <f t="shared" si="256"/>
        <v>622.02</v>
      </c>
      <c r="AP169" s="4">
        <f t="shared" si="257"/>
        <v>1555.04</v>
      </c>
      <c r="AQ169" s="4">
        <v>29545.96</v>
      </c>
      <c r="AR169" s="21">
        <v>622.02</v>
      </c>
      <c r="AS169" s="19">
        <v>2177.06</v>
      </c>
      <c r="AT169" s="4">
        <v>28923.94</v>
      </c>
      <c r="AU169" s="21">
        <f t="shared" si="258"/>
        <v>497.61599999999999</v>
      </c>
      <c r="AV169" s="19">
        <f t="shared" si="259"/>
        <v>2674.6759999999999</v>
      </c>
      <c r="AW169" s="4">
        <f t="shared" si="260"/>
        <v>28426.324000000001</v>
      </c>
      <c r="AX169" s="4">
        <f t="shared" si="261"/>
        <v>497.61599999999999</v>
      </c>
      <c r="AY169" s="4">
        <f t="shared" si="262"/>
        <v>3172.2919999999999</v>
      </c>
      <c r="AZ169" s="4">
        <f t="shared" si="263"/>
        <v>27928.707999999999</v>
      </c>
      <c r="BA169" s="22">
        <f t="shared" si="264"/>
        <v>497.61599999999999</v>
      </c>
      <c r="BB169" s="4">
        <f t="shared" si="265"/>
        <v>3669.9079999999999</v>
      </c>
      <c r="BC169" s="4">
        <f t="shared" si="266"/>
        <v>27431.092000000001</v>
      </c>
      <c r="BF169" s="22">
        <v>497.61599999999999</v>
      </c>
      <c r="BG169" s="4">
        <f t="shared" si="269"/>
        <v>0</v>
      </c>
    </row>
    <row r="170" spans="1:59" x14ac:dyDescent="0.35">
      <c r="A170" s="3" t="s">
        <v>245</v>
      </c>
      <c r="B170" s="3" t="s">
        <v>242</v>
      </c>
      <c r="C170" s="4">
        <v>564886</v>
      </c>
      <c r="D170" s="4" t="s">
        <v>80</v>
      </c>
      <c r="E170" s="2">
        <v>62.5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AC170" s="4"/>
      <c r="AE170" s="4"/>
      <c r="AG170" s="5"/>
      <c r="AJ170" s="3">
        <v>2824</v>
      </c>
      <c r="AK170" s="3">
        <f>SUM(AI170:AJ170)</f>
        <v>2824</v>
      </c>
      <c r="AL170" s="3">
        <f>564886/50</f>
        <v>11297.72</v>
      </c>
      <c r="AM170" s="4">
        <f>SUM(AK170:AL170)</f>
        <v>14121.72</v>
      </c>
      <c r="AN170" s="4">
        <f t="shared" si="255"/>
        <v>550764.28</v>
      </c>
      <c r="AO170" s="21">
        <f t="shared" si="256"/>
        <v>11297.72</v>
      </c>
      <c r="AP170" s="4">
        <f t="shared" si="257"/>
        <v>25419.439999999999</v>
      </c>
      <c r="AQ170" s="4">
        <v>539466.56000000006</v>
      </c>
      <c r="AR170" s="21">
        <v>11297.72</v>
      </c>
      <c r="AS170" s="19">
        <v>36717.159999999996</v>
      </c>
      <c r="AT170" s="4">
        <v>528168.84</v>
      </c>
      <c r="AU170" s="21">
        <f t="shared" si="258"/>
        <v>9038.1759999999995</v>
      </c>
      <c r="AV170" s="19">
        <f t="shared" si="259"/>
        <v>45755.335999999996</v>
      </c>
      <c r="AW170" s="4">
        <f t="shared" si="260"/>
        <v>519130.66399999999</v>
      </c>
      <c r="AX170" s="4">
        <f t="shared" si="261"/>
        <v>9038.1759999999995</v>
      </c>
      <c r="AY170" s="4">
        <f t="shared" si="262"/>
        <v>54793.511999999995</v>
      </c>
      <c r="AZ170" s="4">
        <f t="shared" si="263"/>
        <v>510092.48800000001</v>
      </c>
      <c r="BA170" s="22">
        <f t="shared" si="264"/>
        <v>9038.1759999999995</v>
      </c>
      <c r="BB170" s="4">
        <f t="shared" si="265"/>
        <v>63831.687999999995</v>
      </c>
      <c r="BC170" s="4">
        <f t="shared" si="266"/>
        <v>501054.31200000003</v>
      </c>
      <c r="BF170" s="22">
        <v>9038.1759999999995</v>
      </c>
      <c r="BG170" s="4">
        <f t="shared" si="269"/>
        <v>0</v>
      </c>
    </row>
    <row r="171" spans="1:59" x14ac:dyDescent="0.35">
      <c r="A171" s="3" t="s">
        <v>246</v>
      </c>
      <c r="B171" s="3" t="s">
        <v>247</v>
      </c>
      <c r="C171" s="4">
        <v>13613</v>
      </c>
      <c r="D171" s="4" t="s">
        <v>80</v>
      </c>
      <c r="E171" s="2">
        <v>62.5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AC171" s="4"/>
      <c r="AE171" s="4"/>
      <c r="AG171" s="5"/>
      <c r="AL171" s="3">
        <v>136.13</v>
      </c>
      <c r="AM171" s="4">
        <f>SUM(AK171:AL171)</f>
        <v>136.13</v>
      </c>
      <c r="AN171" s="4">
        <f t="shared" si="255"/>
        <v>13476.87</v>
      </c>
      <c r="AO171" s="21">
        <f>13613/50</f>
        <v>272.26</v>
      </c>
      <c r="AP171" s="4">
        <f t="shared" si="257"/>
        <v>408.39</v>
      </c>
      <c r="AQ171" s="4">
        <v>13204.61</v>
      </c>
      <c r="AR171" s="21">
        <v>272.26</v>
      </c>
      <c r="AS171" s="19">
        <v>680.65</v>
      </c>
      <c r="AT171" s="4">
        <v>12932.35</v>
      </c>
      <c r="AU171" s="21">
        <f t="shared" si="258"/>
        <v>217.80799999999999</v>
      </c>
      <c r="AV171" s="19">
        <f t="shared" si="259"/>
        <v>898.45799999999997</v>
      </c>
      <c r="AW171" s="4">
        <f t="shared" si="260"/>
        <v>12714.541999999999</v>
      </c>
      <c r="AX171" s="4">
        <f t="shared" si="261"/>
        <v>217.80799999999999</v>
      </c>
      <c r="AY171" s="4">
        <f t="shared" si="262"/>
        <v>1116.2660000000001</v>
      </c>
      <c r="AZ171" s="4">
        <f t="shared" si="263"/>
        <v>12496.734</v>
      </c>
      <c r="BA171" s="22">
        <f t="shared" si="264"/>
        <v>217.80799999999999</v>
      </c>
      <c r="BB171" s="4">
        <f t="shared" si="265"/>
        <v>1334.0740000000001</v>
      </c>
      <c r="BC171" s="4">
        <f t="shared" si="266"/>
        <v>12278.925999999999</v>
      </c>
      <c r="BF171" s="22">
        <v>217.80799999999999</v>
      </c>
      <c r="BG171" s="4">
        <f t="shared" si="269"/>
        <v>0</v>
      </c>
    </row>
    <row r="172" spans="1:59" x14ac:dyDescent="0.35">
      <c r="A172" s="3" t="s">
        <v>248</v>
      </c>
      <c r="B172" s="3" t="s">
        <v>249</v>
      </c>
      <c r="C172" s="4">
        <v>15649</v>
      </c>
      <c r="D172" s="4" t="s">
        <v>80</v>
      </c>
      <c r="E172" s="2">
        <v>62.5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AC172" s="4"/>
      <c r="AE172" s="4"/>
      <c r="AG172" s="5"/>
      <c r="AM172" s="4"/>
      <c r="AN172" s="4">
        <v>15649</v>
      </c>
      <c r="AO172" s="21">
        <f>15649/50/12*6</f>
        <v>156.49</v>
      </c>
      <c r="AP172" s="4">
        <f t="shared" si="257"/>
        <v>156.49</v>
      </c>
      <c r="AQ172" s="4">
        <v>15492.51</v>
      </c>
      <c r="AR172" s="21">
        <v>312.98</v>
      </c>
      <c r="AS172" s="19">
        <v>469.47</v>
      </c>
      <c r="AT172" s="4">
        <v>15179.53</v>
      </c>
      <c r="AU172" s="21">
        <f t="shared" si="258"/>
        <v>250.38399999999999</v>
      </c>
      <c r="AV172" s="19">
        <f t="shared" si="259"/>
        <v>719.85400000000004</v>
      </c>
      <c r="AW172" s="4">
        <f t="shared" si="260"/>
        <v>14929.146000000001</v>
      </c>
      <c r="AX172" s="4">
        <f t="shared" si="261"/>
        <v>250.38399999999999</v>
      </c>
      <c r="AY172" s="4">
        <f t="shared" si="262"/>
        <v>970.23800000000006</v>
      </c>
      <c r="AZ172" s="4">
        <f t="shared" si="263"/>
        <v>14678.762000000001</v>
      </c>
      <c r="BA172" s="22">
        <f t="shared" si="264"/>
        <v>250.38399999999999</v>
      </c>
      <c r="BB172" s="4">
        <f t="shared" si="265"/>
        <v>1220.6220000000001</v>
      </c>
      <c r="BC172" s="4">
        <f t="shared" si="266"/>
        <v>14428.378000000001</v>
      </c>
      <c r="BF172" s="22">
        <v>250.38399999999999</v>
      </c>
      <c r="BG172" s="4">
        <f t="shared" si="269"/>
        <v>0</v>
      </c>
    </row>
    <row r="173" spans="1:59" x14ac:dyDescent="0.35">
      <c r="A173" s="3" t="s">
        <v>250</v>
      </c>
      <c r="B173" s="3" t="s">
        <v>251</v>
      </c>
      <c r="C173" s="4">
        <v>32607</v>
      </c>
      <c r="D173" s="4" t="s">
        <v>80</v>
      </c>
      <c r="E173" s="2">
        <v>62.5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AC173" s="4"/>
      <c r="AE173" s="4"/>
      <c r="AG173" s="5"/>
      <c r="AM173" s="4"/>
      <c r="AN173" s="4"/>
      <c r="AO173" s="21"/>
      <c r="AP173" s="4">
        <f t="shared" si="257"/>
        <v>0</v>
      </c>
      <c r="AQ173" s="4">
        <v>32607</v>
      </c>
      <c r="AR173" s="21">
        <v>326.07</v>
      </c>
      <c r="AS173" s="19">
        <v>326.07</v>
      </c>
      <c r="AT173" s="4">
        <v>32280.93</v>
      </c>
      <c r="AU173" s="21">
        <f t="shared" si="258"/>
        <v>521.71199999999999</v>
      </c>
      <c r="AV173" s="19">
        <f t="shared" si="259"/>
        <v>847.78199999999993</v>
      </c>
      <c r="AW173" s="4">
        <f t="shared" si="260"/>
        <v>31759.218000000001</v>
      </c>
      <c r="AX173" s="4">
        <f t="shared" si="261"/>
        <v>521.71199999999999</v>
      </c>
      <c r="AY173" s="4">
        <f t="shared" si="262"/>
        <v>1369.4939999999999</v>
      </c>
      <c r="AZ173" s="4">
        <f t="shared" si="263"/>
        <v>31237.506000000001</v>
      </c>
      <c r="BA173" s="22">
        <f t="shared" si="264"/>
        <v>521.71199999999999</v>
      </c>
      <c r="BB173" s="4">
        <f t="shared" si="265"/>
        <v>1891.2059999999999</v>
      </c>
      <c r="BC173" s="4">
        <f t="shared" si="266"/>
        <v>30715.794000000002</v>
      </c>
      <c r="BF173" s="22">
        <v>521.71199999999999</v>
      </c>
      <c r="BG173" s="4">
        <f t="shared" si="269"/>
        <v>0</v>
      </c>
    </row>
    <row r="174" spans="1:59" x14ac:dyDescent="0.35">
      <c r="A174" s="3" t="s">
        <v>252</v>
      </c>
      <c r="B174" s="3" t="s">
        <v>253</v>
      </c>
      <c r="C174" s="4">
        <v>2273592</v>
      </c>
      <c r="D174" s="4" t="s">
        <v>80</v>
      </c>
      <c r="E174" s="2">
        <v>62.5</v>
      </c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"/>
      <c r="AA174" s="1"/>
      <c r="AB174" s="1"/>
      <c r="AC174" s="19"/>
      <c r="AD174" s="1"/>
      <c r="AE174" s="19"/>
      <c r="AF174" s="1"/>
      <c r="AG174" s="36"/>
      <c r="AH174" s="1"/>
      <c r="AI174" s="1"/>
      <c r="AJ174" s="1"/>
      <c r="AK174" s="1"/>
      <c r="AL174" s="1"/>
      <c r="AM174" s="19"/>
      <c r="AN174" s="19"/>
      <c r="AO174" s="25"/>
      <c r="AP174" s="19"/>
      <c r="AQ174" s="19"/>
      <c r="AR174" s="25"/>
      <c r="AS174" s="19"/>
      <c r="AT174" s="19"/>
      <c r="AU174" s="25">
        <f>SUM(C174/E174/6)</f>
        <v>6062.9120000000003</v>
      </c>
      <c r="AV174" s="19">
        <f t="shared" si="259"/>
        <v>6062.9120000000003</v>
      </c>
      <c r="AW174" s="19">
        <f t="shared" si="260"/>
        <v>2267529.088</v>
      </c>
      <c r="AX174" s="4">
        <f t="shared" si="261"/>
        <v>36377.472000000002</v>
      </c>
      <c r="AY174" s="4">
        <f t="shared" si="262"/>
        <v>42440.384000000005</v>
      </c>
      <c r="AZ174" s="4">
        <f t="shared" si="263"/>
        <v>2231151.6159999999</v>
      </c>
      <c r="BA174" s="22">
        <f t="shared" si="264"/>
        <v>36377.472000000002</v>
      </c>
      <c r="BB174" s="4">
        <f t="shared" si="265"/>
        <v>78817.856</v>
      </c>
      <c r="BC174" s="4">
        <f t="shared" si="266"/>
        <v>2194774.1439999999</v>
      </c>
      <c r="BF174" s="22">
        <v>36377.472000000002</v>
      </c>
      <c r="BG174" s="4">
        <f t="shared" si="269"/>
        <v>0</v>
      </c>
    </row>
    <row r="175" spans="1:59" x14ac:dyDescent="0.35">
      <c r="A175" s="3" t="s">
        <v>254</v>
      </c>
      <c r="B175" s="3" t="s">
        <v>255</v>
      </c>
      <c r="C175" s="4">
        <v>-443147</v>
      </c>
      <c r="D175" s="4" t="s">
        <v>80</v>
      </c>
      <c r="E175" s="2">
        <v>62.5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"/>
      <c r="AA175" s="1"/>
      <c r="AB175" s="1"/>
      <c r="AC175" s="19"/>
      <c r="AD175" s="1"/>
      <c r="AE175" s="19"/>
      <c r="AF175" s="1"/>
      <c r="AG175" s="36"/>
      <c r="AH175" s="1"/>
      <c r="AI175" s="1"/>
      <c r="AJ175" s="1"/>
      <c r="AK175" s="1"/>
      <c r="AL175" s="1"/>
      <c r="AM175" s="19"/>
      <c r="AN175" s="19"/>
      <c r="AO175" s="25"/>
      <c r="AP175" s="19"/>
      <c r="AQ175" s="19"/>
      <c r="AR175" s="25"/>
      <c r="AS175" s="19"/>
      <c r="AT175" s="19"/>
      <c r="AU175" s="25"/>
      <c r="AV175" s="19">
        <v>-443147</v>
      </c>
      <c r="AW175" s="19">
        <v>0</v>
      </c>
      <c r="AY175" s="19">
        <v>-443147</v>
      </c>
      <c r="BA175" s="22">
        <v>0</v>
      </c>
      <c r="BB175" s="4">
        <f t="shared" si="265"/>
        <v>-443147</v>
      </c>
      <c r="BC175" s="4">
        <f t="shared" si="266"/>
        <v>0</v>
      </c>
      <c r="BF175" s="22">
        <v>0</v>
      </c>
      <c r="BG175" s="4">
        <f t="shared" si="269"/>
        <v>0</v>
      </c>
    </row>
    <row r="176" spans="1:59" x14ac:dyDescent="0.35">
      <c r="A176" s="3" t="s">
        <v>256</v>
      </c>
      <c r="B176" s="3" t="s">
        <v>257</v>
      </c>
      <c r="C176" s="4">
        <v>22472</v>
      </c>
      <c r="D176" s="4" t="s">
        <v>80</v>
      </c>
      <c r="E176" s="2">
        <v>62.5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"/>
      <c r="AA176" s="1"/>
      <c r="AB176" s="1"/>
      <c r="AC176" s="19"/>
      <c r="AD176" s="1"/>
      <c r="AE176" s="19"/>
      <c r="AF176" s="1"/>
      <c r="AG176" s="36"/>
      <c r="AH176" s="1"/>
      <c r="AI176" s="1"/>
      <c r="AJ176" s="1"/>
      <c r="AK176" s="1"/>
      <c r="AL176" s="1"/>
      <c r="AM176" s="19"/>
      <c r="AN176" s="19"/>
      <c r="AO176" s="25"/>
      <c r="AP176" s="19"/>
      <c r="AQ176" s="19"/>
      <c r="AR176" s="25"/>
      <c r="AS176" s="19"/>
      <c r="AT176" s="19"/>
      <c r="AU176" s="25"/>
      <c r="AV176" s="19"/>
      <c r="AW176" s="19"/>
      <c r="AX176" s="4">
        <f t="shared" ref="AX176:AX181" si="270">SUM(C176/E176/2)</f>
        <v>179.77600000000001</v>
      </c>
      <c r="AY176" s="4">
        <f t="shared" ref="AY176" si="271">SUM(AV176+AX176)</f>
        <v>179.77600000000001</v>
      </c>
      <c r="AZ176" s="4">
        <f t="shared" ref="AZ176:AZ181" si="272">SUM(C176-AY176)</f>
        <v>22292.223999999998</v>
      </c>
      <c r="BA176" s="22">
        <f t="shared" si="264"/>
        <v>359.55200000000002</v>
      </c>
      <c r="BB176" s="4">
        <f t="shared" si="265"/>
        <v>539.32799999999997</v>
      </c>
      <c r="BC176" s="4">
        <f t="shared" si="266"/>
        <v>21932.671999999999</v>
      </c>
      <c r="BF176" s="22">
        <v>359.55200000000002</v>
      </c>
      <c r="BG176" s="4">
        <f t="shared" si="269"/>
        <v>0</v>
      </c>
    </row>
    <row r="177" spans="1:59" x14ac:dyDescent="0.35">
      <c r="A177" s="3" t="s">
        <v>258</v>
      </c>
      <c r="B177" s="3" t="s">
        <v>257</v>
      </c>
      <c r="C177" s="4">
        <v>181574</v>
      </c>
      <c r="D177" s="4" t="s">
        <v>80</v>
      </c>
      <c r="E177" s="2">
        <v>62.5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"/>
      <c r="AA177" s="1"/>
      <c r="AB177" s="1"/>
      <c r="AC177" s="19"/>
      <c r="AD177" s="1"/>
      <c r="AE177" s="19"/>
      <c r="AF177" s="1"/>
      <c r="AG177" s="36"/>
      <c r="AH177" s="1"/>
      <c r="AI177" s="1"/>
      <c r="AJ177" s="1"/>
      <c r="AK177" s="1"/>
      <c r="AL177" s="1"/>
      <c r="AM177" s="19"/>
      <c r="AN177" s="19"/>
      <c r="AO177" s="25"/>
      <c r="AP177" s="19"/>
      <c r="AQ177" s="19"/>
      <c r="AR177" s="25"/>
      <c r="AS177" s="19"/>
      <c r="AT177" s="19"/>
      <c r="AU177" s="25"/>
      <c r="AV177" s="19"/>
      <c r="AW177" s="19"/>
      <c r="AX177" s="4">
        <f t="shared" si="270"/>
        <v>1452.5920000000001</v>
      </c>
      <c r="AY177" s="4">
        <f t="shared" ref="AY177:AY181" si="273">SUM(AV177+AX177)</f>
        <v>1452.5920000000001</v>
      </c>
      <c r="AZ177" s="4">
        <f t="shared" si="272"/>
        <v>180121.408</v>
      </c>
      <c r="BA177" s="22">
        <f t="shared" si="264"/>
        <v>2905.1840000000002</v>
      </c>
      <c r="BB177" s="4">
        <f t="shared" si="265"/>
        <v>4357.7759999999998</v>
      </c>
      <c r="BC177" s="4">
        <f t="shared" si="266"/>
        <v>177216.22399999999</v>
      </c>
      <c r="BF177" s="22">
        <v>2905.1840000000002</v>
      </c>
      <c r="BG177" s="4">
        <f t="shared" si="269"/>
        <v>0</v>
      </c>
    </row>
    <row r="178" spans="1:59" x14ac:dyDescent="0.35">
      <c r="A178" s="3" t="s">
        <v>259</v>
      </c>
      <c r="B178" s="3" t="s">
        <v>257</v>
      </c>
      <c r="C178" s="4">
        <v>817806</v>
      </c>
      <c r="D178" s="4" t="s">
        <v>80</v>
      </c>
      <c r="E178" s="2">
        <v>62.5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"/>
      <c r="AA178" s="1"/>
      <c r="AB178" s="1"/>
      <c r="AC178" s="19"/>
      <c r="AD178" s="1"/>
      <c r="AE178" s="19"/>
      <c r="AF178" s="1"/>
      <c r="AG178" s="36"/>
      <c r="AH178" s="1"/>
      <c r="AI178" s="1"/>
      <c r="AJ178" s="1"/>
      <c r="AK178" s="1"/>
      <c r="AL178" s="1"/>
      <c r="AM178" s="19"/>
      <c r="AN178" s="19"/>
      <c r="AO178" s="25"/>
      <c r="AP178" s="19"/>
      <c r="AQ178" s="19"/>
      <c r="AR178" s="25"/>
      <c r="AS178" s="19"/>
      <c r="AT178" s="19"/>
      <c r="AU178" s="25"/>
      <c r="AV178" s="19"/>
      <c r="AW178" s="19"/>
      <c r="AX178" s="4">
        <f t="shared" si="270"/>
        <v>6542.4480000000003</v>
      </c>
      <c r="AY178" s="4">
        <f t="shared" si="273"/>
        <v>6542.4480000000003</v>
      </c>
      <c r="AZ178" s="4">
        <f t="shared" si="272"/>
        <v>811263.55200000003</v>
      </c>
      <c r="BA178" s="22">
        <f t="shared" si="264"/>
        <v>13084.896000000001</v>
      </c>
      <c r="BB178" s="4">
        <f t="shared" si="265"/>
        <v>19627.344000000001</v>
      </c>
      <c r="BC178" s="4">
        <f t="shared" si="266"/>
        <v>798178.65599999996</v>
      </c>
      <c r="BF178" s="22">
        <v>13084.896000000001</v>
      </c>
      <c r="BG178" s="4">
        <f t="shared" si="269"/>
        <v>0</v>
      </c>
    </row>
    <row r="179" spans="1:59" x14ac:dyDescent="0.35">
      <c r="A179" s="3" t="s">
        <v>260</v>
      </c>
      <c r="B179" s="3" t="s">
        <v>257</v>
      </c>
      <c r="C179" s="4">
        <v>722000</v>
      </c>
      <c r="D179" s="4" t="s">
        <v>80</v>
      </c>
      <c r="E179" s="2">
        <v>62.5</v>
      </c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"/>
      <c r="AA179" s="1"/>
      <c r="AB179" s="1"/>
      <c r="AC179" s="19"/>
      <c r="AD179" s="1"/>
      <c r="AE179" s="19"/>
      <c r="AF179" s="1"/>
      <c r="AG179" s="36"/>
      <c r="AH179" s="1"/>
      <c r="AI179" s="1"/>
      <c r="AJ179" s="1"/>
      <c r="AK179" s="1"/>
      <c r="AL179" s="1"/>
      <c r="AM179" s="19"/>
      <c r="AN179" s="19"/>
      <c r="AO179" s="25"/>
      <c r="AP179" s="19"/>
      <c r="AQ179" s="19"/>
      <c r="AR179" s="25"/>
      <c r="AS179" s="19"/>
      <c r="AT179" s="19"/>
      <c r="AU179" s="25"/>
      <c r="AV179" s="19"/>
      <c r="AW179" s="19"/>
      <c r="AX179" s="4">
        <f t="shared" si="270"/>
        <v>5776</v>
      </c>
      <c r="AY179" s="4">
        <f t="shared" si="273"/>
        <v>5776</v>
      </c>
      <c r="AZ179" s="4">
        <f t="shared" si="272"/>
        <v>716224</v>
      </c>
      <c r="BA179" s="22">
        <f t="shared" si="264"/>
        <v>11552</v>
      </c>
      <c r="BB179" s="4">
        <f t="shared" si="265"/>
        <v>17328</v>
      </c>
      <c r="BC179" s="4">
        <f t="shared" si="266"/>
        <v>704672</v>
      </c>
      <c r="BF179" s="22">
        <v>11552</v>
      </c>
      <c r="BG179" s="4">
        <f t="shared" si="269"/>
        <v>0</v>
      </c>
    </row>
    <row r="180" spans="1:59" x14ac:dyDescent="0.35">
      <c r="A180" s="3" t="s">
        <v>261</v>
      </c>
      <c r="B180" s="3" t="s">
        <v>257</v>
      </c>
      <c r="C180" s="4">
        <v>285437</v>
      </c>
      <c r="D180" s="4" t="s">
        <v>80</v>
      </c>
      <c r="E180" s="2">
        <v>62.5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"/>
      <c r="AA180" s="1"/>
      <c r="AB180" s="1"/>
      <c r="AC180" s="19"/>
      <c r="AD180" s="1"/>
      <c r="AE180" s="19"/>
      <c r="AF180" s="1"/>
      <c r="AG180" s="36"/>
      <c r="AH180" s="1"/>
      <c r="AI180" s="1"/>
      <c r="AJ180" s="1"/>
      <c r="AK180" s="1"/>
      <c r="AL180" s="1"/>
      <c r="AM180" s="19"/>
      <c r="AN180" s="19"/>
      <c r="AO180" s="25"/>
      <c r="AP180" s="19"/>
      <c r="AQ180" s="19"/>
      <c r="AR180" s="25"/>
      <c r="AS180" s="19"/>
      <c r="AT180" s="19"/>
      <c r="AU180" s="25"/>
      <c r="AV180" s="19"/>
      <c r="AW180" s="19"/>
      <c r="AX180" s="4">
        <f t="shared" si="270"/>
        <v>2283.4960000000001</v>
      </c>
      <c r="AY180" s="4">
        <f t="shared" si="273"/>
        <v>2283.4960000000001</v>
      </c>
      <c r="AZ180" s="4">
        <f t="shared" si="272"/>
        <v>283153.50400000002</v>
      </c>
      <c r="BA180" s="22">
        <f t="shared" si="264"/>
        <v>4566.9920000000002</v>
      </c>
      <c r="BB180" s="4">
        <f t="shared" si="265"/>
        <v>6850.4880000000003</v>
      </c>
      <c r="BC180" s="4">
        <f t="shared" si="266"/>
        <v>278586.51199999999</v>
      </c>
      <c r="BF180" s="22">
        <v>4566.9920000000002</v>
      </c>
      <c r="BG180" s="4">
        <f t="shared" si="269"/>
        <v>0</v>
      </c>
    </row>
    <row r="181" spans="1:59" x14ac:dyDescent="0.35">
      <c r="A181" s="3" t="s">
        <v>262</v>
      </c>
      <c r="B181" s="3" t="s">
        <v>257</v>
      </c>
      <c r="C181" s="4">
        <v>8850</v>
      </c>
      <c r="D181" s="4" t="s">
        <v>80</v>
      </c>
      <c r="E181" s="2">
        <v>62.5</v>
      </c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"/>
      <c r="AA181" s="1"/>
      <c r="AB181" s="1"/>
      <c r="AC181" s="19"/>
      <c r="AD181" s="1"/>
      <c r="AE181" s="19"/>
      <c r="AF181" s="1"/>
      <c r="AG181" s="36"/>
      <c r="AH181" s="1"/>
      <c r="AI181" s="1"/>
      <c r="AJ181" s="1"/>
      <c r="AK181" s="1"/>
      <c r="AL181" s="1"/>
      <c r="AM181" s="19"/>
      <c r="AN181" s="19"/>
      <c r="AO181" s="25"/>
      <c r="AP181" s="19"/>
      <c r="AQ181" s="19"/>
      <c r="AR181" s="25"/>
      <c r="AS181" s="19"/>
      <c r="AT181" s="19"/>
      <c r="AU181" s="25"/>
      <c r="AV181" s="19"/>
      <c r="AW181" s="19"/>
      <c r="AX181" s="4">
        <f t="shared" si="270"/>
        <v>70.8</v>
      </c>
      <c r="AY181" s="4">
        <f t="shared" si="273"/>
        <v>70.8</v>
      </c>
      <c r="AZ181" s="4">
        <f t="shared" si="272"/>
        <v>8779.2000000000007</v>
      </c>
      <c r="BA181" s="22">
        <f t="shared" si="264"/>
        <v>141.6</v>
      </c>
      <c r="BB181" s="4">
        <f t="shared" si="265"/>
        <v>212.39999999999998</v>
      </c>
      <c r="BC181" s="4">
        <f t="shared" si="266"/>
        <v>8637.6</v>
      </c>
      <c r="BF181" s="22">
        <v>141.6</v>
      </c>
      <c r="BG181" s="4">
        <f t="shared" si="269"/>
        <v>0</v>
      </c>
    </row>
    <row r="182" spans="1:59" x14ac:dyDescent="0.35">
      <c r="A182" s="1" t="s">
        <v>263</v>
      </c>
      <c r="B182" s="1" t="s">
        <v>264</v>
      </c>
      <c r="C182" s="19">
        <v>46994</v>
      </c>
      <c r="D182" s="19" t="s">
        <v>80</v>
      </c>
      <c r="E182" s="37">
        <v>62.5</v>
      </c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"/>
      <c r="AA182" s="1"/>
      <c r="AB182" s="1"/>
      <c r="AC182" s="19"/>
      <c r="AD182" s="1"/>
      <c r="AE182" s="19"/>
      <c r="AF182" s="1"/>
      <c r="AG182" s="36"/>
      <c r="AH182" s="1"/>
      <c r="AI182" s="1"/>
      <c r="AJ182" s="1"/>
      <c r="AK182" s="1"/>
      <c r="AL182" s="1"/>
      <c r="AM182" s="19"/>
      <c r="AN182" s="19"/>
      <c r="AO182" s="25"/>
      <c r="AP182" s="19"/>
      <c r="AQ182" s="19"/>
      <c r="AR182" s="25"/>
      <c r="AS182" s="19"/>
      <c r="AT182" s="19"/>
      <c r="AU182" s="25"/>
      <c r="AV182" s="19"/>
      <c r="AW182" s="19"/>
      <c r="AX182" s="4"/>
      <c r="AY182" s="4"/>
      <c r="AZ182" s="4"/>
      <c r="BA182" s="22">
        <f>SUM(C182/E182/2)</f>
        <v>375.952</v>
      </c>
      <c r="BB182" s="4">
        <f t="shared" ref="BB182" si="274">SUM(AY182+BA182)</f>
        <v>375.952</v>
      </c>
      <c r="BC182" s="4">
        <f t="shared" si="266"/>
        <v>46618.048000000003</v>
      </c>
      <c r="BD182" s="3">
        <v>46994</v>
      </c>
      <c r="BF182" s="22">
        <v>375.952</v>
      </c>
      <c r="BG182" s="4">
        <f t="shared" si="269"/>
        <v>0</v>
      </c>
    </row>
    <row r="183" spans="1:59" x14ac:dyDescent="0.35">
      <c r="C183" s="4"/>
      <c r="D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AC183" s="4"/>
      <c r="AE183" s="4"/>
      <c r="AG183" s="5"/>
      <c r="AM183" s="4"/>
      <c r="AN183" s="4"/>
      <c r="AO183" s="21"/>
      <c r="AP183" s="4"/>
      <c r="AQ183" s="4"/>
      <c r="AR183" s="21"/>
      <c r="AS183" s="19"/>
      <c r="AT183" s="4"/>
      <c r="AU183" s="21"/>
      <c r="AV183" s="19"/>
      <c r="AW183" s="4"/>
      <c r="BA183" s="17"/>
      <c r="BF183" s="17"/>
      <c r="BG183" s="4">
        <f t="shared" si="269"/>
        <v>0</v>
      </c>
    </row>
    <row r="184" spans="1:59" x14ac:dyDescent="0.35">
      <c r="C184" s="19">
        <f>SUM(C128:C183)</f>
        <v>18216237.5</v>
      </c>
      <c r="D184" s="4"/>
      <c r="F184" s="4"/>
      <c r="G184" s="19">
        <f t="shared" ref="G184:Q184" si="275">SUM(G128:G150)</f>
        <v>1257928</v>
      </c>
      <c r="H184" s="19">
        <f t="shared" si="275"/>
        <v>88633</v>
      </c>
      <c r="I184" s="19">
        <f t="shared" si="275"/>
        <v>1346561</v>
      </c>
      <c r="J184" s="19">
        <f t="shared" si="275"/>
        <v>115947.91249999999</v>
      </c>
      <c r="K184" s="19">
        <f t="shared" si="275"/>
        <v>1462508.9124999999</v>
      </c>
      <c r="L184" s="19">
        <f t="shared" si="275"/>
        <v>121527.26449999999</v>
      </c>
      <c r="M184" s="19">
        <f t="shared" si="275"/>
        <v>1584036.1769999999</v>
      </c>
      <c r="N184" s="19">
        <f t="shared" si="275"/>
        <v>144757.02075</v>
      </c>
      <c r="O184" s="19">
        <f t="shared" si="275"/>
        <v>1728792.929</v>
      </c>
      <c r="P184" s="19">
        <f t="shared" si="275"/>
        <v>165756.497</v>
      </c>
      <c r="Q184" s="19">
        <f t="shared" si="275"/>
        <v>1894549.426</v>
      </c>
      <c r="R184" s="19">
        <f>SUM(R128:R151)</f>
        <v>170483.97650000002</v>
      </c>
      <c r="S184" s="19">
        <f>Q184+R184</f>
        <v>2065033.4025000001</v>
      </c>
      <c r="T184" s="19">
        <f>SUM(T128:T152)</f>
        <v>170993.66400000002</v>
      </c>
      <c r="U184" s="19">
        <f>S184+T184</f>
        <v>2236027.0665000002</v>
      </c>
      <c r="V184" s="19">
        <f>SUM(V128:V162)</f>
        <v>202264.56400000001</v>
      </c>
      <c r="W184" s="19">
        <v>2818721</v>
      </c>
      <c r="X184" s="19">
        <f>SUM(X127:X162)</f>
        <v>259511.334</v>
      </c>
      <c r="Y184" s="19">
        <f>SUM(Y127:Y162)</f>
        <v>2807577.4699999997</v>
      </c>
      <c r="Z184" s="1">
        <f>SUM(Z128:Z162)</f>
        <v>259781.10400000002</v>
      </c>
      <c r="AA184" s="19">
        <f>SUM(AA128:AA162)</f>
        <v>3067358.574</v>
      </c>
      <c r="AB184" s="19">
        <f>SUM(AB127:AB163)</f>
        <v>260279.36400000003</v>
      </c>
      <c r="AC184" s="19">
        <f>SUM(AA184:AB184)</f>
        <v>3327637.9380000001</v>
      </c>
      <c r="AD184" s="3">
        <f>SUM(AD128:AD165)</f>
        <v>269197.57900000003</v>
      </c>
      <c r="AE184" s="3">
        <f>SUM(AE128:AE165)</f>
        <v>3596835.517</v>
      </c>
      <c r="AF184" s="3">
        <f>SUM(AF128:AF170)</f>
        <v>272289.42400000006</v>
      </c>
      <c r="AG184" s="5">
        <f>SUM(AG128:AG170)</f>
        <v>3869124.9409999992</v>
      </c>
      <c r="AH184" s="3">
        <f>SUM(AH128:AH167)</f>
        <v>272567.05400000006</v>
      </c>
      <c r="AI184" s="5">
        <f>SUM(AI128:AI167)</f>
        <v>4141691.9949999987</v>
      </c>
      <c r="AJ184" s="19">
        <f>SUM(AJ128:AJ171)</f>
        <v>275922.12400000007</v>
      </c>
      <c r="AK184" s="19">
        <f>SUM(AK128:AK171)</f>
        <v>4368643.118999999</v>
      </c>
      <c r="AL184" s="19">
        <f>SUM(AL128:AL171)</f>
        <v>284842.99400000006</v>
      </c>
      <c r="AM184" s="19">
        <f>SUM(AM128:AM171)</f>
        <v>4653486.112999999</v>
      </c>
      <c r="AN184" s="19">
        <f>SUM(AN128:AN171)</f>
        <v>9598917.3869999982</v>
      </c>
      <c r="AO184" s="25">
        <f t="shared" ref="AO184:AP184" si="276">SUM(AO128:AO173)</f>
        <v>285135.61400000006</v>
      </c>
      <c r="AP184" s="19">
        <f t="shared" si="276"/>
        <v>4938621.7270000018</v>
      </c>
      <c r="AQ184" s="19">
        <f t="shared" ref="AQ184:BC184" si="277">SUM(AQ128:AQ183)</f>
        <v>8230560.1850000015</v>
      </c>
      <c r="AR184" s="19">
        <f t="shared" si="277"/>
        <v>381266.45999999996</v>
      </c>
      <c r="AS184" s="19">
        <f t="shared" si="277"/>
        <v>6451366.7999999998</v>
      </c>
      <c r="AT184" s="19">
        <f t="shared" si="277"/>
        <v>7849058.7000000011</v>
      </c>
      <c r="AU184" s="19">
        <f t="shared" si="277"/>
        <v>227743.97600000002</v>
      </c>
      <c r="AV184" s="19">
        <f t="shared" si="277"/>
        <v>6235963.7759999949</v>
      </c>
      <c r="AW184" s="19">
        <f t="shared" si="277"/>
        <v>9895140.7240000032</v>
      </c>
      <c r="AX184" s="19">
        <f t="shared" si="277"/>
        <v>281493.136</v>
      </c>
      <c r="AY184" s="19">
        <f t="shared" si="277"/>
        <v>6517456.9119999995</v>
      </c>
      <c r="AZ184" s="19">
        <f t="shared" si="277"/>
        <v>11651786.587999998</v>
      </c>
      <c r="BA184" s="20">
        <f t="shared" si="277"/>
        <v>298174.20000000007</v>
      </c>
      <c r="BB184" s="19">
        <f t="shared" si="277"/>
        <v>6815631.111999996</v>
      </c>
      <c r="BC184" s="19">
        <f t="shared" si="277"/>
        <v>11400606.388000002</v>
      </c>
      <c r="BF184" s="20">
        <v>298174.20000000007</v>
      </c>
      <c r="BG184" s="4">
        <f t="shared" si="269"/>
        <v>0</v>
      </c>
    </row>
    <row r="185" spans="1:59" x14ac:dyDescent="0.35">
      <c r="C185" s="4"/>
      <c r="D185" s="4"/>
      <c r="F185" s="4"/>
      <c r="G185" s="19"/>
      <c r="H185" s="19"/>
      <c r="I185" s="19"/>
      <c r="J185" s="4"/>
      <c r="K185" s="4"/>
      <c r="L185" s="4"/>
      <c r="M185" s="4"/>
      <c r="N185" s="4"/>
      <c r="O185" s="4"/>
      <c r="P185" s="19"/>
      <c r="Q185" s="19"/>
      <c r="X185" s="4"/>
      <c r="Y185" s="4"/>
      <c r="AC185" s="4"/>
      <c r="AE185" s="4"/>
      <c r="AG185" s="5"/>
      <c r="AM185" s="4"/>
      <c r="AN185" s="4"/>
      <c r="AO185" s="6"/>
      <c r="AR185" s="6"/>
      <c r="AS185" s="1"/>
      <c r="AT185" s="4"/>
      <c r="BA185" s="17"/>
      <c r="BF185" s="17"/>
      <c r="BG185" s="4">
        <f t="shared" si="269"/>
        <v>0</v>
      </c>
    </row>
    <row r="186" spans="1:59" x14ac:dyDescent="0.35">
      <c r="A186" s="3" t="s">
        <v>265</v>
      </c>
      <c r="C186" s="4"/>
      <c r="D186" s="4"/>
      <c r="F186" s="4"/>
      <c r="G186" s="19"/>
      <c r="H186" s="19"/>
      <c r="I186" s="19"/>
      <c r="J186" s="4"/>
      <c r="K186" s="4"/>
      <c r="L186" s="4"/>
      <c r="M186" s="4"/>
      <c r="N186" s="4"/>
      <c r="O186" s="4"/>
      <c r="P186" s="4"/>
      <c r="Q186" s="4"/>
      <c r="X186" s="4"/>
      <c r="Y186" s="4"/>
      <c r="AC186" s="4"/>
      <c r="AE186" s="4"/>
      <c r="AG186" s="5"/>
      <c r="AM186" s="4"/>
      <c r="AN186" s="4"/>
      <c r="AO186" s="6"/>
      <c r="AR186" s="6"/>
      <c r="AS186" s="1"/>
      <c r="BA186" s="17"/>
      <c r="BF186" s="17"/>
      <c r="BG186" s="4">
        <f t="shared" si="269"/>
        <v>0</v>
      </c>
    </row>
    <row r="187" spans="1:59" x14ac:dyDescent="0.35">
      <c r="C187" s="4"/>
      <c r="D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X187" s="4"/>
      <c r="Y187" s="4"/>
      <c r="AC187" s="4"/>
      <c r="AE187" s="4"/>
      <c r="AG187" s="5"/>
      <c r="AM187" s="4"/>
      <c r="AN187" s="4"/>
      <c r="AO187" s="6"/>
      <c r="AR187" s="6"/>
      <c r="AS187" s="1"/>
      <c r="BA187" s="17"/>
      <c r="BF187" s="17"/>
      <c r="BG187" s="4">
        <f t="shared" si="269"/>
        <v>0</v>
      </c>
    </row>
    <row r="188" spans="1:59" x14ac:dyDescent="0.35">
      <c r="A188" s="3" t="s">
        <v>266</v>
      </c>
      <c r="B188" s="3" t="s">
        <v>79</v>
      </c>
      <c r="C188" s="4">
        <v>749854</v>
      </c>
      <c r="D188" s="4" t="s">
        <v>80</v>
      </c>
      <c r="E188" s="2">
        <v>40</v>
      </c>
      <c r="F188" s="4"/>
      <c r="G188" s="4">
        <v>394730</v>
      </c>
      <c r="H188" s="4">
        <v>18746</v>
      </c>
      <c r="I188" s="4">
        <f t="shared" ref="I188:I200" si="278">SUM(G188:H188)</f>
        <v>413476</v>
      </c>
      <c r="J188" s="4">
        <f t="shared" ref="J188:J200" si="279">H188</f>
        <v>18746</v>
      </c>
      <c r="K188" s="4">
        <f t="shared" ref="K188:K201" si="280">I188+J188</f>
        <v>432222</v>
      </c>
      <c r="L188" s="4">
        <f t="shared" ref="L188:L200" si="281">J188</f>
        <v>18746</v>
      </c>
      <c r="M188" s="4">
        <f t="shared" ref="M188:M202" si="282">K188+L188</f>
        <v>450968</v>
      </c>
      <c r="N188" s="4">
        <f t="shared" ref="N188:N201" si="283">L188</f>
        <v>18746</v>
      </c>
      <c r="O188" s="4">
        <f t="shared" ref="O188:O202" si="284">M188+N188</f>
        <v>469714</v>
      </c>
      <c r="P188" s="4">
        <f t="shared" ref="P188:P204" si="285">C188/E188</f>
        <v>18746.349999999999</v>
      </c>
      <c r="Q188" s="4">
        <f t="shared" ref="Q188:Q205" si="286">O188+P188</f>
        <v>488460.35</v>
      </c>
      <c r="R188" s="4">
        <f t="shared" ref="R188:R205" si="287">SUM(C188/E188)</f>
        <v>18746.349999999999</v>
      </c>
      <c r="S188" s="4">
        <f t="shared" ref="S188:S206" si="288">Q188+R188</f>
        <v>507206.69999999995</v>
      </c>
      <c r="T188" s="4">
        <f t="shared" ref="T188:T205" si="289">R188</f>
        <v>18746.349999999999</v>
      </c>
      <c r="U188" s="4">
        <f t="shared" ref="U188:U207" si="290">S188+T188</f>
        <v>525953.04999999993</v>
      </c>
      <c r="V188" s="4">
        <f t="shared" ref="V188:V206" si="291">T188</f>
        <v>18746.349999999999</v>
      </c>
      <c r="W188" s="4">
        <f t="shared" ref="W188:W208" si="292">U188+V188</f>
        <v>544699.39999999991</v>
      </c>
      <c r="X188" s="4">
        <f t="shared" ref="X188:X207" si="293">V188</f>
        <v>18746.349999999999</v>
      </c>
      <c r="Y188" s="4">
        <f t="shared" ref="Y188:Y210" si="294">SUM(W188:X188)</f>
        <v>563445.74999999988</v>
      </c>
      <c r="Z188" s="4">
        <f t="shared" ref="Z188:Z208" si="295">X188</f>
        <v>18746.349999999999</v>
      </c>
      <c r="AA188" s="4">
        <f t="shared" ref="AA188:AA209" si="296">SUM(Y188:Z188)</f>
        <v>582192.09999999986</v>
      </c>
      <c r="AB188" s="4">
        <f t="shared" ref="AB188:AB209" si="297">Z188</f>
        <v>18746.349999999999</v>
      </c>
      <c r="AC188" s="4">
        <f t="shared" ref="AC188:AC210" si="298">SUM(AA188:AB188)</f>
        <v>600938.44999999984</v>
      </c>
      <c r="AD188" s="3">
        <f t="shared" ref="AD188:AD210" si="299">AB188</f>
        <v>18746.349999999999</v>
      </c>
      <c r="AE188" s="4">
        <f t="shared" ref="AE188:AE212" si="300">AC188+AD188</f>
        <v>619684.79999999981</v>
      </c>
      <c r="AF188" s="3">
        <f t="shared" ref="AF188:AF211" si="301">AD188</f>
        <v>18746.349999999999</v>
      </c>
      <c r="AG188" s="5">
        <f t="shared" ref="AG188:AG213" si="302">AE188+AF188</f>
        <v>638431.14999999979</v>
      </c>
      <c r="AH188" s="3">
        <f t="shared" ref="AH188:AH212" si="303">AF188</f>
        <v>18746.349999999999</v>
      </c>
      <c r="AI188" s="5">
        <f t="shared" ref="AI188:AI213" si="304">AG188+AH188</f>
        <v>657177.49999999977</v>
      </c>
      <c r="AJ188" s="3">
        <f t="shared" ref="AJ188:AJ213" si="305">AH188</f>
        <v>18746.349999999999</v>
      </c>
      <c r="AK188" s="3">
        <f t="shared" ref="AK188:AK214" si="306">SUM(AI188:AJ188)</f>
        <v>675923.84999999974</v>
      </c>
      <c r="AL188" s="3">
        <f t="shared" ref="AL188:AL213" si="307">AJ188</f>
        <v>18746.349999999999</v>
      </c>
      <c r="AM188" s="4">
        <f t="shared" ref="AM188:AM216" si="308">SUM(AK188:AL188)</f>
        <v>694670.19999999972</v>
      </c>
      <c r="AN188" s="4">
        <f t="shared" ref="AN188:AN216" si="309">C188-AM188</f>
        <v>55183.800000000279</v>
      </c>
      <c r="AO188" s="21">
        <f t="shared" ref="AO188:AO215" si="310">AL188</f>
        <v>18746.349999999999</v>
      </c>
      <c r="AP188" s="4">
        <f t="shared" ref="AP188:AP218" si="311">AM188+AO188</f>
        <v>713416.5499999997</v>
      </c>
      <c r="AQ188" s="4">
        <v>36437.450000000281</v>
      </c>
      <c r="AR188" s="21">
        <v>18746.349999999999</v>
      </c>
      <c r="AS188" s="19">
        <v>732162.89999999967</v>
      </c>
      <c r="AT188" s="4">
        <v>17691.100000000326</v>
      </c>
      <c r="AU188" s="21">
        <f t="shared" ref="AU188:AU218" si="312">SUM(C188/E188)</f>
        <v>18746.349999999999</v>
      </c>
      <c r="AV188" s="19">
        <f t="shared" ref="AV188:AV219" si="313">AS188+AU188</f>
        <v>750909.24999999965</v>
      </c>
      <c r="AW188" s="4">
        <f t="shared" ref="AW188:AW219" si="314">C188-AV188</f>
        <v>-1055.2499999996508</v>
      </c>
      <c r="AX188" s="4">
        <v>0</v>
      </c>
      <c r="AY188" s="4">
        <f t="shared" ref="AY188:AY219" si="315">SUM(AV188+AX188)</f>
        <v>750909.24999999965</v>
      </c>
      <c r="AZ188" s="4">
        <f t="shared" ref="AZ188:AZ220" si="316">SUM(C188-AY188)</f>
        <v>-1055.2499999996508</v>
      </c>
      <c r="BA188" s="22">
        <v>0</v>
      </c>
      <c r="BB188" s="4">
        <f t="shared" ref="BB188:BB220" si="317">SUM(AY188+BA188)</f>
        <v>750909.24999999965</v>
      </c>
      <c r="BC188" s="4">
        <f t="shared" ref="BC188:BC221" si="318">SUM(C188-BB188)</f>
        <v>-1055.2499999996508</v>
      </c>
      <c r="BF188" s="22">
        <v>0</v>
      </c>
      <c r="BG188" s="4">
        <f t="shared" si="269"/>
        <v>0</v>
      </c>
    </row>
    <row r="189" spans="1:59" x14ac:dyDescent="0.35">
      <c r="A189" s="3" t="s">
        <v>266</v>
      </c>
      <c r="B189" s="3" t="s">
        <v>169</v>
      </c>
      <c r="C189" s="4">
        <v>22667</v>
      </c>
      <c r="D189" s="4" t="s">
        <v>80</v>
      </c>
      <c r="E189" s="2">
        <v>40</v>
      </c>
      <c r="F189" s="4"/>
      <c r="G189" s="4">
        <v>5386</v>
      </c>
      <c r="H189" s="4">
        <v>567</v>
      </c>
      <c r="I189" s="4">
        <f t="shared" si="278"/>
        <v>5953</v>
      </c>
      <c r="J189" s="4">
        <f t="shared" si="279"/>
        <v>567</v>
      </c>
      <c r="K189" s="4">
        <f t="shared" si="280"/>
        <v>6520</v>
      </c>
      <c r="L189" s="4">
        <f t="shared" si="281"/>
        <v>567</v>
      </c>
      <c r="M189" s="4">
        <f t="shared" si="282"/>
        <v>7087</v>
      </c>
      <c r="N189" s="4">
        <f t="shared" si="283"/>
        <v>567</v>
      </c>
      <c r="O189" s="4">
        <f t="shared" si="284"/>
        <v>7654</v>
      </c>
      <c r="P189" s="4">
        <f t="shared" si="285"/>
        <v>566.67499999999995</v>
      </c>
      <c r="Q189" s="4">
        <f t="shared" si="286"/>
        <v>8220.6749999999993</v>
      </c>
      <c r="R189" s="4">
        <f t="shared" si="287"/>
        <v>566.67499999999995</v>
      </c>
      <c r="S189" s="4">
        <f t="shared" si="288"/>
        <v>8787.3499999999985</v>
      </c>
      <c r="T189" s="4">
        <f t="shared" si="289"/>
        <v>566.67499999999995</v>
      </c>
      <c r="U189" s="4">
        <f t="shared" si="290"/>
        <v>9354.0249999999978</v>
      </c>
      <c r="V189" s="4">
        <f t="shared" si="291"/>
        <v>566.67499999999995</v>
      </c>
      <c r="W189" s="4">
        <f t="shared" si="292"/>
        <v>9920.6999999999971</v>
      </c>
      <c r="X189" s="4">
        <f t="shared" si="293"/>
        <v>566.67499999999995</v>
      </c>
      <c r="Y189" s="4">
        <f t="shared" si="294"/>
        <v>10487.374999999996</v>
      </c>
      <c r="Z189" s="4">
        <f t="shared" si="295"/>
        <v>566.67499999999995</v>
      </c>
      <c r="AA189" s="4">
        <f t="shared" si="296"/>
        <v>11054.049999999996</v>
      </c>
      <c r="AB189" s="4">
        <f t="shared" si="297"/>
        <v>566.67499999999995</v>
      </c>
      <c r="AC189" s="4">
        <f t="shared" si="298"/>
        <v>11620.724999999995</v>
      </c>
      <c r="AD189" s="3">
        <f t="shared" si="299"/>
        <v>566.67499999999995</v>
      </c>
      <c r="AE189" s="4">
        <f t="shared" si="300"/>
        <v>12187.399999999994</v>
      </c>
      <c r="AF189" s="3">
        <f t="shared" si="301"/>
        <v>566.67499999999995</v>
      </c>
      <c r="AG189" s="5">
        <f t="shared" si="302"/>
        <v>12754.074999999993</v>
      </c>
      <c r="AH189" s="3">
        <f t="shared" si="303"/>
        <v>566.67499999999995</v>
      </c>
      <c r="AI189" s="5">
        <f t="shared" si="304"/>
        <v>13320.749999999993</v>
      </c>
      <c r="AJ189" s="3">
        <f t="shared" si="305"/>
        <v>566.67499999999995</v>
      </c>
      <c r="AK189" s="3">
        <f t="shared" si="306"/>
        <v>13887.424999999992</v>
      </c>
      <c r="AL189" s="3">
        <f t="shared" si="307"/>
        <v>566.67499999999995</v>
      </c>
      <c r="AM189" s="4">
        <f t="shared" si="308"/>
        <v>14454.099999999991</v>
      </c>
      <c r="AN189" s="4">
        <f t="shared" si="309"/>
        <v>8212.9000000000087</v>
      </c>
      <c r="AO189" s="21">
        <f t="shared" si="310"/>
        <v>566.67499999999995</v>
      </c>
      <c r="AP189" s="4">
        <f t="shared" si="311"/>
        <v>15020.774999999991</v>
      </c>
      <c r="AQ189" s="4">
        <v>7646.2250000000085</v>
      </c>
      <c r="AR189" s="21">
        <v>566.67499999999995</v>
      </c>
      <c r="AS189" s="19">
        <v>15587.44999999999</v>
      </c>
      <c r="AT189" s="4">
        <v>7079.5500000000102</v>
      </c>
      <c r="AU189" s="21">
        <f t="shared" si="312"/>
        <v>566.67499999999995</v>
      </c>
      <c r="AV189" s="19">
        <f t="shared" si="313"/>
        <v>16154.124999999989</v>
      </c>
      <c r="AW189" s="4">
        <f t="shared" si="314"/>
        <v>6512.8750000000109</v>
      </c>
      <c r="AX189" s="4">
        <f t="shared" ref="AX189:AX219" si="319">SUM(C189/E189)</f>
        <v>566.67499999999995</v>
      </c>
      <c r="AY189" s="4">
        <f t="shared" si="315"/>
        <v>16720.799999999988</v>
      </c>
      <c r="AZ189" s="4">
        <f t="shared" si="316"/>
        <v>5946.2000000000116</v>
      </c>
      <c r="BA189" s="22">
        <f t="shared" ref="BA189:BA220" si="320">SUM(C189/E189)</f>
        <v>566.67499999999995</v>
      </c>
      <c r="BB189" s="4">
        <f t="shared" si="317"/>
        <v>17287.474999999988</v>
      </c>
      <c r="BC189" s="4">
        <f t="shared" si="318"/>
        <v>5379.5250000000124</v>
      </c>
      <c r="BF189" s="22">
        <v>566.67499999999995</v>
      </c>
      <c r="BG189" s="4">
        <f t="shared" si="269"/>
        <v>0</v>
      </c>
    </row>
    <row r="190" spans="1:59" x14ac:dyDescent="0.35">
      <c r="A190" s="3" t="s">
        <v>266</v>
      </c>
      <c r="B190" s="3" t="s">
        <v>197</v>
      </c>
      <c r="C190" s="4">
        <v>27772</v>
      </c>
      <c r="D190" s="4" t="s">
        <v>80</v>
      </c>
      <c r="E190" s="2">
        <v>40</v>
      </c>
      <c r="F190" s="4"/>
      <c r="G190" s="4">
        <v>5899</v>
      </c>
      <c r="H190" s="4">
        <v>694</v>
      </c>
      <c r="I190" s="4">
        <f t="shared" si="278"/>
        <v>6593</v>
      </c>
      <c r="J190" s="4">
        <f t="shared" si="279"/>
        <v>694</v>
      </c>
      <c r="K190" s="4">
        <f t="shared" si="280"/>
        <v>7287</v>
      </c>
      <c r="L190" s="4">
        <f t="shared" si="281"/>
        <v>694</v>
      </c>
      <c r="M190" s="4">
        <f t="shared" si="282"/>
        <v>7981</v>
      </c>
      <c r="N190" s="4">
        <f t="shared" si="283"/>
        <v>694</v>
      </c>
      <c r="O190" s="4">
        <f t="shared" si="284"/>
        <v>8675</v>
      </c>
      <c r="P190" s="4">
        <f t="shared" si="285"/>
        <v>694.3</v>
      </c>
      <c r="Q190" s="4">
        <f t="shared" si="286"/>
        <v>9369.2999999999993</v>
      </c>
      <c r="R190" s="4">
        <f t="shared" si="287"/>
        <v>694.3</v>
      </c>
      <c r="S190" s="4">
        <f t="shared" si="288"/>
        <v>10063.599999999999</v>
      </c>
      <c r="T190" s="4">
        <f t="shared" si="289"/>
        <v>694.3</v>
      </c>
      <c r="U190" s="4">
        <f t="shared" si="290"/>
        <v>10757.899999999998</v>
      </c>
      <c r="V190" s="4">
        <f t="shared" si="291"/>
        <v>694.3</v>
      </c>
      <c r="W190" s="4">
        <f t="shared" si="292"/>
        <v>11452.199999999997</v>
      </c>
      <c r="X190" s="4">
        <f t="shared" si="293"/>
        <v>694.3</v>
      </c>
      <c r="Y190" s="4">
        <f t="shared" si="294"/>
        <v>12146.499999999996</v>
      </c>
      <c r="Z190" s="4">
        <f t="shared" si="295"/>
        <v>694.3</v>
      </c>
      <c r="AA190" s="4">
        <f t="shared" si="296"/>
        <v>12840.799999999996</v>
      </c>
      <c r="AB190" s="4">
        <f t="shared" si="297"/>
        <v>694.3</v>
      </c>
      <c r="AC190" s="4">
        <f t="shared" si="298"/>
        <v>13535.099999999995</v>
      </c>
      <c r="AD190" s="3">
        <f t="shared" si="299"/>
        <v>694.3</v>
      </c>
      <c r="AE190" s="4">
        <f t="shared" si="300"/>
        <v>14229.399999999994</v>
      </c>
      <c r="AF190" s="3">
        <f t="shared" si="301"/>
        <v>694.3</v>
      </c>
      <c r="AG190" s="5">
        <f t="shared" si="302"/>
        <v>14923.699999999993</v>
      </c>
      <c r="AH190" s="3">
        <f t="shared" si="303"/>
        <v>694.3</v>
      </c>
      <c r="AI190" s="5">
        <f t="shared" si="304"/>
        <v>15617.999999999993</v>
      </c>
      <c r="AJ190" s="3">
        <f t="shared" si="305"/>
        <v>694.3</v>
      </c>
      <c r="AK190" s="3">
        <f t="shared" si="306"/>
        <v>16312.299999999992</v>
      </c>
      <c r="AL190" s="3">
        <f t="shared" si="307"/>
        <v>694.3</v>
      </c>
      <c r="AM190" s="4">
        <f t="shared" si="308"/>
        <v>17006.599999999991</v>
      </c>
      <c r="AN190" s="4">
        <f t="shared" si="309"/>
        <v>10765.400000000009</v>
      </c>
      <c r="AO190" s="21">
        <f t="shared" si="310"/>
        <v>694.3</v>
      </c>
      <c r="AP190" s="4">
        <f t="shared" si="311"/>
        <v>17700.899999999991</v>
      </c>
      <c r="AQ190" s="4">
        <v>10071.100000000009</v>
      </c>
      <c r="AR190" s="21">
        <v>694.3</v>
      </c>
      <c r="AS190" s="19">
        <v>18395.19999999999</v>
      </c>
      <c r="AT190" s="4">
        <v>9376.8000000000102</v>
      </c>
      <c r="AU190" s="21">
        <f t="shared" si="312"/>
        <v>694.3</v>
      </c>
      <c r="AV190" s="19">
        <f t="shared" si="313"/>
        <v>19089.499999999989</v>
      </c>
      <c r="AW190" s="4">
        <f t="shared" si="314"/>
        <v>8682.5000000000109</v>
      </c>
      <c r="AX190" s="4">
        <f t="shared" si="319"/>
        <v>694.3</v>
      </c>
      <c r="AY190" s="4">
        <f t="shared" si="315"/>
        <v>19783.799999999988</v>
      </c>
      <c r="AZ190" s="4">
        <f t="shared" si="316"/>
        <v>7988.2000000000116</v>
      </c>
      <c r="BA190" s="22">
        <f t="shared" si="320"/>
        <v>694.3</v>
      </c>
      <c r="BB190" s="4">
        <f t="shared" si="317"/>
        <v>20478.099999999988</v>
      </c>
      <c r="BC190" s="4">
        <f t="shared" si="318"/>
        <v>7293.9000000000124</v>
      </c>
      <c r="BF190" s="22">
        <v>694.3</v>
      </c>
      <c r="BG190" s="4">
        <f t="shared" si="269"/>
        <v>0</v>
      </c>
    </row>
    <row r="191" spans="1:59" x14ac:dyDescent="0.35">
      <c r="A191" s="3" t="s">
        <v>266</v>
      </c>
      <c r="B191" s="3" t="s">
        <v>48</v>
      </c>
      <c r="C191" s="4">
        <v>38203</v>
      </c>
      <c r="D191" s="4" t="s">
        <v>80</v>
      </c>
      <c r="E191" s="2">
        <v>40</v>
      </c>
      <c r="F191" s="4"/>
      <c r="G191" s="4">
        <v>8118</v>
      </c>
      <c r="H191" s="4">
        <v>955</v>
      </c>
      <c r="I191" s="4">
        <f t="shared" si="278"/>
        <v>9073</v>
      </c>
      <c r="J191" s="4">
        <f t="shared" si="279"/>
        <v>955</v>
      </c>
      <c r="K191" s="4">
        <f t="shared" si="280"/>
        <v>10028</v>
      </c>
      <c r="L191" s="4">
        <f t="shared" si="281"/>
        <v>955</v>
      </c>
      <c r="M191" s="4">
        <f t="shared" si="282"/>
        <v>10983</v>
      </c>
      <c r="N191" s="4">
        <f t="shared" si="283"/>
        <v>955</v>
      </c>
      <c r="O191" s="4">
        <f t="shared" si="284"/>
        <v>11938</v>
      </c>
      <c r="P191" s="4">
        <f t="shared" si="285"/>
        <v>955.07500000000005</v>
      </c>
      <c r="Q191" s="4">
        <f t="shared" si="286"/>
        <v>12893.075000000001</v>
      </c>
      <c r="R191" s="4">
        <f t="shared" si="287"/>
        <v>955.07500000000005</v>
      </c>
      <c r="S191" s="4">
        <f t="shared" si="288"/>
        <v>13848.150000000001</v>
      </c>
      <c r="T191" s="4">
        <f t="shared" si="289"/>
        <v>955.07500000000005</v>
      </c>
      <c r="U191" s="4">
        <f t="shared" si="290"/>
        <v>14803.225000000002</v>
      </c>
      <c r="V191" s="4">
        <f t="shared" si="291"/>
        <v>955.07500000000005</v>
      </c>
      <c r="W191" s="4">
        <f t="shared" si="292"/>
        <v>15758.300000000003</v>
      </c>
      <c r="X191" s="4">
        <f t="shared" si="293"/>
        <v>955.07500000000005</v>
      </c>
      <c r="Y191" s="4">
        <f t="shared" si="294"/>
        <v>16713.375000000004</v>
      </c>
      <c r="Z191" s="4">
        <f t="shared" si="295"/>
        <v>955.07500000000005</v>
      </c>
      <c r="AA191" s="4">
        <f t="shared" si="296"/>
        <v>17668.450000000004</v>
      </c>
      <c r="AB191" s="4">
        <f t="shared" si="297"/>
        <v>955.07500000000005</v>
      </c>
      <c r="AC191" s="4">
        <f t="shared" si="298"/>
        <v>18623.525000000005</v>
      </c>
      <c r="AD191" s="3">
        <f t="shared" si="299"/>
        <v>955.07500000000005</v>
      </c>
      <c r="AE191" s="4">
        <f t="shared" si="300"/>
        <v>19578.600000000006</v>
      </c>
      <c r="AF191" s="3">
        <f t="shared" si="301"/>
        <v>955.07500000000005</v>
      </c>
      <c r="AG191" s="5">
        <f t="shared" si="302"/>
        <v>20533.675000000007</v>
      </c>
      <c r="AH191" s="3">
        <f t="shared" si="303"/>
        <v>955.07500000000005</v>
      </c>
      <c r="AI191" s="5">
        <f t="shared" si="304"/>
        <v>21488.750000000007</v>
      </c>
      <c r="AJ191" s="3">
        <f t="shared" si="305"/>
        <v>955.07500000000005</v>
      </c>
      <c r="AK191" s="3">
        <f t="shared" si="306"/>
        <v>22443.825000000008</v>
      </c>
      <c r="AL191" s="3">
        <f t="shared" si="307"/>
        <v>955.07500000000005</v>
      </c>
      <c r="AM191" s="4">
        <f t="shared" si="308"/>
        <v>23398.900000000009</v>
      </c>
      <c r="AN191" s="4">
        <f t="shared" si="309"/>
        <v>14804.099999999991</v>
      </c>
      <c r="AO191" s="21">
        <f t="shared" si="310"/>
        <v>955.07500000000005</v>
      </c>
      <c r="AP191" s="4">
        <f t="shared" si="311"/>
        <v>24353.975000000009</v>
      </c>
      <c r="AQ191" s="4">
        <v>13849.024999999991</v>
      </c>
      <c r="AR191" s="21">
        <v>955.07500000000005</v>
      </c>
      <c r="AS191" s="19">
        <v>25309.05000000001</v>
      </c>
      <c r="AT191" s="4">
        <v>12893.94999999999</v>
      </c>
      <c r="AU191" s="21">
        <f t="shared" si="312"/>
        <v>955.07500000000005</v>
      </c>
      <c r="AV191" s="19">
        <f t="shared" si="313"/>
        <v>26264.125000000011</v>
      </c>
      <c r="AW191" s="4">
        <f t="shared" si="314"/>
        <v>11938.874999999989</v>
      </c>
      <c r="AX191" s="4">
        <f t="shared" si="319"/>
        <v>955.07500000000005</v>
      </c>
      <c r="AY191" s="4">
        <f t="shared" si="315"/>
        <v>27219.200000000012</v>
      </c>
      <c r="AZ191" s="4">
        <f t="shared" si="316"/>
        <v>10983.799999999988</v>
      </c>
      <c r="BA191" s="22">
        <f t="shared" si="320"/>
        <v>955.07500000000005</v>
      </c>
      <c r="BB191" s="4">
        <f t="shared" si="317"/>
        <v>28174.275000000012</v>
      </c>
      <c r="BC191" s="4">
        <f t="shared" si="318"/>
        <v>10028.724999999988</v>
      </c>
      <c r="BF191" s="22">
        <v>955.07500000000005</v>
      </c>
      <c r="BG191" s="4">
        <f t="shared" si="269"/>
        <v>0</v>
      </c>
    </row>
    <row r="192" spans="1:59" x14ac:dyDescent="0.35">
      <c r="A192" s="3" t="s">
        <v>266</v>
      </c>
      <c r="B192" s="3" t="s">
        <v>83</v>
      </c>
      <c r="C192" s="4">
        <v>28169</v>
      </c>
      <c r="D192" s="4" t="s">
        <v>80</v>
      </c>
      <c r="E192" s="2">
        <v>40</v>
      </c>
      <c r="F192" s="4"/>
      <c r="G192" s="4">
        <v>5280</v>
      </c>
      <c r="H192" s="4">
        <v>704</v>
      </c>
      <c r="I192" s="4">
        <f t="shared" si="278"/>
        <v>5984</v>
      </c>
      <c r="J192" s="4">
        <f t="shared" si="279"/>
        <v>704</v>
      </c>
      <c r="K192" s="4">
        <f t="shared" si="280"/>
        <v>6688</v>
      </c>
      <c r="L192" s="4">
        <f t="shared" si="281"/>
        <v>704</v>
      </c>
      <c r="M192" s="4">
        <f t="shared" si="282"/>
        <v>7392</v>
      </c>
      <c r="N192" s="4">
        <f t="shared" si="283"/>
        <v>704</v>
      </c>
      <c r="O192" s="4">
        <f t="shared" si="284"/>
        <v>8096</v>
      </c>
      <c r="P192" s="4">
        <f t="shared" si="285"/>
        <v>704.22500000000002</v>
      </c>
      <c r="Q192" s="4">
        <f t="shared" si="286"/>
        <v>8800.2250000000004</v>
      </c>
      <c r="R192" s="4">
        <f t="shared" si="287"/>
        <v>704.22500000000002</v>
      </c>
      <c r="S192" s="4">
        <f t="shared" si="288"/>
        <v>9504.4500000000007</v>
      </c>
      <c r="T192" s="4">
        <f t="shared" si="289"/>
        <v>704.22500000000002</v>
      </c>
      <c r="U192" s="4">
        <f t="shared" si="290"/>
        <v>10208.675000000001</v>
      </c>
      <c r="V192" s="4">
        <f t="shared" si="291"/>
        <v>704.22500000000002</v>
      </c>
      <c r="W192" s="4">
        <f t="shared" si="292"/>
        <v>10912.900000000001</v>
      </c>
      <c r="X192" s="4">
        <f t="shared" si="293"/>
        <v>704.22500000000002</v>
      </c>
      <c r="Y192" s="4">
        <f t="shared" si="294"/>
        <v>11617.125000000002</v>
      </c>
      <c r="Z192" s="4">
        <f t="shared" si="295"/>
        <v>704.22500000000002</v>
      </c>
      <c r="AA192" s="4">
        <f t="shared" si="296"/>
        <v>12321.350000000002</v>
      </c>
      <c r="AB192" s="4">
        <f t="shared" si="297"/>
        <v>704.22500000000002</v>
      </c>
      <c r="AC192" s="4">
        <f t="shared" si="298"/>
        <v>13025.575000000003</v>
      </c>
      <c r="AD192" s="3">
        <f t="shared" si="299"/>
        <v>704.22500000000002</v>
      </c>
      <c r="AE192" s="4">
        <f t="shared" si="300"/>
        <v>13729.800000000003</v>
      </c>
      <c r="AF192" s="3">
        <f t="shared" si="301"/>
        <v>704.22500000000002</v>
      </c>
      <c r="AG192" s="5">
        <f t="shared" si="302"/>
        <v>14434.025000000003</v>
      </c>
      <c r="AH192" s="3">
        <f t="shared" si="303"/>
        <v>704.22500000000002</v>
      </c>
      <c r="AI192" s="5">
        <f t="shared" si="304"/>
        <v>15138.250000000004</v>
      </c>
      <c r="AJ192" s="3">
        <f t="shared" si="305"/>
        <v>704.22500000000002</v>
      </c>
      <c r="AK192" s="3">
        <f t="shared" si="306"/>
        <v>15842.475000000004</v>
      </c>
      <c r="AL192" s="3">
        <f t="shared" si="307"/>
        <v>704.22500000000002</v>
      </c>
      <c r="AM192" s="4">
        <f t="shared" si="308"/>
        <v>16546.700000000004</v>
      </c>
      <c r="AN192" s="4">
        <f t="shared" si="309"/>
        <v>11622.299999999996</v>
      </c>
      <c r="AO192" s="21">
        <f t="shared" si="310"/>
        <v>704.22500000000002</v>
      </c>
      <c r="AP192" s="4">
        <f t="shared" si="311"/>
        <v>17250.925000000003</v>
      </c>
      <c r="AQ192" s="4">
        <v>10918.074999999995</v>
      </c>
      <c r="AR192" s="21">
        <v>704.22500000000002</v>
      </c>
      <c r="AS192" s="19">
        <v>17955.150000000001</v>
      </c>
      <c r="AT192" s="4">
        <v>10213.849999999999</v>
      </c>
      <c r="AU192" s="21">
        <f t="shared" si="312"/>
        <v>704.22500000000002</v>
      </c>
      <c r="AV192" s="19">
        <f t="shared" si="313"/>
        <v>18659.375</v>
      </c>
      <c r="AW192" s="4">
        <f t="shared" si="314"/>
        <v>9509.625</v>
      </c>
      <c r="AX192" s="4">
        <f t="shared" si="319"/>
        <v>704.22500000000002</v>
      </c>
      <c r="AY192" s="4">
        <f t="shared" si="315"/>
        <v>19363.599999999999</v>
      </c>
      <c r="AZ192" s="4">
        <f t="shared" si="316"/>
        <v>8805.4000000000015</v>
      </c>
      <c r="BA192" s="22">
        <f t="shared" si="320"/>
        <v>704.22500000000002</v>
      </c>
      <c r="BB192" s="4">
        <f t="shared" si="317"/>
        <v>20067.824999999997</v>
      </c>
      <c r="BC192" s="4">
        <f t="shared" si="318"/>
        <v>8101.1750000000029</v>
      </c>
      <c r="BF192" s="22">
        <v>704.22500000000002</v>
      </c>
      <c r="BG192" s="4">
        <f t="shared" si="269"/>
        <v>0</v>
      </c>
    </row>
    <row r="193" spans="1:59" x14ac:dyDescent="0.35">
      <c r="A193" s="3" t="s">
        <v>266</v>
      </c>
      <c r="B193" s="3" t="s">
        <v>84</v>
      </c>
      <c r="C193" s="4">
        <v>23550</v>
      </c>
      <c r="D193" s="4" t="s">
        <v>80</v>
      </c>
      <c r="E193" s="2">
        <v>40</v>
      </c>
      <c r="F193" s="4"/>
      <c r="G193" s="4">
        <v>3828</v>
      </c>
      <c r="H193" s="4">
        <v>589</v>
      </c>
      <c r="I193" s="4">
        <f t="shared" si="278"/>
        <v>4417</v>
      </c>
      <c r="J193" s="4">
        <f t="shared" si="279"/>
        <v>589</v>
      </c>
      <c r="K193" s="4">
        <f t="shared" si="280"/>
        <v>5006</v>
      </c>
      <c r="L193" s="4">
        <f t="shared" si="281"/>
        <v>589</v>
      </c>
      <c r="M193" s="4">
        <f t="shared" si="282"/>
        <v>5595</v>
      </c>
      <c r="N193" s="4">
        <f t="shared" si="283"/>
        <v>589</v>
      </c>
      <c r="O193" s="4">
        <f t="shared" si="284"/>
        <v>6184</v>
      </c>
      <c r="P193" s="4">
        <f t="shared" si="285"/>
        <v>588.75</v>
      </c>
      <c r="Q193" s="4">
        <f t="shared" si="286"/>
        <v>6772.75</v>
      </c>
      <c r="R193" s="4">
        <f t="shared" si="287"/>
        <v>588.75</v>
      </c>
      <c r="S193" s="4">
        <f t="shared" si="288"/>
        <v>7361.5</v>
      </c>
      <c r="T193" s="4">
        <f t="shared" si="289"/>
        <v>588.75</v>
      </c>
      <c r="U193" s="4">
        <f t="shared" si="290"/>
        <v>7950.25</v>
      </c>
      <c r="V193" s="4">
        <f t="shared" si="291"/>
        <v>588.75</v>
      </c>
      <c r="W193" s="4">
        <f t="shared" si="292"/>
        <v>8539</v>
      </c>
      <c r="X193" s="4">
        <f t="shared" si="293"/>
        <v>588.75</v>
      </c>
      <c r="Y193" s="4">
        <f t="shared" si="294"/>
        <v>9127.75</v>
      </c>
      <c r="Z193" s="4">
        <f t="shared" si="295"/>
        <v>588.75</v>
      </c>
      <c r="AA193" s="4">
        <f t="shared" si="296"/>
        <v>9716.5</v>
      </c>
      <c r="AB193" s="4">
        <f t="shared" si="297"/>
        <v>588.75</v>
      </c>
      <c r="AC193" s="4">
        <f t="shared" si="298"/>
        <v>10305.25</v>
      </c>
      <c r="AD193" s="3">
        <f t="shared" si="299"/>
        <v>588.75</v>
      </c>
      <c r="AE193" s="4">
        <f t="shared" si="300"/>
        <v>10894</v>
      </c>
      <c r="AF193" s="3">
        <f t="shared" si="301"/>
        <v>588.75</v>
      </c>
      <c r="AG193" s="5">
        <f t="shared" si="302"/>
        <v>11482.75</v>
      </c>
      <c r="AH193" s="3">
        <f t="shared" si="303"/>
        <v>588.75</v>
      </c>
      <c r="AI193" s="5">
        <f t="shared" si="304"/>
        <v>12071.5</v>
      </c>
      <c r="AJ193" s="3">
        <f t="shared" si="305"/>
        <v>588.75</v>
      </c>
      <c r="AK193" s="3">
        <f t="shared" si="306"/>
        <v>12660.25</v>
      </c>
      <c r="AL193" s="3">
        <f t="shared" si="307"/>
        <v>588.75</v>
      </c>
      <c r="AM193" s="4">
        <f t="shared" si="308"/>
        <v>13249</v>
      </c>
      <c r="AN193" s="4">
        <f t="shared" si="309"/>
        <v>10301</v>
      </c>
      <c r="AO193" s="21">
        <f t="shared" si="310"/>
        <v>588.75</v>
      </c>
      <c r="AP193" s="4">
        <f t="shared" si="311"/>
        <v>13837.75</v>
      </c>
      <c r="AQ193" s="4">
        <v>9712.25</v>
      </c>
      <c r="AR193" s="21">
        <v>588.75</v>
      </c>
      <c r="AS193" s="19">
        <v>14426.5</v>
      </c>
      <c r="AT193" s="4">
        <v>9123.5</v>
      </c>
      <c r="AU193" s="21">
        <f t="shared" si="312"/>
        <v>588.75</v>
      </c>
      <c r="AV193" s="19">
        <f t="shared" si="313"/>
        <v>15015.25</v>
      </c>
      <c r="AW193" s="4">
        <f t="shared" si="314"/>
        <v>8534.75</v>
      </c>
      <c r="AX193" s="4">
        <f t="shared" si="319"/>
        <v>588.75</v>
      </c>
      <c r="AY193" s="4">
        <f t="shared" si="315"/>
        <v>15604</v>
      </c>
      <c r="AZ193" s="4">
        <f t="shared" si="316"/>
        <v>7946</v>
      </c>
      <c r="BA193" s="22">
        <f t="shared" si="320"/>
        <v>588.75</v>
      </c>
      <c r="BB193" s="4">
        <f t="shared" si="317"/>
        <v>16192.75</v>
      </c>
      <c r="BC193" s="4">
        <f t="shared" si="318"/>
        <v>7357.25</v>
      </c>
      <c r="BF193" s="22">
        <v>588.75</v>
      </c>
      <c r="BG193" s="4">
        <f t="shared" si="269"/>
        <v>0</v>
      </c>
    </row>
    <row r="194" spans="1:59" x14ac:dyDescent="0.35">
      <c r="A194" s="3" t="s">
        <v>266</v>
      </c>
      <c r="B194" s="3" t="s">
        <v>85</v>
      </c>
      <c r="C194" s="4">
        <v>24210</v>
      </c>
      <c r="D194" s="4" t="s">
        <v>80</v>
      </c>
      <c r="E194" s="2">
        <v>40</v>
      </c>
      <c r="F194" s="4"/>
      <c r="G194" s="4">
        <v>3328</v>
      </c>
      <c r="H194" s="4">
        <v>605</v>
      </c>
      <c r="I194" s="4">
        <f t="shared" si="278"/>
        <v>3933</v>
      </c>
      <c r="J194" s="4">
        <f t="shared" si="279"/>
        <v>605</v>
      </c>
      <c r="K194" s="4">
        <f t="shared" si="280"/>
        <v>4538</v>
      </c>
      <c r="L194" s="4">
        <f t="shared" si="281"/>
        <v>605</v>
      </c>
      <c r="M194" s="4">
        <f t="shared" si="282"/>
        <v>5143</v>
      </c>
      <c r="N194" s="4">
        <f t="shared" si="283"/>
        <v>605</v>
      </c>
      <c r="O194" s="4">
        <f t="shared" si="284"/>
        <v>5748</v>
      </c>
      <c r="P194" s="4">
        <f t="shared" si="285"/>
        <v>605.25</v>
      </c>
      <c r="Q194" s="4">
        <f t="shared" si="286"/>
        <v>6353.25</v>
      </c>
      <c r="R194" s="4">
        <f t="shared" si="287"/>
        <v>605.25</v>
      </c>
      <c r="S194" s="4">
        <f t="shared" si="288"/>
        <v>6958.5</v>
      </c>
      <c r="T194" s="4">
        <f t="shared" si="289"/>
        <v>605.25</v>
      </c>
      <c r="U194" s="4">
        <f t="shared" si="290"/>
        <v>7563.75</v>
      </c>
      <c r="V194" s="4">
        <f t="shared" si="291"/>
        <v>605.25</v>
      </c>
      <c r="W194" s="4">
        <f t="shared" si="292"/>
        <v>8169</v>
      </c>
      <c r="X194" s="4">
        <f t="shared" si="293"/>
        <v>605.25</v>
      </c>
      <c r="Y194" s="4">
        <f t="shared" si="294"/>
        <v>8774.25</v>
      </c>
      <c r="Z194" s="4">
        <f t="shared" si="295"/>
        <v>605.25</v>
      </c>
      <c r="AA194" s="4">
        <f t="shared" si="296"/>
        <v>9379.5</v>
      </c>
      <c r="AB194" s="4">
        <f t="shared" si="297"/>
        <v>605.25</v>
      </c>
      <c r="AC194" s="4">
        <f t="shared" si="298"/>
        <v>9984.75</v>
      </c>
      <c r="AD194" s="3">
        <f t="shared" si="299"/>
        <v>605.25</v>
      </c>
      <c r="AE194" s="4">
        <f t="shared" si="300"/>
        <v>10590</v>
      </c>
      <c r="AF194" s="3">
        <f t="shared" si="301"/>
        <v>605.25</v>
      </c>
      <c r="AG194" s="5">
        <f t="shared" si="302"/>
        <v>11195.25</v>
      </c>
      <c r="AH194" s="3">
        <f t="shared" si="303"/>
        <v>605.25</v>
      </c>
      <c r="AI194" s="5">
        <f t="shared" si="304"/>
        <v>11800.5</v>
      </c>
      <c r="AJ194" s="3">
        <f t="shared" si="305"/>
        <v>605.25</v>
      </c>
      <c r="AK194" s="3">
        <f t="shared" si="306"/>
        <v>12405.75</v>
      </c>
      <c r="AL194" s="3">
        <f t="shared" si="307"/>
        <v>605.25</v>
      </c>
      <c r="AM194" s="4">
        <f t="shared" si="308"/>
        <v>13011</v>
      </c>
      <c r="AN194" s="4">
        <f t="shared" si="309"/>
        <v>11199</v>
      </c>
      <c r="AO194" s="21">
        <f t="shared" si="310"/>
        <v>605.25</v>
      </c>
      <c r="AP194" s="4">
        <f t="shared" si="311"/>
        <v>13616.25</v>
      </c>
      <c r="AQ194" s="4">
        <v>10593.75</v>
      </c>
      <c r="AR194" s="21">
        <v>605.25</v>
      </c>
      <c r="AS194" s="19">
        <v>14221.5</v>
      </c>
      <c r="AT194" s="4">
        <v>9988.5</v>
      </c>
      <c r="AU194" s="21">
        <f t="shared" si="312"/>
        <v>605.25</v>
      </c>
      <c r="AV194" s="19">
        <f t="shared" si="313"/>
        <v>14826.75</v>
      </c>
      <c r="AW194" s="4">
        <f t="shared" si="314"/>
        <v>9383.25</v>
      </c>
      <c r="AX194" s="4">
        <f t="shared" si="319"/>
        <v>605.25</v>
      </c>
      <c r="AY194" s="4">
        <f t="shared" si="315"/>
        <v>15432</v>
      </c>
      <c r="AZ194" s="4">
        <f t="shared" si="316"/>
        <v>8778</v>
      </c>
      <c r="BA194" s="22">
        <f t="shared" si="320"/>
        <v>605.25</v>
      </c>
      <c r="BB194" s="4">
        <f t="shared" si="317"/>
        <v>16037.25</v>
      </c>
      <c r="BC194" s="4">
        <f t="shared" si="318"/>
        <v>8172.75</v>
      </c>
      <c r="BF194" s="22">
        <v>605.25</v>
      </c>
      <c r="BG194" s="4">
        <f t="shared" si="269"/>
        <v>0</v>
      </c>
    </row>
    <row r="195" spans="1:59" x14ac:dyDescent="0.35">
      <c r="A195" s="3" t="s">
        <v>266</v>
      </c>
      <c r="B195" s="3" t="s">
        <v>86</v>
      </c>
      <c r="C195" s="4">
        <v>22140</v>
      </c>
      <c r="D195" s="4" t="s">
        <v>80</v>
      </c>
      <c r="E195" s="2">
        <v>40</v>
      </c>
      <c r="F195" s="4"/>
      <c r="G195" s="4">
        <v>2493</v>
      </c>
      <c r="H195" s="4">
        <v>554</v>
      </c>
      <c r="I195" s="4">
        <f t="shared" si="278"/>
        <v>3047</v>
      </c>
      <c r="J195" s="4">
        <f t="shared" si="279"/>
        <v>554</v>
      </c>
      <c r="K195" s="4">
        <f t="shared" si="280"/>
        <v>3601</v>
      </c>
      <c r="L195" s="4">
        <f t="shared" si="281"/>
        <v>554</v>
      </c>
      <c r="M195" s="4">
        <f t="shared" si="282"/>
        <v>4155</v>
      </c>
      <c r="N195" s="4">
        <f t="shared" si="283"/>
        <v>554</v>
      </c>
      <c r="O195" s="4">
        <f t="shared" si="284"/>
        <v>4709</v>
      </c>
      <c r="P195" s="4">
        <f t="shared" si="285"/>
        <v>553.5</v>
      </c>
      <c r="Q195" s="4">
        <f t="shared" si="286"/>
        <v>5262.5</v>
      </c>
      <c r="R195" s="4">
        <f t="shared" si="287"/>
        <v>553.5</v>
      </c>
      <c r="S195" s="4">
        <f t="shared" si="288"/>
        <v>5816</v>
      </c>
      <c r="T195" s="4">
        <f t="shared" si="289"/>
        <v>553.5</v>
      </c>
      <c r="U195" s="4">
        <f t="shared" si="290"/>
        <v>6369.5</v>
      </c>
      <c r="V195" s="4">
        <f t="shared" si="291"/>
        <v>553.5</v>
      </c>
      <c r="W195" s="4">
        <f t="shared" si="292"/>
        <v>6923</v>
      </c>
      <c r="X195" s="4">
        <f t="shared" si="293"/>
        <v>553.5</v>
      </c>
      <c r="Y195" s="4">
        <f t="shared" si="294"/>
        <v>7476.5</v>
      </c>
      <c r="Z195" s="4">
        <f t="shared" si="295"/>
        <v>553.5</v>
      </c>
      <c r="AA195" s="4">
        <f t="shared" si="296"/>
        <v>8030</v>
      </c>
      <c r="AB195" s="4">
        <f t="shared" si="297"/>
        <v>553.5</v>
      </c>
      <c r="AC195" s="4">
        <f t="shared" si="298"/>
        <v>8583.5</v>
      </c>
      <c r="AD195" s="3">
        <f t="shared" si="299"/>
        <v>553.5</v>
      </c>
      <c r="AE195" s="4">
        <f t="shared" si="300"/>
        <v>9137</v>
      </c>
      <c r="AF195" s="3">
        <f t="shared" si="301"/>
        <v>553.5</v>
      </c>
      <c r="AG195" s="5">
        <f t="shared" si="302"/>
        <v>9690.5</v>
      </c>
      <c r="AH195" s="3">
        <f t="shared" si="303"/>
        <v>553.5</v>
      </c>
      <c r="AI195" s="5">
        <f t="shared" si="304"/>
        <v>10244</v>
      </c>
      <c r="AJ195" s="3">
        <f t="shared" si="305"/>
        <v>553.5</v>
      </c>
      <c r="AK195" s="3">
        <f t="shared" si="306"/>
        <v>10797.5</v>
      </c>
      <c r="AL195" s="3">
        <f t="shared" si="307"/>
        <v>553.5</v>
      </c>
      <c r="AM195" s="4">
        <f t="shared" si="308"/>
        <v>11351</v>
      </c>
      <c r="AN195" s="4">
        <f t="shared" si="309"/>
        <v>10789</v>
      </c>
      <c r="AO195" s="21">
        <f t="shared" si="310"/>
        <v>553.5</v>
      </c>
      <c r="AP195" s="4">
        <f t="shared" si="311"/>
        <v>11904.5</v>
      </c>
      <c r="AQ195" s="4">
        <v>10235.5</v>
      </c>
      <c r="AR195" s="21">
        <v>553.5</v>
      </c>
      <c r="AS195" s="19">
        <v>12458</v>
      </c>
      <c r="AT195" s="4">
        <v>9682</v>
      </c>
      <c r="AU195" s="21">
        <f t="shared" si="312"/>
        <v>553.5</v>
      </c>
      <c r="AV195" s="19">
        <f t="shared" si="313"/>
        <v>13011.5</v>
      </c>
      <c r="AW195" s="4">
        <f t="shared" si="314"/>
        <v>9128.5</v>
      </c>
      <c r="AX195" s="4">
        <f t="shared" si="319"/>
        <v>553.5</v>
      </c>
      <c r="AY195" s="4">
        <f t="shared" si="315"/>
        <v>13565</v>
      </c>
      <c r="AZ195" s="4">
        <f t="shared" si="316"/>
        <v>8575</v>
      </c>
      <c r="BA195" s="22">
        <f t="shared" si="320"/>
        <v>553.5</v>
      </c>
      <c r="BB195" s="4">
        <f t="shared" si="317"/>
        <v>14118.5</v>
      </c>
      <c r="BC195" s="4">
        <f t="shared" si="318"/>
        <v>8021.5</v>
      </c>
      <c r="BF195" s="22">
        <v>553.5</v>
      </c>
      <c r="BG195" s="4">
        <f t="shared" si="269"/>
        <v>0</v>
      </c>
    </row>
    <row r="196" spans="1:59" x14ac:dyDescent="0.35">
      <c r="A196" s="3" t="s">
        <v>266</v>
      </c>
      <c r="B196" s="3" t="s">
        <v>88</v>
      </c>
      <c r="C196" s="4">
        <v>23625</v>
      </c>
      <c r="D196" s="4" t="s">
        <v>80</v>
      </c>
      <c r="E196" s="2">
        <v>40</v>
      </c>
      <c r="F196" s="4"/>
      <c r="G196" s="4">
        <v>2068</v>
      </c>
      <c r="H196" s="4">
        <v>591</v>
      </c>
      <c r="I196" s="4">
        <f t="shared" si="278"/>
        <v>2659</v>
      </c>
      <c r="J196" s="4">
        <f t="shared" si="279"/>
        <v>591</v>
      </c>
      <c r="K196" s="4">
        <f t="shared" si="280"/>
        <v>3250</v>
      </c>
      <c r="L196" s="4">
        <f t="shared" si="281"/>
        <v>591</v>
      </c>
      <c r="M196" s="4">
        <f t="shared" si="282"/>
        <v>3841</v>
      </c>
      <c r="N196" s="4">
        <f t="shared" si="283"/>
        <v>591</v>
      </c>
      <c r="O196" s="4">
        <f t="shared" si="284"/>
        <v>4432</v>
      </c>
      <c r="P196" s="4">
        <f t="shared" si="285"/>
        <v>590.625</v>
      </c>
      <c r="Q196" s="4">
        <f t="shared" si="286"/>
        <v>5022.625</v>
      </c>
      <c r="R196" s="4">
        <f t="shared" si="287"/>
        <v>590.625</v>
      </c>
      <c r="S196" s="4">
        <f t="shared" si="288"/>
        <v>5613.25</v>
      </c>
      <c r="T196" s="4">
        <f t="shared" si="289"/>
        <v>590.625</v>
      </c>
      <c r="U196" s="4">
        <f t="shared" si="290"/>
        <v>6203.875</v>
      </c>
      <c r="V196" s="4">
        <f t="shared" si="291"/>
        <v>590.625</v>
      </c>
      <c r="W196" s="4">
        <f t="shared" si="292"/>
        <v>6794.5</v>
      </c>
      <c r="X196" s="4">
        <f t="shared" si="293"/>
        <v>590.625</v>
      </c>
      <c r="Y196" s="4">
        <f t="shared" si="294"/>
        <v>7385.125</v>
      </c>
      <c r="Z196" s="4">
        <f t="shared" si="295"/>
        <v>590.625</v>
      </c>
      <c r="AA196" s="4">
        <f t="shared" si="296"/>
        <v>7975.75</v>
      </c>
      <c r="AB196" s="4">
        <f t="shared" si="297"/>
        <v>590.625</v>
      </c>
      <c r="AC196" s="4">
        <f t="shared" si="298"/>
        <v>8566.375</v>
      </c>
      <c r="AD196" s="3">
        <f t="shared" si="299"/>
        <v>590.625</v>
      </c>
      <c r="AE196" s="4">
        <f t="shared" si="300"/>
        <v>9157</v>
      </c>
      <c r="AF196" s="3">
        <f t="shared" si="301"/>
        <v>590.625</v>
      </c>
      <c r="AG196" s="5">
        <f t="shared" si="302"/>
        <v>9747.625</v>
      </c>
      <c r="AH196" s="3">
        <f t="shared" si="303"/>
        <v>590.625</v>
      </c>
      <c r="AI196" s="5">
        <f t="shared" si="304"/>
        <v>10338.25</v>
      </c>
      <c r="AJ196" s="3">
        <f t="shared" si="305"/>
        <v>590.625</v>
      </c>
      <c r="AK196" s="3">
        <f t="shared" si="306"/>
        <v>10928.875</v>
      </c>
      <c r="AL196" s="3">
        <f t="shared" si="307"/>
        <v>590.625</v>
      </c>
      <c r="AM196" s="4">
        <f t="shared" si="308"/>
        <v>11519.5</v>
      </c>
      <c r="AN196" s="4">
        <f t="shared" si="309"/>
        <v>12105.5</v>
      </c>
      <c r="AO196" s="21">
        <f t="shared" si="310"/>
        <v>590.625</v>
      </c>
      <c r="AP196" s="4">
        <f t="shared" si="311"/>
        <v>12110.125</v>
      </c>
      <c r="AQ196" s="4">
        <v>11514.875</v>
      </c>
      <c r="AR196" s="21">
        <v>590.625</v>
      </c>
      <c r="AS196" s="19">
        <v>12700.75</v>
      </c>
      <c r="AT196" s="4">
        <v>10924.25</v>
      </c>
      <c r="AU196" s="21">
        <f t="shared" si="312"/>
        <v>590.625</v>
      </c>
      <c r="AV196" s="19">
        <f t="shared" si="313"/>
        <v>13291.375</v>
      </c>
      <c r="AW196" s="4">
        <f t="shared" si="314"/>
        <v>10333.625</v>
      </c>
      <c r="AX196" s="4">
        <f t="shared" si="319"/>
        <v>590.625</v>
      </c>
      <c r="AY196" s="4">
        <f t="shared" si="315"/>
        <v>13882</v>
      </c>
      <c r="AZ196" s="4">
        <f t="shared" si="316"/>
        <v>9743</v>
      </c>
      <c r="BA196" s="22">
        <f t="shared" si="320"/>
        <v>590.625</v>
      </c>
      <c r="BB196" s="4">
        <f t="shared" si="317"/>
        <v>14472.625</v>
      </c>
      <c r="BC196" s="4">
        <f t="shared" si="318"/>
        <v>9152.375</v>
      </c>
      <c r="BF196" s="22">
        <v>590.625</v>
      </c>
      <c r="BG196" s="4">
        <f t="shared" si="269"/>
        <v>0</v>
      </c>
    </row>
    <row r="197" spans="1:59" x14ac:dyDescent="0.35">
      <c r="A197" s="3" t="s">
        <v>266</v>
      </c>
      <c r="B197" s="3" t="s">
        <v>50</v>
      </c>
      <c r="C197" s="4">
        <v>26730</v>
      </c>
      <c r="D197" s="4" t="s">
        <v>80</v>
      </c>
      <c r="E197" s="2">
        <v>40</v>
      </c>
      <c r="F197" s="4"/>
      <c r="G197" s="4">
        <v>1670</v>
      </c>
      <c r="H197" s="4">
        <v>668</v>
      </c>
      <c r="I197" s="4">
        <f t="shared" si="278"/>
        <v>2338</v>
      </c>
      <c r="J197" s="4">
        <f t="shared" si="279"/>
        <v>668</v>
      </c>
      <c r="K197" s="4">
        <f t="shared" si="280"/>
        <v>3006</v>
      </c>
      <c r="L197" s="4">
        <f t="shared" si="281"/>
        <v>668</v>
      </c>
      <c r="M197" s="4">
        <f t="shared" si="282"/>
        <v>3674</v>
      </c>
      <c r="N197" s="4">
        <f t="shared" si="283"/>
        <v>668</v>
      </c>
      <c r="O197" s="4">
        <f t="shared" si="284"/>
        <v>4342</v>
      </c>
      <c r="P197" s="4">
        <f t="shared" si="285"/>
        <v>668.25</v>
      </c>
      <c r="Q197" s="4">
        <f t="shared" si="286"/>
        <v>5010.25</v>
      </c>
      <c r="R197" s="4">
        <f t="shared" si="287"/>
        <v>668.25</v>
      </c>
      <c r="S197" s="4">
        <f t="shared" si="288"/>
        <v>5678.5</v>
      </c>
      <c r="T197" s="4">
        <f t="shared" si="289"/>
        <v>668.25</v>
      </c>
      <c r="U197" s="4">
        <f t="shared" si="290"/>
        <v>6346.75</v>
      </c>
      <c r="V197" s="4">
        <f t="shared" si="291"/>
        <v>668.25</v>
      </c>
      <c r="W197" s="4">
        <f t="shared" si="292"/>
        <v>7015</v>
      </c>
      <c r="X197" s="4">
        <f t="shared" si="293"/>
        <v>668.25</v>
      </c>
      <c r="Y197" s="4">
        <f t="shared" si="294"/>
        <v>7683.25</v>
      </c>
      <c r="Z197" s="4">
        <f t="shared" si="295"/>
        <v>668.25</v>
      </c>
      <c r="AA197" s="4">
        <f t="shared" si="296"/>
        <v>8351.5</v>
      </c>
      <c r="AB197" s="4">
        <f t="shared" si="297"/>
        <v>668.25</v>
      </c>
      <c r="AC197" s="4">
        <f t="shared" si="298"/>
        <v>9019.75</v>
      </c>
      <c r="AD197" s="3">
        <f t="shared" si="299"/>
        <v>668.25</v>
      </c>
      <c r="AE197" s="4">
        <f t="shared" si="300"/>
        <v>9688</v>
      </c>
      <c r="AF197" s="3">
        <f t="shared" si="301"/>
        <v>668.25</v>
      </c>
      <c r="AG197" s="5">
        <f t="shared" si="302"/>
        <v>10356.25</v>
      </c>
      <c r="AH197" s="3">
        <f t="shared" si="303"/>
        <v>668.25</v>
      </c>
      <c r="AI197" s="5">
        <f t="shared" si="304"/>
        <v>11024.5</v>
      </c>
      <c r="AJ197" s="3">
        <f t="shared" si="305"/>
        <v>668.25</v>
      </c>
      <c r="AK197" s="3">
        <f t="shared" si="306"/>
        <v>11692.75</v>
      </c>
      <c r="AL197" s="3">
        <f t="shared" si="307"/>
        <v>668.25</v>
      </c>
      <c r="AM197" s="4">
        <f t="shared" si="308"/>
        <v>12361</v>
      </c>
      <c r="AN197" s="4">
        <f t="shared" si="309"/>
        <v>14369</v>
      </c>
      <c r="AO197" s="21">
        <f t="shared" si="310"/>
        <v>668.25</v>
      </c>
      <c r="AP197" s="4">
        <f t="shared" si="311"/>
        <v>13029.25</v>
      </c>
      <c r="AQ197" s="4">
        <v>13700.75</v>
      </c>
      <c r="AR197" s="21">
        <v>668.25</v>
      </c>
      <c r="AS197" s="19">
        <v>13697.5</v>
      </c>
      <c r="AT197" s="4">
        <v>13032.5</v>
      </c>
      <c r="AU197" s="21">
        <f t="shared" si="312"/>
        <v>668.25</v>
      </c>
      <c r="AV197" s="19">
        <f t="shared" si="313"/>
        <v>14365.75</v>
      </c>
      <c r="AW197" s="4">
        <f t="shared" si="314"/>
        <v>12364.25</v>
      </c>
      <c r="AX197" s="4">
        <f t="shared" si="319"/>
        <v>668.25</v>
      </c>
      <c r="AY197" s="4">
        <f t="shared" si="315"/>
        <v>15034</v>
      </c>
      <c r="AZ197" s="4">
        <f t="shared" si="316"/>
        <v>11696</v>
      </c>
      <c r="BA197" s="22">
        <f t="shared" si="320"/>
        <v>668.25</v>
      </c>
      <c r="BB197" s="4">
        <f t="shared" si="317"/>
        <v>15702.25</v>
      </c>
      <c r="BC197" s="4">
        <f t="shared" si="318"/>
        <v>11027.75</v>
      </c>
      <c r="BF197" s="22">
        <v>668.25</v>
      </c>
      <c r="BG197" s="4">
        <f t="shared" si="269"/>
        <v>0</v>
      </c>
    </row>
    <row r="198" spans="1:59" x14ac:dyDescent="0.35">
      <c r="A198" s="3" t="s">
        <v>266</v>
      </c>
      <c r="B198" s="3" t="s">
        <v>198</v>
      </c>
      <c r="C198" s="4">
        <v>26520</v>
      </c>
      <c r="D198" s="4" t="s">
        <v>80</v>
      </c>
      <c r="E198" s="2">
        <v>40</v>
      </c>
      <c r="F198" s="4"/>
      <c r="G198" s="4">
        <v>995</v>
      </c>
      <c r="H198" s="4">
        <v>663</v>
      </c>
      <c r="I198" s="4">
        <f t="shared" si="278"/>
        <v>1658</v>
      </c>
      <c r="J198" s="4">
        <f t="shared" si="279"/>
        <v>663</v>
      </c>
      <c r="K198" s="4">
        <f t="shared" si="280"/>
        <v>2321</v>
      </c>
      <c r="L198" s="4">
        <f t="shared" si="281"/>
        <v>663</v>
      </c>
      <c r="M198" s="4">
        <f t="shared" si="282"/>
        <v>2984</v>
      </c>
      <c r="N198" s="4">
        <f t="shared" si="283"/>
        <v>663</v>
      </c>
      <c r="O198" s="4">
        <f t="shared" si="284"/>
        <v>3647</v>
      </c>
      <c r="P198" s="4">
        <f t="shared" si="285"/>
        <v>663</v>
      </c>
      <c r="Q198" s="4">
        <f t="shared" si="286"/>
        <v>4310</v>
      </c>
      <c r="R198" s="4">
        <f t="shared" si="287"/>
        <v>663</v>
      </c>
      <c r="S198" s="4">
        <f t="shared" si="288"/>
        <v>4973</v>
      </c>
      <c r="T198" s="4">
        <f t="shared" si="289"/>
        <v>663</v>
      </c>
      <c r="U198" s="4">
        <f t="shared" si="290"/>
        <v>5636</v>
      </c>
      <c r="V198" s="4">
        <f t="shared" si="291"/>
        <v>663</v>
      </c>
      <c r="W198" s="4">
        <f t="shared" si="292"/>
        <v>6299</v>
      </c>
      <c r="X198" s="4">
        <f t="shared" si="293"/>
        <v>663</v>
      </c>
      <c r="Y198" s="4">
        <f t="shared" si="294"/>
        <v>6962</v>
      </c>
      <c r="Z198" s="4">
        <f t="shared" si="295"/>
        <v>663</v>
      </c>
      <c r="AA198" s="4">
        <f t="shared" si="296"/>
        <v>7625</v>
      </c>
      <c r="AB198" s="4">
        <f t="shared" si="297"/>
        <v>663</v>
      </c>
      <c r="AC198" s="4">
        <f t="shared" si="298"/>
        <v>8288</v>
      </c>
      <c r="AD198" s="3">
        <f t="shared" si="299"/>
        <v>663</v>
      </c>
      <c r="AE198" s="4">
        <f t="shared" si="300"/>
        <v>8951</v>
      </c>
      <c r="AF198" s="3">
        <f t="shared" si="301"/>
        <v>663</v>
      </c>
      <c r="AG198" s="5">
        <f t="shared" si="302"/>
        <v>9614</v>
      </c>
      <c r="AH198" s="3">
        <f t="shared" si="303"/>
        <v>663</v>
      </c>
      <c r="AI198" s="5">
        <f t="shared" si="304"/>
        <v>10277</v>
      </c>
      <c r="AJ198" s="3">
        <f t="shared" si="305"/>
        <v>663</v>
      </c>
      <c r="AK198" s="3">
        <f t="shared" si="306"/>
        <v>10940</v>
      </c>
      <c r="AL198" s="3">
        <f t="shared" si="307"/>
        <v>663</v>
      </c>
      <c r="AM198" s="4">
        <f t="shared" si="308"/>
        <v>11603</v>
      </c>
      <c r="AN198" s="4">
        <f t="shared" si="309"/>
        <v>14917</v>
      </c>
      <c r="AO198" s="21">
        <f t="shared" si="310"/>
        <v>663</v>
      </c>
      <c r="AP198" s="4">
        <f t="shared" si="311"/>
        <v>12266</v>
      </c>
      <c r="AQ198" s="4">
        <v>14254</v>
      </c>
      <c r="AR198" s="21">
        <v>663</v>
      </c>
      <c r="AS198" s="19">
        <v>12929</v>
      </c>
      <c r="AT198" s="4">
        <v>13591</v>
      </c>
      <c r="AU198" s="21">
        <f t="shared" si="312"/>
        <v>663</v>
      </c>
      <c r="AV198" s="19">
        <f t="shared" si="313"/>
        <v>13592</v>
      </c>
      <c r="AW198" s="4">
        <f t="shared" si="314"/>
        <v>12928</v>
      </c>
      <c r="AX198" s="4">
        <f t="shared" si="319"/>
        <v>663</v>
      </c>
      <c r="AY198" s="4">
        <f t="shared" si="315"/>
        <v>14255</v>
      </c>
      <c r="AZ198" s="4">
        <f t="shared" si="316"/>
        <v>12265</v>
      </c>
      <c r="BA198" s="22">
        <f t="shared" si="320"/>
        <v>663</v>
      </c>
      <c r="BB198" s="4">
        <f t="shared" si="317"/>
        <v>14918</v>
      </c>
      <c r="BC198" s="4">
        <f t="shared" si="318"/>
        <v>11602</v>
      </c>
      <c r="BF198" s="22">
        <v>663</v>
      </c>
      <c r="BG198" s="4">
        <f t="shared" si="269"/>
        <v>0</v>
      </c>
    </row>
    <row r="199" spans="1:59" x14ac:dyDescent="0.35">
      <c r="A199" s="3" t="s">
        <v>266</v>
      </c>
      <c r="B199" s="3" t="s">
        <v>199</v>
      </c>
      <c r="C199" s="4">
        <v>25125</v>
      </c>
      <c r="D199" s="4" t="s">
        <v>80</v>
      </c>
      <c r="E199" s="2">
        <v>40</v>
      </c>
      <c r="F199" s="4"/>
      <c r="G199" s="4">
        <v>314</v>
      </c>
      <c r="H199" s="4">
        <v>628</v>
      </c>
      <c r="I199" s="4">
        <f t="shared" si="278"/>
        <v>942</v>
      </c>
      <c r="J199" s="4">
        <f t="shared" si="279"/>
        <v>628</v>
      </c>
      <c r="K199" s="4">
        <f t="shared" si="280"/>
        <v>1570</v>
      </c>
      <c r="L199" s="4">
        <f t="shared" si="281"/>
        <v>628</v>
      </c>
      <c r="M199" s="4">
        <f t="shared" si="282"/>
        <v>2198</v>
      </c>
      <c r="N199" s="4">
        <f t="shared" si="283"/>
        <v>628</v>
      </c>
      <c r="O199" s="4">
        <f t="shared" si="284"/>
        <v>2826</v>
      </c>
      <c r="P199" s="4">
        <f t="shared" si="285"/>
        <v>628.125</v>
      </c>
      <c r="Q199" s="4">
        <f t="shared" si="286"/>
        <v>3454.125</v>
      </c>
      <c r="R199" s="4">
        <f t="shared" si="287"/>
        <v>628.125</v>
      </c>
      <c r="S199" s="4">
        <f t="shared" si="288"/>
        <v>4082.25</v>
      </c>
      <c r="T199" s="4">
        <f t="shared" si="289"/>
        <v>628.125</v>
      </c>
      <c r="U199" s="4">
        <f t="shared" si="290"/>
        <v>4710.375</v>
      </c>
      <c r="V199" s="4">
        <f t="shared" si="291"/>
        <v>628.125</v>
      </c>
      <c r="W199" s="4">
        <f t="shared" si="292"/>
        <v>5338.5</v>
      </c>
      <c r="X199" s="4">
        <f t="shared" si="293"/>
        <v>628.125</v>
      </c>
      <c r="Y199" s="4">
        <f t="shared" si="294"/>
        <v>5966.625</v>
      </c>
      <c r="Z199" s="4">
        <f t="shared" si="295"/>
        <v>628.125</v>
      </c>
      <c r="AA199" s="4">
        <f t="shared" si="296"/>
        <v>6594.75</v>
      </c>
      <c r="AB199" s="4">
        <f t="shared" si="297"/>
        <v>628.125</v>
      </c>
      <c r="AC199" s="4">
        <f t="shared" si="298"/>
        <v>7222.875</v>
      </c>
      <c r="AD199" s="3">
        <f t="shared" si="299"/>
        <v>628.125</v>
      </c>
      <c r="AE199" s="4">
        <f t="shared" si="300"/>
        <v>7851</v>
      </c>
      <c r="AF199" s="3">
        <f t="shared" si="301"/>
        <v>628.125</v>
      </c>
      <c r="AG199" s="5">
        <f t="shared" si="302"/>
        <v>8479.125</v>
      </c>
      <c r="AH199" s="3">
        <f t="shared" si="303"/>
        <v>628.125</v>
      </c>
      <c r="AI199" s="5">
        <f t="shared" si="304"/>
        <v>9107.25</v>
      </c>
      <c r="AJ199" s="3">
        <f t="shared" si="305"/>
        <v>628.125</v>
      </c>
      <c r="AK199" s="3">
        <f t="shared" si="306"/>
        <v>9735.375</v>
      </c>
      <c r="AL199" s="3">
        <f t="shared" si="307"/>
        <v>628.125</v>
      </c>
      <c r="AM199" s="4">
        <f t="shared" si="308"/>
        <v>10363.5</v>
      </c>
      <c r="AN199" s="4">
        <f t="shared" si="309"/>
        <v>14761.5</v>
      </c>
      <c r="AO199" s="21">
        <f t="shared" si="310"/>
        <v>628.125</v>
      </c>
      <c r="AP199" s="4">
        <f t="shared" si="311"/>
        <v>10991.625</v>
      </c>
      <c r="AQ199" s="4">
        <v>14133.375</v>
      </c>
      <c r="AR199" s="21">
        <v>628.125</v>
      </c>
      <c r="AS199" s="19">
        <v>11619.75</v>
      </c>
      <c r="AT199" s="4">
        <v>13505.25</v>
      </c>
      <c r="AU199" s="21">
        <f t="shared" si="312"/>
        <v>628.125</v>
      </c>
      <c r="AV199" s="19">
        <f t="shared" si="313"/>
        <v>12247.875</v>
      </c>
      <c r="AW199" s="4">
        <f t="shared" si="314"/>
        <v>12877.125</v>
      </c>
      <c r="AX199" s="4">
        <f t="shared" si="319"/>
        <v>628.125</v>
      </c>
      <c r="AY199" s="4">
        <f t="shared" si="315"/>
        <v>12876</v>
      </c>
      <c r="AZ199" s="4">
        <f t="shared" si="316"/>
        <v>12249</v>
      </c>
      <c r="BA199" s="22">
        <f t="shared" si="320"/>
        <v>628.125</v>
      </c>
      <c r="BB199" s="4">
        <f t="shared" si="317"/>
        <v>13504.125</v>
      </c>
      <c r="BC199" s="4">
        <f t="shared" si="318"/>
        <v>11620.875</v>
      </c>
      <c r="BF199" s="22">
        <v>628.125</v>
      </c>
      <c r="BG199" s="4">
        <f t="shared" si="269"/>
        <v>0</v>
      </c>
    </row>
    <row r="200" spans="1:59" x14ac:dyDescent="0.35">
      <c r="A200" s="3" t="s">
        <v>266</v>
      </c>
      <c r="B200" s="3" t="s">
        <v>200</v>
      </c>
      <c r="C200" s="4">
        <v>28920</v>
      </c>
      <c r="D200" s="4" t="s">
        <v>80</v>
      </c>
      <c r="E200" s="2">
        <v>40</v>
      </c>
      <c r="F200" s="4"/>
      <c r="G200" s="4"/>
      <c r="H200" s="4">
        <v>362</v>
      </c>
      <c r="I200" s="4">
        <f t="shared" si="278"/>
        <v>362</v>
      </c>
      <c r="J200" s="4">
        <f t="shared" si="279"/>
        <v>362</v>
      </c>
      <c r="K200" s="4">
        <f t="shared" si="280"/>
        <v>724</v>
      </c>
      <c r="L200" s="4">
        <f t="shared" si="281"/>
        <v>362</v>
      </c>
      <c r="M200" s="4">
        <f t="shared" si="282"/>
        <v>1086</v>
      </c>
      <c r="N200" s="4">
        <f t="shared" si="283"/>
        <v>362</v>
      </c>
      <c r="O200" s="4">
        <f t="shared" si="284"/>
        <v>1448</v>
      </c>
      <c r="P200" s="4">
        <f t="shared" si="285"/>
        <v>723</v>
      </c>
      <c r="Q200" s="4">
        <f t="shared" si="286"/>
        <v>2171</v>
      </c>
      <c r="R200" s="4">
        <f t="shared" si="287"/>
        <v>723</v>
      </c>
      <c r="S200" s="4">
        <f t="shared" si="288"/>
        <v>2894</v>
      </c>
      <c r="T200" s="4">
        <f t="shared" si="289"/>
        <v>723</v>
      </c>
      <c r="U200" s="4">
        <f t="shared" si="290"/>
        <v>3617</v>
      </c>
      <c r="V200" s="4">
        <f t="shared" si="291"/>
        <v>723</v>
      </c>
      <c r="W200" s="4">
        <f t="shared" si="292"/>
        <v>4340</v>
      </c>
      <c r="X200" s="4">
        <f t="shared" si="293"/>
        <v>723</v>
      </c>
      <c r="Y200" s="4">
        <f t="shared" si="294"/>
        <v>5063</v>
      </c>
      <c r="Z200" s="4">
        <f t="shared" si="295"/>
        <v>723</v>
      </c>
      <c r="AA200" s="4">
        <f t="shared" si="296"/>
        <v>5786</v>
      </c>
      <c r="AB200" s="4">
        <f t="shared" si="297"/>
        <v>723</v>
      </c>
      <c r="AC200" s="4">
        <f t="shared" si="298"/>
        <v>6509</v>
      </c>
      <c r="AD200" s="3">
        <f t="shared" si="299"/>
        <v>723</v>
      </c>
      <c r="AE200" s="4">
        <f t="shared" si="300"/>
        <v>7232</v>
      </c>
      <c r="AF200" s="3">
        <f t="shared" si="301"/>
        <v>723</v>
      </c>
      <c r="AG200" s="5">
        <f t="shared" si="302"/>
        <v>7955</v>
      </c>
      <c r="AH200" s="3">
        <f t="shared" si="303"/>
        <v>723</v>
      </c>
      <c r="AI200" s="5">
        <f t="shared" si="304"/>
        <v>8678</v>
      </c>
      <c r="AJ200" s="3">
        <f t="shared" si="305"/>
        <v>723</v>
      </c>
      <c r="AK200" s="3">
        <f t="shared" si="306"/>
        <v>9401</v>
      </c>
      <c r="AL200" s="3">
        <f t="shared" si="307"/>
        <v>723</v>
      </c>
      <c r="AM200" s="4">
        <f t="shared" si="308"/>
        <v>10124</v>
      </c>
      <c r="AN200" s="4">
        <f t="shared" si="309"/>
        <v>18796</v>
      </c>
      <c r="AO200" s="21">
        <f t="shared" si="310"/>
        <v>723</v>
      </c>
      <c r="AP200" s="4">
        <f t="shared" si="311"/>
        <v>10847</v>
      </c>
      <c r="AQ200" s="4">
        <v>18073</v>
      </c>
      <c r="AR200" s="21">
        <v>723</v>
      </c>
      <c r="AS200" s="19">
        <v>11570</v>
      </c>
      <c r="AT200" s="4">
        <v>17350</v>
      </c>
      <c r="AU200" s="21">
        <f t="shared" si="312"/>
        <v>723</v>
      </c>
      <c r="AV200" s="19">
        <f t="shared" si="313"/>
        <v>12293</v>
      </c>
      <c r="AW200" s="4">
        <f t="shared" si="314"/>
        <v>16627</v>
      </c>
      <c r="AX200" s="4">
        <f t="shared" si="319"/>
        <v>723</v>
      </c>
      <c r="AY200" s="4">
        <f t="shared" si="315"/>
        <v>13016</v>
      </c>
      <c r="AZ200" s="4">
        <f t="shared" si="316"/>
        <v>15904</v>
      </c>
      <c r="BA200" s="22">
        <f t="shared" si="320"/>
        <v>723</v>
      </c>
      <c r="BB200" s="4">
        <f t="shared" si="317"/>
        <v>13739</v>
      </c>
      <c r="BC200" s="4">
        <f t="shared" si="318"/>
        <v>15181</v>
      </c>
      <c r="BF200" s="22">
        <v>723</v>
      </c>
      <c r="BG200" s="4">
        <f t="shared" si="269"/>
        <v>0</v>
      </c>
    </row>
    <row r="201" spans="1:59" x14ac:dyDescent="0.35">
      <c r="A201" s="3" t="s">
        <v>266</v>
      </c>
      <c r="B201" s="3" t="s">
        <v>99</v>
      </c>
      <c r="C201" s="4">
        <v>32335</v>
      </c>
      <c r="D201" s="4" t="s">
        <v>80</v>
      </c>
      <c r="E201" s="2">
        <v>40</v>
      </c>
      <c r="F201" s="4"/>
      <c r="G201" s="19"/>
      <c r="H201" s="19"/>
      <c r="I201" s="19"/>
      <c r="J201" s="4">
        <f>32335/40/12*6</f>
        <v>404.1875</v>
      </c>
      <c r="K201" s="4">
        <f t="shared" si="280"/>
        <v>404.1875</v>
      </c>
      <c r="L201" s="4">
        <f>C201/E201</f>
        <v>808.375</v>
      </c>
      <c r="M201" s="4">
        <f t="shared" si="282"/>
        <v>1212.5625</v>
      </c>
      <c r="N201" s="4">
        <f t="shared" si="283"/>
        <v>808.375</v>
      </c>
      <c r="O201" s="4">
        <f t="shared" si="284"/>
        <v>2020.9375</v>
      </c>
      <c r="P201" s="4">
        <f t="shared" si="285"/>
        <v>808.375</v>
      </c>
      <c r="Q201" s="4">
        <f t="shared" si="286"/>
        <v>2829.3125</v>
      </c>
      <c r="R201" s="4">
        <f t="shared" si="287"/>
        <v>808.375</v>
      </c>
      <c r="S201" s="4">
        <f t="shared" si="288"/>
        <v>3637.6875</v>
      </c>
      <c r="T201" s="4">
        <f t="shared" si="289"/>
        <v>808.375</v>
      </c>
      <c r="U201" s="4">
        <f t="shared" si="290"/>
        <v>4446.0625</v>
      </c>
      <c r="V201" s="4">
        <f t="shared" si="291"/>
        <v>808.375</v>
      </c>
      <c r="W201" s="4">
        <f t="shared" si="292"/>
        <v>5254.4375</v>
      </c>
      <c r="X201" s="4">
        <f t="shared" si="293"/>
        <v>808.375</v>
      </c>
      <c r="Y201" s="4">
        <f t="shared" si="294"/>
        <v>6062.8125</v>
      </c>
      <c r="Z201" s="4">
        <f t="shared" si="295"/>
        <v>808.375</v>
      </c>
      <c r="AA201" s="4">
        <f t="shared" si="296"/>
        <v>6871.1875</v>
      </c>
      <c r="AB201" s="4">
        <f t="shared" si="297"/>
        <v>808.375</v>
      </c>
      <c r="AC201" s="4">
        <f t="shared" si="298"/>
        <v>7679.5625</v>
      </c>
      <c r="AD201" s="3">
        <f t="shared" si="299"/>
        <v>808.375</v>
      </c>
      <c r="AE201" s="4">
        <f t="shared" si="300"/>
        <v>8487.9375</v>
      </c>
      <c r="AF201" s="3">
        <f t="shared" si="301"/>
        <v>808.375</v>
      </c>
      <c r="AG201" s="5">
        <f t="shared" si="302"/>
        <v>9296.3125</v>
      </c>
      <c r="AH201" s="3">
        <f t="shared" si="303"/>
        <v>808.375</v>
      </c>
      <c r="AI201" s="5">
        <f t="shared" si="304"/>
        <v>10104.6875</v>
      </c>
      <c r="AJ201" s="3">
        <f t="shared" si="305"/>
        <v>808.375</v>
      </c>
      <c r="AK201" s="3">
        <f t="shared" si="306"/>
        <v>10913.0625</v>
      </c>
      <c r="AL201" s="3">
        <f t="shared" si="307"/>
        <v>808.375</v>
      </c>
      <c r="AM201" s="4">
        <f t="shared" si="308"/>
        <v>11721.4375</v>
      </c>
      <c r="AN201" s="4">
        <f t="shared" si="309"/>
        <v>20613.5625</v>
      </c>
      <c r="AO201" s="21">
        <f t="shared" si="310"/>
        <v>808.375</v>
      </c>
      <c r="AP201" s="4">
        <f t="shared" si="311"/>
        <v>12529.8125</v>
      </c>
      <c r="AQ201" s="4">
        <v>19805.1875</v>
      </c>
      <c r="AR201" s="21">
        <v>808.375</v>
      </c>
      <c r="AS201" s="19">
        <v>13338.1875</v>
      </c>
      <c r="AT201" s="4">
        <v>18996.8125</v>
      </c>
      <c r="AU201" s="21">
        <f t="shared" si="312"/>
        <v>808.375</v>
      </c>
      <c r="AV201" s="19">
        <f t="shared" si="313"/>
        <v>14146.5625</v>
      </c>
      <c r="AW201" s="4">
        <f t="shared" si="314"/>
        <v>18188.4375</v>
      </c>
      <c r="AX201" s="4">
        <f t="shared" si="319"/>
        <v>808.375</v>
      </c>
      <c r="AY201" s="4">
        <f t="shared" si="315"/>
        <v>14954.9375</v>
      </c>
      <c r="AZ201" s="4">
        <f t="shared" si="316"/>
        <v>17380.0625</v>
      </c>
      <c r="BA201" s="22">
        <f t="shared" si="320"/>
        <v>808.375</v>
      </c>
      <c r="BB201" s="4">
        <f t="shared" si="317"/>
        <v>15763.3125</v>
      </c>
      <c r="BC201" s="4">
        <f t="shared" si="318"/>
        <v>16571.6875</v>
      </c>
      <c r="BF201" s="22">
        <v>808.375</v>
      </c>
      <c r="BG201" s="4">
        <f t="shared" si="269"/>
        <v>0</v>
      </c>
    </row>
    <row r="202" spans="1:59" x14ac:dyDescent="0.35">
      <c r="A202" s="3" t="s">
        <v>266</v>
      </c>
      <c r="B202" s="3" t="s">
        <v>205</v>
      </c>
      <c r="C202" s="4">
        <v>24077</v>
      </c>
      <c r="D202" s="4" t="s">
        <v>80</v>
      </c>
      <c r="E202" s="2">
        <v>40</v>
      </c>
      <c r="F202" s="4"/>
      <c r="G202" s="19"/>
      <c r="H202" s="19"/>
      <c r="I202" s="19"/>
      <c r="J202" s="4"/>
      <c r="K202" s="4"/>
      <c r="L202" s="4">
        <f>24077/40*0.5</f>
        <v>300.96249999999998</v>
      </c>
      <c r="M202" s="4">
        <f t="shared" si="282"/>
        <v>300.96249999999998</v>
      </c>
      <c r="N202" s="4">
        <f>24077/40</f>
        <v>601.92499999999995</v>
      </c>
      <c r="O202" s="4">
        <f t="shared" si="284"/>
        <v>902.88749999999993</v>
      </c>
      <c r="P202" s="4">
        <f t="shared" si="285"/>
        <v>601.92499999999995</v>
      </c>
      <c r="Q202" s="4">
        <f t="shared" si="286"/>
        <v>1504.8125</v>
      </c>
      <c r="R202" s="4">
        <f t="shared" si="287"/>
        <v>601.92499999999995</v>
      </c>
      <c r="S202" s="4">
        <f t="shared" si="288"/>
        <v>2106.7375000000002</v>
      </c>
      <c r="T202" s="4">
        <f t="shared" si="289"/>
        <v>601.92499999999995</v>
      </c>
      <c r="U202" s="4">
        <f t="shared" si="290"/>
        <v>2708.6625000000004</v>
      </c>
      <c r="V202" s="4">
        <f t="shared" si="291"/>
        <v>601.92499999999995</v>
      </c>
      <c r="W202" s="4">
        <f t="shared" si="292"/>
        <v>3310.5875000000005</v>
      </c>
      <c r="X202" s="4">
        <f t="shared" si="293"/>
        <v>601.92499999999995</v>
      </c>
      <c r="Y202" s="4">
        <f t="shared" si="294"/>
        <v>3912.5125000000007</v>
      </c>
      <c r="Z202" s="4">
        <f t="shared" si="295"/>
        <v>601.92499999999995</v>
      </c>
      <c r="AA202" s="4">
        <f t="shared" si="296"/>
        <v>4514.4375000000009</v>
      </c>
      <c r="AB202" s="4">
        <f t="shared" si="297"/>
        <v>601.92499999999995</v>
      </c>
      <c r="AC202" s="4">
        <f t="shared" si="298"/>
        <v>5116.3625000000011</v>
      </c>
      <c r="AD202" s="3">
        <f t="shared" si="299"/>
        <v>601.92499999999995</v>
      </c>
      <c r="AE202" s="4">
        <f t="shared" si="300"/>
        <v>5718.2875000000013</v>
      </c>
      <c r="AF202" s="3">
        <f t="shared" si="301"/>
        <v>601.92499999999995</v>
      </c>
      <c r="AG202" s="5">
        <f t="shared" si="302"/>
        <v>6320.2125000000015</v>
      </c>
      <c r="AH202" s="3">
        <f t="shared" si="303"/>
        <v>601.92499999999995</v>
      </c>
      <c r="AI202" s="5">
        <f t="shared" si="304"/>
        <v>6922.1375000000016</v>
      </c>
      <c r="AJ202" s="3">
        <f t="shared" si="305"/>
        <v>601.92499999999995</v>
      </c>
      <c r="AK202" s="3">
        <f t="shared" si="306"/>
        <v>7524.0625000000018</v>
      </c>
      <c r="AL202" s="3">
        <f t="shared" si="307"/>
        <v>601.92499999999995</v>
      </c>
      <c r="AM202" s="4">
        <f t="shared" si="308"/>
        <v>8125.987500000002</v>
      </c>
      <c r="AN202" s="4">
        <f t="shared" si="309"/>
        <v>15951.012499999997</v>
      </c>
      <c r="AO202" s="21">
        <f t="shared" si="310"/>
        <v>601.92499999999995</v>
      </c>
      <c r="AP202" s="4">
        <f t="shared" si="311"/>
        <v>8727.9125000000022</v>
      </c>
      <c r="AQ202" s="4">
        <v>15349.087499999998</v>
      </c>
      <c r="AR202" s="21">
        <v>601.92499999999995</v>
      </c>
      <c r="AS202" s="19">
        <v>9329.8375000000015</v>
      </c>
      <c r="AT202" s="4">
        <v>14747.162499999999</v>
      </c>
      <c r="AU202" s="21">
        <f t="shared" si="312"/>
        <v>601.92499999999995</v>
      </c>
      <c r="AV202" s="19">
        <f t="shared" si="313"/>
        <v>9931.7625000000007</v>
      </c>
      <c r="AW202" s="4">
        <f t="shared" si="314"/>
        <v>14145.237499999999</v>
      </c>
      <c r="AX202" s="4">
        <f t="shared" si="319"/>
        <v>601.92499999999995</v>
      </c>
      <c r="AY202" s="4">
        <f t="shared" si="315"/>
        <v>10533.6875</v>
      </c>
      <c r="AZ202" s="4">
        <f t="shared" si="316"/>
        <v>13543.3125</v>
      </c>
      <c r="BA202" s="22">
        <f t="shared" si="320"/>
        <v>601.92499999999995</v>
      </c>
      <c r="BB202" s="4">
        <f t="shared" si="317"/>
        <v>11135.612499999999</v>
      </c>
      <c r="BC202" s="4">
        <f t="shared" si="318"/>
        <v>12941.387500000001</v>
      </c>
      <c r="BF202" s="22">
        <v>601.92499999999995</v>
      </c>
      <c r="BG202" s="4">
        <f t="shared" si="269"/>
        <v>0</v>
      </c>
    </row>
    <row r="203" spans="1:59" x14ac:dyDescent="0.35">
      <c r="A203" s="3" t="s">
        <v>266</v>
      </c>
      <c r="B203" s="3" t="s">
        <v>209</v>
      </c>
      <c r="C203" s="4">
        <v>20310</v>
      </c>
      <c r="D203" s="4" t="s">
        <v>80</v>
      </c>
      <c r="E203" s="2">
        <v>40</v>
      </c>
      <c r="F203" s="4"/>
      <c r="G203" s="19"/>
      <c r="H203" s="19"/>
      <c r="I203" s="19"/>
      <c r="J203" s="4"/>
      <c r="K203" s="4"/>
      <c r="L203" s="4"/>
      <c r="M203" s="4"/>
      <c r="N203" s="4">
        <f>20310/40*0.5</f>
        <v>253.875</v>
      </c>
      <c r="O203" s="4">
        <v>254</v>
      </c>
      <c r="P203" s="4">
        <f t="shared" si="285"/>
        <v>507.75</v>
      </c>
      <c r="Q203" s="4">
        <f t="shared" si="286"/>
        <v>761.75</v>
      </c>
      <c r="R203" s="4">
        <f t="shared" si="287"/>
        <v>507.75</v>
      </c>
      <c r="S203" s="4">
        <f t="shared" si="288"/>
        <v>1269.5</v>
      </c>
      <c r="T203" s="4">
        <f t="shared" si="289"/>
        <v>507.75</v>
      </c>
      <c r="U203" s="4">
        <f t="shared" si="290"/>
        <v>1777.25</v>
      </c>
      <c r="V203" s="4">
        <f t="shared" si="291"/>
        <v>507.75</v>
      </c>
      <c r="W203" s="4">
        <f t="shared" si="292"/>
        <v>2285</v>
      </c>
      <c r="X203" s="4">
        <f t="shared" si="293"/>
        <v>507.75</v>
      </c>
      <c r="Y203" s="4">
        <f t="shared" si="294"/>
        <v>2792.75</v>
      </c>
      <c r="Z203" s="4">
        <f t="shared" si="295"/>
        <v>507.75</v>
      </c>
      <c r="AA203" s="4">
        <f t="shared" si="296"/>
        <v>3300.5</v>
      </c>
      <c r="AB203" s="4">
        <f t="shared" si="297"/>
        <v>507.75</v>
      </c>
      <c r="AC203" s="4">
        <f t="shared" si="298"/>
        <v>3808.25</v>
      </c>
      <c r="AD203" s="3">
        <f t="shared" si="299"/>
        <v>507.75</v>
      </c>
      <c r="AE203" s="4">
        <f t="shared" si="300"/>
        <v>4316</v>
      </c>
      <c r="AF203" s="3">
        <f t="shared" si="301"/>
        <v>507.75</v>
      </c>
      <c r="AG203" s="5">
        <f t="shared" si="302"/>
        <v>4823.75</v>
      </c>
      <c r="AH203" s="3">
        <f t="shared" si="303"/>
        <v>507.75</v>
      </c>
      <c r="AI203" s="5">
        <f t="shared" si="304"/>
        <v>5331.5</v>
      </c>
      <c r="AJ203" s="3">
        <f t="shared" si="305"/>
        <v>507.75</v>
      </c>
      <c r="AK203" s="3">
        <f t="shared" si="306"/>
        <v>5839.25</v>
      </c>
      <c r="AL203" s="3">
        <f t="shared" si="307"/>
        <v>507.75</v>
      </c>
      <c r="AM203" s="4">
        <f t="shared" si="308"/>
        <v>6347</v>
      </c>
      <c r="AN203" s="4">
        <f t="shared" si="309"/>
        <v>13963</v>
      </c>
      <c r="AO203" s="21">
        <f t="shared" si="310"/>
        <v>507.75</v>
      </c>
      <c r="AP203" s="4">
        <f t="shared" si="311"/>
        <v>6854.75</v>
      </c>
      <c r="AQ203" s="4">
        <v>13455.25</v>
      </c>
      <c r="AR203" s="21">
        <v>507.75</v>
      </c>
      <c r="AS203" s="19">
        <v>7362.5</v>
      </c>
      <c r="AT203" s="4">
        <v>12947.5</v>
      </c>
      <c r="AU203" s="21">
        <f t="shared" si="312"/>
        <v>507.75</v>
      </c>
      <c r="AV203" s="19">
        <f t="shared" si="313"/>
        <v>7870.25</v>
      </c>
      <c r="AW203" s="4">
        <f t="shared" si="314"/>
        <v>12439.75</v>
      </c>
      <c r="AX203" s="4">
        <f t="shared" si="319"/>
        <v>507.75</v>
      </c>
      <c r="AY203" s="4">
        <f t="shared" si="315"/>
        <v>8378</v>
      </c>
      <c r="AZ203" s="4">
        <f t="shared" si="316"/>
        <v>11932</v>
      </c>
      <c r="BA203" s="22">
        <f t="shared" si="320"/>
        <v>507.75</v>
      </c>
      <c r="BB203" s="4">
        <f t="shared" si="317"/>
        <v>8885.75</v>
      </c>
      <c r="BC203" s="4">
        <f t="shared" si="318"/>
        <v>11424.25</v>
      </c>
      <c r="BF203" s="22">
        <v>507.75</v>
      </c>
      <c r="BG203" s="4">
        <f t="shared" si="269"/>
        <v>0</v>
      </c>
    </row>
    <row r="204" spans="1:59" x14ac:dyDescent="0.35">
      <c r="A204" s="3" t="s">
        <v>267</v>
      </c>
      <c r="B204" s="3" t="s">
        <v>209</v>
      </c>
      <c r="C204" s="4">
        <v>12810</v>
      </c>
      <c r="D204" s="4" t="s">
        <v>80</v>
      </c>
      <c r="E204" s="2">
        <v>40</v>
      </c>
      <c r="F204" s="4"/>
      <c r="G204" s="19"/>
      <c r="H204" s="19"/>
      <c r="I204" s="19"/>
      <c r="J204" s="4"/>
      <c r="K204" s="4"/>
      <c r="L204" s="4"/>
      <c r="M204" s="4"/>
      <c r="N204" s="4">
        <f>12810/40*0.5</f>
        <v>160.125</v>
      </c>
      <c r="O204" s="4">
        <v>160</v>
      </c>
      <c r="P204" s="4">
        <f t="shared" si="285"/>
        <v>320.25</v>
      </c>
      <c r="Q204" s="4">
        <f t="shared" si="286"/>
        <v>480.25</v>
      </c>
      <c r="R204" s="4">
        <f t="shared" si="287"/>
        <v>320.25</v>
      </c>
      <c r="S204" s="4">
        <f t="shared" si="288"/>
        <v>800.5</v>
      </c>
      <c r="T204" s="4">
        <f t="shared" si="289"/>
        <v>320.25</v>
      </c>
      <c r="U204" s="4">
        <f t="shared" si="290"/>
        <v>1120.75</v>
      </c>
      <c r="V204" s="4">
        <f t="shared" si="291"/>
        <v>320.25</v>
      </c>
      <c r="W204" s="4">
        <f t="shared" si="292"/>
        <v>1441</v>
      </c>
      <c r="X204" s="4">
        <f t="shared" si="293"/>
        <v>320.25</v>
      </c>
      <c r="Y204" s="4">
        <f t="shared" si="294"/>
        <v>1761.25</v>
      </c>
      <c r="Z204" s="4">
        <f t="shared" si="295"/>
        <v>320.25</v>
      </c>
      <c r="AA204" s="4">
        <f t="shared" si="296"/>
        <v>2081.5</v>
      </c>
      <c r="AB204" s="4">
        <f t="shared" si="297"/>
        <v>320.25</v>
      </c>
      <c r="AC204" s="4">
        <f t="shared" si="298"/>
        <v>2401.75</v>
      </c>
      <c r="AD204" s="3">
        <f t="shared" si="299"/>
        <v>320.25</v>
      </c>
      <c r="AE204" s="4">
        <f t="shared" si="300"/>
        <v>2722</v>
      </c>
      <c r="AF204" s="3">
        <f t="shared" si="301"/>
        <v>320.25</v>
      </c>
      <c r="AG204" s="5">
        <f t="shared" si="302"/>
        <v>3042.25</v>
      </c>
      <c r="AH204" s="3">
        <f t="shared" si="303"/>
        <v>320.25</v>
      </c>
      <c r="AI204" s="5">
        <f t="shared" si="304"/>
        <v>3362.5</v>
      </c>
      <c r="AJ204" s="3">
        <f t="shared" si="305"/>
        <v>320.25</v>
      </c>
      <c r="AK204" s="3">
        <f t="shared" si="306"/>
        <v>3682.75</v>
      </c>
      <c r="AL204" s="3">
        <f t="shared" si="307"/>
        <v>320.25</v>
      </c>
      <c r="AM204" s="4">
        <f t="shared" si="308"/>
        <v>4003</v>
      </c>
      <c r="AN204" s="4">
        <f t="shared" si="309"/>
        <v>8807</v>
      </c>
      <c r="AO204" s="21">
        <f t="shared" si="310"/>
        <v>320.25</v>
      </c>
      <c r="AP204" s="4">
        <f t="shared" si="311"/>
        <v>4323.25</v>
      </c>
      <c r="AQ204" s="4">
        <v>8486.75</v>
      </c>
      <c r="AR204" s="21">
        <v>320.25</v>
      </c>
      <c r="AS204" s="19">
        <v>4643.5</v>
      </c>
      <c r="AT204" s="4">
        <v>8166.5</v>
      </c>
      <c r="AU204" s="21">
        <f t="shared" si="312"/>
        <v>320.25</v>
      </c>
      <c r="AV204" s="19">
        <f t="shared" si="313"/>
        <v>4963.75</v>
      </c>
      <c r="AW204" s="4">
        <f t="shared" si="314"/>
        <v>7846.25</v>
      </c>
      <c r="AX204" s="4">
        <f t="shared" si="319"/>
        <v>320.25</v>
      </c>
      <c r="AY204" s="4">
        <f t="shared" si="315"/>
        <v>5284</v>
      </c>
      <c r="AZ204" s="4">
        <f t="shared" si="316"/>
        <v>7526</v>
      </c>
      <c r="BA204" s="22">
        <f t="shared" si="320"/>
        <v>320.25</v>
      </c>
      <c r="BB204" s="4">
        <f t="shared" si="317"/>
        <v>5604.25</v>
      </c>
      <c r="BC204" s="4">
        <f t="shared" si="318"/>
        <v>7205.75</v>
      </c>
      <c r="BF204" s="22">
        <v>320.25</v>
      </c>
      <c r="BG204" s="4">
        <f t="shared" si="269"/>
        <v>0</v>
      </c>
    </row>
    <row r="205" spans="1:59" x14ac:dyDescent="0.35">
      <c r="A205" s="3" t="s">
        <v>266</v>
      </c>
      <c r="B205" s="3" t="s">
        <v>211</v>
      </c>
      <c r="C205" s="4">
        <v>19320</v>
      </c>
      <c r="D205" s="4" t="s">
        <v>80</v>
      </c>
      <c r="E205" s="2">
        <v>40</v>
      </c>
      <c r="F205" s="4"/>
      <c r="G205" s="19"/>
      <c r="H205" s="19"/>
      <c r="I205" s="19"/>
      <c r="J205" s="4"/>
      <c r="K205" s="4"/>
      <c r="L205" s="4"/>
      <c r="M205" s="4"/>
      <c r="N205" s="4"/>
      <c r="O205" s="4"/>
      <c r="P205" s="4">
        <f>C205/E205/2</f>
        <v>241.5</v>
      </c>
      <c r="Q205" s="4">
        <f t="shared" si="286"/>
        <v>241.5</v>
      </c>
      <c r="R205" s="4">
        <f t="shared" si="287"/>
        <v>483</v>
      </c>
      <c r="S205" s="4">
        <f t="shared" si="288"/>
        <v>724.5</v>
      </c>
      <c r="T205" s="4">
        <f t="shared" si="289"/>
        <v>483</v>
      </c>
      <c r="U205" s="4">
        <f t="shared" si="290"/>
        <v>1207.5</v>
      </c>
      <c r="V205" s="4">
        <f t="shared" si="291"/>
        <v>483</v>
      </c>
      <c r="W205" s="4">
        <f t="shared" si="292"/>
        <v>1690.5</v>
      </c>
      <c r="X205" s="4">
        <f t="shared" si="293"/>
        <v>483</v>
      </c>
      <c r="Y205" s="4">
        <f t="shared" si="294"/>
        <v>2173.5</v>
      </c>
      <c r="Z205" s="4">
        <f t="shared" si="295"/>
        <v>483</v>
      </c>
      <c r="AA205" s="4">
        <f t="shared" si="296"/>
        <v>2656.5</v>
      </c>
      <c r="AB205" s="4">
        <f t="shared" si="297"/>
        <v>483</v>
      </c>
      <c r="AC205" s="4">
        <f t="shared" si="298"/>
        <v>3139.5</v>
      </c>
      <c r="AD205" s="3">
        <f t="shared" si="299"/>
        <v>483</v>
      </c>
      <c r="AE205" s="4">
        <f t="shared" si="300"/>
        <v>3622.5</v>
      </c>
      <c r="AF205" s="3">
        <f t="shared" si="301"/>
        <v>483</v>
      </c>
      <c r="AG205" s="5">
        <f t="shared" si="302"/>
        <v>4105.5</v>
      </c>
      <c r="AH205" s="3">
        <f t="shared" si="303"/>
        <v>483</v>
      </c>
      <c r="AI205" s="5">
        <f t="shared" si="304"/>
        <v>4588.5</v>
      </c>
      <c r="AJ205" s="3">
        <f t="shared" si="305"/>
        <v>483</v>
      </c>
      <c r="AK205" s="3">
        <f t="shared" si="306"/>
        <v>5071.5</v>
      </c>
      <c r="AL205" s="3">
        <f t="shared" si="307"/>
        <v>483</v>
      </c>
      <c r="AM205" s="4">
        <f t="shared" si="308"/>
        <v>5554.5</v>
      </c>
      <c r="AN205" s="4">
        <f t="shared" si="309"/>
        <v>13765.5</v>
      </c>
      <c r="AO205" s="21">
        <f t="shared" si="310"/>
        <v>483</v>
      </c>
      <c r="AP205" s="4">
        <f t="shared" si="311"/>
        <v>6037.5</v>
      </c>
      <c r="AQ205" s="4">
        <v>13282.5</v>
      </c>
      <c r="AR205" s="21">
        <v>483</v>
      </c>
      <c r="AS205" s="19">
        <v>6520.5</v>
      </c>
      <c r="AT205" s="4">
        <v>12799.5</v>
      </c>
      <c r="AU205" s="21">
        <f t="shared" si="312"/>
        <v>483</v>
      </c>
      <c r="AV205" s="19">
        <f t="shared" si="313"/>
        <v>7003.5</v>
      </c>
      <c r="AW205" s="4">
        <f t="shared" si="314"/>
        <v>12316.5</v>
      </c>
      <c r="AX205" s="4">
        <f t="shared" si="319"/>
        <v>483</v>
      </c>
      <c r="AY205" s="4">
        <f t="shared" si="315"/>
        <v>7486.5</v>
      </c>
      <c r="AZ205" s="4">
        <f t="shared" si="316"/>
        <v>11833.5</v>
      </c>
      <c r="BA205" s="22">
        <f t="shared" si="320"/>
        <v>483</v>
      </c>
      <c r="BB205" s="4">
        <f t="shared" si="317"/>
        <v>7969.5</v>
      </c>
      <c r="BC205" s="4">
        <f t="shared" si="318"/>
        <v>11350.5</v>
      </c>
      <c r="BF205" s="22">
        <v>483</v>
      </c>
      <c r="BG205" s="4">
        <f t="shared" si="269"/>
        <v>0</v>
      </c>
    </row>
    <row r="206" spans="1:59" x14ac:dyDescent="0.35">
      <c r="A206" s="3" t="s">
        <v>266</v>
      </c>
      <c r="B206" s="3" t="s">
        <v>213</v>
      </c>
      <c r="C206" s="4">
        <v>18996</v>
      </c>
      <c r="D206" s="4" t="s">
        <v>80</v>
      </c>
      <c r="E206" s="2">
        <v>40</v>
      </c>
      <c r="F206" s="4"/>
      <c r="G206" s="19"/>
      <c r="H206" s="19"/>
      <c r="I206" s="19"/>
      <c r="J206" s="4"/>
      <c r="K206" s="4"/>
      <c r="L206" s="4"/>
      <c r="M206" s="4"/>
      <c r="N206" s="4"/>
      <c r="O206" s="4"/>
      <c r="P206" s="4"/>
      <c r="Q206" s="4"/>
      <c r="R206" s="4">
        <f>C206/40*0.5</f>
        <v>237.45</v>
      </c>
      <c r="S206" s="4">
        <f t="shared" si="288"/>
        <v>237.45</v>
      </c>
      <c r="T206" s="4">
        <v>475</v>
      </c>
      <c r="U206" s="4">
        <f t="shared" si="290"/>
        <v>712.45</v>
      </c>
      <c r="V206" s="4">
        <f t="shared" si="291"/>
        <v>475</v>
      </c>
      <c r="W206" s="4">
        <f t="shared" si="292"/>
        <v>1187.45</v>
      </c>
      <c r="X206" s="4">
        <f t="shared" si="293"/>
        <v>475</v>
      </c>
      <c r="Y206" s="4">
        <f t="shared" si="294"/>
        <v>1662.45</v>
      </c>
      <c r="Z206" s="4">
        <f t="shared" si="295"/>
        <v>475</v>
      </c>
      <c r="AA206" s="4">
        <f t="shared" si="296"/>
        <v>2137.4499999999998</v>
      </c>
      <c r="AB206" s="4">
        <f t="shared" si="297"/>
        <v>475</v>
      </c>
      <c r="AC206" s="4">
        <f t="shared" si="298"/>
        <v>2612.4499999999998</v>
      </c>
      <c r="AD206" s="3">
        <f t="shared" si="299"/>
        <v>475</v>
      </c>
      <c r="AE206" s="4">
        <f t="shared" si="300"/>
        <v>3087.45</v>
      </c>
      <c r="AF206" s="3">
        <f t="shared" si="301"/>
        <v>475</v>
      </c>
      <c r="AG206" s="5">
        <f t="shared" si="302"/>
        <v>3562.45</v>
      </c>
      <c r="AH206" s="3">
        <f t="shared" si="303"/>
        <v>475</v>
      </c>
      <c r="AI206" s="5">
        <f t="shared" si="304"/>
        <v>4037.45</v>
      </c>
      <c r="AJ206" s="3">
        <f t="shared" si="305"/>
        <v>475</v>
      </c>
      <c r="AK206" s="3">
        <f t="shared" si="306"/>
        <v>4512.45</v>
      </c>
      <c r="AL206" s="3">
        <f t="shared" si="307"/>
        <v>475</v>
      </c>
      <c r="AM206" s="4">
        <f t="shared" si="308"/>
        <v>4987.45</v>
      </c>
      <c r="AN206" s="4">
        <f t="shared" si="309"/>
        <v>14008.55</v>
      </c>
      <c r="AO206" s="21">
        <f t="shared" si="310"/>
        <v>475</v>
      </c>
      <c r="AP206" s="4">
        <f t="shared" si="311"/>
        <v>5462.45</v>
      </c>
      <c r="AQ206" s="4">
        <v>13533.55</v>
      </c>
      <c r="AR206" s="21">
        <v>475</v>
      </c>
      <c r="AS206" s="19">
        <v>5937.45</v>
      </c>
      <c r="AT206" s="4">
        <v>13058.55</v>
      </c>
      <c r="AU206" s="21">
        <f t="shared" si="312"/>
        <v>474.9</v>
      </c>
      <c r="AV206" s="19">
        <f t="shared" si="313"/>
        <v>6412.3499999999995</v>
      </c>
      <c r="AW206" s="4">
        <f t="shared" si="314"/>
        <v>12583.650000000001</v>
      </c>
      <c r="AX206" s="4">
        <f t="shared" si="319"/>
        <v>474.9</v>
      </c>
      <c r="AY206" s="4">
        <f t="shared" si="315"/>
        <v>6887.2499999999991</v>
      </c>
      <c r="AZ206" s="4">
        <f t="shared" si="316"/>
        <v>12108.75</v>
      </c>
      <c r="BA206" s="22">
        <f t="shared" si="320"/>
        <v>474.9</v>
      </c>
      <c r="BB206" s="4">
        <f t="shared" si="317"/>
        <v>7362.1499999999987</v>
      </c>
      <c r="BC206" s="4">
        <f t="shared" si="318"/>
        <v>11633.850000000002</v>
      </c>
      <c r="BF206" s="22">
        <v>474.9</v>
      </c>
      <c r="BG206" s="4">
        <f t="shared" si="269"/>
        <v>0</v>
      </c>
    </row>
    <row r="207" spans="1:59" x14ac:dyDescent="0.35">
      <c r="A207" s="3" t="s">
        <v>266</v>
      </c>
      <c r="B207" s="3" t="s">
        <v>215</v>
      </c>
      <c r="C207" s="4">
        <v>14700</v>
      </c>
      <c r="D207" s="4" t="s">
        <v>80</v>
      </c>
      <c r="E207" s="2">
        <v>40</v>
      </c>
      <c r="F207" s="4"/>
      <c r="G207" s="19"/>
      <c r="H207" s="19"/>
      <c r="I207" s="19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>
        <f>14700/40/2</f>
        <v>183.75</v>
      </c>
      <c r="U207" s="4">
        <f t="shared" si="290"/>
        <v>183.75</v>
      </c>
      <c r="V207" s="4">
        <f>14700/40</f>
        <v>367.5</v>
      </c>
      <c r="W207" s="4">
        <f t="shared" si="292"/>
        <v>551.25</v>
      </c>
      <c r="X207" s="4">
        <f t="shared" si="293"/>
        <v>367.5</v>
      </c>
      <c r="Y207" s="4">
        <f t="shared" si="294"/>
        <v>918.75</v>
      </c>
      <c r="Z207" s="4">
        <f t="shared" si="295"/>
        <v>367.5</v>
      </c>
      <c r="AA207" s="4">
        <f t="shared" si="296"/>
        <v>1286.25</v>
      </c>
      <c r="AB207" s="4">
        <f t="shared" si="297"/>
        <v>367.5</v>
      </c>
      <c r="AC207" s="4">
        <f t="shared" si="298"/>
        <v>1653.75</v>
      </c>
      <c r="AD207" s="3">
        <f t="shared" si="299"/>
        <v>367.5</v>
      </c>
      <c r="AE207" s="4">
        <f t="shared" si="300"/>
        <v>2021.25</v>
      </c>
      <c r="AF207" s="3">
        <f t="shared" si="301"/>
        <v>367.5</v>
      </c>
      <c r="AG207" s="5">
        <f t="shared" si="302"/>
        <v>2388.75</v>
      </c>
      <c r="AH207" s="3">
        <f t="shared" si="303"/>
        <v>367.5</v>
      </c>
      <c r="AI207" s="5">
        <f t="shared" si="304"/>
        <v>2756.25</v>
      </c>
      <c r="AJ207" s="3">
        <f t="shared" si="305"/>
        <v>367.5</v>
      </c>
      <c r="AK207" s="3">
        <f t="shared" si="306"/>
        <v>3123.75</v>
      </c>
      <c r="AL207" s="3">
        <f t="shared" si="307"/>
        <v>367.5</v>
      </c>
      <c r="AM207" s="4">
        <f t="shared" si="308"/>
        <v>3491.25</v>
      </c>
      <c r="AN207" s="4">
        <f t="shared" si="309"/>
        <v>11208.75</v>
      </c>
      <c r="AO207" s="21">
        <f t="shared" si="310"/>
        <v>367.5</v>
      </c>
      <c r="AP207" s="4">
        <f t="shared" si="311"/>
        <v>3858.75</v>
      </c>
      <c r="AQ207" s="4">
        <v>10841.25</v>
      </c>
      <c r="AR207" s="21">
        <v>367.5</v>
      </c>
      <c r="AS207" s="19">
        <v>4226.25</v>
      </c>
      <c r="AT207" s="4">
        <v>10473.75</v>
      </c>
      <c r="AU207" s="21">
        <f t="shared" si="312"/>
        <v>367.5</v>
      </c>
      <c r="AV207" s="19">
        <f t="shared" si="313"/>
        <v>4593.75</v>
      </c>
      <c r="AW207" s="4">
        <f t="shared" si="314"/>
        <v>10106.25</v>
      </c>
      <c r="AX207" s="4">
        <f t="shared" si="319"/>
        <v>367.5</v>
      </c>
      <c r="AY207" s="4">
        <f t="shared" si="315"/>
        <v>4961.25</v>
      </c>
      <c r="AZ207" s="4">
        <f t="shared" si="316"/>
        <v>9738.75</v>
      </c>
      <c r="BA207" s="22">
        <f t="shared" si="320"/>
        <v>367.5</v>
      </c>
      <c r="BB207" s="4">
        <f t="shared" si="317"/>
        <v>5328.75</v>
      </c>
      <c r="BC207" s="4">
        <f t="shared" si="318"/>
        <v>9371.25</v>
      </c>
      <c r="BF207" s="22">
        <v>367.5</v>
      </c>
      <c r="BG207" s="4">
        <f t="shared" si="269"/>
        <v>0</v>
      </c>
    </row>
    <row r="208" spans="1:59" x14ac:dyDescent="0.35">
      <c r="A208" s="3" t="s">
        <v>266</v>
      </c>
      <c r="B208" s="3" t="s">
        <v>217</v>
      </c>
      <c r="C208" s="4">
        <v>14825</v>
      </c>
      <c r="D208" s="4" t="s">
        <v>80</v>
      </c>
      <c r="E208" s="2">
        <v>40</v>
      </c>
      <c r="F208" s="4"/>
      <c r="G208" s="19"/>
      <c r="H208" s="19"/>
      <c r="I208" s="19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>
        <v>185</v>
      </c>
      <c r="W208" s="4">
        <f t="shared" si="292"/>
        <v>185</v>
      </c>
      <c r="X208" s="4">
        <f>14825/40</f>
        <v>370.625</v>
      </c>
      <c r="Y208" s="4">
        <f t="shared" si="294"/>
        <v>555.625</v>
      </c>
      <c r="Z208" s="4">
        <f t="shared" si="295"/>
        <v>370.625</v>
      </c>
      <c r="AA208" s="4">
        <f t="shared" si="296"/>
        <v>926.25</v>
      </c>
      <c r="AB208" s="4">
        <f t="shared" si="297"/>
        <v>370.625</v>
      </c>
      <c r="AC208" s="4">
        <f t="shared" si="298"/>
        <v>1296.875</v>
      </c>
      <c r="AD208" s="3">
        <f t="shared" si="299"/>
        <v>370.625</v>
      </c>
      <c r="AE208" s="4">
        <f t="shared" si="300"/>
        <v>1667.5</v>
      </c>
      <c r="AF208" s="3">
        <f t="shared" si="301"/>
        <v>370.625</v>
      </c>
      <c r="AG208" s="5">
        <f t="shared" si="302"/>
        <v>2038.125</v>
      </c>
      <c r="AH208" s="3">
        <f t="shared" si="303"/>
        <v>370.625</v>
      </c>
      <c r="AI208" s="5">
        <f t="shared" si="304"/>
        <v>2408.75</v>
      </c>
      <c r="AJ208" s="3">
        <f t="shared" si="305"/>
        <v>370.625</v>
      </c>
      <c r="AK208" s="3">
        <f t="shared" si="306"/>
        <v>2779.375</v>
      </c>
      <c r="AL208" s="3">
        <f t="shared" si="307"/>
        <v>370.625</v>
      </c>
      <c r="AM208" s="4">
        <f t="shared" si="308"/>
        <v>3150</v>
      </c>
      <c r="AN208" s="4">
        <f t="shared" si="309"/>
        <v>11675</v>
      </c>
      <c r="AO208" s="21">
        <f t="shared" si="310"/>
        <v>370.625</v>
      </c>
      <c r="AP208" s="4">
        <f t="shared" si="311"/>
        <v>3520.625</v>
      </c>
      <c r="AQ208" s="4">
        <v>11304.375</v>
      </c>
      <c r="AR208" s="21">
        <v>370.625</v>
      </c>
      <c r="AS208" s="19">
        <v>3891.25</v>
      </c>
      <c r="AT208" s="4">
        <v>10933.75</v>
      </c>
      <c r="AU208" s="21">
        <f t="shared" si="312"/>
        <v>370.625</v>
      </c>
      <c r="AV208" s="19">
        <f t="shared" si="313"/>
        <v>4261.875</v>
      </c>
      <c r="AW208" s="4">
        <f t="shared" si="314"/>
        <v>10563.125</v>
      </c>
      <c r="AX208" s="4">
        <f t="shared" si="319"/>
        <v>370.625</v>
      </c>
      <c r="AY208" s="4">
        <f t="shared" si="315"/>
        <v>4632.5</v>
      </c>
      <c r="AZ208" s="4">
        <f t="shared" si="316"/>
        <v>10192.5</v>
      </c>
      <c r="BA208" s="22">
        <f t="shared" si="320"/>
        <v>370.625</v>
      </c>
      <c r="BB208" s="4">
        <f t="shared" si="317"/>
        <v>5003.125</v>
      </c>
      <c r="BC208" s="4">
        <f t="shared" si="318"/>
        <v>9821.875</v>
      </c>
      <c r="BF208" s="22">
        <v>370.625</v>
      </c>
      <c r="BG208" s="4">
        <f t="shared" si="269"/>
        <v>0</v>
      </c>
    </row>
    <row r="209" spans="1:59" x14ac:dyDescent="0.35">
      <c r="A209" s="3" t="s">
        <v>266</v>
      </c>
      <c r="B209" s="3" t="s">
        <v>230</v>
      </c>
      <c r="C209" s="4">
        <v>11400</v>
      </c>
      <c r="D209" s="4" t="s">
        <v>80</v>
      </c>
      <c r="E209" s="2">
        <v>40</v>
      </c>
      <c r="F209" s="4"/>
      <c r="G209" s="19"/>
      <c r="H209" s="19"/>
      <c r="I209" s="19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>
        <f>11400/40/2</f>
        <v>142.5</v>
      </c>
      <c r="Y209" s="4">
        <f t="shared" si="294"/>
        <v>142.5</v>
      </c>
      <c r="Z209" s="3">
        <f>11400/40</f>
        <v>285</v>
      </c>
      <c r="AA209" s="4">
        <f t="shared" si="296"/>
        <v>427.5</v>
      </c>
      <c r="AB209" s="4">
        <f t="shared" si="297"/>
        <v>285</v>
      </c>
      <c r="AC209" s="4">
        <f t="shared" si="298"/>
        <v>712.5</v>
      </c>
      <c r="AD209" s="3">
        <f t="shared" si="299"/>
        <v>285</v>
      </c>
      <c r="AE209" s="4">
        <f t="shared" si="300"/>
        <v>997.5</v>
      </c>
      <c r="AF209" s="3">
        <f t="shared" si="301"/>
        <v>285</v>
      </c>
      <c r="AG209" s="5">
        <f t="shared" si="302"/>
        <v>1282.5</v>
      </c>
      <c r="AH209" s="3">
        <f t="shared" si="303"/>
        <v>285</v>
      </c>
      <c r="AI209" s="5">
        <f t="shared" si="304"/>
        <v>1567.5</v>
      </c>
      <c r="AJ209" s="3">
        <f t="shared" si="305"/>
        <v>285</v>
      </c>
      <c r="AK209" s="3">
        <f t="shared" si="306"/>
        <v>1852.5</v>
      </c>
      <c r="AL209" s="3">
        <f t="shared" si="307"/>
        <v>285</v>
      </c>
      <c r="AM209" s="4">
        <f t="shared" si="308"/>
        <v>2137.5</v>
      </c>
      <c r="AN209" s="4">
        <f t="shared" si="309"/>
        <v>9262.5</v>
      </c>
      <c r="AO209" s="21">
        <f t="shared" si="310"/>
        <v>285</v>
      </c>
      <c r="AP209" s="4">
        <f t="shared" si="311"/>
        <v>2422.5</v>
      </c>
      <c r="AQ209" s="4">
        <v>8977.5</v>
      </c>
      <c r="AR209" s="21">
        <v>285</v>
      </c>
      <c r="AS209" s="19">
        <v>2707.5</v>
      </c>
      <c r="AT209" s="4">
        <v>8692.5</v>
      </c>
      <c r="AU209" s="21">
        <f t="shared" si="312"/>
        <v>285</v>
      </c>
      <c r="AV209" s="19">
        <f t="shared" si="313"/>
        <v>2992.5</v>
      </c>
      <c r="AW209" s="4">
        <f t="shared" si="314"/>
        <v>8407.5</v>
      </c>
      <c r="AX209" s="4">
        <f t="shared" si="319"/>
        <v>285</v>
      </c>
      <c r="AY209" s="4">
        <f t="shared" si="315"/>
        <v>3277.5</v>
      </c>
      <c r="AZ209" s="4">
        <f t="shared" si="316"/>
        <v>8122.5</v>
      </c>
      <c r="BA209" s="22">
        <f t="shared" si="320"/>
        <v>285</v>
      </c>
      <c r="BB209" s="4">
        <f t="shared" si="317"/>
        <v>3562.5</v>
      </c>
      <c r="BC209" s="4">
        <f t="shared" si="318"/>
        <v>7837.5</v>
      </c>
      <c r="BF209" s="22">
        <v>285</v>
      </c>
      <c r="BG209" s="4">
        <f t="shared" si="269"/>
        <v>0</v>
      </c>
    </row>
    <row r="210" spans="1:59" x14ac:dyDescent="0.35">
      <c r="A210" s="3" t="s">
        <v>266</v>
      </c>
      <c r="B210" s="3" t="s">
        <v>232</v>
      </c>
      <c r="C210" s="4">
        <v>15000</v>
      </c>
      <c r="D210" s="4" t="s">
        <v>80</v>
      </c>
      <c r="E210" s="2">
        <v>40</v>
      </c>
      <c r="F210" s="4"/>
      <c r="G210" s="19"/>
      <c r="H210" s="19"/>
      <c r="I210" s="19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f t="shared" si="294"/>
        <v>0</v>
      </c>
      <c r="Z210" s="3">
        <v>188</v>
      </c>
      <c r="AA210" s="3">
        <v>188</v>
      </c>
      <c r="AB210" s="3">
        <f>15000/40</f>
        <v>375</v>
      </c>
      <c r="AC210" s="4">
        <f t="shared" si="298"/>
        <v>563</v>
      </c>
      <c r="AD210" s="3">
        <f t="shared" si="299"/>
        <v>375</v>
      </c>
      <c r="AE210" s="4">
        <f t="shared" si="300"/>
        <v>938</v>
      </c>
      <c r="AF210" s="3">
        <f t="shared" si="301"/>
        <v>375</v>
      </c>
      <c r="AG210" s="5">
        <f t="shared" si="302"/>
        <v>1313</v>
      </c>
      <c r="AH210" s="3">
        <f t="shared" si="303"/>
        <v>375</v>
      </c>
      <c r="AI210" s="5">
        <f t="shared" si="304"/>
        <v>1688</v>
      </c>
      <c r="AJ210" s="3">
        <f t="shared" si="305"/>
        <v>375</v>
      </c>
      <c r="AK210" s="3">
        <f t="shared" si="306"/>
        <v>2063</v>
      </c>
      <c r="AL210" s="3">
        <f t="shared" si="307"/>
        <v>375</v>
      </c>
      <c r="AM210" s="4">
        <f t="shared" si="308"/>
        <v>2438</v>
      </c>
      <c r="AN210" s="4">
        <f t="shared" si="309"/>
        <v>12562</v>
      </c>
      <c r="AO210" s="21">
        <f t="shared" si="310"/>
        <v>375</v>
      </c>
      <c r="AP210" s="4">
        <f t="shared" si="311"/>
        <v>2813</v>
      </c>
      <c r="AQ210" s="4">
        <v>12187</v>
      </c>
      <c r="AR210" s="21">
        <v>375</v>
      </c>
      <c r="AS210" s="19">
        <v>3188</v>
      </c>
      <c r="AT210" s="4">
        <v>11812</v>
      </c>
      <c r="AU210" s="21">
        <f t="shared" si="312"/>
        <v>375</v>
      </c>
      <c r="AV210" s="19">
        <f t="shared" si="313"/>
        <v>3563</v>
      </c>
      <c r="AW210" s="4">
        <f t="shared" si="314"/>
        <v>11437</v>
      </c>
      <c r="AX210" s="4">
        <f t="shared" si="319"/>
        <v>375</v>
      </c>
      <c r="AY210" s="4">
        <f t="shared" si="315"/>
        <v>3938</v>
      </c>
      <c r="AZ210" s="4">
        <f t="shared" si="316"/>
        <v>11062</v>
      </c>
      <c r="BA210" s="22">
        <f t="shared" si="320"/>
        <v>375</v>
      </c>
      <c r="BB210" s="4">
        <f t="shared" si="317"/>
        <v>4313</v>
      </c>
      <c r="BC210" s="4">
        <f t="shared" si="318"/>
        <v>10687</v>
      </c>
      <c r="BF210" s="22">
        <v>375</v>
      </c>
      <c r="BG210" s="4">
        <f t="shared" si="269"/>
        <v>0</v>
      </c>
    </row>
    <row r="211" spans="1:59" x14ac:dyDescent="0.35">
      <c r="A211" s="3" t="s">
        <v>266</v>
      </c>
      <c r="B211" s="3" t="s">
        <v>234</v>
      </c>
      <c r="C211" s="4">
        <v>7500</v>
      </c>
      <c r="D211" s="4" t="s">
        <v>80</v>
      </c>
      <c r="E211" s="2">
        <v>40</v>
      </c>
      <c r="F211" s="4"/>
      <c r="G211" s="19"/>
      <c r="H211" s="19"/>
      <c r="I211" s="19"/>
      <c r="J211" s="4"/>
      <c r="K211" s="4"/>
      <c r="L211" s="4"/>
      <c r="M211" s="4"/>
      <c r="N211" s="4"/>
      <c r="O211" s="4"/>
      <c r="P211" s="4"/>
      <c r="Q211" s="4"/>
      <c r="X211" s="4"/>
      <c r="Y211" s="4"/>
      <c r="AB211" s="3">
        <v>94</v>
      </c>
      <c r="AC211" s="4">
        <v>94</v>
      </c>
      <c r="AD211" s="3">
        <v>188</v>
      </c>
      <c r="AE211" s="4">
        <f t="shared" si="300"/>
        <v>282</v>
      </c>
      <c r="AF211" s="3">
        <f t="shared" si="301"/>
        <v>188</v>
      </c>
      <c r="AG211" s="5">
        <f t="shared" si="302"/>
        <v>470</v>
      </c>
      <c r="AH211" s="3">
        <f t="shared" si="303"/>
        <v>188</v>
      </c>
      <c r="AI211" s="5">
        <f t="shared" si="304"/>
        <v>658</v>
      </c>
      <c r="AJ211" s="3">
        <f t="shared" si="305"/>
        <v>188</v>
      </c>
      <c r="AK211" s="3">
        <f t="shared" si="306"/>
        <v>846</v>
      </c>
      <c r="AL211" s="3">
        <f t="shared" si="307"/>
        <v>188</v>
      </c>
      <c r="AM211" s="4">
        <f t="shared" si="308"/>
        <v>1034</v>
      </c>
      <c r="AN211" s="4">
        <f t="shared" si="309"/>
        <v>6466</v>
      </c>
      <c r="AO211" s="21">
        <f t="shared" si="310"/>
        <v>188</v>
      </c>
      <c r="AP211" s="4">
        <f t="shared" si="311"/>
        <v>1222</v>
      </c>
      <c r="AQ211" s="4">
        <v>6278</v>
      </c>
      <c r="AR211" s="21">
        <v>188</v>
      </c>
      <c r="AS211" s="19">
        <v>1410</v>
      </c>
      <c r="AT211" s="4">
        <v>6090</v>
      </c>
      <c r="AU211" s="21">
        <f t="shared" si="312"/>
        <v>187.5</v>
      </c>
      <c r="AV211" s="19">
        <f t="shared" si="313"/>
        <v>1597.5</v>
      </c>
      <c r="AW211" s="4">
        <f t="shared" si="314"/>
        <v>5902.5</v>
      </c>
      <c r="AX211" s="4">
        <f t="shared" si="319"/>
        <v>187.5</v>
      </c>
      <c r="AY211" s="4">
        <f t="shared" si="315"/>
        <v>1785</v>
      </c>
      <c r="AZ211" s="4">
        <f t="shared" si="316"/>
        <v>5715</v>
      </c>
      <c r="BA211" s="22">
        <f t="shared" si="320"/>
        <v>187.5</v>
      </c>
      <c r="BB211" s="4">
        <f t="shared" si="317"/>
        <v>1972.5</v>
      </c>
      <c r="BC211" s="4">
        <f t="shared" si="318"/>
        <v>5527.5</v>
      </c>
      <c r="BF211" s="22">
        <v>187.5</v>
      </c>
      <c r="BG211" s="4">
        <f t="shared" si="269"/>
        <v>0</v>
      </c>
    </row>
    <row r="212" spans="1:59" x14ac:dyDescent="0.35">
      <c r="A212" s="3" t="s">
        <v>266</v>
      </c>
      <c r="B212" s="3" t="s">
        <v>121</v>
      </c>
      <c r="C212" s="4">
        <v>11100</v>
      </c>
      <c r="D212" s="4" t="s">
        <v>80</v>
      </c>
      <c r="E212" s="2">
        <v>40</v>
      </c>
      <c r="F212" s="4"/>
      <c r="G212" s="19"/>
      <c r="H212" s="19"/>
      <c r="I212" s="19"/>
      <c r="J212" s="4"/>
      <c r="K212" s="4"/>
      <c r="L212" s="4"/>
      <c r="M212" s="4"/>
      <c r="N212" s="4"/>
      <c r="O212" s="4"/>
      <c r="P212" s="4"/>
      <c r="Q212" s="4"/>
      <c r="X212" s="4"/>
      <c r="Y212" s="4"/>
      <c r="AC212" s="4"/>
      <c r="AD212" s="3">
        <f>11100/40/2</f>
        <v>138.75</v>
      </c>
      <c r="AE212" s="4">
        <f t="shared" si="300"/>
        <v>138.75</v>
      </c>
      <c r="AF212" s="3">
        <f>11100/40</f>
        <v>277.5</v>
      </c>
      <c r="AG212" s="5">
        <f t="shared" si="302"/>
        <v>416.25</v>
      </c>
      <c r="AH212" s="3">
        <f t="shared" si="303"/>
        <v>277.5</v>
      </c>
      <c r="AI212" s="5">
        <f t="shared" si="304"/>
        <v>693.75</v>
      </c>
      <c r="AJ212" s="3">
        <f t="shared" si="305"/>
        <v>277.5</v>
      </c>
      <c r="AK212" s="3">
        <f t="shared" si="306"/>
        <v>971.25</v>
      </c>
      <c r="AL212" s="3">
        <f t="shared" si="307"/>
        <v>277.5</v>
      </c>
      <c r="AM212" s="4">
        <f t="shared" si="308"/>
        <v>1248.75</v>
      </c>
      <c r="AN212" s="4">
        <f t="shared" si="309"/>
        <v>9851.25</v>
      </c>
      <c r="AO212" s="21">
        <f t="shared" si="310"/>
        <v>277.5</v>
      </c>
      <c r="AP212" s="4">
        <f t="shared" si="311"/>
        <v>1526.25</v>
      </c>
      <c r="AQ212" s="4">
        <v>9573.75</v>
      </c>
      <c r="AR212" s="21">
        <v>277.5</v>
      </c>
      <c r="AS212" s="19">
        <v>1803.75</v>
      </c>
      <c r="AT212" s="4">
        <v>9296.25</v>
      </c>
      <c r="AU212" s="21">
        <f t="shared" si="312"/>
        <v>277.5</v>
      </c>
      <c r="AV212" s="19">
        <f t="shared" si="313"/>
        <v>2081.25</v>
      </c>
      <c r="AW212" s="4">
        <f t="shared" si="314"/>
        <v>9018.75</v>
      </c>
      <c r="AX212" s="4">
        <f t="shared" si="319"/>
        <v>277.5</v>
      </c>
      <c r="AY212" s="4">
        <f t="shared" si="315"/>
        <v>2358.75</v>
      </c>
      <c r="AZ212" s="4">
        <f t="shared" si="316"/>
        <v>8741.25</v>
      </c>
      <c r="BA212" s="22">
        <f t="shared" si="320"/>
        <v>277.5</v>
      </c>
      <c r="BB212" s="4">
        <f t="shared" si="317"/>
        <v>2636.25</v>
      </c>
      <c r="BC212" s="4">
        <f t="shared" si="318"/>
        <v>8463.75</v>
      </c>
      <c r="BF212" s="22">
        <v>277.5</v>
      </c>
      <c r="BG212" s="4">
        <f t="shared" si="269"/>
        <v>0</v>
      </c>
    </row>
    <row r="213" spans="1:59" x14ac:dyDescent="0.35">
      <c r="A213" s="3" t="s">
        <v>266</v>
      </c>
      <c r="B213" s="3" t="s">
        <v>238</v>
      </c>
      <c r="C213" s="4">
        <v>8700</v>
      </c>
      <c r="D213" s="4" t="s">
        <v>80</v>
      </c>
      <c r="E213" s="2">
        <v>40</v>
      </c>
      <c r="F213" s="4"/>
      <c r="G213" s="19"/>
      <c r="H213" s="19"/>
      <c r="I213" s="19"/>
      <c r="J213" s="4"/>
      <c r="K213" s="4"/>
      <c r="L213" s="4"/>
      <c r="M213" s="4"/>
      <c r="N213" s="4"/>
      <c r="O213" s="4"/>
      <c r="P213" s="4"/>
      <c r="Q213" s="4"/>
      <c r="X213" s="4"/>
      <c r="Y213" s="4"/>
      <c r="AC213" s="4"/>
      <c r="AE213" s="4"/>
      <c r="AF213" s="3">
        <f>8700/40/2</f>
        <v>108.75</v>
      </c>
      <c r="AG213" s="5">
        <f t="shared" si="302"/>
        <v>108.75</v>
      </c>
      <c r="AH213" s="3">
        <f>8700/40</f>
        <v>217.5</v>
      </c>
      <c r="AI213" s="5">
        <f t="shared" si="304"/>
        <v>326.25</v>
      </c>
      <c r="AJ213" s="3">
        <f t="shared" si="305"/>
        <v>217.5</v>
      </c>
      <c r="AK213" s="3">
        <f t="shared" si="306"/>
        <v>543.75</v>
      </c>
      <c r="AL213" s="3">
        <f t="shared" si="307"/>
        <v>217.5</v>
      </c>
      <c r="AM213" s="4">
        <f t="shared" si="308"/>
        <v>761.25</v>
      </c>
      <c r="AN213" s="4">
        <f t="shared" si="309"/>
        <v>7938.75</v>
      </c>
      <c r="AO213" s="21">
        <f t="shared" si="310"/>
        <v>217.5</v>
      </c>
      <c r="AP213" s="4">
        <f t="shared" si="311"/>
        <v>978.75</v>
      </c>
      <c r="AQ213" s="4">
        <v>7721.25</v>
      </c>
      <c r="AR213" s="21">
        <v>217.5</v>
      </c>
      <c r="AS213" s="19">
        <v>1196.25</v>
      </c>
      <c r="AT213" s="4">
        <v>7503.75</v>
      </c>
      <c r="AU213" s="21">
        <f t="shared" si="312"/>
        <v>217.5</v>
      </c>
      <c r="AV213" s="19">
        <f t="shared" si="313"/>
        <v>1413.75</v>
      </c>
      <c r="AW213" s="4">
        <f t="shared" si="314"/>
        <v>7286.25</v>
      </c>
      <c r="AX213" s="4">
        <f t="shared" si="319"/>
        <v>217.5</v>
      </c>
      <c r="AY213" s="4">
        <f t="shared" si="315"/>
        <v>1631.25</v>
      </c>
      <c r="AZ213" s="4">
        <f t="shared" si="316"/>
        <v>7068.75</v>
      </c>
      <c r="BA213" s="22">
        <f t="shared" si="320"/>
        <v>217.5</v>
      </c>
      <c r="BB213" s="4">
        <f t="shared" si="317"/>
        <v>1848.75</v>
      </c>
      <c r="BC213" s="4">
        <f t="shared" si="318"/>
        <v>6851.25</v>
      </c>
      <c r="BF213" s="22">
        <v>217.5</v>
      </c>
      <c r="BG213" s="4">
        <f t="shared" si="269"/>
        <v>0</v>
      </c>
    </row>
    <row r="214" spans="1:59" x14ac:dyDescent="0.35">
      <c r="A214" s="3" t="s">
        <v>266</v>
      </c>
      <c r="B214" s="3" t="s">
        <v>240</v>
      </c>
      <c r="C214" s="4">
        <v>9000</v>
      </c>
      <c r="D214" s="4" t="s">
        <v>80</v>
      </c>
      <c r="E214" s="2">
        <v>40</v>
      </c>
      <c r="F214" s="4"/>
      <c r="G214" s="19"/>
      <c r="H214" s="19"/>
      <c r="I214" s="19"/>
      <c r="J214" s="4"/>
      <c r="K214" s="4"/>
      <c r="L214" s="4"/>
      <c r="M214" s="4"/>
      <c r="N214" s="4"/>
      <c r="O214" s="4"/>
      <c r="P214" s="4"/>
      <c r="Q214" s="4"/>
      <c r="X214" s="4"/>
      <c r="Y214" s="4"/>
      <c r="AC214" s="4"/>
      <c r="AE214" s="4"/>
      <c r="AG214" s="5"/>
      <c r="AH214" s="3">
        <v>112.5</v>
      </c>
      <c r="AI214" s="5">
        <v>112.5</v>
      </c>
      <c r="AJ214" s="3">
        <f>9000/40</f>
        <v>225</v>
      </c>
      <c r="AK214" s="3">
        <f t="shared" si="306"/>
        <v>337.5</v>
      </c>
      <c r="AL214" s="3">
        <f>9000/40</f>
        <v>225</v>
      </c>
      <c r="AM214" s="4">
        <f t="shared" si="308"/>
        <v>562.5</v>
      </c>
      <c r="AN214" s="4">
        <f t="shared" si="309"/>
        <v>8437.5</v>
      </c>
      <c r="AO214" s="21">
        <f t="shared" si="310"/>
        <v>225</v>
      </c>
      <c r="AP214" s="4">
        <f t="shared" si="311"/>
        <v>787.5</v>
      </c>
      <c r="AQ214" s="4">
        <v>8212.5</v>
      </c>
      <c r="AR214" s="21">
        <v>225</v>
      </c>
      <c r="AS214" s="19">
        <v>603</v>
      </c>
      <c r="AT214" s="4">
        <v>7987.5</v>
      </c>
      <c r="AU214" s="21">
        <f t="shared" si="312"/>
        <v>225</v>
      </c>
      <c r="AV214" s="19">
        <f t="shared" si="313"/>
        <v>828</v>
      </c>
      <c r="AW214" s="4">
        <f t="shared" si="314"/>
        <v>8172</v>
      </c>
      <c r="AX214" s="4">
        <f t="shared" si="319"/>
        <v>225</v>
      </c>
      <c r="AY214" s="4">
        <f t="shared" si="315"/>
        <v>1053</v>
      </c>
      <c r="AZ214" s="4">
        <f t="shared" si="316"/>
        <v>7947</v>
      </c>
      <c r="BA214" s="22">
        <f t="shared" si="320"/>
        <v>225</v>
      </c>
      <c r="BB214" s="4">
        <f t="shared" si="317"/>
        <v>1278</v>
      </c>
      <c r="BC214" s="4">
        <f t="shared" si="318"/>
        <v>7722</v>
      </c>
      <c r="BF214" s="22">
        <v>225</v>
      </c>
      <c r="BG214" s="4">
        <f t="shared" si="269"/>
        <v>0</v>
      </c>
    </row>
    <row r="215" spans="1:59" x14ac:dyDescent="0.35">
      <c r="A215" s="3" t="s">
        <v>266</v>
      </c>
      <c r="B215" s="3" t="s">
        <v>244</v>
      </c>
      <c r="C215" s="4">
        <v>11614</v>
      </c>
      <c r="D215" s="4" t="s">
        <v>80</v>
      </c>
      <c r="E215" s="2">
        <v>40</v>
      </c>
      <c r="F215" s="4"/>
      <c r="G215" s="19"/>
      <c r="H215" s="19"/>
      <c r="I215" s="19"/>
      <c r="J215" s="4"/>
      <c r="K215" s="4"/>
      <c r="L215" s="4"/>
      <c r="M215" s="4"/>
      <c r="N215" s="4"/>
      <c r="O215" s="4"/>
      <c r="P215" s="4"/>
      <c r="Q215" s="4"/>
      <c r="X215" s="4"/>
      <c r="Y215" s="4"/>
      <c r="AC215" s="4"/>
      <c r="AE215" s="4"/>
      <c r="AG215" s="5"/>
      <c r="AJ215" s="3">
        <v>145</v>
      </c>
      <c r="AK215" s="3">
        <v>145</v>
      </c>
      <c r="AL215" s="3">
        <f>11614/40</f>
        <v>290.35000000000002</v>
      </c>
      <c r="AM215" s="4">
        <f t="shared" si="308"/>
        <v>435.35</v>
      </c>
      <c r="AN215" s="4">
        <f t="shared" si="309"/>
        <v>11178.65</v>
      </c>
      <c r="AO215" s="21">
        <f t="shared" si="310"/>
        <v>290.35000000000002</v>
      </c>
      <c r="AP215" s="4">
        <f t="shared" si="311"/>
        <v>725.7</v>
      </c>
      <c r="AQ215" s="4">
        <v>10888.3</v>
      </c>
      <c r="AR215" s="21">
        <v>290.35000000000002</v>
      </c>
      <c r="AS215" s="19">
        <v>1016.0500000000001</v>
      </c>
      <c r="AT215" s="4">
        <v>10597.95</v>
      </c>
      <c r="AU215" s="21">
        <f t="shared" si="312"/>
        <v>290.35000000000002</v>
      </c>
      <c r="AV215" s="19">
        <f t="shared" si="313"/>
        <v>1306.4000000000001</v>
      </c>
      <c r="AW215" s="4">
        <f t="shared" si="314"/>
        <v>10307.6</v>
      </c>
      <c r="AX215" s="4">
        <f t="shared" si="319"/>
        <v>290.35000000000002</v>
      </c>
      <c r="AY215" s="4">
        <f t="shared" si="315"/>
        <v>1596.75</v>
      </c>
      <c r="AZ215" s="4">
        <f t="shared" si="316"/>
        <v>10017.25</v>
      </c>
      <c r="BA215" s="22">
        <f t="shared" si="320"/>
        <v>290.35000000000002</v>
      </c>
      <c r="BB215" s="4">
        <f t="shared" si="317"/>
        <v>1887.1</v>
      </c>
      <c r="BC215" s="4">
        <f t="shared" si="318"/>
        <v>9726.9</v>
      </c>
      <c r="BF215" s="22">
        <v>290.35000000000002</v>
      </c>
      <c r="BG215" s="4">
        <f t="shared" si="269"/>
        <v>0</v>
      </c>
    </row>
    <row r="216" spans="1:59" x14ac:dyDescent="0.35">
      <c r="A216" s="3" t="s">
        <v>266</v>
      </c>
      <c r="B216" s="3" t="s">
        <v>247</v>
      </c>
      <c r="C216" s="4">
        <v>15000</v>
      </c>
      <c r="D216" s="4" t="s">
        <v>80</v>
      </c>
      <c r="E216" s="2">
        <v>40</v>
      </c>
      <c r="F216" s="4"/>
      <c r="G216" s="19"/>
      <c r="H216" s="19"/>
      <c r="I216" s="19"/>
      <c r="J216" s="4"/>
      <c r="K216" s="4"/>
      <c r="L216" s="4"/>
      <c r="M216" s="4"/>
      <c r="N216" s="4"/>
      <c r="O216" s="4"/>
      <c r="P216" s="4"/>
      <c r="Q216" s="4"/>
      <c r="X216" s="4"/>
      <c r="Y216" s="4"/>
      <c r="AC216" s="4"/>
      <c r="AE216" s="4"/>
      <c r="AG216" s="5"/>
      <c r="AL216" s="4">
        <f>SUM(C216/E216/12*6)</f>
        <v>187.5</v>
      </c>
      <c r="AM216" s="4">
        <f t="shared" si="308"/>
        <v>187.5</v>
      </c>
      <c r="AN216" s="4">
        <f t="shared" si="309"/>
        <v>14812.5</v>
      </c>
      <c r="AO216" s="21">
        <f>15000/40</f>
        <v>375</v>
      </c>
      <c r="AP216" s="4">
        <f t="shared" si="311"/>
        <v>562.5</v>
      </c>
      <c r="AQ216" s="4">
        <v>14437.5</v>
      </c>
      <c r="AR216" s="21">
        <v>375</v>
      </c>
      <c r="AS216" s="19">
        <v>937.5</v>
      </c>
      <c r="AT216" s="4">
        <v>14062.5</v>
      </c>
      <c r="AU216" s="21">
        <f t="shared" si="312"/>
        <v>375</v>
      </c>
      <c r="AV216" s="19">
        <f t="shared" si="313"/>
        <v>1312.5</v>
      </c>
      <c r="AW216" s="4">
        <f t="shared" si="314"/>
        <v>13687.5</v>
      </c>
      <c r="AX216" s="4">
        <f t="shared" si="319"/>
        <v>375</v>
      </c>
      <c r="AY216" s="4">
        <f t="shared" si="315"/>
        <v>1687.5</v>
      </c>
      <c r="AZ216" s="4">
        <f t="shared" si="316"/>
        <v>13312.5</v>
      </c>
      <c r="BA216" s="22">
        <f t="shared" si="320"/>
        <v>375</v>
      </c>
      <c r="BB216" s="4">
        <f t="shared" si="317"/>
        <v>2062.5</v>
      </c>
      <c r="BC216" s="4">
        <f t="shared" si="318"/>
        <v>12937.5</v>
      </c>
      <c r="BF216" s="22">
        <v>375</v>
      </c>
      <c r="BG216" s="4">
        <f t="shared" si="269"/>
        <v>0</v>
      </c>
    </row>
    <row r="217" spans="1:59" x14ac:dyDescent="0.35">
      <c r="A217" s="3" t="s">
        <v>266</v>
      </c>
      <c r="B217" s="3" t="s">
        <v>249</v>
      </c>
      <c r="C217" s="4">
        <v>12600</v>
      </c>
      <c r="D217" s="4" t="s">
        <v>80</v>
      </c>
      <c r="E217" s="2">
        <v>40</v>
      </c>
      <c r="F217" s="4"/>
      <c r="G217" s="19"/>
      <c r="H217" s="19"/>
      <c r="I217" s="19"/>
      <c r="J217" s="4"/>
      <c r="K217" s="4"/>
      <c r="L217" s="4"/>
      <c r="M217" s="4"/>
      <c r="N217" s="4"/>
      <c r="O217" s="4"/>
      <c r="P217" s="4"/>
      <c r="Q217" s="4"/>
      <c r="X217" s="4"/>
      <c r="Y217" s="4"/>
      <c r="AC217" s="4"/>
      <c r="AE217" s="4"/>
      <c r="AG217" s="5"/>
      <c r="AL217" s="4"/>
      <c r="AM217" s="4"/>
      <c r="AN217" s="4">
        <v>12600</v>
      </c>
      <c r="AO217" s="21">
        <f>12600/40/12*6</f>
        <v>157.5</v>
      </c>
      <c r="AP217" s="4">
        <f t="shared" si="311"/>
        <v>157.5</v>
      </c>
      <c r="AQ217" s="4">
        <v>12442.5</v>
      </c>
      <c r="AR217" s="21">
        <v>315</v>
      </c>
      <c r="AS217" s="19">
        <v>472.5</v>
      </c>
      <c r="AT217" s="4">
        <v>12127.5</v>
      </c>
      <c r="AU217" s="21">
        <f t="shared" si="312"/>
        <v>315</v>
      </c>
      <c r="AV217" s="19">
        <f t="shared" si="313"/>
        <v>787.5</v>
      </c>
      <c r="AW217" s="4">
        <f t="shared" si="314"/>
        <v>11812.5</v>
      </c>
      <c r="AX217" s="4">
        <f t="shared" si="319"/>
        <v>315</v>
      </c>
      <c r="AY217" s="4">
        <f t="shared" si="315"/>
        <v>1102.5</v>
      </c>
      <c r="AZ217" s="4">
        <f t="shared" si="316"/>
        <v>11497.5</v>
      </c>
      <c r="BA217" s="22">
        <f t="shared" si="320"/>
        <v>315</v>
      </c>
      <c r="BB217" s="4">
        <f t="shared" si="317"/>
        <v>1417.5</v>
      </c>
      <c r="BC217" s="4">
        <f t="shared" si="318"/>
        <v>11182.5</v>
      </c>
      <c r="BF217" s="22">
        <v>315</v>
      </c>
      <c r="BG217" s="4">
        <f t="shared" si="269"/>
        <v>0</v>
      </c>
    </row>
    <row r="218" spans="1:59" x14ac:dyDescent="0.35">
      <c r="A218" s="3" t="s">
        <v>266</v>
      </c>
      <c r="B218" s="3" t="s">
        <v>251</v>
      </c>
      <c r="C218" s="4">
        <v>17400</v>
      </c>
      <c r="D218" s="4" t="s">
        <v>80</v>
      </c>
      <c r="E218" s="2">
        <v>40</v>
      </c>
      <c r="F218" s="4"/>
      <c r="G218" s="19"/>
      <c r="H218" s="19"/>
      <c r="I218" s="19"/>
      <c r="J218" s="4"/>
      <c r="K218" s="4"/>
      <c r="L218" s="4"/>
      <c r="M218" s="4"/>
      <c r="N218" s="4"/>
      <c r="O218" s="4"/>
      <c r="P218" s="4"/>
      <c r="Q218" s="4"/>
      <c r="X218" s="4"/>
      <c r="Y218" s="4"/>
      <c r="AC218" s="4"/>
      <c r="AE218" s="4"/>
      <c r="AG218" s="5"/>
      <c r="AL218" s="4"/>
      <c r="AM218" s="4"/>
      <c r="AN218" s="4"/>
      <c r="AO218" s="21"/>
      <c r="AP218" s="4">
        <f t="shared" si="311"/>
        <v>0</v>
      </c>
      <c r="AQ218" s="4">
        <v>17400</v>
      </c>
      <c r="AR218" s="21">
        <v>217.5</v>
      </c>
      <c r="AS218" s="19">
        <v>217.5</v>
      </c>
      <c r="AT218" s="4">
        <v>17183</v>
      </c>
      <c r="AU218" s="21">
        <f t="shared" si="312"/>
        <v>435</v>
      </c>
      <c r="AV218" s="19">
        <f t="shared" si="313"/>
        <v>652.5</v>
      </c>
      <c r="AW218" s="4">
        <f t="shared" si="314"/>
        <v>16747.5</v>
      </c>
      <c r="AX218" s="4">
        <f t="shared" si="319"/>
        <v>435</v>
      </c>
      <c r="AY218" s="4">
        <f t="shared" si="315"/>
        <v>1087.5</v>
      </c>
      <c r="AZ218" s="4">
        <f t="shared" si="316"/>
        <v>16312.5</v>
      </c>
      <c r="BA218" s="22">
        <f t="shared" si="320"/>
        <v>435</v>
      </c>
      <c r="BB218" s="4">
        <f t="shared" si="317"/>
        <v>1522.5</v>
      </c>
      <c r="BC218" s="4">
        <f t="shared" si="318"/>
        <v>15877.5</v>
      </c>
      <c r="BF218" s="22">
        <v>435</v>
      </c>
      <c r="BG218" s="4">
        <f t="shared" si="269"/>
        <v>0</v>
      </c>
    </row>
    <row r="219" spans="1:59" x14ac:dyDescent="0.35">
      <c r="A219" s="3" t="s">
        <v>266</v>
      </c>
      <c r="B219" s="3" t="s">
        <v>255</v>
      </c>
      <c r="C219" s="4">
        <v>29030</v>
      </c>
      <c r="D219" s="4" t="s">
        <v>80</v>
      </c>
      <c r="E219" s="2">
        <v>40</v>
      </c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"/>
      <c r="S219" s="1"/>
      <c r="T219" s="1"/>
      <c r="U219" s="1"/>
      <c r="V219" s="1"/>
      <c r="W219" s="1"/>
      <c r="X219" s="19"/>
      <c r="Y219" s="19"/>
      <c r="Z219" s="1"/>
      <c r="AA219" s="1"/>
      <c r="AB219" s="1"/>
      <c r="AC219" s="19"/>
      <c r="AD219" s="1"/>
      <c r="AE219" s="19"/>
      <c r="AF219" s="1"/>
      <c r="AG219" s="36"/>
      <c r="AH219" s="1"/>
      <c r="AI219" s="1"/>
      <c r="AJ219" s="1"/>
      <c r="AK219" s="1"/>
      <c r="AL219" s="19"/>
      <c r="AM219" s="19"/>
      <c r="AN219" s="19"/>
      <c r="AO219" s="25"/>
      <c r="AP219" s="19"/>
      <c r="AQ219" s="19"/>
      <c r="AR219" s="25"/>
      <c r="AS219" s="19"/>
      <c r="AT219" s="19">
        <v>29030</v>
      </c>
      <c r="AU219" s="21">
        <f>SUM(C219/E219/2)</f>
        <v>362.875</v>
      </c>
      <c r="AV219" s="19">
        <f t="shared" si="313"/>
        <v>362.875</v>
      </c>
      <c r="AW219" s="4">
        <f t="shared" si="314"/>
        <v>28667.125</v>
      </c>
      <c r="AX219" s="4">
        <f t="shared" si="319"/>
        <v>725.75</v>
      </c>
      <c r="AY219" s="4">
        <f t="shared" si="315"/>
        <v>1088.625</v>
      </c>
      <c r="AZ219" s="4">
        <f t="shared" si="316"/>
        <v>27941.375</v>
      </c>
      <c r="BA219" s="22">
        <f t="shared" si="320"/>
        <v>725.75</v>
      </c>
      <c r="BB219" s="4">
        <f t="shared" si="317"/>
        <v>1814.375</v>
      </c>
      <c r="BC219" s="4">
        <f t="shared" si="318"/>
        <v>27215.625</v>
      </c>
      <c r="BF219" s="22">
        <v>725.75</v>
      </c>
      <c r="BG219" s="4">
        <f t="shared" ref="BG219:BG282" si="321">BA219-BF219</f>
        <v>0</v>
      </c>
    </row>
    <row r="220" spans="1:59" x14ac:dyDescent="0.35">
      <c r="A220" s="3" t="s">
        <v>266</v>
      </c>
      <c r="B220" s="3" t="s">
        <v>257</v>
      </c>
      <c r="C220" s="4">
        <v>32628</v>
      </c>
      <c r="D220" s="4" t="s">
        <v>80</v>
      </c>
      <c r="E220" s="2">
        <v>40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"/>
      <c r="S220" s="1"/>
      <c r="T220" s="1"/>
      <c r="U220" s="1"/>
      <c r="V220" s="1"/>
      <c r="W220" s="1"/>
      <c r="X220" s="19"/>
      <c r="Y220" s="19"/>
      <c r="Z220" s="1"/>
      <c r="AA220" s="1"/>
      <c r="AB220" s="1"/>
      <c r="AC220" s="19"/>
      <c r="AD220" s="1"/>
      <c r="AE220" s="19"/>
      <c r="AF220" s="1"/>
      <c r="AG220" s="36"/>
      <c r="AH220" s="1"/>
      <c r="AI220" s="1"/>
      <c r="AJ220" s="1"/>
      <c r="AK220" s="1"/>
      <c r="AL220" s="19"/>
      <c r="AM220" s="19"/>
      <c r="AN220" s="19"/>
      <c r="AO220" s="25"/>
      <c r="AP220" s="19"/>
      <c r="AQ220" s="19"/>
      <c r="AR220" s="25"/>
      <c r="AS220" s="19"/>
      <c r="AT220" s="19"/>
      <c r="AU220" s="21"/>
      <c r="AV220" s="19"/>
      <c r="AW220" s="4"/>
      <c r="AX220" s="4">
        <f>SUM(C220/E220/2)</f>
        <v>407.85</v>
      </c>
      <c r="AY220" s="4">
        <f t="shared" ref="AY220" si="322">SUM(AV220+AX220)</f>
        <v>407.85</v>
      </c>
      <c r="AZ220" s="4">
        <f t="shared" si="316"/>
        <v>32220.15</v>
      </c>
      <c r="BA220" s="22">
        <f t="shared" si="320"/>
        <v>815.7</v>
      </c>
      <c r="BB220" s="4">
        <f t="shared" si="317"/>
        <v>1223.5500000000002</v>
      </c>
      <c r="BC220" s="4">
        <f t="shared" si="318"/>
        <v>31404.45</v>
      </c>
      <c r="BF220" s="22">
        <v>815.7</v>
      </c>
      <c r="BG220" s="4">
        <f t="shared" si="321"/>
        <v>0</v>
      </c>
    </row>
    <row r="221" spans="1:59" x14ac:dyDescent="0.35">
      <c r="A221" s="1" t="s">
        <v>266</v>
      </c>
      <c r="B221" s="1" t="s">
        <v>264</v>
      </c>
      <c r="C221" s="19">
        <v>25855</v>
      </c>
      <c r="D221" s="19" t="s">
        <v>80</v>
      </c>
      <c r="E221" s="37">
        <v>40</v>
      </c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"/>
      <c r="S221" s="1"/>
      <c r="T221" s="1"/>
      <c r="U221" s="1"/>
      <c r="V221" s="1"/>
      <c r="W221" s="1"/>
      <c r="X221" s="19"/>
      <c r="Y221" s="19"/>
      <c r="Z221" s="1"/>
      <c r="AA221" s="1"/>
      <c r="AB221" s="1"/>
      <c r="AC221" s="19"/>
      <c r="AD221" s="1"/>
      <c r="AE221" s="19"/>
      <c r="AF221" s="1"/>
      <c r="AG221" s="36"/>
      <c r="AH221" s="1"/>
      <c r="AI221" s="1"/>
      <c r="AJ221" s="1"/>
      <c r="AK221" s="1"/>
      <c r="AL221" s="19"/>
      <c r="AM221" s="19"/>
      <c r="AN221" s="19"/>
      <c r="AO221" s="25"/>
      <c r="AP221" s="19"/>
      <c r="AQ221" s="19"/>
      <c r="AR221" s="25"/>
      <c r="AS221" s="19"/>
      <c r="AT221" s="19"/>
      <c r="AU221" s="21"/>
      <c r="AV221" s="19"/>
      <c r="AW221" s="4"/>
      <c r="AX221" s="4"/>
      <c r="AY221" s="4"/>
      <c r="AZ221" s="4"/>
      <c r="BA221" s="22">
        <f>SUM(C221/E221/2)</f>
        <v>323.1875</v>
      </c>
      <c r="BB221" s="4">
        <f t="shared" ref="BB221" si="323">SUM(AY221+BA221)</f>
        <v>323.1875</v>
      </c>
      <c r="BC221" s="4">
        <f t="shared" si="318"/>
        <v>25531.8125</v>
      </c>
      <c r="BD221" s="3">
        <v>25855</v>
      </c>
      <c r="BF221" s="22">
        <v>323.1875</v>
      </c>
      <c r="BG221" s="4">
        <f t="shared" si="321"/>
        <v>0</v>
      </c>
    </row>
    <row r="222" spans="1:59" x14ac:dyDescent="0.35">
      <c r="C222" s="4"/>
      <c r="D222" s="4"/>
      <c r="F222" s="4"/>
      <c r="G222" s="19"/>
      <c r="H222" s="19"/>
      <c r="I222" s="19"/>
      <c r="J222" s="4"/>
      <c r="K222" s="4"/>
      <c r="L222" s="4"/>
      <c r="M222" s="4"/>
      <c r="N222" s="4"/>
      <c r="O222" s="4"/>
      <c r="P222" s="4"/>
      <c r="Q222" s="4"/>
      <c r="X222" s="4"/>
      <c r="Y222" s="4"/>
      <c r="AC222" s="4"/>
      <c r="AE222" s="4"/>
      <c r="AG222" s="5"/>
      <c r="AL222" s="4"/>
      <c r="AM222" s="4"/>
      <c r="AN222" s="4"/>
      <c r="AO222" s="21"/>
      <c r="AP222" s="4"/>
      <c r="AQ222" s="4"/>
      <c r="AR222" s="21"/>
      <c r="AS222" s="19"/>
      <c r="AT222" s="4"/>
      <c r="BA222" s="17"/>
      <c r="BF222" s="17"/>
      <c r="BG222" s="4">
        <f t="shared" si="321"/>
        <v>0</v>
      </c>
    </row>
    <row r="223" spans="1:59" x14ac:dyDescent="0.35">
      <c r="C223" s="19">
        <f>SUM(C188:C222)</f>
        <v>1431685</v>
      </c>
      <c r="D223" s="4"/>
      <c r="F223" s="4"/>
      <c r="G223" s="19">
        <f t="shared" ref="G223:Q223" si="324">SUM(G188:G205)</f>
        <v>434109</v>
      </c>
      <c r="H223" s="19">
        <f t="shared" si="324"/>
        <v>26326</v>
      </c>
      <c r="I223" s="19">
        <f t="shared" si="324"/>
        <v>460435</v>
      </c>
      <c r="J223" s="19">
        <f t="shared" si="324"/>
        <v>26730.1875</v>
      </c>
      <c r="K223" s="19">
        <f t="shared" si="324"/>
        <v>487165.1875</v>
      </c>
      <c r="L223" s="19">
        <f t="shared" si="324"/>
        <v>27435.337500000001</v>
      </c>
      <c r="M223" s="19">
        <f t="shared" si="324"/>
        <v>514600.52500000002</v>
      </c>
      <c r="N223" s="19">
        <f t="shared" si="324"/>
        <v>28150.3</v>
      </c>
      <c r="O223" s="19">
        <f t="shared" si="324"/>
        <v>542750.82499999995</v>
      </c>
      <c r="P223" s="19">
        <f t="shared" si="324"/>
        <v>29166.924999999996</v>
      </c>
      <c r="Q223" s="19">
        <f t="shared" si="324"/>
        <v>571917.75</v>
      </c>
      <c r="R223" s="19">
        <f>SUM(R188:R206)</f>
        <v>29645.874999999996</v>
      </c>
      <c r="S223" s="19">
        <f>SUM(S188:S206)</f>
        <v>601563.62499999988</v>
      </c>
      <c r="T223" s="19">
        <f>SUM(T188:T207)</f>
        <v>30067.174999999996</v>
      </c>
      <c r="U223" s="19">
        <f>SUM(U188:U207)</f>
        <v>631630.79999999993</v>
      </c>
      <c r="V223" s="19">
        <f>SUM(V188:V211)</f>
        <v>30435.924999999996</v>
      </c>
      <c r="W223" s="19">
        <f>SUM(W188:W211)</f>
        <v>662066.72499999986</v>
      </c>
      <c r="X223" s="19">
        <f>SUM(X188:X210)</f>
        <v>30764.049999999996</v>
      </c>
      <c r="Y223" s="19">
        <f>SUM(Y188:Y210)</f>
        <v>692830.77499999979</v>
      </c>
      <c r="Z223" s="19">
        <f>SUM(Z188:Z210)</f>
        <v>31094.549999999996</v>
      </c>
      <c r="AA223" s="19">
        <f>SUM(AA188:AA210)</f>
        <v>723925.32499999984</v>
      </c>
      <c r="AB223" s="19">
        <f>SUM(AB188:AB211)</f>
        <v>31375.549999999996</v>
      </c>
      <c r="AC223" s="19">
        <f>SUM(AC188:AC211)</f>
        <v>755300.87499999977</v>
      </c>
      <c r="AD223" s="3">
        <f>SUM(AD188:AD212)</f>
        <v>31608.299999999996</v>
      </c>
      <c r="AE223" s="3">
        <f>SUM(AE188:AE212)</f>
        <v>786909.17499999981</v>
      </c>
      <c r="AF223" s="3">
        <f>SUM(AF188:AF215)</f>
        <v>31855.799999999996</v>
      </c>
      <c r="AG223" s="5">
        <f>SUM(AG188:AG215)</f>
        <v>818764.97499999974</v>
      </c>
      <c r="AH223" s="3">
        <f>SUM(AH188:AH214)</f>
        <v>32077.049999999996</v>
      </c>
      <c r="AI223" s="5">
        <f>SUM(AI188:AI214)</f>
        <v>850842.02499999967</v>
      </c>
      <c r="AJ223" s="19">
        <f>SUM(AJ188:AJ216)</f>
        <v>32334.549999999996</v>
      </c>
      <c r="AK223" s="19">
        <f>SUM(AK188:AK216)</f>
        <v>883176.57499999972</v>
      </c>
      <c r="AL223" s="19">
        <f>SUM(AL188:AL222)</f>
        <v>32667.399999999994</v>
      </c>
      <c r="AM223" s="19">
        <f>SUM(AM188:AM222)</f>
        <v>915843.97499999963</v>
      </c>
      <c r="AN223" s="19">
        <f>SUM(AN188:AN222)</f>
        <v>410928.02500000031</v>
      </c>
      <c r="AO223" s="25">
        <f>SUM(AO188:AO222)</f>
        <v>33012.399999999994</v>
      </c>
      <c r="AP223" s="19">
        <f>SUM(AP188:AP218)</f>
        <v>948856.37499999965</v>
      </c>
      <c r="AQ223" s="19">
        <v>395315.62500000029</v>
      </c>
      <c r="AR223" s="25">
        <v>33387.399999999994</v>
      </c>
      <c r="AS223" s="19">
        <v>982243.77499999967</v>
      </c>
      <c r="AT223" s="19">
        <v>361928.22500000038</v>
      </c>
      <c r="AU223" s="25">
        <f>SUM(AU188:AU222)</f>
        <v>33967.174999999996</v>
      </c>
      <c r="AV223" s="19">
        <f>SUM(AV188:AV219)</f>
        <v>1015801.4499999996</v>
      </c>
      <c r="AW223" s="19">
        <f>SUM(AW188:AW222)</f>
        <v>357400.55000000028</v>
      </c>
      <c r="AX223" s="19">
        <f t="shared" ref="AX223:BC223" si="325">SUM(AX188:AX222)</f>
        <v>15991.55</v>
      </c>
      <c r="AY223" s="19">
        <f t="shared" si="325"/>
        <v>1031792.9999999995</v>
      </c>
      <c r="AZ223" s="19">
        <f t="shared" si="325"/>
        <v>374037.00000000035</v>
      </c>
      <c r="BA223" s="20">
        <f t="shared" si="325"/>
        <v>16722.587499999998</v>
      </c>
      <c r="BB223" s="19">
        <f t="shared" si="325"/>
        <v>1048515.5874999997</v>
      </c>
      <c r="BC223" s="19">
        <f t="shared" si="325"/>
        <v>383169.41250000038</v>
      </c>
      <c r="BF223" s="20">
        <v>16722.587499999998</v>
      </c>
      <c r="BG223" s="4">
        <f t="shared" si="321"/>
        <v>0</v>
      </c>
    </row>
    <row r="224" spans="1:59" x14ac:dyDescent="0.35">
      <c r="C224" s="19"/>
      <c r="D224" s="4"/>
      <c r="F224" s="4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G224" s="5"/>
      <c r="AI224" s="5"/>
      <c r="AJ224" s="19"/>
      <c r="AK224" s="19"/>
      <c r="AL224" s="19"/>
      <c r="AM224" s="19"/>
      <c r="AN224" s="19"/>
      <c r="AO224" s="25"/>
      <c r="AP224" s="19"/>
      <c r="AQ224" s="19"/>
      <c r="AR224" s="25"/>
      <c r="AS224" s="19"/>
      <c r="AT224" s="19"/>
      <c r="AU224" s="25"/>
      <c r="AV224" s="19"/>
      <c r="AW224" s="19"/>
      <c r="AX224" s="19"/>
      <c r="AY224" s="19"/>
      <c r="AZ224" s="19"/>
      <c r="BA224" s="17"/>
      <c r="BF224" s="17"/>
      <c r="BG224" s="4">
        <f t="shared" si="321"/>
        <v>0</v>
      </c>
    </row>
    <row r="225" spans="1:59" x14ac:dyDescent="0.35">
      <c r="A225" s="3" t="s">
        <v>268</v>
      </c>
      <c r="C225" s="19"/>
      <c r="D225" s="4"/>
      <c r="F225" s="4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"/>
      <c r="AC225" s="19"/>
      <c r="AE225" s="4"/>
      <c r="AG225" s="5"/>
      <c r="AM225" s="4"/>
      <c r="AN225" s="4"/>
      <c r="AO225" s="6"/>
      <c r="AR225" s="6"/>
      <c r="AS225" s="1"/>
      <c r="AT225" s="4"/>
      <c r="BA225" s="17"/>
      <c r="BF225" s="17"/>
      <c r="BG225" s="4">
        <f t="shared" si="321"/>
        <v>0</v>
      </c>
    </row>
    <row r="226" spans="1:59" x14ac:dyDescent="0.35">
      <c r="C226" s="4"/>
      <c r="D226" s="4"/>
      <c r="F226" s="27"/>
      <c r="G226" s="27"/>
      <c r="H226" s="27"/>
      <c r="I226" s="27"/>
      <c r="J226" s="27"/>
      <c r="K226" s="27"/>
      <c r="L226" s="27"/>
      <c r="M226" s="27">
        <f>K226+L226</f>
        <v>0</v>
      </c>
      <c r="N226" s="27"/>
      <c r="O226" s="27"/>
      <c r="P226" s="27"/>
      <c r="Q226" s="27"/>
      <c r="R226" s="26"/>
      <c r="S226" s="26"/>
      <c r="T226" s="26"/>
      <c r="U226" s="26"/>
      <c r="V226" s="26"/>
      <c r="W226" s="26"/>
      <c r="X226" s="27"/>
      <c r="Y226" s="27"/>
      <c r="Z226" s="26"/>
      <c r="AA226" s="26"/>
      <c r="AB226" s="26"/>
      <c r="AC226" s="27"/>
      <c r="AD226" s="26"/>
      <c r="AE226" s="27"/>
      <c r="AF226" s="26"/>
      <c r="AG226" s="30"/>
      <c r="AH226" s="26"/>
      <c r="AI226" s="26"/>
      <c r="AJ226" s="26"/>
      <c r="AK226" s="26"/>
      <c r="AL226" s="26"/>
      <c r="AM226" s="27"/>
      <c r="AN226" s="27"/>
      <c r="AO226" s="31"/>
      <c r="AP226" s="26"/>
      <c r="AQ226" s="26"/>
      <c r="AR226" s="31"/>
      <c r="AS226" s="32"/>
      <c r="AT226" s="26"/>
      <c r="AU226" s="26"/>
      <c r="AV226" s="26"/>
      <c r="AW226" s="26"/>
      <c r="BA226" s="17"/>
      <c r="BF226" s="17"/>
      <c r="BG226" s="4">
        <f t="shared" si="321"/>
        <v>0</v>
      </c>
    </row>
    <row r="227" spans="1:59" x14ac:dyDescent="0.35">
      <c r="A227" s="3" t="s">
        <v>269</v>
      </c>
      <c r="B227" s="3" t="s">
        <v>213</v>
      </c>
      <c r="C227" s="4">
        <v>12664</v>
      </c>
      <c r="D227" s="4" t="s">
        <v>80</v>
      </c>
      <c r="E227" s="2">
        <v>20</v>
      </c>
      <c r="F227" s="4"/>
      <c r="G227" s="38"/>
      <c r="H227" s="38"/>
      <c r="I227" s="38"/>
      <c r="J227" s="39"/>
      <c r="K227" s="39"/>
      <c r="L227" s="39"/>
      <c r="M227" s="39"/>
      <c r="N227" s="39"/>
      <c r="O227" s="39"/>
      <c r="P227" s="39"/>
      <c r="Q227" s="39"/>
      <c r="R227" s="39">
        <f>C227/40.5</f>
        <v>312.69135802469134</v>
      </c>
      <c r="S227" s="39">
        <f>Q227+R227</f>
        <v>312.69135802469134</v>
      </c>
      <c r="T227" s="39">
        <v>317</v>
      </c>
      <c r="U227" s="39">
        <f>S227+T227</f>
        <v>629.69135802469134</v>
      </c>
      <c r="V227" s="39">
        <f>T227</f>
        <v>317</v>
      </c>
      <c r="W227" s="39">
        <f>U227+V227</f>
        <v>946.69135802469134</v>
      </c>
      <c r="X227" s="39">
        <f>V227</f>
        <v>317</v>
      </c>
      <c r="Y227" s="39">
        <f>SUM(W227:X227)</f>
        <v>1263.6913580246915</v>
      </c>
      <c r="Z227" s="39">
        <f>X227</f>
        <v>317</v>
      </c>
      <c r="AA227" s="39">
        <f>SUM(Y227:Z227)</f>
        <v>1580.6913580246915</v>
      </c>
      <c r="AB227" s="39">
        <f>Z227</f>
        <v>317</v>
      </c>
      <c r="AC227" s="39">
        <f>SUM(AA227:AB227)</f>
        <v>1897.6913580246915</v>
      </c>
      <c r="AD227" s="40">
        <f>AB227</f>
        <v>317</v>
      </c>
      <c r="AE227" s="39">
        <f t="shared" ref="AE227:AE233" si="326">AC227+AD227</f>
        <v>2214.6913580246915</v>
      </c>
      <c r="AF227" s="40">
        <f t="shared" ref="AF227:AF232" si="327">AD227</f>
        <v>317</v>
      </c>
      <c r="AG227" s="41">
        <f t="shared" ref="AG227:AG234" si="328">AE227+AF227</f>
        <v>2531.6913580246915</v>
      </c>
      <c r="AH227" s="40">
        <f t="shared" ref="AH227:AH233" si="329">AF227</f>
        <v>317</v>
      </c>
      <c r="AI227" s="41">
        <f t="shared" ref="AI227:AI234" si="330">AG227+AH227</f>
        <v>2848.6913580246915</v>
      </c>
      <c r="AJ227" s="40">
        <f t="shared" ref="AJ227:AJ234" si="331">AH227</f>
        <v>317</v>
      </c>
      <c r="AK227" s="40">
        <v>3165.69</v>
      </c>
      <c r="AL227" s="40">
        <f t="shared" ref="AL227:AL237" si="332">AJ227</f>
        <v>317</v>
      </c>
      <c r="AM227" s="39">
        <v>3483</v>
      </c>
      <c r="AN227" s="39">
        <f t="shared" ref="AN227:AN246" si="333">C227-AM227</f>
        <v>9181</v>
      </c>
      <c r="AO227" s="21">
        <f t="shared" ref="AO227:AO246" si="334">AL227</f>
        <v>317</v>
      </c>
      <c r="AP227" s="4">
        <f t="shared" ref="AP227:AP236" si="335">AM227+AO227</f>
        <v>3800</v>
      </c>
      <c r="AQ227" s="4">
        <v>8864</v>
      </c>
      <c r="AR227" s="21">
        <v>317</v>
      </c>
      <c r="AS227" s="19">
        <v>4117</v>
      </c>
      <c r="AT227" s="4">
        <v>8547</v>
      </c>
      <c r="AU227" s="21">
        <f t="shared" ref="AU227:AU252" si="336">SUM(C227/E227)</f>
        <v>633.20000000000005</v>
      </c>
      <c r="AV227" s="19">
        <f t="shared" ref="AV227:AV253" si="337">AS227+AU227</f>
        <v>4750.2</v>
      </c>
      <c r="AW227" s="4">
        <f t="shared" ref="AW227:AW253" si="338">C227-AV227</f>
        <v>7913.8</v>
      </c>
      <c r="AX227" s="4">
        <f t="shared" ref="AX227:AX253" si="339">SUM(C227/E227)</f>
        <v>633.20000000000005</v>
      </c>
      <c r="AY227" s="4">
        <f t="shared" ref="AY227:AY253" si="340">SUM(AV227+AX227)</f>
        <v>5383.4</v>
      </c>
      <c r="AZ227" s="4">
        <f t="shared" ref="AZ227:AZ254" si="341">SUM(C227-AY227)</f>
        <v>7280.6</v>
      </c>
      <c r="BA227" s="22">
        <f t="shared" ref="BA227:BA254" si="342">SUM(C227/E227)</f>
        <v>633.20000000000005</v>
      </c>
      <c r="BB227" s="4">
        <f t="shared" ref="BB227:BB254" si="343">SUM(AY227+BA227)</f>
        <v>6016.5999999999995</v>
      </c>
      <c r="BC227" s="4">
        <f t="shared" ref="BC227:BC255" si="344">SUM(C227-BB227)</f>
        <v>6647.4000000000005</v>
      </c>
      <c r="BF227" s="22">
        <v>633.20000000000005</v>
      </c>
      <c r="BG227" s="4">
        <f t="shared" si="321"/>
        <v>0</v>
      </c>
    </row>
    <row r="228" spans="1:59" x14ac:dyDescent="0.35">
      <c r="A228" s="3" t="s">
        <v>269</v>
      </c>
      <c r="B228" s="3" t="s">
        <v>215</v>
      </c>
      <c r="C228" s="4">
        <v>9800</v>
      </c>
      <c r="D228" s="4" t="s">
        <v>80</v>
      </c>
      <c r="E228" s="2">
        <v>20</v>
      </c>
      <c r="F228" s="4"/>
      <c r="G228" s="19"/>
      <c r="H228" s="19"/>
      <c r="I228" s="19"/>
      <c r="J228" s="4"/>
      <c r="K228" s="4"/>
      <c r="L228" s="4"/>
      <c r="M228" s="4"/>
      <c r="N228" s="4"/>
      <c r="O228" s="4"/>
      <c r="P228" s="4"/>
      <c r="Q228" s="4"/>
      <c r="T228" s="3">
        <v>123</v>
      </c>
      <c r="U228" s="4">
        <f>S228+T228</f>
        <v>123</v>
      </c>
      <c r="V228" s="4">
        <f>9800/40</f>
        <v>245</v>
      </c>
      <c r="W228" s="4">
        <f>U228+V228</f>
        <v>368</v>
      </c>
      <c r="X228" s="4">
        <f>V228</f>
        <v>245</v>
      </c>
      <c r="Y228" s="4">
        <f>SUM(W228:X228)</f>
        <v>613</v>
      </c>
      <c r="Z228" s="4">
        <f>X228</f>
        <v>245</v>
      </c>
      <c r="AA228" s="4">
        <f>SUM(Y228:Z228)</f>
        <v>858</v>
      </c>
      <c r="AB228" s="4">
        <f>Z228</f>
        <v>245</v>
      </c>
      <c r="AC228" s="4">
        <f>SUM(AA228:AB228)</f>
        <v>1103</v>
      </c>
      <c r="AD228" s="3">
        <f>AB228</f>
        <v>245</v>
      </c>
      <c r="AE228" s="4">
        <f t="shared" si="326"/>
        <v>1348</v>
      </c>
      <c r="AF228" s="3">
        <f t="shared" si="327"/>
        <v>245</v>
      </c>
      <c r="AG228" s="5">
        <f t="shared" si="328"/>
        <v>1593</v>
      </c>
      <c r="AH228" s="3">
        <f t="shared" si="329"/>
        <v>245</v>
      </c>
      <c r="AI228" s="5">
        <f t="shared" si="330"/>
        <v>1838</v>
      </c>
      <c r="AJ228" s="3">
        <f t="shared" si="331"/>
        <v>245</v>
      </c>
      <c r="AK228" s="3">
        <f t="shared" ref="AK228:AK236" si="345">SUM(AI228:AJ228)</f>
        <v>2083</v>
      </c>
      <c r="AL228" s="3">
        <f t="shared" si="332"/>
        <v>245</v>
      </c>
      <c r="AM228" s="4">
        <f t="shared" ref="AM228:AM236" si="346">SUM(AK228:AL228)</f>
        <v>2328</v>
      </c>
      <c r="AN228" s="4">
        <f t="shared" si="333"/>
        <v>7472</v>
      </c>
      <c r="AO228" s="21">
        <f t="shared" si="334"/>
        <v>245</v>
      </c>
      <c r="AP228" s="4">
        <f t="shared" si="335"/>
        <v>2573</v>
      </c>
      <c r="AQ228" s="4">
        <v>7227</v>
      </c>
      <c r="AR228" s="21">
        <v>245</v>
      </c>
      <c r="AS228" s="19">
        <v>2818</v>
      </c>
      <c r="AT228" s="4">
        <v>6982</v>
      </c>
      <c r="AU228" s="21">
        <f t="shared" si="336"/>
        <v>490</v>
      </c>
      <c r="AV228" s="19">
        <f t="shared" si="337"/>
        <v>3308</v>
      </c>
      <c r="AW228" s="4">
        <f t="shared" si="338"/>
        <v>6492</v>
      </c>
      <c r="AX228" s="4">
        <f t="shared" si="339"/>
        <v>490</v>
      </c>
      <c r="AY228" s="4">
        <f t="shared" si="340"/>
        <v>3798</v>
      </c>
      <c r="AZ228" s="4">
        <f t="shared" si="341"/>
        <v>6002</v>
      </c>
      <c r="BA228" s="22">
        <f t="shared" si="342"/>
        <v>490</v>
      </c>
      <c r="BB228" s="4">
        <f t="shared" si="343"/>
        <v>4288</v>
      </c>
      <c r="BC228" s="4">
        <f t="shared" si="344"/>
        <v>5512</v>
      </c>
      <c r="BF228" s="22">
        <v>490</v>
      </c>
      <c r="BG228" s="4">
        <f t="shared" si="321"/>
        <v>0</v>
      </c>
    </row>
    <row r="229" spans="1:59" x14ac:dyDescent="0.35">
      <c r="A229" s="3" t="s">
        <v>269</v>
      </c>
      <c r="B229" s="3" t="s">
        <v>217</v>
      </c>
      <c r="C229" s="4">
        <v>9883</v>
      </c>
      <c r="D229" s="4" t="s">
        <v>80</v>
      </c>
      <c r="E229" s="2">
        <v>20</v>
      </c>
      <c r="F229" s="4"/>
      <c r="G229" s="19"/>
      <c r="H229" s="19"/>
      <c r="I229" s="19"/>
      <c r="J229" s="4"/>
      <c r="K229" s="4"/>
      <c r="L229" s="4"/>
      <c r="M229" s="4"/>
      <c r="N229" s="4"/>
      <c r="O229" s="4"/>
      <c r="P229" s="4"/>
      <c r="Q229" s="4"/>
      <c r="U229" s="4"/>
      <c r="V229" s="4">
        <v>124</v>
      </c>
      <c r="W229" s="4">
        <f>U229+V229</f>
        <v>124</v>
      </c>
      <c r="X229" s="4">
        <f>9883/40</f>
        <v>247.07499999999999</v>
      </c>
      <c r="Y229" s="4">
        <f>SUM(W229:X229)</f>
        <v>371.07499999999999</v>
      </c>
      <c r="Z229" s="4">
        <f>X229</f>
        <v>247.07499999999999</v>
      </c>
      <c r="AA229" s="4">
        <f>SUM(Y229:Z229)</f>
        <v>618.15</v>
      </c>
      <c r="AB229" s="4">
        <f>Z229</f>
        <v>247.07499999999999</v>
      </c>
      <c r="AC229" s="4">
        <f>SUM(AA229:AB229)</f>
        <v>865.22499999999991</v>
      </c>
      <c r="AD229" s="3">
        <f>AB229</f>
        <v>247.07499999999999</v>
      </c>
      <c r="AE229" s="4">
        <f t="shared" si="326"/>
        <v>1112.3</v>
      </c>
      <c r="AF229" s="3">
        <f t="shared" si="327"/>
        <v>247.07499999999999</v>
      </c>
      <c r="AG229" s="5">
        <f t="shared" si="328"/>
        <v>1359.375</v>
      </c>
      <c r="AH229" s="3">
        <f t="shared" si="329"/>
        <v>247.07499999999999</v>
      </c>
      <c r="AI229" s="5">
        <f t="shared" si="330"/>
        <v>1606.45</v>
      </c>
      <c r="AJ229" s="3">
        <f t="shared" si="331"/>
        <v>247.07499999999999</v>
      </c>
      <c r="AK229" s="3">
        <f t="shared" si="345"/>
        <v>1853.5250000000001</v>
      </c>
      <c r="AL229" s="3">
        <f t="shared" si="332"/>
        <v>247.07499999999999</v>
      </c>
      <c r="AM229" s="4">
        <f t="shared" si="346"/>
        <v>2100.6</v>
      </c>
      <c r="AN229" s="4">
        <f t="shared" si="333"/>
        <v>7782.4</v>
      </c>
      <c r="AO229" s="21">
        <f t="shared" si="334"/>
        <v>247.07499999999999</v>
      </c>
      <c r="AP229" s="4">
        <f t="shared" si="335"/>
        <v>2347.6749999999997</v>
      </c>
      <c r="AQ229" s="4">
        <v>7535.3249999999998</v>
      </c>
      <c r="AR229" s="21">
        <v>247.07499999999999</v>
      </c>
      <c r="AS229" s="19">
        <v>2594.7499999999995</v>
      </c>
      <c r="AT229" s="4">
        <v>7288.25</v>
      </c>
      <c r="AU229" s="21">
        <f t="shared" si="336"/>
        <v>494.15</v>
      </c>
      <c r="AV229" s="19">
        <f t="shared" si="337"/>
        <v>3088.8999999999996</v>
      </c>
      <c r="AW229" s="4">
        <f t="shared" si="338"/>
        <v>6794.1</v>
      </c>
      <c r="AX229" s="4">
        <f t="shared" si="339"/>
        <v>494.15</v>
      </c>
      <c r="AY229" s="4">
        <f t="shared" si="340"/>
        <v>3583.0499999999997</v>
      </c>
      <c r="AZ229" s="4">
        <f t="shared" si="341"/>
        <v>6299.9500000000007</v>
      </c>
      <c r="BA229" s="22">
        <f t="shared" si="342"/>
        <v>494.15</v>
      </c>
      <c r="BB229" s="4">
        <f t="shared" si="343"/>
        <v>4077.2</v>
      </c>
      <c r="BC229" s="4">
        <f t="shared" si="344"/>
        <v>5805.8</v>
      </c>
      <c r="BF229" s="22">
        <v>494.15</v>
      </c>
      <c r="BG229" s="4">
        <f t="shared" si="321"/>
        <v>0</v>
      </c>
    </row>
    <row r="230" spans="1:59" x14ac:dyDescent="0.35">
      <c r="A230" s="3" t="s">
        <v>269</v>
      </c>
      <c r="B230" s="3" t="s">
        <v>230</v>
      </c>
      <c r="C230" s="4">
        <v>7600</v>
      </c>
      <c r="D230" s="4" t="s">
        <v>80</v>
      </c>
      <c r="E230" s="2">
        <v>20</v>
      </c>
      <c r="F230" s="4"/>
      <c r="G230" s="19"/>
      <c r="H230" s="19"/>
      <c r="I230" s="19"/>
      <c r="J230" s="4"/>
      <c r="K230" s="4"/>
      <c r="L230" s="4"/>
      <c r="M230" s="4"/>
      <c r="N230" s="4"/>
      <c r="O230" s="4"/>
      <c r="P230" s="4"/>
      <c r="Q230" s="4"/>
      <c r="U230" s="4"/>
      <c r="V230" s="4"/>
      <c r="W230" s="4"/>
      <c r="X230" s="4">
        <f>7600/40/2</f>
        <v>95</v>
      </c>
      <c r="Y230" s="4">
        <f>SUM(W230:X230)</f>
        <v>95</v>
      </c>
      <c r="Z230" s="3">
        <f>7600/40</f>
        <v>190</v>
      </c>
      <c r="AA230" s="4">
        <f>SUM(Y230:Z230)</f>
        <v>285</v>
      </c>
      <c r="AB230" s="4">
        <f>Z230</f>
        <v>190</v>
      </c>
      <c r="AC230" s="4">
        <f>SUM(AA230:AB230)</f>
        <v>475</v>
      </c>
      <c r="AD230" s="3">
        <f>AB230</f>
        <v>190</v>
      </c>
      <c r="AE230" s="4">
        <f t="shared" si="326"/>
        <v>665</v>
      </c>
      <c r="AF230" s="3">
        <f t="shared" si="327"/>
        <v>190</v>
      </c>
      <c r="AG230" s="5">
        <f t="shared" si="328"/>
        <v>855</v>
      </c>
      <c r="AH230" s="3">
        <f t="shared" si="329"/>
        <v>190</v>
      </c>
      <c r="AI230" s="5">
        <f t="shared" si="330"/>
        <v>1045</v>
      </c>
      <c r="AJ230" s="3">
        <f t="shared" si="331"/>
        <v>190</v>
      </c>
      <c r="AK230" s="3">
        <f t="shared" si="345"/>
        <v>1235</v>
      </c>
      <c r="AL230" s="3">
        <f t="shared" si="332"/>
        <v>190</v>
      </c>
      <c r="AM230" s="4">
        <f t="shared" si="346"/>
        <v>1425</v>
      </c>
      <c r="AN230" s="4">
        <f t="shared" si="333"/>
        <v>6175</v>
      </c>
      <c r="AO230" s="21">
        <f t="shared" si="334"/>
        <v>190</v>
      </c>
      <c r="AP230" s="4">
        <f t="shared" si="335"/>
        <v>1615</v>
      </c>
      <c r="AQ230" s="4">
        <v>5985</v>
      </c>
      <c r="AR230" s="21">
        <v>190</v>
      </c>
      <c r="AS230" s="19">
        <v>1805</v>
      </c>
      <c r="AT230" s="4">
        <v>5795</v>
      </c>
      <c r="AU230" s="21">
        <f t="shared" si="336"/>
        <v>380</v>
      </c>
      <c r="AV230" s="19">
        <f t="shared" si="337"/>
        <v>2185</v>
      </c>
      <c r="AW230" s="4">
        <f t="shared" si="338"/>
        <v>5415</v>
      </c>
      <c r="AX230" s="4">
        <f t="shared" si="339"/>
        <v>380</v>
      </c>
      <c r="AY230" s="4">
        <f t="shared" si="340"/>
        <v>2565</v>
      </c>
      <c r="AZ230" s="4">
        <f t="shared" si="341"/>
        <v>5035</v>
      </c>
      <c r="BA230" s="22">
        <f t="shared" si="342"/>
        <v>380</v>
      </c>
      <c r="BB230" s="4">
        <f t="shared" si="343"/>
        <v>2945</v>
      </c>
      <c r="BC230" s="4">
        <f t="shared" si="344"/>
        <v>4655</v>
      </c>
      <c r="BF230" s="22">
        <v>380</v>
      </c>
      <c r="BG230" s="4">
        <f t="shared" si="321"/>
        <v>0</v>
      </c>
    </row>
    <row r="231" spans="1:59" x14ac:dyDescent="0.35">
      <c r="A231" s="3" t="s">
        <v>269</v>
      </c>
      <c r="B231" s="3" t="s">
        <v>232</v>
      </c>
      <c r="C231" s="4">
        <v>10000</v>
      </c>
      <c r="D231" s="4" t="s">
        <v>80</v>
      </c>
      <c r="E231" s="2">
        <v>20</v>
      </c>
      <c r="F231" s="4"/>
      <c r="G231" s="19"/>
      <c r="H231" s="19"/>
      <c r="I231" s="19"/>
      <c r="J231" s="4"/>
      <c r="K231" s="4"/>
      <c r="L231" s="4"/>
      <c r="M231" s="4"/>
      <c r="N231" s="4"/>
      <c r="O231" s="4"/>
      <c r="P231" s="4"/>
      <c r="Q231" s="4"/>
      <c r="U231" s="4"/>
      <c r="V231" s="4"/>
      <c r="W231" s="4"/>
      <c r="X231" s="4"/>
      <c r="Y231" s="4">
        <f>SUM(W231:X231)</f>
        <v>0</v>
      </c>
      <c r="Z231" s="3">
        <v>125</v>
      </c>
      <c r="AA231" s="3">
        <v>125</v>
      </c>
      <c r="AB231" s="3">
        <f>10000/40</f>
        <v>250</v>
      </c>
      <c r="AC231" s="4">
        <f>SUM(AA231:AB231)</f>
        <v>375</v>
      </c>
      <c r="AD231" s="3">
        <f>AB231</f>
        <v>250</v>
      </c>
      <c r="AE231" s="4">
        <f t="shared" si="326"/>
        <v>625</v>
      </c>
      <c r="AF231" s="3">
        <f t="shared" si="327"/>
        <v>250</v>
      </c>
      <c r="AG231" s="5">
        <f t="shared" si="328"/>
        <v>875</v>
      </c>
      <c r="AH231" s="3">
        <f t="shared" si="329"/>
        <v>250</v>
      </c>
      <c r="AI231" s="5">
        <f t="shared" si="330"/>
        <v>1125</v>
      </c>
      <c r="AJ231" s="3">
        <f t="shared" si="331"/>
        <v>250</v>
      </c>
      <c r="AK231" s="3">
        <f t="shared" si="345"/>
        <v>1375</v>
      </c>
      <c r="AL231" s="3">
        <f t="shared" si="332"/>
        <v>250</v>
      </c>
      <c r="AM231" s="4">
        <f t="shared" si="346"/>
        <v>1625</v>
      </c>
      <c r="AN231" s="4">
        <f t="shared" si="333"/>
        <v>8375</v>
      </c>
      <c r="AO231" s="21">
        <f t="shared" si="334"/>
        <v>250</v>
      </c>
      <c r="AP231" s="4">
        <f t="shared" si="335"/>
        <v>1875</v>
      </c>
      <c r="AQ231" s="4">
        <v>8125</v>
      </c>
      <c r="AR231" s="21">
        <v>250</v>
      </c>
      <c r="AS231" s="19">
        <v>2125</v>
      </c>
      <c r="AT231" s="4">
        <v>7875</v>
      </c>
      <c r="AU231" s="21">
        <f t="shared" si="336"/>
        <v>500</v>
      </c>
      <c r="AV231" s="19">
        <f t="shared" si="337"/>
        <v>2625</v>
      </c>
      <c r="AW231" s="4">
        <f t="shared" si="338"/>
        <v>7375</v>
      </c>
      <c r="AX231" s="4">
        <f t="shared" si="339"/>
        <v>500</v>
      </c>
      <c r="AY231" s="4">
        <f t="shared" si="340"/>
        <v>3125</v>
      </c>
      <c r="AZ231" s="4">
        <f t="shared" si="341"/>
        <v>6875</v>
      </c>
      <c r="BA231" s="22">
        <f t="shared" si="342"/>
        <v>500</v>
      </c>
      <c r="BB231" s="4">
        <f t="shared" si="343"/>
        <v>3625</v>
      </c>
      <c r="BC231" s="4">
        <f t="shared" si="344"/>
        <v>6375</v>
      </c>
      <c r="BF231" s="22">
        <v>500</v>
      </c>
      <c r="BG231" s="4">
        <f t="shared" si="321"/>
        <v>0</v>
      </c>
    </row>
    <row r="232" spans="1:59" x14ac:dyDescent="0.35">
      <c r="A232" s="3" t="s">
        <v>269</v>
      </c>
      <c r="B232" s="3" t="s">
        <v>234</v>
      </c>
      <c r="C232" s="4">
        <v>5000</v>
      </c>
      <c r="D232" s="4" t="s">
        <v>80</v>
      </c>
      <c r="E232" s="2">
        <v>20</v>
      </c>
      <c r="F232" s="4"/>
      <c r="G232" s="19"/>
      <c r="H232" s="19"/>
      <c r="I232" s="19"/>
      <c r="J232" s="4"/>
      <c r="K232" s="4"/>
      <c r="L232" s="4"/>
      <c r="M232" s="4"/>
      <c r="N232" s="4"/>
      <c r="O232" s="4"/>
      <c r="P232" s="4"/>
      <c r="Q232" s="4"/>
      <c r="U232" s="4"/>
      <c r="V232" s="4"/>
      <c r="W232" s="4"/>
      <c r="X232" s="4"/>
      <c r="Y232" s="4"/>
      <c r="AB232" s="3">
        <v>62</v>
      </c>
      <c r="AC232" s="4">
        <v>62</v>
      </c>
      <c r="AD232" s="3">
        <f>5000/40</f>
        <v>125</v>
      </c>
      <c r="AE232" s="4">
        <f t="shared" si="326"/>
        <v>187</v>
      </c>
      <c r="AF232" s="3">
        <f t="shared" si="327"/>
        <v>125</v>
      </c>
      <c r="AG232" s="5">
        <f t="shared" si="328"/>
        <v>312</v>
      </c>
      <c r="AH232" s="3">
        <f t="shared" si="329"/>
        <v>125</v>
      </c>
      <c r="AI232" s="5">
        <f t="shared" si="330"/>
        <v>437</v>
      </c>
      <c r="AJ232" s="3">
        <f t="shared" si="331"/>
        <v>125</v>
      </c>
      <c r="AK232" s="3">
        <f t="shared" si="345"/>
        <v>562</v>
      </c>
      <c r="AL232" s="3">
        <f t="shared" si="332"/>
        <v>125</v>
      </c>
      <c r="AM232" s="4">
        <f t="shared" si="346"/>
        <v>687</v>
      </c>
      <c r="AN232" s="4">
        <f t="shared" si="333"/>
        <v>4313</v>
      </c>
      <c r="AO232" s="21">
        <f t="shared" si="334"/>
        <v>125</v>
      </c>
      <c r="AP232" s="4">
        <f t="shared" si="335"/>
        <v>812</v>
      </c>
      <c r="AQ232" s="4">
        <v>4188</v>
      </c>
      <c r="AR232" s="21">
        <v>125</v>
      </c>
      <c r="AS232" s="19">
        <v>937</v>
      </c>
      <c r="AT232" s="4">
        <v>4063</v>
      </c>
      <c r="AU232" s="21">
        <f t="shared" si="336"/>
        <v>250</v>
      </c>
      <c r="AV232" s="19">
        <f t="shared" si="337"/>
        <v>1187</v>
      </c>
      <c r="AW232" s="4">
        <f t="shared" si="338"/>
        <v>3813</v>
      </c>
      <c r="AX232" s="4">
        <f t="shared" si="339"/>
        <v>250</v>
      </c>
      <c r="AY232" s="4">
        <f t="shared" si="340"/>
        <v>1437</v>
      </c>
      <c r="AZ232" s="4">
        <f t="shared" si="341"/>
        <v>3563</v>
      </c>
      <c r="BA232" s="22">
        <f t="shared" si="342"/>
        <v>250</v>
      </c>
      <c r="BB232" s="4">
        <f t="shared" si="343"/>
        <v>1687</v>
      </c>
      <c r="BC232" s="4">
        <f t="shared" si="344"/>
        <v>3313</v>
      </c>
      <c r="BF232" s="22">
        <v>250</v>
      </c>
      <c r="BG232" s="4">
        <f t="shared" si="321"/>
        <v>0</v>
      </c>
    </row>
    <row r="233" spans="1:59" x14ac:dyDescent="0.35">
      <c r="A233" s="3" t="s">
        <v>269</v>
      </c>
      <c r="B233" s="3" t="s">
        <v>121</v>
      </c>
      <c r="C233" s="4">
        <v>7400</v>
      </c>
      <c r="D233" s="4" t="s">
        <v>80</v>
      </c>
      <c r="E233" s="2">
        <v>20</v>
      </c>
      <c r="F233" s="4"/>
      <c r="G233" s="19"/>
      <c r="H233" s="19"/>
      <c r="I233" s="19"/>
      <c r="J233" s="4"/>
      <c r="K233" s="4"/>
      <c r="L233" s="4"/>
      <c r="M233" s="4"/>
      <c r="N233" s="4"/>
      <c r="O233" s="4"/>
      <c r="P233" s="4"/>
      <c r="Q233" s="4"/>
      <c r="U233" s="4"/>
      <c r="V233" s="4"/>
      <c r="W233" s="4"/>
      <c r="X233" s="4"/>
      <c r="Y233" s="4"/>
      <c r="AC233" s="4"/>
      <c r="AD233" s="3">
        <f>7400/40/2</f>
        <v>92.5</v>
      </c>
      <c r="AE233" s="4">
        <f t="shared" si="326"/>
        <v>92.5</v>
      </c>
      <c r="AF233" s="3">
        <f>7400/40</f>
        <v>185</v>
      </c>
      <c r="AG233" s="5">
        <f t="shared" si="328"/>
        <v>277.5</v>
      </c>
      <c r="AH233" s="3">
        <f t="shared" si="329"/>
        <v>185</v>
      </c>
      <c r="AI233" s="5">
        <f t="shared" si="330"/>
        <v>462.5</v>
      </c>
      <c r="AJ233" s="3">
        <f t="shared" si="331"/>
        <v>185</v>
      </c>
      <c r="AK233" s="3">
        <f t="shared" si="345"/>
        <v>647.5</v>
      </c>
      <c r="AL233" s="3">
        <f t="shared" si="332"/>
        <v>185</v>
      </c>
      <c r="AM233" s="4">
        <f t="shared" si="346"/>
        <v>832.5</v>
      </c>
      <c r="AN233" s="4">
        <f t="shared" si="333"/>
        <v>6567.5</v>
      </c>
      <c r="AO233" s="21">
        <f t="shared" si="334"/>
        <v>185</v>
      </c>
      <c r="AP233" s="4">
        <f t="shared" si="335"/>
        <v>1017.5</v>
      </c>
      <c r="AQ233" s="4">
        <v>6382.5</v>
      </c>
      <c r="AR233" s="21">
        <v>185</v>
      </c>
      <c r="AS233" s="19">
        <v>1202.5</v>
      </c>
      <c r="AT233" s="4">
        <v>6197.5</v>
      </c>
      <c r="AU233" s="21">
        <f t="shared" si="336"/>
        <v>370</v>
      </c>
      <c r="AV233" s="19">
        <f t="shared" si="337"/>
        <v>1572.5</v>
      </c>
      <c r="AW233" s="4">
        <f t="shared" si="338"/>
        <v>5827.5</v>
      </c>
      <c r="AX233" s="4">
        <f t="shared" si="339"/>
        <v>370</v>
      </c>
      <c r="AY233" s="4">
        <f t="shared" si="340"/>
        <v>1942.5</v>
      </c>
      <c r="AZ233" s="4">
        <f t="shared" si="341"/>
        <v>5457.5</v>
      </c>
      <c r="BA233" s="22">
        <f t="shared" si="342"/>
        <v>370</v>
      </c>
      <c r="BB233" s="4">
        <f t="shared" si="343"/>
        <v>2312.5</v>
      </c>
      <c r="BC233" s="4">
        <f t="shared" si="344"/>
        <v>5087.5</v>
      </c>
      <c r="BF233" s="22">
        <v>370</v>
      </c>
      <c r="BG233" s="4">
        <f t="shared" si="321"/>
        <v>0</v>
      </c>
    </row>
    <row r="234" spans="1:59" x14ac:dyDescent="0.35">
      <c r="A234" s="3" t="s">
        <v>269</v>
      </c>
      <c r="B234" s="3" t="s">
        <v>238</v>
      </c>
      <c r="C234" s="4">
        <v>5800</v>
      </c>
      <c r="D234" s="4" t="s">
        <v>80</v>
      </c>
      <c r="E234" s="2">
        <v>20</v>
      </c>
      <c r="F234" s="4"/>
      <c r="G234" s="19"/>
      <c r="H234" s="19"/>
      <c r="I234" s="19"/>
      <c r="J234" s="4"/>
      <c r="K234" s="4"/>
      <c r="L234" s="4"/>
      <c r="M234" s="4"/>
      <c r="N234" s="4"/>
      <c r="O234" s="4"/>
      <c r="P234" s="4"/>
      <c r="Q234" s="4"/>
      <c r="U234" s="4"/>
      <c r="V234" s="4"/>
      <c r="W234" s="4"/>
      <c r="X234" s="4"/>
      <c r="Y234" s="4"/>
      <c r="AC234" s="4"/>
      <c r="AE234" s="4"/>
      <c r="AF234" s="3">
        <f>5800/40/2</f>
        <v>72.5</v>
      </c>
      <c r="AG234" s="5">
        <f t="shared" si="328"/>
        <v>72.5</v>
      </c>
      <c r="AH234" s="3">
        <f>5800/40</f>
        <v>145</v>
      </c>
      <c r="AI234" s="5">
        <f t="shared" si="330"/>
        <v>217.5</v>
      </c>
      <c r="AJ234" s="3">
        <f t="shared" si="331"/>
        <v>145</v>
      </c>
      <c r="AK234" s="3">
        <f t="shared" si="345"/>
        <v>362.5</v>
      </c>
      <c r="AL234" s="3">
        <f t="shared" si="332"/>
        <v>145</v>
      </c>
      <c r="AM234" s="4">
        <f t="shared" si="346"/>
        <v>507.5</v>
      </c>
      <c r="AN234" s="4">
        <f t="shared" si="333"/>
        <v>5292.5</v>
      </c>
      <c r="AO234" s="21">
        <f t="shared" si="334"/>
        <v>145</v>
      </c>
      <c r="AP234" s="4">
        <f t="shared" si="335"/>
        <v>652.5</v>
      </c>
      <c r="AQ234" s="4">
        <v>5147.5</v>
      </c>
      <c r="AR234" s="21">
        <v>145</v>
      </c>
      <c r="AS234" s="19">
        <v>797.5</v>
      </c>
      <c r="AT234" s="4">
        <v>5002.5</v>
      </c>
      <c r="AU234" s="21">
        <f t="shared" si="336"/>
        <v>290</v>
      </c>
      <c r="AV234" s="19">
        <f t="shared" si="337"/>
        <v>1087.5</v>
      </c>
      <c r="AW234" s="4">
        <f t="shared" si="338"/>
        <v>4712.5</v>
      </c>
      <c r="AX234" s="4">
        <f t="shared" si="339"/>
        <v>290</v>
      </c>
      <c r="AY234" s="4">
        <f t="shared" si="340"/>
        <v>1377.5</v>
      </c>
      <c r="AZ234" s="4">
        <f t="shared" si="341"/>
        <v>4422.5</v>
      </c>
      <c r="BA234" s="22">
        <f t="shared" si="342"/>
        <v>290</v>
      </c>
      <c r="BB234" s="4">
        <f t="shared" si="343"/>
        <v>1667.5</v>
      </c>
      <c r="BC234" s="4">
        <f t="shared" si="344"/>
        <v>4132.5</v>
      </c>
      <c r="BF234" s="22">
        <v>290</v>
      </c>
      <c r="BG234" s="4">
        <f t="shared" si="321"/>
        <v>0</v>
      </c>
    </row>
    <row r="235" spans="1:59" x14ac:dyDescent="0.35">
      <c r="A235" s="3" t="s">
        <v>269</v>
      </c>
      <c r="B235" s="3" t="s">
        <v>240</v>
      </c>
      <c r="C235" s="4">
        <v>6000</v>
      </c>
      <c r="D235" s="4" t="s">
        <v>80</v>
      </c>
      <c r="E235" s="2">
        <v>20</v>
      </c>
      <c r="F235" s="4"/>
      <c r="G235" s="19"/>
      <c r="H235" s="19"/>
      <c r="I235" s="19"/>
      <c r="J235" s="4"/>
      <c r="K235" s="4"/>
      <c r="L235" s="4"/>
      <c r="M235" s="4"/>
      <c r="N235" s="4"/>
      <c r="O235" s="4"/>
      <c r="P235" s="4"/>
      <c r="Q235" s="4"/>
      <c r="U235" s="4"/>
      <c r="V235" s="4"/>
      <c r="W235" s="4"/>
      <c r="X235" s="4"/>
      <c r="Y235" s="4"/>
      <c r="AC235" s="4"/>
      <c r="AE235" s="4"/>
      <c r="AG235" s="5"/>
      <c r="AH235" s="3">
        <v>75</v>
      </c>
      <c r="AI235" s="5">
        <v>75</v>
      </c>
      <c r="AJ235" s="3">
        <f>6000/40</f>
        <v>150</v>
      </c>
      <c r="AK235" s="3">
        <f t="shared" si="345"/>
        <v>225</v>
      </c>
      <c r="AL235" s="3">
        <f t="shared" si="332"/>
        <v>150</v>
      </c>
      <c r="AM235" s="4">
        <f t="shared" si="346"/>
        <v>375</v>
      </c>
      <c r="AN235" s="4">
        <f t="shared" si="333"/>
        <v>5625</v>
      </c>
      <c r="AO235" s="21">
        <f t="shared" si="334"/>
        <v>150</v>
      </c>
      <c r="AP235" s="4">
        <f t="shared" si="335"/>
        <v>525</v>
      </c>
      <c r="AQ235" s="4">
        <v>5475</v>
      </c>
      <c r="AR235" s="21">
        <v>150</v>
      </c>
      <c r="AS235" s="19">
        <v>675</v>
      </c>
      <c r="AT235" s="4">
        <v>5325</v>
      </c>
      <c r="AU235" s="21">
        <f t="shared" si="336"/>
        <v>300</v>
      </c>
      <c r="AV235" s="19">
        <f t="shared" si="337"/>
        <v>975</v>
      </c>
      <c r="AW235" s="4">
        <f t="shared" si="338"/>
        <v>5025</v>
      </c>
      <c r="AX235" s="4">
        <f t="shared" si="339"/>
        <v>300</v>
      </c>
      <c r="AY235" s="4">
        <f t="shared" si="340"/>
        <v>1275</v>
      </c>
      <c r="AZ235" s="4">
        <f t="shared" si="341"/>
        <v>4725</v>
      </c>
      <c r="BA235" s="22">
        <f t="shared" si="342"/>
        <v>300</v>
      </c>
      <c r="BB235" s="4">
        <f t="shared" si="343"/>
        <v>1575</v>
      </c>
      <c r="BC235" s="4">
        <f t="shared" si="344"/>
        <v>4425</v>
      </c>
      <c r="BF235" s="22">
        <v>300</v>
      </c>
      <c r="BG235" s="4">
        <f t="shared" si="321"/>
        <v>0</v>
      </c>
    </row>
    <row r="236" spans="1:59" x14ac:dyDescent="0.35">
      <c r="A236" s="3" t="s">
        <v>270</v>
      </c>
      <c r="B236" s="3" t="s">
        <v>240</v>
      </c>
      <c r="C236" s="4">
        <v>16333.98</v>
      </c>
      <c r="D236" s="4" t="s">
        <v>80</v>
      </c>
      <c r="E236" s="2">
        <v>20</v>
      </c>
      <c r="F236" s="4"/>
      <c r="G236" s="19"/>
      <c r="H236" s="19"/>
      <c r="I236" s="19"/>
      <c r="J236" s="4"/>
      <c r="K236" s="4"/>
      <c r="L236" s="4"/>
      <c r="M236" s="4"/>
      <c r="N236" s="4"/>
      <c r="O236" s="4"/>
      <c r="P236" s="4"/>
      <c r="Q236" s="4"/>
      <c r="U236" s="4"/>
      <c r="V236" s="4"/>
      <c r="W236" s="4"/>
      <c r="X236" s="4"/>
      <c r="Y236" s="4"/>
      <c r="AC236" s="4"/>
      <c r="AE236" s="4"/>
      <c r="AG236" s="5">
        <f>AE236+AF236</f>
        <v>0</v>
      </c>
      <c r="AH236" s="3">
        <v>408.35</v>
      </c>
      <c r="AI236" s="5">
        <f>AG236+AH236</f>
        <v>408.35</v>
      </c>
      <c r="AJ236" s="3">
        <f>16334/20</f>
        <v>816.7</v>
      </c>
      <c r="AK236" s="3">
        <f t="shared" si="345"/>
        <v>1225.0500000000002</v>
      </c>
      <c r="AL236" s="3">
        <f t="shared" si="332"/>
        <v>816.7</v>
      </c>
      <c r="AM236" s="4">
        <f t="shared" si="346"/>
        <v>2041.7500000000002</v>
      </c>
      <c r="AN236" s="4">
        <f t="shared" si="333"/>
        <v>14292.23</v>
      </c>
      <c r="AO236" s="21">
        <f t="shared" si="334"/>
        <v>816.7</v>
      </c>
      <c r="AP236" s="4">
        <f t="shared" si="335"/>
        <v>2858.4500000000003</v>
      </c>
      <c r="AQ236" s="4">
        <v>13475.529999999999</v>
      </c>
      <c r="AR236" s="21">
        <v>816.7</v>
      </c>
      <c r="AS236" s="19">
        <v>3675.1500000000005</v>
      </c>
      <c r="AT236" s="4">
        <v>12658.829999999998</v>
      </c>
      <c r="AU236" s="21">
        <v>816</v>
      </c>
      <c r="AV236" s="19">
        <f t="shared" si="337"/>
        <v>4491.1500000000005</v>
      </c>
      <c r="AW236" s="4">
        <f t="shared" si="338"/>
        <v>11842.829999999998</v>
      </c>
      <c r="AX236" s="4">
        <f t="shared" si="339"/>
        <v>816.69899999999996</v>
      </c>
      <c r="AY236" s="4">
        <f t="shared" si="340"/>
        <v>5307.8490000000002</v>
      </c>
      <c r="AZ236" s="4">
        <f t="shared" si="341"/>
        <v>11026.130999999999</v>
      </c>
      <c r="BA236" s="22">
        <f t="shared" si="342"/>
        <v>816.69899999999996</v>
      </c>
      <c r="BB236" s="4">
        <f t="shared" si="343"/>
        <v>6124.5479999999998</v>
      </c>
      <c r="BC236" s="4">
        <f t="shared" si="344"/>
        <v>10209.432000000001</v>
      </c>
      <c r="BF236" s="22">
        <v>816.69899999999996</v>
      </c>
      <c r="BG236" s="4">
        <f t="shared" si="321"/>
        <v>0</v>
      </c>
    </row>
    <row r="237" spans="1:59" x14ac:dyDescent="0.35">
      <c r="A237" s="3" t="s">
        <v>269</v>
      </c>
      <c r="B237" s="3" t="s">
        <v>244</v>
      </c>
      <c r="C237" s="4">
        <v>7742</v>
      </c>
      <c r="D237" s="4" t="s">
        <v>80</v>
      </c>
      <c r="E237" s="2">
        <v>20</v>
      </c>
      <c r="F237" s="4"/>
      <c r="G237" s="19"/>
      <c r="H237" s="19"/>
      <c r="I237" s="19"/>
      <c r="J237" s="4"/>
      <c r="K237" s="4"/>
      <c r="L237" s="4"/>
      <c r="M237" s="4"/>
      <c r="N237" s="4"/>
      <c r="O237" s="4"/>
      <c r="P237" s="4"/>
      <c r="Q237" s="4"/>
      <c r="U237" s="4"/>
      <c r="V237" s="4"/>
      <c r="W237" s="4"/>
      <c r="X237" s="4"/>
      <c r="Y237" s="4"/>
      <c r="AC237" s="4"/>
      <c r="AE237" s="4"/>
      <c r="AG237" s="5"/>
      <c r="AI237" s="5"/>
      <c r="AJ237" s="3">
        <v>194</v>
      </c>
      <c r="AK237" s="3">
        <v>194</v>
      </c>
      <c r="AL237" s="3">
        <f t="shared" si="332"/>
        <v>194</v>
      </c>
      <c r="AM237" s="4">
        <v>581</v>
      </c>
      <c r="AN237" s="4">
        <f t="shared" si="333"/>
        <v>7161</v>
      </c>
      <c r="AO237" s="21">
        <f t="shared" si="334"/>
        <v>194</v>
      </c>
      <c r="AP237" s="4">
        <v>968</v>
      </c>
      <c r="AQ237" s="4">
        <v>6967</v>
      </c>
      <c r="AR237" s="21">
        <v>194</v>
      </c>
      <c r="AS237" s="19">
        <v>1162</v>
      </c>
      <c r="AT237" s="4">
        <v>6580</v>
      </c>
      <c r="AU237" s="21">
        <f t="shared" si="336"/>
        <v>387.1</v>
      </c>
      <c r="AV237" s="19">
        <f t="shared" si="337"/>
        <v>1549.1</v>
      </c>
      <c r="AW237" s="4">
        <f t="shared" si="338"/>
        <v>6192.9</v>
      </c>
      <c r="AX237" s="4">
        <f t="shared" si="339"/>
        <v>387.1</v>
      </c>
      <c r="AY237" s="4">
        <f t="shared" si="340"/>
        <v>1936.1999999999998</v>
      </c>
      <c r="AZ237" s="4">
        <f t="shared" si="341"/>
        <v>5805.8</v>
      </c>
      <c r="BA237" s="22">
        <f t="shared" si="342"/>
        <v>387.1</v>
      </c>
      <c r="BB237" s="4">
        <f t="shared" si="343"/>
        <v>2323.2999999999997</v>
      </c>
      <c r="BC237" s="4">
        <f t="shared" si="344"/>
        <v>5418.7000000000007</v>
      </c>
      <c r="BF237" s="22">
        <v>387.1</v>
      </c>
      <c r="BG237" s="4">
        <f t="shared" si="321"/>
        <v>0</v>
      </c>
    </row>
    <row r="238" spans="1:59" x14ac:dyDescent="0.35">
      <c r="A238" s="3" t="s">
        <v>269</v>
      </c>
      <c r="B238" s="3" t="s">
        <v>247</v>
      </c>
      <c r="C238" s="4">
        <v>11995</v>
      </c>
      <c r="D238" s="4" t="s">
        <v>80</v>
      </c>
      <c r="E238" s="2">
        <v>20</v>
      </c>
      <c r="F238" s="4"/>
      <c r="G238" s="19"/>
      <c r="H238" s="19"/>
      <c r="I238" s="19"/>
      <c r="J238" s="4"/>
      <c r="K238" s="4"/>
      <c r="L238" s="4"/>
      <c r="M238" s="4"/>
      <c r="N238" s="4"/>
      <c r="O238" s="4"/>
      <c r="P238" s="4"/>
      <c r="Q238" s="4"/>
      <c r="U238" s="4"/>
      <c r="V238" s="4"/>
      <c r="W238" s="4"/>
      <c r="X238" s="4"/>
      <c r="Y238" s="4"/>
      <c r="AC238" s="4"/>
      <c r="AE238" s="4"/>
      <c r="AG238" s="5"/>
      <c r="AI238" s="5"/>
      <c r="AL238" s="4">
        <f>SUM(C238/20/2)</f>
        <v>299.875</v>
      </c>
      <c r="AM238" s="4">
        <f t="shared" ref="AM238:AM246" si="347">SUM(AK238:AL238)</f>
        <v>299.875</v>
      </c>
      <c r="AN238" s="4">
        <f t="shared" si="333"/>
        <v>11695.125</v>
      </c>
      <c r="AO238" s="21">
        <f t="shared" si="334"/>
        <v>299.875</v>
      </c>
      <c r="AP238" s="4">
        <f>AM238+AO238</f>
        <v>599.75</v>
      </c>
      <c r="AQ238" s="4">
        <v>11395.25</v>
      </c>
      <c r="AR238" s="21">
        <v>299.875</v>
      </c>
      <c r="AS238" s="19">
        <v>899.625</v>
      </c>
      <c r="AT238" s="4">
        <v>11095.375</v>
      </c>
      <c r="AU238" s="21">
        <f t="shared" si="336"/>
        <v>599.75</v>
      </c>
      <c r="AV238" s="19">
        <f t="shared" si="337"/>
        <v>1499.375</v>
      </c>
      <c r="AW238" s="4">
        <f t="shared" si="338"/>
        <v>10495.625</v>
      </c>
      <c r="AX238" s="4">
        <f t="shared" si="339"/>
        <v>599.75</v>
      </c>
      <c r="AY238" s="4">
        <f t="shared" si="340"/>
        <v>2099.125</v>
      </c>
      <c r="AZ238" s="4">
        <f t="shared" si="341"/>
        <v>9895.875</v>
      </c>
      <c r="BA238" s="22">
        <f t="shared" si="342"/>
        <v>599.75</v>
      </c>
      <c r="BB238" s="4">
        <f t="shared" si="343"/>
        <v>2698.875</v>
      </c>
      <c r="BC238" s="4">
        <f t="shared" si="344"/>
        <v>9296.125</v>
      </c>
      <c r="BF238" s="22">
        <v>599.75</v>
      </c>
      <c r="BG238" s="4">
        <f t="shared" si="321"/>
        <v>0</v>
      </c>
    </row>
    <row r="239" spans="1:59" x14ac:dyDescent="0.35">
      <c r="A239" s="3" t="s">
        <v>271</v>
      </c>
      <c r="B239" s="3" t="s">
        <v>272</v>
      </c>
      <c r="C239" s="4">
        <v>29116</v>
      </c>
      <c r="D239" s="4" t="s">
        <v>80</v>
      </c>
      <c r="E239" s="2">
        <v>20</v>
      </c>
      <c r="F239" s="4"/>
      <c r="G239" s="19"/>
      <c r="H239" s="19"/>
      <c r="I239" s="19"/>
      <c r="J239" s="4"/>
      <c r="K239" s="4"/>
      <c r="L239" s="4"/>
      <c r="M239" s="4"/>
      <c r="N239" s="4"/>
      <c r="O239" s="4"/>
      <c r="P239" s="4"/>
      <c r="Q239" s="4"/>
      <c r="U239" s="4"/>
      <c r="V239" s="4"/>
      <c r="W239" s="4"/>
      <c r="X239" s="4"/>
      <c r="Y239" s="4"/>
      <c r="AC239" s="4"/>
      <c r="AE239" s="4"/>
      <c r="AG239" s="5"/>
      <c r="AI239" s="5"/>
      <c r="AL239" s="4">
        <f>SUM(C239/E239/12*5.5)</f>
        <v>667.24166666666667</v>
      </c>
      <c r="AM239" s="4">
        <f t="shared" si="347"/>
        <v>667.24166666666667</v>
      </c>
      <c r="AN239" s="4">
        <f t="shared" si="333"/>
        <v>28448.758333333335</v>
      </c>
      <c r="AO239" s="21">
        <f t="shared" si="334"/>
        <v>667.24166666666667</v>
      </c>
      <c r="AP239" s="4">
        <f>AM239+AO239</f>
        <v>1334.4833333333333</v>
      </c>
      <c r="AQ239" s="4">
        <v>27781.51666666667</v>
      </c>
      <c r="AR239" s="21">
        <v>667.24166666666667</v>
      </c>
      <c r="AS239" s="19">
        <v>2001.7249999999999</v>
      </c>
      <c r="AT239" s="4">
        <v>27114.275000000001</v>
      </c>
      <c r="AU239" s="21">
        <f t="shared" si="336"/>
        <v>1455.8</v>
      </c>
      <c r="AV239" s="19">
        <f t="shared" si="337"/>
        <v>3457.5249999999996</v>
      </c>
      <c r="AW239" s="4">
        <f t="shared" si="338"/>
        <v>25658.474999999999</v>
      </c>
      <c r="AX239" s="4">
        <f t="shared" si="339"/>
        <v>1455.8</v>
      </c>
      <c r="AY239" s="4">
        <f t="shared" si="340"/>
        <v>4913.3249999999998</v>
      </c>
      <c r="AZ239" s="4">
        <f t="shared" si="341"/>
        <v>24202.674999999999</v>
      </c>
      <c r="BA239" s="22">
        <f t="shared" si="342"/>
        <v>1455.8</v>
      </c>
      <c r="BB239" s="4">
        <f t="shared" si="343"/>
        <v>6369.125</v>
      </c>
      <c r="BC239" s="4">
        <f t="shared" si="344"/>
        <v>22746.875</v>
      </c>
      <c r="BF239" s="22">
        <v>1455.8</v>
      </c>
      <c r="BG239" s="4">
        <f t="shared" si="321"/>
        <v>0</v>
      </c>
    </row>
    <row r="240" spans="1:59" x14ac:dyDescent="0.35">
      <c r="A240" s="3" t="s">
        <v>273</v>
      </c>
      <c r="B240" s="3" t="s">
        <v>274</v>
      </c>
      <c r="C240" s="4">
        <v>68533</v>
      </c>
      <c r="D240" s="4" t="s">
        <v>80</v>
      </c>
      <c r="E240" s="2">
        <v>20</v>
      </c>
      <c r="F240" s="4"/>
      <c r="G240" s="19"/>
      <c r="H240" s="19"/>
      <c r="I240" s="19"/>
      <c r="J240" s="4"/>
      <c r="K240" s="4"/>
      <c r="L240" s="4"/>
      <c r="M240" s="4"/>
      <c r="N240" s="4"/>
      <c r="O240" s="4"/>
      <c r="P240" s="4"/>
      <c r="Q240" s="4"/>
      <c r="U240" s="4"/>
      <c r="V240" s="4"/>
      <c r="W240" s="4"/>
      <c r="X240" s="4"/>
      <c r="Y240" s="4"/>
      <c r="AC240" s="4"/>
      <c r="AE240" s="4"/>
      <c r="AG240" s="5"/>
      <c r="AI240" s="5"/>
      <c r="AL240" s="4">
        <f>SUM(C240/E240/12*4.5)</f>
        <v>1284.9937500000001</v>
      </c>
      <c r="AM240" s="4">
        <f t="shared" si="347"/>
        <v>1284.9937500000001</v>
      </c>
      <c r="AN240" s="4">
        <f t="shared" si="333"/>
        <v>67248.006250000006</v>
      </c>
      <c r="AO240" s="21">
        <f t="shared" si="334"/>
        <v>1284.9937500000001</v>
      </c>
      <c r="AP240" s="4">
        <f>AM240+AO240</f>
        <v>2569.9875000000002</v>
      </c>
      <c r="AQ240" s="4">
        <v>65963.012500000012</v>
      </c>
      <c r="AR240" s="21">
        <v>1284.9937500000001</v>
      </c>
      <c r="AS240" s="19">
        <v>3854.9812500000003</v>
      </c>
      <c r="AT240" s="4">
        <v>64678.018750000003</v>
      </c>
      <c r="AU240" s="21">
        <f t="shared" si="336"/>
        <v>3426.65</v>
      </c>
      <c r="AV240" s="19">
        <f t="shared" si="337"/>
        <v>7281.6312500000004</v>
      </c>
      <c r="AW240" s="4">
        <f t="shared" si="338"/>
        <v>61251.368750000001</v>
      </c>
      <c r="AX240" s="4">
        <f t="shared" si="339"/>
        <v>3426.65</v>
      </c>
      <c r="AY240" s="4">
        <f t="shared" si="340"/>
        <v>10708.28125</v>
      </c>
      <c r="AZ240" s="4">
        <f t="shared" si="341"/>
        <v>57824.71875</v>
      </c>
      <c r="BA240" s="22">
        <f t="shared" si="342"/>
        <v>3426.65</v>
      </c>
      <c r="BB240" s="4">
        <f t="shared" si="343"/>
        <v>14134.93125</v>
      </c>
      <c r="BC240" s="4">
        <f t="shared" si="344"/>
        <v>54398.068749999999</v>
      </c>
      <c r="BF240" s="22">
        <v>3426.65</v>
      </c>
      <c r="BG240" s="4">
        <f t="shared" si="321"/>
        <v>0</v>
      </c>
    </row>
    <row r="241" spans="1:59" x14ac:dyDescent="0.35">
      <c r="A241" s="3" t="s">
        <v>275</v>
      </c>
      <c r="B241" s="3" t="s">
        <v>276</v>
      </c>
      <c r="C241" s="4">
        <v>98885</v>
      </c>
      <c r="D241" s="4" t="s">
        <v>80</v>
      </c>
      <c r="E241" s="2">
        <v>20</v>
      </c>
      <c r="F241" s="4"/>
      <c r="G241" s="19"/>
      <c r="H241" s="19"/>
      <c r="I241" s="19"/>
      <c r="J241" s="4"/>
      <c r="K241" s="4"/>
      <c r="L241" s="4"/>
      <c r="M241" s="4"/>
      <c r="N241" s="4"/>
      <c r="O241" s="4"/>
      <c r="P241" s="4"/>
      <c r="Q241" s="4"/>
      <c r="U241" s="4"/>
      <c r="V241" s="4"/>
      <c r="W241" s="4"/>
      <c r="X241" s="4"/>
      <c r="Y241" s="4"/>
      <c r="AC241" s="4"/>
      <c r="AE241" s="4"/>
      <c r="AG241" s="5"/>
      <c r="AI241" s="5"/>
      <c r="AL241" s="4">
        <f>SUM(C241/E241/12*3.5)</f>
        <v>1442.0729166666665</v>
      </c>
      <c r="AM241" s="4">
        <f t="shared" si="347"/>
        <v>1442.0729166666665</v>
      </c>
      <c r="AN241" s="4">
        <f t="shared" si="333"/>
        <v>97442.927083333328</v>
      </c>
      <c r="AO241" s="21">
        <f t="shared" si="334"/>
        <v>1442.0729166666665</v>
      </c>
      <c r="AP241" s="4">
        <f>AM241+AO241</f>
        <v>2884.145833333333</v>
      </c>
      <c r="AQ241" s="4">
        <v>96000.854166666657</v>
      </c>
      <c r="AR241" s="21">
        <v>1442.0729166666665</v>
      </c>
      <c r="AS241" s="19">
        <v>4326.21875</v>
      </c>
      <c r="AT241" s="4">
        <v>94558.78125</v>
      </c>
      <c r="AU241" s="21">
        <f t="shared" si="336"/>
        <v>4944.25</v>
      </c>
      <c r="AV241" s="19">
        <f t="shared" si="337"/>
        <v>9270.46875</v>
      </c>
      <c r="AW241" s="4">
        <f t="shared" si="338"/>
        <v>89614.53125</v>
      </c>
      <c r="AX241" s="4">
        <f t="shared" si="339"/>
        <v>4944.25</v>
      </c>
      <c r="AY241" s="4">
        <f t="shared" si="340"/>
        <v>14214.71875</v>
      </c>
      <c r="AZ241" s="4">
        <f t="shared" si="341"/>
        <v>84670.28125</v>
      </c>
      <c r="BA241" s="22">
        <f t="shared" si="342"/>
        <v>4944.25</v>
      </c>
      <c r="BB241" s="4">
        <f t="shared" si="343"/>
        <v>19158.96875</v>
      </c>
      <c r="BC241" s="4">
        <f t="shared" si="344"/>
        <v>79726.03125</v>
      </c>
      <c r="BF241" s="22">
        <v>4944.25</v>
      </c>
      <c r="BG241" s="4">
        <f t="shared" si="321"/>
        <v>0</v>
      </c>
    </row>
    <row r="242" spans="1:59" x14ac:dyDescent="0.35">
      <c r="A242" s="3" t="s">
        <v>277</v>
      </c>
      <c r="B242" s="3" t="s">
        <v>278</v>
      </c>
      <c r="C242" s="4">
        <v>124567</v>
      </c>
      <c r="D242" s="4" t="s">
        <v>80</v>
      </c>
      <c r="E242" s="2">
        <v>20</v>
      </c>
      <c r="F242" s="4"/>
      <c r="G242" s="19"/>
      <c r="H242" s="19"/>
      <c r="I242" s="19"/>
      <c r="J242" s="4"/>
      <c r="K242" s="4"/>
      <c r="L242" s="4"/>
      <c r="M242" s="4"/>
      <c r="N242" s="4"/>
      <c r="O242" s="4"/>
      <c r="P242" s="4"/>
      <c r="Q242" s="4"/>
      <c r="U242" s="4"/>
      <c r="V242" s="4"/>
      <c r="W242" s="4"/>
      <c r="X242" s="4"/>
      <c r="Y242" s="4"/>
      <c r="AC242" s="4"/>
      <c r="AE242" s="4"/>
      <c r="AG242" s="5"/>
      <c r="AI242" s="5"/>
      <c r="AL242" s="4">
        <f>SUM(C242/E242/12*2.5)</f>
        <v>1297.5729166666667</v>
      </c>
      <c r="AM242" s="4">
        <f t="shared" si="347"/>
        <v>1297.5729166666667</v>
      </c>
      <c r="AN242" s="4">
        <f t="shared" si="333"/>
        <v>123269.42708333333</v>
      </c>
      <c r="AO242" s="21">
        <f t="shared" si="334"/>
        <v>1297.5729166666667</v>
      </c>
      <c r="AP242" s="4">
        <v>2596</v>
      </c>
      <c r="AQ242" s="4">
        <v>121971.85416666666</v>
      </c>
      <c r="AR242" s="21">
        <v>1297.5729166666667</v>
      </c>
      <c r="AS242" s="19">
        <v>3893.572916666667</v>
      </c>
      <c r="AT242" s="4">
        <v>120673.42708333333</v>
      </c>
      <c r="AU242" s="21">
        <f t="shared" si="336"/>
        <v>6228.35</v>
      </c>
      <c r="AV242" s="19">
        <f t="shared" si="337"/>
        <v>10121.922916666666</v>
      </c>
      <c r="AW242" s="4">
        <f t="shared" si="338"/>
        <v>114445.07708333334</v>
      </c>
      <c r="AX242" s="4">
        <f t="shared" si="339"/>
        <v>6228.35</v>
      </c>
      <c r="AY242" s="4">
        <f t="shared" si="340"/>
        <v>16350.272916666667</v>
      </c>
      <c r="AZ242" s="4">
        <f t="shared" si="341"/>
        <v>108216.72708333333</v>
      </c>
      <c r="BA242" s="22">
        <f t="shared" si="342"/>
        <v>6228.35</v>
      </c>
      <c r="BB242" s="4">
        <f t="shared" si="343"/>
        <v>22578.622916666667</v>
      </c>
      <c r="BC242" s="4">
        <f t="shared" si="344"/>
        <v>101988.37708333333</v>
      </c>
      <c r="BF242" s="22">
        <v>6228.35</v>
      </c>
      <c r="BG242" s="4">
        <f t="shared" si="321"/>
        <v>0</v>
      </c>
    </row>
    <row r="243" spans="1:59" x14ac:dyDescent="0.35">
      <c r="A243" s="3" t="s">
        <v>279</v>
      </c>
      <c r="B243" s="3" t="s">
        <v>280</v>
      </c>
      <c r="C243" s="4">
        <v>55760</v>
      </c>
      <c r="D243" s="4" t="s">
        <v>80</v>
      </c>
      <c r="E243" s="2">
        <v>20</v>
      </c>
      <c r="F243" s="4"/>
      <c r="G243" s="19"/>
      <c r="H243" s="19"/>
      <c r="I243" s="19"/>
      <c r="J243" s="4"/>
      <c r="K243" s="4"/>
      <c r="L243" s="4"/>
      <c r="M243" s="4"/>
      <c r="N243" s="4"/>
      <c r="O243" s="4"/>
      <c r="P243" s="4"/>
      <c r="Q243" s="4"/>
      <c r="U243" s="4"/>
      <c r="V243" s="4"/>
      <c r="W243" s="4"/>
      <c r="X243" s="4"/>
      <c r="Y243" s="4"/>
      <c r="AC243" s="4"/>
      <c r="AE243" s="4"/>
      <c r="AG243" s="5"/>
      <c r="AI243" s="5"/>
      <c r="AL243" s="4">
        <f>SUM(C243/E243/12*1.5)</f>
        <v>348.5</v>
      </c>
      <c r="AM243" s="4">
        <f t="shared" si="347"/>
        <v>348.5</v>
      </c>
      <c r="AN243" s="4">
        <f t="shared" si="333"/>
        <v>55411.5</v>
      </c>
      <c r="AO243" s="21">
        <f t="shared" si="334"/>
        <v>348.5</v>
      </c>
      <c r="AP243" s="4">
        <v>698</v>
      </c>
      <c r="AQ243" s="4">
        <v>55063</v>
      </c>
      <c r="AR243" s="21">
        <v>348.5</v>
      </c>
      <c r="AS243" s="19">
        <v>1046.5</v>
      </c>
      <c r="AT243" s="4">
        <v>54713.5</v>
      </c>
      <c r="AU243" s="21">
        <f t="shared" si="336"/>
        <v>2788</v>
      </c>
      <c r="AV243" s="19">
        <f t="shared" si="337"/>
        <v>3834.5</v>
      </c>
      <c r="AW243" s="4">
        <f t="shared" si="338"/>
        <v>51925.5</v>
      </c>
      <c r="AX243" s="4">
        <f t="shared" si="339"/>
        <v>2788</v>
      </c>
      <c r="AY243" s="4">
        <f t="shared" si="340"/>
        <v>6622.5</v>
      </c>
      <c r="AZ243" s="4">
        <f t="shared" si="341"/>
        <v>49137.5</v>
      </c>
      <c r="BA243" s="22">
        <f t="shared" si="342"/>
        <v>2788</v>
      </c>
      <c r="BB243" s="4">
        <f t="shared" si="343"/>
        <v>9410.5</v>
      </c>
      <c r="BC243" s="4">
        <f t="shared" si="344"/>
        <v>46349.5</v>
      </c>
      <c r="BF243" s="22">
        <v>2788</v>
      </c>
      <c r="BG243" s="4">
        <f t="shared" si="321"/>
        <v>0</v>
      </c>
    </row>
    <row r="244" spans="1:59" x14ac:dyDescent="0.35">
      <c r="A244" s="3" t="s">
        <v>281</v>
      </c>
      <c r="B244" s="3" t="s">
        <v>282</v>
      </c>
      <c r="C244" s="4">
        <v>36944</v>
      </c>
      <c r="D244" s="4" t="s">
        <v>80</v>
      </c>
      <c r="E244" s="2">
        <v>20</v>
      </c>
      <c r="F244" s="4"/>
      <c r="G244" s="19"/>
      <c r="H244" s="19"/>
      <c r="I244" s="19"/>
      <c r="J244" s="4"/>
      <c r="K244" s="4"/>
      <c r="L244" s="4"/>
      <c r="M244" s="4"/>
      <c r="N244" s="4"/>
      <c r="O244" s="4"/>
      <c r="P244" s="4"/>
      <c r="Q244" s="4"/>
      <c r="U244" s="4"/>
      <c r="V244" s="4"/>
      <c r="W244" s="4"/>
      <c r="X244" s="4"/>
      <c r="Y244" s="4"/>
      <c r="AC244" s="4"/>
      <c r="AE244" s="4"/>
      <c r="AG244" s="5"/>
      <c r="AI244" s="5"/>
      <c r="AL244" s="4">
        <f>SUM(C244/E244/12*0.5)</f>
        <v>76.966666666666669</v>
      </c>
      <c r="AM244" s="4">
        <f t="shared" si="347"/>
        <v>76.966666666666669</v>
      </c>
      <c r="AN244" s="4">
        <f t="shared" si="333"/>
        <v>36867.033333333333</v>
      </c>
      <c r="AO244" s="21">
        <f t="shared" si="334"/>
        <v>76.966666666666669</v>
      </c>
      <c r="AP244" s="4">
        <f t="shared" ref="AP244:AP251" si="348">AM244+AO244</f>
        <v>153.93333333333334</v>
      </c>
      <c r="AQ244" s="4">
        <v>36790.066666666666</v>
      </c>
      <c r="AR244" s="21">
        <v>76.966666666666669</v>
      </c>
      <c r="AS244" s="19">
        <v>230.9</v>
      </c>
      <c r="AT244" s="4">
        <v>36713.1</v>
      </c>
      <c r="AU244" s="21">
        <f t="shared" si="336"/>
        <v>1847.2</v>
      </c>
      <c r="AV244" s="19">
        <f t="shared" si="337"/>
        <v>2078.1</v>
      </c>
      <c r="AW244" s="4">
        <f t="shared" si="338"/>
        <v>34865.9</v>
      </c>
      <c r="AX244" s="4">
        <f t="shared" si="339"/>
        <v>1847.2</v>
      </c>
      <c r="AY244" s="4">
        <f t="shared" si="340"/>
        <v>3925.3</v>
      </c>
      <c r="AZ244" s="4">
        <f t="shared" si="341"/>
        <v>33018.699999999997</v>
      </c>
      <c r="BA244" s="22">
        <f t="shared" si="342"/>
        <v>1847.2</v>
      </c>
      <c r="BB244" s="4">
        <f t="shared" si="343"/>
        <v>5772.5</v>
      </c>
      <c r="BC244" s="4">
        <f t="shared" si="344"/>
        <v>31171.5</v>
      </c>
      <c r="BF244" s="22">
        <v>1847.2</v>
      </c>
      <c r="BG244" s="4">
        <f t="shared" si="321"/>
        <v>0</v>
      </c>
    </row>
    <row r="245" spans="1:59" x14ac:dyDescent="0.35">
      <c r="A245" s="3" t="s">
        <v>283</v>
      </c>
      <c r="B245" s="3" t="s">
        <v>276</v>
      </c>
      <c r="C245" s="4">
        <v>1640</v>
      </c>
      <c r="D245" s="4" t="s">
        <v>80</v>
      </c>
      <c r="E245" s="2">
        <v>20</v>
      </c>
      <c r="F245" s="4"/>
      <c r="G245" s="19"/>
      <c r="H245" s="19"/>
      <c r="I245" s="19"/>
      <c r="J245" s="4"/>
      <c r="K245" s="4"/>
      <c r="L245" s="4"/>
      <c r="M245" s="4"/>
      <c r="N245" s="4"/>
      <c r="O245" s="4"/>
      <c r="P245" s="4"/>
      <c r="Q245" s="4"/>
      <c r="U245" s="4"/>
      <c r="V245" s="4"/>
      <c r="W245" s="4"/>
      <c r="X245" s="4"/>
      <c r="Y245" s="4"/>
      <c r="AC245" s="4"/>
      <c r="AE245" s="4"/>
      <c r="AG245" s="5"/>
      <c r="AI245" s="5"/>
      <c r="AL245" s="4">
        <f>SUM(C245/E245/12*3.5)</f>
        <v>23.916666666666664</v>
      </c>
      <c r="AM245" s="4">
        <f t="shared" si="347"/>
        <v>23.916666666666664</v>
      </c>
      <c r="AN245" s="4">
        <f t="shared" si="333"/>
        <v>1616.0833333333333</v>
      </c>
      <c r="AO245" s="21">
        <f t="shared" si="334"/>
        <v>23.916666666666664</v>
      </c>
      <c r="AP245" s="4">
        <f t="shared" si="348"/>
        <v>47.833333333333329</v>
      </c>
      <c r="AQ245" s="4">
        <v>1592.1666666666665</v>
      </c>
      <c r="AR245" s="21">
        <v>23.916666666666664</v>
      </c>
      <c r="AS245" s="19">
        <v>71.75</v>
      </c>
      <c r="AT245" s="4">
        <v>1568.25</v>
      </c>
      <c r="AU245" s="21">
        <f t="shared" si="336"/>
        <v>82</v>
      </c>
      <c r="AV245" s="19">
        <f t="shared" si="337"/>
        <v>153.75</v>
      </c>
      <c r="AW245" s="4">
        <f t="shared" si="338"/>
        <v>1486.25</v>
      </c>
      <c r="AX245" s="4">
        <f t="shared" si="339"/>
        <v>82</v>
      </c>
      <c r="AY245" s="4">
        <f t="shared" si="340"/>
        <v>235.75</v>
      </c>
      <c r="AZ245" s="4">
        <f t="shared" si="341"/>
        <v>1404.25</v>
      </c>
      <c r="BA245" s="22">
        <f t="shared" si="342"/>
        <v>82</v>
      </c>
      <c r="BB245" s="4">
        <f t="shared" si="343"/>
        <v>317.75</v>
      </c>
      <c r="BC245" s="4">
        <f t="shared" si="344"/>
        <v>1322.25</v>
      </c>
      <c r="BF245" s="22">
        <v>82</v>
      </c>
      <c r="BG245" s="4">
        <f t="shared" si="321"/>
        <v>0</v>
      </c>
    </row>
    <row r="246" spans="1:59" x14ac:dyDescent="0.35">
      <c r="A246" s="3" t="s">
        <v>284</v>
      </c>
      <c r="B246" s="3" t="s">
        <v>278</v>
      </c>
      <c r="C246" s="3">
        <v>1913</v>
      </c>
      <c r="D246" s="4" t="s">
        <v>80</v>
      </c>
      <c r="E246" s="2">
        <v>20</v>
      </c>
      <c r="F246" s="4"/>
      <c r="G246" s="19"/>
      <c r="H246" s="19"/>
      <c r="I246" s="19"/>
      <c r="J246" s="4"/>
      <c r="K246" s="4"/>
      <c r="L246" s="4"/>
      <c r="M246" s="4"/>
      <c r="N246" s="4"/>
      <c r="O246" s="4"/>
      <c r="P246" s="4"/>
      <c r="Q246" s="4"/>
      <c r="U246" s="4"/>
      <c r="V246" s="4"/>
      <c r="W246" s="4"/>
      <c r="X246" s="4"/>
      <c r="Y246" s="4"/>
      <c r="AC246" s="4"/>
      <c r="AE246" s="4"/>
      <c r="AG246" s="5"/>
      <c r="AI246" s="5"/>
      <c r="AL246" s="4">
        <f>SUM(C246/E246/12*2.5)</f>
        <v>19.927083333333336</v>
      </c>
      <c r="AM246" s="4">
        <f t="shared" si="347"/>
        <v>19.927083333333336</v>
      </c>
      <c r="AN246" s="4">
        <f t="shared" si="333"/>
        <v>1893.0729166666667</v>
      </c>
      <c r="AO246" s="21">
        <f t="shared" si="334"/>
        <v>19.927083333333336</v>
      </c>
      <c r="AP246" s="4">
        <f t="shared" si="348"/>
        <v>39.854166666666671</v>
      </c>
      <c r="AQ246" s="4">
        <v>1873.1458333333335</v>
      </c>
      <c r="AR246" s="21">
        <v>19.927083333333336</v>
      </c>
      <c r="AS246" s="19">
        <v>59.781250000000007</v>
      </c>
      <c r="AT246" s="4">
        <v>1853.21875</v>
      </c>
      <c r="AU246" s="21">
        <f t="shared" si="336"/>
        <v>95.65</v>
      </c>
      <c r="AV246" s="19">
        <f t="shared" si="337"/>
        <v>155.43125000000001</v>
      </c>
      <c r="AW246" s="4">
        <f t="shared" si="338"/>
        <v>1757.5687499999999</v>
      </c>
      <c r="AX246" s="4">
        <f t="shared" si="339"/>
        <v>95.65</v>
      </c>
      <c r="AY246" s="4">
        <f t="shared" si="340"/>
        <v>251.08125000000001</v>
      </c>
      <c r="AZ246" s="4">
        <f t="shared" si="341"/>
        <v>1661.91875</v>
      </c>
      <c r="BA246" s="22">
        <f t="shared" si="342"/>
        <v>95.65</v>
      </c>
      <c r="BB246" s="4">
        <f t="shared" si="343"/>
        <v>346.73125000000005</v>
      </c>
      <c r="BC246" s="4">
        <f t="shared" si="344"/>
        <v>1566.26875</v>
      </c>
      <c r="BF246" s="22">
        <v>95.65</v>
      </c>
      <c r="BG246" s="4">
        <f t="shared" si="321"/>
        <v>0</v>
      </c>
    </row>
    <row r="247" spans="1:59" x14ac:dyDescent="0.35">
      <c r="A247" s="3" t="s">
        <v>285</v>
      </c>
      <c r="B247" s="3" t="s">
        <v>286</v>
      </c>
      <c r="C247" s="4">
        <v>367339</v>
      </c>
      <c r="D247" s="4" t="s">
        <v>80</v>
      </c>
      <c r="E247" s="2">
        <v>20</v>
      </c>
      <c r="F247" s="4"/>
      <c r="G247" s="19"/>
      <c r="H247" s="19"/>
      <c r="I247" s="19"/>
      <c r="J247" s="4"/>
      <c r="K247" s="4"/>
      <c r="L247" s="4"/>
      <c r="M247" s="4"/>
      <c r="N247" s="4"/>
      <c r="O247" s="4"/>
      <c r="P247" s="4"/>
      <c r="Q247" s="4"/>
      <c r="U247" s="4"/>
      <c r="V247" s="4"/>
      <c r="W247" s="4"/>
      <c r="X247" s="4"/>
      <c r="Y247" s="4"/>
      <c r="AC247" s="4"/>
      <c r="AE247" s="4"/>
      <c r="AG247" s="5"/>
      <c r="AI247" s="5"/>
      <c r="AM247" s="4"/>
      <c r="AN247" s="4"/>
      <c r="AO247" s="21">
        <f>367339/20</f>
        <v>18366.95</v>
      </c>
      <c r="AP247" s="4">
        <f t="shared" si="348"/>
        <v>18366.95</v>
      </c>
      <c r="AQ247" s="4">
        <v>348972.05</v>
      </c>
      <c r="AR247" s="21">
        <v>18366.95</v>
      </c>
      <c r="AS247" s="19">
        <v>36733.9</v>
      </c>
      <c r="AT247" s="4">
        <v>330605.09999999998</v>
      </c>
      <c r="AU247" s="21">
        <f t="shared" si="336"/>
        <v>18366.95</v>
      </c>
      <c r="AV247" s="19">
        <f t="shared" si="337"/>
        <v>55100.850000000006</v>
      </c>
      <c r="AW247" s="4">
        <f t="shared" si="338"/>
        <v>312238.15000000002</v>
      </c>
      <c r="AX247" s="4">
        <f t="shared" si="339"/>
        <v>18366.95</v>
      </c>
      <c r="AY247" s="4">
        <f t="shared" si="340"/>
        <v>73467.8</v>
      </c>
      <c r="AZ247" s="4">
        <f t="shared" si="341"/>
        <v>293871.2</v>
      </c>
      <c r="BA247" s="22">
        <f t="shared" si="342"/>
        <v>18366.95</v>
      </c>
      <c r="BB247" s="4">
        <f t="shared" si="343"/>
        <v>91834.75</v>
      </c>
      <c r="BC247" s="4">
        <f t="shared" si="344"/>
        <v>275504.25</v>
      </c>
      <c r="BF247" s="22">
        <v>18366.95</v>
      </c>
      <c r="BG247" s="4">
        <f t="shared" si="321"/>
        <v>0</v>
      </c>
    </row>
    <row r="248" spans="1:59" x14ac:dyDescent="0.35">
      <c r="A248" s="3" t="s">
        <v>269</v>
      </c>
      <c r="B248" s="3" t="s">
        <v>287</v>
      </c>
      <c r="C248" s="4">
        <v>13602</v>
      </c>
      <c r="D248" s="4" t="s">
        <v>80</v>
      </c>
      <c r="E248" s="2">
        <v>20</v>
      </c>
      <c r="F248" s="4"/>
      <c r="G248" s="19">
        <f t="shared" ref="G248:R248" si="349">SUM(G227:G228)</f>
        <v>0</v>
      </c>
      <c r="H248" s="19">
        <f t="shared" si="349"/>
        <v>0</v>
      </c>
      <c r="I248" s="19">
        <f t="shared" si="349"/>
        <v>0</v>
      </c>
      <c r="J248" s="19">
        <f t="shared" si="349"/>
        <v>0</v>
      </c>
      <c r="K248" s="19">
        <f t="shared" si="349"/>
        <v>0</v>
      </c>
      <c r="L248" s="19">
        <f t="shared" si="349"/>
        <v>0</v>
      </c>
      <c r="M248" s="19">
        <f t="shared" si="349"/>
        <v>0</v>
      </c>
      <c r="N248" s="19">
        <f t="shared" si="349"/>
        <v>0</v>
      </c>
      <c r="O248" s="19">
        <f t="shared" si="349"/>
        <v>0</v>
      </c>
      <c r="P248" s="19">
        <f t="shared" si="349"/>
        <v>0</v>
      </c>
      <c r="Q248" s="19">
        <f t="shared" si="349"/>
        <v>0</v>
      </c>
      <c r="R248" s="19">
        <f t="shared" si="349"/>
        <v>312.69135802469134</v>
      </c>
      <c r="S248" s="19">
        <f>Q248+R248</f>
        <v>312.69135802469134</v>
      </c>
      <c r="T248" s="19">
        <f>SUM(T227:T228)</f>
        <v>440</v>
      </c>
      <c r="U248" s="19">
        <f>SUM(U227:U228)</f>
        <v>752.69135802469134</v>
      </c>
      <c r="V248" s="19">
        <f t="shared" ref="V248:AA248" si="350">SUM(V227:V231)</f>
        <v>686</v>
      </c>
      <c r="W248" s="19">
        <f t="shared" si="350"/>
        <v>1438.6913580246915</v>
      </c>
      <c r="X248" s="19">
        <f t="shared" si="350"/>
        <v>904.07500000000005</v>
      </c>
      <c r="Y248" s="19">
        <f t="shared" si="350"/>
        <v>2342.7663580246913</v>
      </c>
      <c r="Z248" s="19">
        <f t="shared" si="350"/>
        <v>1124.075</v>
      </c>
      <c r="AA248" s="19">
        <f t="shared" si="350"/>
        <v>3466.8413580246915</v>
      </c>
      <c r="AB248" s="19">
        <f>SUM(AB227:AB232)</f>
        <v>1311.075</v>
      </c>
      <c r="AC248" s="19">
        <f>SUM(AC227:AC232)</f>
        <v>4777.9163580246914</v>
      </c>
      <c r="AD248" s="3">
        <f>SUM(AD227:AD233)</f>
        <v>1466.575</v>
      </c>
      <c r="AE248" s="3">
        <f>SUM(AE227:AE233)</f>
        <v>6244.4913580246912</v>
      </c>
      <c r="AF248" s="3">
        <f>SUM(AF227:AF236)</f>
        <v>1631.575</v>
      </c>
      <c r="AG248" s="5">
        <f>SUM(AG227:AG236)</f>
        <v>7876.066358024691</v>
      </c>
      <c r="AH248" s="3">
        <f>SUM(AH227:AH236)</f>
        <v>2187.4250000000002</v>
      </c>
      <c r="AI248" s="3">
        <f>SUM(AI227:AI236)</f>
        <v>10063.491358024692</v>
      </c>
      <c r="AJ248" s="4">
        <f>SUM(AJ227:AJ247)</f>
        <v>2864.7750000000001</v>
      </c>
      <c r="AK248" s="4">
        <f>SUM(AK227:AK247)</f>
        <v>12928.264999999999</v>
      </c>
      <c r="AL248" s="4"/>
      <c r="AM248" s="4"/>
      <c r="AN248" s="4"/>
      <c r="AO248" s="21">
        <f>13602/20/12*5</f>
        <v>283.375</v>
      </c>
      <c r="AP248" s="4">
        <f t="shared" si="348"/>
        <v>283.375</v>
      </c>
      <c r="AQ248" s="4">
        <v>13318.625</v>
      </c>
      <c r="AR248" s="21">
        <v>283.375</v>
      </c>
      <c r="AS248" s="19">
        <v>566.75</v>
      </c>
      <c r="AT248" s="4">
        <v>13035.25</v>
      </c>
      <c r="AU248" s="21">
        <f t="shared" si="336"/>
        <v>680.1</v>
      </c>
      <c r="AV248" s="19">
        <f t="shared" si="337"/>
        <v>1246.8499999999999</v>
      </c>
      <c r="AW248" s="4">
        <f t="shared" si="338"/>
        <v>12355.15</v>
      </c>
      <c r="AX248" s="4">
        <f t="shared" si="339"/>
        <v>680.1</v>
      </c>
      <c r="AY248" s="4">
        <f t="shared" si="340"/>
        <v>1926.9499999999998</v>
      </c>
      <c r="AZ248" s="4">
        <f t="shared" si="341"/>
        <v>11675.05</v>
      </c>
      <c r="BA248" s="22">
        <f t="shared" si="342"/>
        <v>680.1</v>
      </c>
      <c r="BB248" s="4">
        <f t="shared" si="343"/>
        <v>2607.0499999999997</v>
      </c>
      <c r="BC248" s="4">
        <f t="shared" si="344"/>
        <v>10994.95</v>
      </c>
      <c r="BF248" s="22">
        <v>680.1</v>
      </c>
      <c r="BG248" s="4">
        <f t="shared" si="321"/>
        <v>0</v>
      </c>
    </row>
    <row r="249" spans="1:59" x14ac:dyDescent="0.35">
      <c r="A249" s="3" t="s">
        <v>269</v>
      </c>
      <c r="B249" s="3" t="s">
        <v>288</v>
      </c>
      <c r="C249" s="4">
        <v>3306</v>
      </c>
      <c r="D249" s="4" t="s">
        <v>80</v>
      </c>
      <c r="E249" s="2">
        <v>20</v>
      </c>
      <c r="F249" s="4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40"/>
      <c r="AE249" s="40"/>
      <c r="AF249" s="40"/>
      <c r="AG249" s="41"/>
      <c r="AH249" s="40"/>
      <c r="AI249" s="40"/>
      <c r="AJ249" s="39"/>
      <c r="AK249" s="39"/>
      <c r="AL249" s="4"/>
      <c r="AM249" s="4"/>
      <c r="AN249" s="4"/>
      <c r="AO249" s="6">
        <v>62</v>
      </c>
      <c r="AP249" s="4">
        <f t="shared" si="348"/>
        <v>62</v>
      </c>
      <c r="AQ249" s="4">
        <v>3244</v>
      </c>
      <c r="AR249" s="21">
        <v>165.3</v>
      </c>
      <c r="AS249" s="19">
        <v>227.3</v>
      </c>
      <c r="AT249" s="4">
        <v>3078.7</v>
      </c>
      <c r="AU249" s="21">
        <f t="shared" si="336"/>
        <v>165.3</v>
      </c>
      <c r="AV249" s="19">
        <f t="shared" si="337"/>
        <v>392.6</v>
      </c>
      <c r="AW249" s="4">
        <f t="shared" si="338"/>
        <v>2913.4</v>
      </c>
      <c r="AX249" s="4">
        <f t="shared" si="339"/>
        <v>165.3</v>
      </c>
      <c r="AY249" s="4">
        <f t="shared" si="340"/>
        <v>557.90000000000009</v>
      </c>
      <c r="AZ249" s="4">
        <f t="shared" si="341"/>
        <v>2748.1</v>
      </c>
      <c r="BA249" s="22">
        <f t="shared" si="342"/>
        <v>165.3</v>
      </c>
      <c r="BB249" s="4">
        <f t="shared" si="343"/>
        <v>723.2</v>
      </c>
      <c r="BC249" s="4">
        <f t="shared" si="344"/>
        <v>2582.8000000000002</v>
      </c>
      <c r="BF249" s="22">
        <v>165.3</v>
      </c>
      <c r="BG249" s="4">
        <f t="shared" si="321"/>
        <v>0</v>
      </c>
    </row>
    <row r="250" spans="1:59" x14ac:dyDescent="0.35">
      <c r="A250" s="3" t="s">
        <v>269</v>
      </c>
      <c r="B250" s="3" t="s">
        <v>289</v>
      </c>
      <c r="C250" s="4">
        <v>5512</v>
      </c>
      <c r="D250" s="4" t="s">
        <v>80</v>
      </c>
      <c r="E250" s="2">
        <v>20</v>
      </c>
      <c r="F250" s="4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40"/>
      <c r="AE250" s="40"/>
      <c r="AF250" s="40"/>
      <c r="AG250" s="41"/>
      <c r="AH250" s="40"/>
      <c r="AI250" s="40"/>
      <c r="AJ250" s="39"/>
      <c r="AK250" s="39"/>
      <c r="AL250" s="4"/>
      <c r="AM250" s="4"/>
      <c r="AN250" s="4"/>
      <c r="AO250" s="6">
        <v>5</v>
      </c>
      <c r="AP250" s="4">
        <f t="shared" si="348"/>
        <v>5</v>
      </c>
      <c r="AQ250" s="4">
        <v>5507</v>
      </c>
      <c r="AR250" s="21">
        <v>275.60000000000002</v>
      </c>
      <c r="AS250" s="19">
        <v>280.60000000000002</v>
      </c>
      <c r="AT250" s="4">
        <v>5231.3999999999996</v>
      </c>
      <c r="AU250" s="21">
        <f t="shared" si="336"/>
        <v>275.60000000000002</v>
      </c>
      <c r="AV250" s="19">
        <f t="shared" si="337"/>
        <v>556.20000000000005</v>
      </c>
      <c r="AW250" s="4">
        <f t="shared" si="338"/>
        <v>4955.8</v>
      </c>
      <c r="AX250" s="4">
        <f t="shared" si="339"/>
        <v>275.60000000000002</v>
      </c>
      <c r="AY250" s="4">
        <f t="shared" si="340"/>
        <v>831.80000000000007</v>
      </c>
      <c r="AZ250" s="4">
        <f t="shared" si="341"/>
        <v>4680.2</v>
      </c>
      <c r="BA250" s="22">
        <f t="shared" si="342"/>
        <v>275.60000000000002</v>
      </c>
      <c r="BB250" s="4">
        <f t="shared" si="343"/>
        <v>1107.4000000000001</v>
      </c>
      <c r="BC250" s="4">
        <f t="shared" si="344"/>
        <v>4404.6000000000004</v>
      </c>
      <c r="BF250" s="22">
        <v>275.60000000000002</v>
      </c>
      <c r="BG250" s="4">
        <f t="shared" si="321"/>
        <v>0</v>
      </c>
    </row>
    <row r="251" spans="1:59" x14ac:dyDescent="0.35">
      <c r="A251" s="4" t="s">
        <v>269</v>
      </c>
      <c r="B251" s="3" t="s">
        <v>249</v>
      </c>
      <c r="C251" s="4">
        <v>8400</v>
      </c>
      <c r="D251" s="4" t="s">
        <v>80</v>
      </c>
      <c r="E251" s="2">
        <v>20</v>
      </c>
      <c r="F251" s="4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G251" s="5"/>
      <c r="AJ251" s="4"/>
      <c r="AK251" s="4"/>
      <c r="AL251" s="4"/>
      <c r="AM251" s="4"/>
      <c r="AN251" s="4"/>
      <c r="AO251" s="6">
        <f>8400/20/2</f>
        <v>210</v>
      </c>
      <c r="AP251" s="4">
        <f t="shared" si="348"/>
        <v>210</v>
      </c>
      <c r="AQ251" s="4">
        <v>8190</v>
      </c>
      <c r="AR251" s="21">
        <v>420</v>
      </c>
      <c r="AS251" s="19">
        <v>630</v>
      </c>
      <c r="AT251" s="4">
        <v>7770</v>
      </c>
      <c r="AU251" s="21">
        <f t="shared" si="336"/>
        <v>420</v>
      </c>
      <c r="AV251" s="19">
        <f t="shared" si="337"/>
        <v>1050</v>
      </c>
      <c r="AW251" s="4">
        <f t="shared" si="338"/>
        <v>7350</v>
      </c>
      <c r="AX251" s="4">
        <f t="shared" si="339"/>
        <v>420</v>
      </c>
      <c r="AY251" s="4">
        <f t="shared" si="340"/>
        <v>1470</v>
      </c>
      <c r="AZ251" s="4">
        <f t="shared" si="341"/>
        <v>6930</v>
      </c>
      <c r="BA251" s="22">
        <f t="shared" si="342"/>
        <v>420</v>
      </c>
      <c r="BB251" s="4">
        <f t="shared" si="343"/>
        <v>1890</v>
      </c>
      <c r="BC251" s="4">
        <f t="shared" si="344"/>
        <v>6510</v>
      </c>
      <c r="BF251" s="22">
        <v>420</v>
      </c>
      <c r="BG251" s="4">
        <f t="shared" si="321"/>
        <v>0</v>
      </c>
    </row>
    <row r="252" spans="1:59" x14ac:dyDescent="0.35">
      <c r="A252" s="4" t="s">
        <v>269</v>
      </c>
      <c r="B252" s="3" t="s">
        <v>251</v>
      </c>
      <c r="C252" s="4">
        <v>11600</v>
      </c>
      <c r="D252" s="4" t="s">
        <v>80</v>
      </c>
      <c r="E252" s="2">
        <v>20</v>
      </c>
      <c r="F252" s="4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G252" s="5"/>
      <c r="AJ252" s="4"/>
      <c r="AK252" s="4"/>
      <c r="AL252" s="4"/>
      <c r="AM252" s="4"/>
      <c r="AN252" s="4"/>
      <c r="AO252" s="6"/>
      <c r="AQ252" s="3">
        <v>11600</v>
      </c>
      <c r="AR252" s="6">
        <v>290</v>
      </c>
      <c r="AS252" s="19">
        <v>290</v>
      </c>
      <c r="AT252" s="4">
        <v>11310</v>
      </c>
      <c r="AU252" s="21">
        <f t="shared" si="336"/>
        <v>580</v>
      </c>
      <c r="AV252" s="19">
        <f t="shared" si="337"/>
        <v>870</v>
      </c>
      <c r="AW252" s="4">
        <f t="shared" si="338"/>
        <v>10730</v>
      </c>
      <c r="AX252" s="4">
        <f t="shared" si="339"/>
        <v>580</v>
      </c>
      <c r="AY252" s="4">
        <f t="shared" si="340"/>
        <v>1450</v>
      </c>
      <c r="AZ252" s="4">
        <f t="shared" si="341"/>
        <v>10150</v>
      </c>
      <c r="BA252" s="22">
        <f t="shared" si="342"/>
        <v>580</v>
      </c>
      <c r="BB252" s="4">
        <f t="shared" si="343"/>
        <v>2030</v>
      </c>
      <c r="BC252" s="4">
        <f t="shared" si="344"/>
        <v>9570</v>
      </c>
      <c r="BF252" s="22">
        <v>580</v>
      </c>
      <c r="BG252" s="4">
        <f t="shared" si="321"/>
        <v>0</v>
      </c>
    </row>
    <row r="253" spans="1:59" x14ac:dyDescent="0.35">
      <c r="A253" s="4" t="s">
        <v>269</v>
      </c>
      <c r="B253" s="3" t="s">
        <v>255</v>
      </c>
      <c r="C253" s="4">
        <v>19354</v>
      </c>
      <c r="D253" s="4" t="s">
        <v>80</v>
      </c>
      <c r="E253" s="2">
        <v>20</v>
      </c>
      <c r="F253" s="4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G253" s="5"/>
      <c r="AJ253" s="4"/>
      <c r="AK253" s="4"/>
      <c r="AL253" s="4"/>
      <c r="AM253" s="4"/>
      <c r="AN253" s="4"/>
      <c r="AO253" s="6"/>
      <c r="AR253" s="6"/>
      <c r="AS253" s="19"/>
      <c r="AT253" s="4">
        <v>19354</v>
      </c>
      <c r="AU253" s="21">
        <f>SUM(C253/E253/2)</f>
        <v>483.85</v>
      </c>
      <c r="AV253" s="19">
        <f t="shared" si="337"/>
        <v>483.85</v>
      </c>
      <c r="AW253" s="4">
        <f t="shared" si="338"/>
        <v>18870.150000000001</v>
      </c>
      <c r="AX253" s="4">
        <f t="shared" si="339"/>
        <v>967.7</v>
      </c>
      <c r="AY253" s="4">
        <f t="shared" si="340"/>
        <v>1451.5500000000002</v>
      </c>
      <c r="AZ253" s="4">
        <f t="shared" si="341"/>
        <v>17902.45</v>
      </c>
      <c r="BA253" s="22">
        <f t="shared" si="342"/>
        <v>967.7</v>
      </c>
      <c r="BB253" s="4">
        <f t="shared" si="343"/>
        <v>2419.25</v>
      </c>
      <c r="BC253" s="4">
        <f t="shared" si="344"/>
        <v>16934.75</v>
      </c>
      <c r="BF253" s="22">
        <v>967.7</v>
      </c>
      <c r="BG253" s="4">
        <f t="shared" si="321"/>
        <v>0</v>
      </c>
    </row>
    <row r="254" spans="1:59" x14ac:dyDescent="0.35">
      <c r="A254" s="4" t="s">
        <v>269</v>
      </c>
      <c r="B254" s="3" t="s">
        <v>257</v>
      </c>
      <c r="C254" s="4">
        <v>21752</v>
      </c>
      <c r="D254" s="4" t="s">
        <v>80</v>
      </c>
      <c r="E254" s="2">
        <v>20</v>
      </c>
      <c r="F254" s="4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G254" s="5"/>
      <c r="AJ254" s="4"/>
      <c r="AK254" s="4"/>
      <c r="AL254" s="4"/>
      <c r="AM254" s="4"/>
      <c r="AN254" s="4"/>
      <c r="AO254" s="6"/>
      <c r="AR254" s="6"/>
      <c r="AS254" s="19"/>
      <c r="AT254" s="4"/>
      <c r="AU254" s="21"/>
      <c r="AV254" s="19"/>
      <c r="AW254" s="4"/>
      <c r="AX254" s="4">
        <f>SUM(C254/E254/2)</f>
        <v>543.79999999999995</v>
      </c>
      <c r="AY254" s="4">
        <f t="shared" ref="AY254" si="351">SUM(AV254+AX254)</f>
        <v>543.79999999999995</v>
      </c>
      <c r="AZ254" s="4">
        <f t="shared" si="341"/>
        <v>21208.2</v>
      </c>
      <c r="BA254" s="22">
        <f t="shared" si="342"/>
        <v>1087.5999999999999</v>
      </c>
      <c r="BB254" s="4">
        <f t="shared" si="343"/>
        <v>1631.3999999999999</v>
      </c>
      <c r="BC254" s="4">
        <f t="shared" si="344"/>
        <v>20120.599999999999</v>
      </c>
      <c r="BF254" s="22">
        <v>1087.5999999999999</v>
      </c>
      <c r="BG254" s="4">
        <f t="shared" si="321"/>
        <v>0</v>
      </c>
    </row>
    <row r="255" spans="1:59" x14ac:dyDescent="0.35">
      <c r="A255" s="19" t="s">
        <v>269</v>
      </c>
      <c r="B255" s="1" t="s">
        <v>264</v>
      </c>
      <c r="C255" s="19">
        <v>17237</v>
      </c>
      <c r="D255" s="19" t="s">
        <v>80</v>
      </c>
      <c r="E255" s="37">
        <v>20</v>
      </c>
      <c r="F255" s="4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G255" s="5"/>
      <c r="AJ255" s="4"/>
      <c r="AK255" s="4"/>
      <c r="AL255" s="4"/>
      <c r="AM255" s="4"/>
      <c r="AN255" s="4"/>
      <c r="AO255" s="6"/>
      <c r="AR255" s="6"/>
      <c r="AS255" s="19"/>
      <c r="AT255" s="4"/>
      <c r="AU255" s="21"/>
      <c r="AV255" s="19"/>
      <c r="AW255" s="4"/>
      <c r="AX255" s="4"/>
      <c r="AY255" s="4"/>
      <c r="AZ255" s="4"/>
      <c r="BA255" s="22">
        <f>SUM(C255/E255/2)</f>
        <v>430.92500000000001</v>
      </c>
      <c r="BB255" s="4">
        <f t="shared" ref="BB255" si="352">SUM(AY255+BA255)</f>
        <v>430.92500000000001</v>
      </c>
      <c r="BC255" s="4">
        <f t="shared" si="344"/>
        <v>16806.075000000001</v>
      </c>
      <c r="BD255" s="3">
        <v>17237</v>
      </c>
      <c r="BF255" s="22">
        <v>430.92500000000001</v>
      </c>
      <c r="BG255" s="4">
        <f t="shared" si="321"/>
        <v>0</v>
      </c>
    </row>
    <row r="256" spans="1:59" x14ac:dyDescent="0.35">
      <c r="A256" s="4"/>
      <c r="C256" s="19">
        <f>SUM(C227:C255)</f>
        <v>995677.98</v>
      </c>
      <c r="D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"/>
      <c r="AE256" s="1"/>
      <c r="AF256" s="1"/>
      <c r="AG256" s="36"/>
      <c r="AH256" s="1"/>
      <c r="AI256" s="1"/>
      <c r="AJ256" s="19"/>
      <c r="AK256" s="19"/>
      <c r="AL256" s="19">
        <f>SUM(AL227:AL252)</f>
        <v>8325.8416666666672</v>
      </c>
      <c r="AM256" s="19">
        <f>SUM(AM227:AM252)</f>
        <v>21447.416666666672</v>
      </c>
      <c r="AN256" s="19">
        <f>SUM(AN227:AN252)</f>
        <v>506128.5633333333</v>
      </c>
      <c r="AO256" s="25">
        <f>SUM(AO227:AO251)</f>
        <v>27253.166666666668</v>
      </c>
      <c r="AP256" s="19">
        <f>SUM(AP227:AP252)</f>
        <v>48895.4375</v>
      </c>
      <c r="AQ256" s="19">
        <f t="shared" ref="AQ256:AZ256" si="353">SUM(AQ227:AQ254)</f>
        <v>888634.39666666673</v>
      </c>
      <c r="AR256" s="19">
        <f t="shared" si="353"/>
        <v>28127.066666666666</v>
      </c>
      <c r="AS256" s="19">
        <f t="shared" si="353"/>
        <v>77022.504166666666</v>
      </c>
      <c r="AT256" s="19">
        <f t="shared" si="353"/>
        <v>879666.47583333321</v>
      </c>
      <c r="AU256" s="19">
        <f t="shared" si="353"/>
        <v>47349.9</v>
      </c>
      <c r="AV256" s="19">
        <f t="shared" si="353"/>
        <v>124372.40416666669</v>
      </c>
      <c r="AW256" s="19">
        <f t="shared" si="353"/>
        <v>832316.57583333342</v>
      </c>
      <c r="AX256" s="19">
        <f t="shared" si="353"/>
        <v>48378.249000000003</v>
      </c>
      <c r="AY256" s="19">
        <f t="shared" si="353"/>
        <v>172750.65316666666</v>
      </c>
      <c r="AZ256" s="19">
        <f t="shared" si="353"/>
        <v>805690.32683333324</v>
      </c>
      <c r="BA256" s="20">
        <f t="shared" ref="BA256:BC256" si="354">SUM(BA227:BA255)</f>
        <v>49352.974000000002</v>
      </c>
      <c r="BB256" s="19">
        <f t="shared" si="354"/>
        <v>222103.62716666667</v>
      </c>
      <c r="BC256" s="19">
        <f t="shared" si="354"/>
        <v>773574.35283333319</v>
      </c>
      <c r="BF256" s="20">
        <v>49352.974000000002</v>
      </c>
      <c r="BG256" s="4">
        <f t="shared" si="321"/>
        <v>0</v>
      </c>
    </row>
    <row r="257" spans="1:59" x14ac:dyDescent="0.35">
      <c r="C257" s="4"/>
      <c r="D257" s="4"/>
      <c r="F257" s="4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G257" s="5"/>
      <c r="AJ257" s="4"/>
      <c r="AK257" s="4"/>
      <c r="AL257" s="4"/>
      <c r="AM257" s="4"/>
      <c r="AN257" s="4"/>
      <c r="AO257" s="6"/>
      <c r="AR257" s="6"/>
      <c r="AS257" s="1"/>
      <c r="AT257" s="4"/>
      <c r="BA257" s="17"/>
      <c r="BF257" s="17"/>
      <c r="BG257" s="4">
        <f t="shared" si="321"/>
        <v>0</v>
      </c>
    </row>
    <row r="258" spans="1:59" x14ac:dyDescent="0.35">
      <c r="A258" s="3" t="s">
        <v>290</v>
      </c>
      <c r="C258" s="4"/>
      <c r="D258" s="4"/>
      <c r="F258" s="4"/>
      <c r="G258" s="19"/>
      <c r="H258" s="19"/>
      <c r="I258" s="19"/>
      <c r="J258" s="4"/>
      <c r="K258" s="4"/>
      <c r="L258" s="4"/>
      <c r="M258" s="4">
        <f t="shared" ref="M258:M274" si="355">K258+L258</f>
        <v>0</v>
      </c>
      <c r="N258" s="4"/>
      <c r="O258" s="4"/>
      <c r="P258" s="4"/>
      <c r="Q258" s="4"/>
      <c r="X258" s="4"/>
      <c r="Y258" s="4"/>
      <c r="AC258" s="4"/>
      <c r="AG258" s="5"/>
      <c r="AM258" s="4"/>
      <c r="AN258" s="4"/>
      <c r="AO258" s="6"/>
      <c r="AR258" s="6"/>
      <c r="AS258" s="1"/>
      <c r="BA258" s="17"/>
      <c r="BF258" s="17"/>
      <c r="BG258" s="4">
        <f t="shared" si="321"/>
        <v>0</v>
      </c>
    </row>
    <row r="259" spans="1:59" x14ac:dyDescent="0.35">
      <c r="C259" s="4"/>
      <c r="D259" s="4"/>
      <c r="F259" s="4"/>
      <c r="G259" s="4"/>
      <c r="H259" s="4"/>
      <c r="I259" s="4"/>
      <c r="J259" s="4"/>
      <c r="K259" s="4"/>
      <c r="L259" s="4"/>
      <c r="M259" s="4">
        <f t="shared" si="355"/>
        <v>0</v>
      </c>
      <c r="N259" s="4"/>
      <c r="O259" s="4"/>
      <c r="P259" s="4"/>
      <c r="Q259" s="4"/>
      <c r="X259" s="4"/>
      <c r="Y259" s="4"/>
      <c r="AC259" s="4"/>
      <c r="AG259" s="5"/>
      <c r="AM259" s="4"/>
      <c r="AN259" s="4"/>
      <c r="AO259" s="6"/>
      <c r="AR259" s="6"/>
      <c r="AS259" s="1"/>
      <c r="BA259" s="17"/>
      <c r="BF259" s="17"/>
      <c r="BG259" s="4">
        <f t="shared" si="321"/>
        <v>0</v>
      </c>
    </row>
    <row r="260" spans="1:59" x14ac:dyDescent="0.35">
      <c r="A260" s="3" t="s">
        <v>291</v>
      </c>
      <c r="B260" s="3" t="s">
        <v>79</v>
      </c>
      <c r="C260" s="4">
        <v>42198</v>
      </c>
      <c r="D260" s="4" t="s">
        <v>80</v>
      </c>
      <c r="E260" s="2">
        <v>50</v>
      </c>
      <c r="F260" s="4"/>
      <c r="G260" s="4">
        <v>22406</v>
      </c>
      <c r="H260" s="4">
        <v>1055</v>
      </c>
      <c r="I260" s="4">
        <f t="shared" ref="I260:I272" si="356">SUM(G260:H260)</f>
        <v>23461</v>
      </c>
      <c r="J260" s="4">
        <f t="shared" ref="J260:J272" si="357">H260</f>
        <v>1055</v>
      </c>
      <c r="K260" s="4">
        <f t="shared" ref="K260:K273" si="358">I260+J260</f>
        <v>24516</v>
      </c>
      <c r="L260" s="4">
        <f t="shared" ref="L260:L272" si="359">J260</f>
        <v>1055</v>
      </c>
      <c r="M260" s="4">
        <f t="shared" si="355"/>
        <v>25571</v>
      </c>
      <c r="N260" s="4">
        <f t="shared" ref="N260:N273" si="360">L260</f>
        <v>1055</v>
      </c>
      <c r="O260" s="4">
        <f t="shared" ref="O260:O275" si="361">M260+N260</f>
        <v>26626</v>
      </c>
      <c r="P260" s="4">
        <f t="shared" ref="P260:P275" si="362">C260/E260</f>
        <v>843.96</v>
      </c>
      <c r="Q260" s="4">
        <f t="shared" ref="Q260:Q276" si="363">O260+P260</f>
        <v>27469.96</v>
      </c>
      <c r="R260" s="4">
        <f t="shared" ref="R260:R276" si="364">SUM(C260/E260)</f>
        <v>843.96</v>
      </c>
      <c r="S260" s="4">
        <f t="shared" ref="S260:S277" si="365">Q260+R260</f>
        <v>28313.919999999998</v>
      </c>
      <c r="T260" s="4">
        <f t="shared" ref="T260:T276" si="366">R260</f>
        <v>843.96</v>
      </c>
      <c r="U260" s="4">
        <f t="shared" ref="U260:U278" si="367">S260+T260</f>
        <v>29157.879999999997</v>
      </c>
      <c r="V260" s="4">
        <f t="shared" ref="V260:V277" si="368">T260</f>
        <v>843.96</v>
      </c>
      <c r="W260" s="4">
        <f t="shared" ref="W260:W279" si="369">U260+V260</f>
        <v>30001.839999999997</v>
      </c>
      <c r="X260" s="4">
        <f t="shared" ref="X260:X278" si="370">V260</f>
        <v>843.96</v>
      </c>
      <c r="Y260" s="4">
        <f t="shared" ref="Y260:Y281" si="371">SUM(W260:X260)</f>
        <v>30845.799999999996</v>
      </c>
      <c r="Z260" s="4">
        <f t="shared" ref="Z260:Z280" si="372">X260</f>
        <v>843.96</v>
      </c>
      <c r="AA260" s="4">
        <f t="shared" ref="AA260:AA281" si="373">SUM(Y260:Z260)</f>
        <v>31689.759999999995</v>
      </c>
      <c r="AB260" s="4">
        <f t="shared" ref="AB260:AB281" si="374">Z260</f>
        <v>843.96</v>
      </c>
      <c r="AC260" s="4">
        <f t="shared" ref="AC260:AC282" si="375">SUM(AA260:AB260)</f>
        <v>32533.719999999994</v>
      </c>
      <c r="AD260" s="3">
        <f t="shared" ref="AD260:AD282" si="376">AB260</f>
        <v>843.96</v>
      </c>
      <c r="AE260" s="4">
        <f t="shared" ref="AE260:AE284" si="377">AC260+AD260</f>
        <v>33377.679999999993</v>
      </c>
      <c r="AF260" s="3">
        <f t="shared" ref="AF260:AF283" si="378">AD260</f>
        <v>843.96</v>
      </c>
      <c r="AG260" s="5">
        <f t="shared" ref="AG260:AG285" si="379">AE260+AF260</f>
        <v>34221.639999999992</v>
      </c>
      <c r="AH260" s="3">
        <f t="shared" ref="AH260:AH283" si="380">AF260</f>
        <v>843.96</v>
      </c>
      <c r="AI260" s="5">
        <f t="shared" ref="AI260:AI285" si="381">AG260+AH260</f>
        <v>35065.599999999991</v>
      </c>
      <c r="AJ260" s="3">
        <f t="shared" ref="AJ260:AJ285" si="382">AH260</f>
        <v>843.96</v>
      </c>
      <c r="AK260" s="3">
        <f t="shared" ref="AK260:AK286" si="383">SUM(AI260:AJ260)</f>
        <v>35909.55999999999</v>
      </c>
      <c r="AL260" s="3">
        <f t="shared" ref="AL260:AL285" si="384">AJ260</f>
        <v>843.96</v>
      </c>
      <c r="AM260" s="4">
        <f t="shared" ref="AM260:AM288" si="385">SUM(AK260:AL260)</f>
        <v>36753.51999999999</v>
      </c>
      <c r="AN260" s="4">
        <f t="shared" ref="AN260:AN288" si="386">C260-AM260</f>
        <v>5444.4800000000105</v>
      </c>
      <c r="AO260" s="21">
        <f t="shared" ref="AO260:AO287" si="387">AL260</f>
        <v>843.96</v>
      </c>
      <c r="AP260" s="4">
        <f t="shared" ref="AP260:AP290" si="388">AM260+AO260</f>
        <v>37597.479999999989</v>
      </c>
      <c r="AQ260" s="4">
        <v>1857.6500000000131</v>
      </c>
      <c r="AR260" s="21">
        <v>1054.95</v>
      </c>
      <c r="AS260" s="19">
        <v>41395.299999999981</v>
      </c>
      <c r="AT260" s="4">
        <v>802.70000000001892</v>
      </c>
      <c r="AU260" s="21">
        <v>803</v>
      </c>
      <c r="AV260" s="19">
        <f t="shared" ref="AV260:AV291" si="389">AS260+AU260</f>
        <v>42198.299999999981</v>
      </c>
      <c r="AW260" s="4">
        <f t="shared" ref="AW260:AW291" si="390">C260-AV260</f>
        <v>-0.29999999998108251</v>
      </c>
      <c r="AX260" s="4">
        <v>0</v>
      </c>
      <c r="AY260" s="4">
        <f t="shared" ref="AY260:AY291" si="391">SUM(AV260+AX260)</f>
        <v>42198.299999999981</v>
      </c>
      <c r="AZ260" s="4">
        <f t="shared" ref="AZ260:AZ292" si="392">SUM(C260-AY260)</f>
        <v>-0.29999999998108251</v>
      </c>
      <c r="BA260" s="22">
        <v>0</v>
      </c>
      <c r="BB260" s="4">
        <f t="shared" ref="BB260:BB292" si="393">SUM(AY260+BA260)</f>
        <v>42198.299999999981</v>
      </c>
      <c r="BC260" s="4">
        <f t="shared" ref="BC260:BC293" si="394">SUM(C260-BB260)</f>
        <v>-0.29999999998108251</v>
      </c>
      <c r="BF260" s="22">
        <v>0</v>
      </c>
      <c r="BG260" s="4">
        <f t="shared" si="321"/>
        <v>0</v>
      </c>
    </row>
    <row r="261" spans="1:59" x14ac:dyDescent="0.35">
      <c r="A261" s="3" t="s">
        <v>291</v>
      </c>
      <c r="B261" s="3" t="s">
        <v>169</v>
      </c>
      <c r="C261" s="4">
        <v>7300</v>
      </c>
      <c r="D261" s="4" t="s">
        <v>80</v>
      </c>
      <c r="E261" s="2">
        <v>50</v>
      </c>
      <c r="F261" s="4"/>
      <c r="G261" s="4">
        <v>1830</v>
      </c>
      <c r="H261" s="4">
        <v>183</v>
      </c>
      <c r="I261" s="4">
        <f t="shared" si="356"/>
        <v>2013</v>
      </c>
      <c r="J261" s="4">
        <f t="shared" si="357"/>
        <v>183</v>
      </c>
      <c r="K261" s="4">
        <f t="shared" si="358"/>
        <v>2196</v>
      </c>
      <c r="L261" s="4">
        <f t="shared" si="359"/>
        <v>183</v>
      </c>
      <c r="M261" s="4">
        <f t="shared" si="355"/>
        <v>2379</v>
      </c>
      <c r="N261" s="4">
        <f t="shared" si="360"/>
        <v>183</v>
      </c>
      <c r="O261" s="4">
        <f t="shared" si="361"/>
        <v>2562</v>
      </c>
      <c r="P261" s="4">
        <f t="shared" si="362"/>
        <v>146</v>
      </c>
      <c r="Q261" s="4">
        <f t="shared" si="363"/>
        <v>2708</v>
      </c>
      <c r="R261" s="4">
        <f t="shared" si="364"/>
        <v>146</v>
      </c>
      <c r="S261" s="4">
        <f t="shared" si="365"/>
        <v>2854</v>
      </c>
      <c r="T261" s="4">
        <f t="shared" si="366"/>
        <v>146</v>
      </c>
      <c r="U261" s="4">
        <f t="shared" si="367"/>
        <v>3000</v>
      </c>
      <c r="V261" s="4">
        <f t="shared" si="368"/>
        <v>146</v>
      </c>
      <c r="W261" s="4">
        <f t="shared" si="369"/>
        <v>3146</v>
      </c>
      <c r="X261" s="4">
        <f t="shared" si="370"/>
        <v>146</v>
      </c>
      <c r="Y261" s="4">
        <f t="shared" si="371"/>
        <v>3292</v>
      </c>
      <c r="Z261" s="4">
        <f t="shared" si="372"/>
        <v>146</v>
      </c>
      <c r="AA261" s="4">
        <f t="shared" si="373"/>
        <v>3438</v>
      </c>
      <c r="AB261" s="4">
        <f t="shared" si="374"/>
        <v>146</v>
      </c>
      <c r="AC261" s="4">
        <f t="shared" si="375"/>
        <v>3584</v>
      </c>
      <c r="AD261" s="3">
        <f t="shared" si="376"/>
        <v>146</v>
      </c>
      <c r="AE261" s="4">
        <f t="shared" si="377"/>
        <v>3730</v>
      </c>
      <c r="AF261" s="3">
        <f t="shared" si="378"/>
        <v>146</v>
      </c>
      <c r="AG261" s="5">
        <f t="shared" si="379"/>
        <v>3876</v>
      </c>
      <c r="AH261" s="3">
        <f t="shared" si="380"/>
        <v>146</v>
      </c>
      <c r="AI261" s="5">
        <f t="shared" si="381"/>
        <v>4022</v>
      </c>
      <c r="AJ261" s="3">
        <f t="shared" si="382"/>
        <v>146</v>
      </c>
      <c r="AK261" s="3">
        <f t="shared" si="383"/>
        <v>4168</v>
      </c>
      <c r="AL261" s="3">
        <f t="shared" si="384"/>
        <v>146</v>
      </c>
      <c r="AM261" s="4">
        <f t="shared" si="385"/>
        <v>4314</v>
      </c>
      <c r="AN261" s="4">
        <f t="shared" si="386"/>
        <v>2986</v>
      </c>
      <c r="AO261" s="21">
        <f t="shared" si="387"/>
        <v>146</v>
      </c>
      <c r="AP261" s="4">
        <f t="shared" si="388"/>
        <v>4460</v>
      </c>
      <c r="AQ261" s="4">
        <v>2365.5</v>
      </c>
      <c r="AR261" s="21">
        <v>182.5</v>
      </c>
      <c r="AS261" s="19">
        <v>5117</v>
      </c>
      <c r="AT261" s="4">
        <v>2183</v>
      </c>
      <c r="AU261" s="21">
        <f t="shared" ref="AU261:AU290" si="395">SUM(C261/E261)</f>
        <v>146</v>
      </c>
      <c r="AV261" s="19">
        <f t="shared" si="389"/>
        <v>5263</v>
      </c>
      <c r="AW261" s="4">
        <f t="shared" si="390"/>
        <v>2037</v>
      </c>
      <c r="AX261" s="4">
        <f t="shared" ref="AX261:AX291" si="396">SUM(C261/E261)</f>
        <v>146</v>
      </c>
      <c r="AY261" s="4">
        <f t="shared" si="391"/>
        <v>5409</v>
      </c>
      <c r="AZ261" s="4">
        <f t="shared" si="392"/>
        <v>1891</v>
      </c>
      <c r="BA261" s="22">
        <f t="shared" ref="BA261:BA292" si="397">SUM(C261/E261)</f>
        <v>146</v>
      </c>
      <c r="BB261" s="4">
        <f t="shared" si="393"/>
        <v>5555</v>
      </c>
      <c r="BC261" s="4">
        <f t="shared" si="394"/>
        <v>1745</v>
      </c>
      <c r="BF261" s="22">
        <v>146</v>
      </c>
      <c r="BG261" s="4">
        <f t="shared" si="321"/>
        <v>0</v>
      </c>
    </row>
    <row r="262" spans="1:59" x14ac:dyDescent="0.35">
      <c r="A262" s="3" t="s">
        <v>291</v>
      </c>
      <c r="B262" s="3" t="s">
        <v>197</v>
      </c>
      <c r="C262" s="4">
        <v>1620</v>
      </c>
      <c r="D262" s="4" t="s">
        <v>80</v>
      </c>
      <c r="E262" s="2">
        <v>50</v>
      </c>
      <c r="F262" s="4"/>
      <c r="G262" s="4">
        <v>348</v>
      </c>
      <c r="H262" s="4">
        <v>41</v>
      </c>
      <c r="I262" s="4">
        <f t="shared" si="356"/>
        <v>389</v>
      </c>
      <c r="J262" s="4">
        <f t="shared" si="357"/>
        <v>41</v>
      </c>
      <c r="K262" s="4">
        <f t="shared" si="358"/>
        <v>430</v>
      </c>
      <c r="L262" s="4">
        <f t="shared" si="359"/>
        <v>41</v>
      </c>
      <c r="M262" s="4">
        <f t="shared" si="355"/>
        <v>471</v>
      </c>
      <c r="N262" s="4">
        <f t="shared" si="360"/>
        <v>41</v>
      </c>
      <c r="O262" s="4">
        <f t="shared" si="361"/>
        <v>512</v>
      </c>
      <c r="P262" s="4">
        <f t="shared" si="362"/>
        <v>32.4</v>
      </c>
      <c r="Q262" s="4">
        <f t="shared" si="363"/>
        <v>544.4</v>
      </c>
      <c r="R262" s="4">
        <f t="shared" si="364"/>
        <v>32.4</v>
      </c>
      <c r="S262" s="4">
        <f t="shared" si="365"/>
        <v>576.79999999999995</v>
      </c>
      <c r="T262" s="4">
        <f t="shared" si="366"/>
        <v>32.4</v>
      </c>
      <c r="U262" s="4">
        <f t="shared" si="367"/>
        <v>609.19999999999993</v>
      </c>
      <c r="V262" s="4">
        <f t="shared" si="368"/>
        <v>32.4</v>
      </c>
      <c r="W262" s="4">
        <f t="shared" si="369"/>
        <v>641.59999999999991</v>
      </c>
      <c r="X262" s="4">
        <f t="shared" si="370"/>
        <v>32.4</v>
      </c>
      <c r="Y262" s="4">
        <f t="shared" si="371"/>
        <v>673.99999999999989</v>
      </c>
      <c r="Z262" s="4">
        <f t="shared" si="372"/>
        <v>32.4</v>
      </c>
      <c r="AA262" s="4">
        <f t="shared" si="373"/>
        <v>706.39999999999986</v>
      </c>
      <c r="AB262" s="4">
        <f t="shared" si="374"/>
        <v>32.4</v>
      </c>
      <c r="AC262" s="4">
        <f t="shared" si="375"/>
        <v>738.79999999999984</v>
      </c>
      <c r="AD262" s="3">
        <f t="shared" si="376"/>
        <v>32.4</v>
      </c>
      <c r="AE262" s="4">
        <f t="shared" si="377"/>
        <v>771.19999999999982</v>
      </c>
      <c r="AF262" s="3">
        <f t="shared" si="378"/>
        <v>32.4</v>
      </c>
      <c r="AG262" s="5">
        <f t="shared" si="379"/>
        <v>803.5999999999998</v>
      </c>
      <c r="AH262" s="3">
        <f t="shared" si="380"/>
        <v>32.4</v>
      </c>
      <c r="AI262" s="5">
        <f t="shared" si="381"/>
        <v>835.99999999999977</v>
      </c>
      <c r="AJ262" s="3">
        <f t="shared" si="382"/>
        <v>32.4</v>
      </c>
      <c r="AK262" s="3">
        <f t="shared" si="383"/>
        <v>868.39999999999975</v>
      </c>
      <c r="AL262" s="3">
        <f t="shared" si="384"/>
        <v>32.4</v>
      </c>
      <c r="AM262" s="4">
        <f t="shared" si="385"/>
        <v>900.79999999999973</v>
      </c>
      <c r="AN262" s="4">
        <f t="shared" si="386"/>
        <v>719.20000000000027</v>
      </c>
      <c r="AO262" s="21">
        <f t="shared" si="387"/>
        <v>32.4</v>
      </c>
      <c r="AP262" s="4">
        <f t="shared" si="388"/>
        <v>933.1999999999997</v>
      </c>
      <c r="AQ262" s="4">
        <v>581.5</v>
      </c>
      <c r="AR262" s="21">
        <v>40.5</v>
      </c>
      <c r="AS262" s="19">
        <v>1079</v>
      </c>
      <c r="AT262" s="4">
        <v>541</v>
      </c>
      <c r="AU262" s="21">
        <f t="shared" si="395"/>
        <v>32.4</v>
      </c>
      <c r="AV262" s="19">
        <f t="shared" si="389"/>
        <v>1111.4000000000001</v>
      </c>
      <c r="AW262" s="4">
        <f t="shared" si="390"/>
        <v>508.59999999999991</v>
      </c>
      <c r="AX262" s="4">
        <f t="shared" si="396"/>
        <v>32.4</v>
      </c>
      <c r="AY262" s="4">
        <f t="shared" si="391"/>
        <v>1143.8000000000002</v>
      </c>
      <c r="AZ262" s="4">
        <f t="shared" si="392"/>
        <v>476.19999999999982</v>
      </c>
      <c r="BA262" s="22">
        <f t="shared" si="397"/>
        <v>32.4</v>
      </c>
      <c r="BB262" s="4">
        <f t="shared" si="393"/>
        <v>1176.2000000000003</v>
      </c>
      <c r="BC262" s="4">
        <f t="shared" si="394"/>
        <v>443.79999999999973</v>
      </c>
      <c r="BF262" s="22">
        <v>32.4</v>
      </c>
      <c r="BG262" s="4">
        <f t="shared" si="321"/>
        <v>0</v>
      </c>
    </row>
    <row r="263" spans="1:59" x14ac:dyDescent="0.35">
      <c r="A263" s="3" t="s">
        <v>291</v>
      </c>
      <c r="B263" s="3" t="s">
        <v>48</v>
      </c>
      <c r="C263" s="4">
        <v>6950</v>
      </c>
      <c r="D263" s="4" t="s">
        <v>80</v>
      </c>
      <c r="E263" s="2">
        <v>50</v>
      </c>
      <c r="F263" s="4"/>
      <c r="G263" s="4">
        <v>1479</v>
      </c>
      <c r="H263" s="4">
        <v>174</v>
      </c>
      <c r="I263" s="4">
        <f t="shared" si="356"/>
        <v>1653</v>
      </c>
      <c r="J263" s="4">
        <f t="shared" si="357"/>
        <v>174</v>
      </c>
      <c r="K263" s="4">
        <f t="shared" si="358"/>
        <v>1827</v>
      </c>
      <c r="L263" s="4">
        <f t="shared" si="359"/>
        <v>174</v>
      </c>
      <c r="M263" s="4">
        <f t="shared" si="355"/>
        <v>2001</v>
      </c>
      <c r="N263" s="4">
        <f t="shared" si="360"/>
        <v>174</v>
      </c>
      <c r="O263" s="4">
        <f t="shared" si="361"/>
        <v>2175</v>
      </c>
      <c r="P263" s="4">
        <f t="shared" si="362"/>
        <v>139</v>
      </c>
      <c r="Q263" s="4">
        <f t="shared" si="363"/>
        <v>2314</v>
      </c>
      <c r="R263" s="4">
        <f t="shared" si="364"/>
        <v>139</v>
      </c>
      <c r="S263" s="4">
        <f t="shared" si="365"/>
        <v>2453</v>
      </c>
      <c r="T263" s="4">
        <f t="shared" si="366"/>
        <v>139</v>
      </c>
      <c r="U263" s="4">
        <f t="shared" si="367"/>
        <v>2592</v>
      </c>
      <c r="V263" s="4">
        <f t="shared" si="368"/>
        <v>139</v>
      </c>
      <c r="W263" s="4">
        <f t="shared" si="369"/>
        <v>2731</v>
      </c>
      <c r="X263" s="4">
        <f t="shared" si="370"/>
        <v>139</v>
      </c>
      <c r="Y263" s="4">
        <f t="shared" si="371"/>
        <v>2870</v>
      </c>
      <c r="Z263" s="4">
        <f t="shared" si="372"/>
        <v>139</v>
      </c>
      <c r="AA263" s="4">
        <f t="shared" si="373"/>
        <v>3009</v>
      </c>
      <c r="AB263" s="4">
        <f t="shared" si="374"/>
        <v>139</v>
      </c>
      <c r="AC263" s="4">
        <f t="shared" si="375"/>
        <v>3148</v>
      </c>
      <c r="AD263" s="3">
        <f t="shared" si="376"/>
        <v>139</v>
      </c>
      <c r="AE263" s="4">
        <f t="shared" si="377"/>
        <v>3287</v>
      </c>
      <c r="AF263" s="3">
        <f t="shared" si="378"/>
        <v>139</v>
      </c>
      <c r="AG263" s="5">
        <f t="shared" si="379"/>
        <v>3426</v>
      </c>
      <c r="AH263" s="3">
        <f t="shared" si="380"/>
        <v>139</v>
      </c>
      <c r="AI263" s="5">
        <f t="shared" si="381"/>
        <v>3565</v>
      </c>
      <c r="AJ263" s="3">
        <f t="shared" si="382"/>
        <v>139</v>
      </c>
      <c r="AK263" s="3">
        <f t="shared" si="383"/>
        <v>3704</v>
      </c>
      <c r="AL263" s="3">
        <f t="shared" si="384"/>
        <v>139</v>
      </c>
      <c r="AM263" s="4">
        <f t="shared" si="385"/>
        <v>3843</v>
      </c>
      <c r="AN263" s="4">
        <f t="shared" si="386"/>
        <v>3107</v>
      </c>
      <c r="AO263" s="21">
        <f t="shared" si="387"/>
        <v>139</v>
      </c>
      <c r="AP263" s="4">
        <f t="shared" si="388"/>
        <v>3982</v>
      </c>
      <c r="AQ263" s="4">
        <v>2516.25</v>
      </c>
      <c r="AR263" s="21">
        <v>173.75</v>
      </c>
      <c r="AS263" s="19">
        <v>4607.5</v>
      </c>
      <c r="AT263" s="4">
        <v>2342.5</v>
      </c>
      <c r="AU263" s="21">
        <f t="shared" si="395"/>
        <v>139</v>
      </c>
      <c r="AV263" s="19">
        <f t="shared" si="389"/>
        <v>4746.5</v>
      </c>
      <c r="AW263" s="4">
        <f t="shared" si="390"/>
        <v>2203.5</v>
      </c>
      <c r="AX263" s="4">
        <f t="shared" si="396"/>
        <v>139</v>
      </c>
      <c r="AY263" s="4">
        <f t="shared" si="391"/>
        <v>4885.5</v>
      </c>
      <c r="AZ263" s="4">
        <f t="shared" si="392"/>
        <v>2064.5</v>
      </c>
      <c r="BA263" s="22">
        <f t="shared" si="397"/>
        <v>139</v>
      </c>
      <c r="BB263" s="4">
        <f t="shared" si="393"/>
        <v>5024.5</v>
      </c>
      <c r="BC263" s="4">
        <f t="shared" si="394"/>
        <v>1925.5</v>
      </c>
      <c r="BF263" s="22">
        <v>139</v>
      </c>
      <c r="BG263" s="4">
        <f t="shared" si="321"/>
        <v>0</v>
      </c>
    </row>
    <row r="264" spans="1:59" x14ac:dyDescent="0.35">
      <c r="A264" s="3" t="s">
        <v>291</v>
      </c>
      <c r="B264" s="3" t="s">
        <v>83</v>
      </c>
      <c r="C264" s="4">
        <v>3341</v>
      </c>
      <c r="D264" s="4" t="s">
        <v>80</v>
      </c>
      <c r="E264" s="2">
        <v>50</v>
      </c>
      <c r="F264" s="4"/>
      <c r="G264" s="4">
        <v>630</v>
      </c>
      <c r="H264" s="4">
        <v>84</v>
      </c>
      <c r="I264" s="4">
        <f t="shared" si="356"/>
        <v>714</v>
      </c>
      <c r="J264" s="4">
        <f t="shared" si="357"/>
        <v>84</v>
      </c>
      <c r="K264" s="4">
        <f t="shared" si="358"/>
        <v>798</v>
      </c>
      <c r="L264" s="4">
        <f t="shared" si="359"/>
        <v>84</v>
      </c>
      <c r="M264" s="4">
        <f t="shared" si="355"/>
        <v>882</v>
      </c>
      <c r="N264" s="4">
        <f t="shared" si="360"/>
        <v>84</v>
      </c>
      <c r="O264" s="4">
        <f t="shared" si="361"/>
        <v>966</v>
      </c>
      <c r="P264" s="4">
        <f t="shared" si="362"/>
        <v>66.819999999999993</v>
      </c>
      <c r="Q264" s="4">
        <f t="shared" si="363"/>
        <v>1032.82</v>
      </c>
      <c r="R264" s="4">
        <f t="shared" si="364"/>
        <v>66.819999999999993</v>
      </c>
      <c r="S264" s="4">
        <f t="shared" si="365"/>
        <v>1099.6399999999999</v>
      </c>
      <c r="T264" s="4">
        <f t="shared" si="366"/>
        <v>66.819999999999993</v>
      </c>
      <c r="U264" s="4">
        <f t="shared" si="367"/>
        <v>1166.4599999999998</v>
      </c>
      <c r="V264" s="4">
        <f t="shared" si="368"/>
        <v>66.819999999999993</v>
      </c>
      <c r="W264" s="4">
        <f t="shared" si="369"/>
        <v>1233.2799999999997</v>
      </c>
      <c r="X264" s="4">
        <f t="shared" si="370"/>
        <v>66.819999999999993</v>
      </c>
      <c r="Y264" s="4">
        <f t="shared" si="371"/>
        <v>1300.0999999999997</v>
      </c>
      <c r="Z264" s="4">
        <f t="shared" si="372"/>
        <v>66.819999999999993</v>
      </c>
      <c r="AA264" s="4">
        <f t="shared" si="373"/>
        <v>1366.9199999999996</v>
      </c>
      <c r="AB264" s="4">
        <f t="shared" si="374"/>
        <v>66.819999999999993</v>
      </c>
      <c r="AC264" s="4">
        <f t="shared" si="375"/>
        <v>1433.7399999999996</v>
      </c>
      <c r="AD264" s="3">
        <f t="shared" si="376"/>
        <v>66.819999999999993</v>
      </c>
      <c r="AE264" s="4">
        <f t="shared" si="377"/>
        <v>1500.5599999999995</v>
      </c>
      <c r="AF264" s="3">
        <f t="shared" si="378"/>
        <v>66.819999999999993</v>
      </c>
      <c r="AG264" s="5">
        <f t="shared" si="379"/>
        <v>1567.3799999999994</v>
      </c>
      <c r="AH264" s="3">
        <f t="shared" si="380"/>
        <v>66.819999999999993</v>
      </c>
      <c r="AI264" s="5">
        <f t="shared" si="381"/>
        <v>1634.1999999999994</v>
      </c>
      <c r="AJ264" s="3">
        <f t="shared" si="382"/>
        <v>66.819999999999993</v>
      </c>
      <c r="AK264" s="3">
        <f t="shared" si="383"/>
        <v>1701.0199999999993</v>
      </c>
      <c r="AL264" s="3">
        <f t="shared" si="384"/>
        <v>66.819999999999993</v>
      </c>
      <c r="AM264" s="4">
        <f t="shared" si="385"/>
        <v>1767.8399999999992</v>
      </c>
      <c r="AN264" s="4">
        <f t="shared" si="386"/>
        <v>1573.1600000000008</v>
      </c>
      <c r="AO264" s="21">
        <f t="shared" si="387"/>
        <v>66.819999999999993</v>
      </c>
      <c r="AP264" s="4">
        <f t="shared" si="388"/>
        <v>1834.6599999999992</v>
      </c>
      <c r="AQ264" s="4">
        <v>1289.1749999999988</v>
      </c>
      <c r="AR264" s="21">
        <v>83.525000000000006</v>
      </c>
      <c r="AS264" s="19">
        <v>2135.3500000000013</v>
      </c>
      <c r="AT264" s="4">
        <v>1205.6499999999987</v>
      </c>
      <c r="AU264" s="21">
        <f t="shared" si="395"/>
        <v>66.819999999999993</v>
      </c>
      <c r="AV264" s="19">
        <f t="shared" si="389"/>
        <v>2202.1700000000014</v>
      </c>
      <c r="AW264" s="4">
        <f t="shared" si="390"/>
        <v>1138.8299999999986</v>
      </c>
      <c r="AX264" s="4">
        <f t="shared" si="396"/>
        <v>66.819999999999993</v>
      </c>
      <c r="AY264" s="4">
        <f t="shared" si="391"/>
        <v>2268.9900000000016</v>
      </c>
      <c r="AZ264" s="4">
        <f t="shared" si="392"/>
        <v>1072.0099999999984</v>
      </c>
      <c r="BA264" s="22">
        <f t="shared" si="397"/>
        <v>66.819999999999993</v>
      </c>
      <c r="BB264" s="4">
        <f t="shared" si="393"/>
        <v>2335.8100000000018</v>
      </c>
      <c r="BC264" s="4">
        <f t="shared" si="394"/>
        <v>1005.1899999999982</v>
      </c>
      <c r="BF264" s="22">
        <v>66.819999999999993</v>
      </c>
      <c r="BG264" s="4">
        <f t="shared" si="321"/>
        <v>0</v>
      </c>
    </row>
    <row r="265" spans="1:59" x14ac:dyDescent="0.35">
      <c r="A265" s="3" t="s">
        <v>291</v>
      </c>
      <c r="B265" s="3" t="s">
        <v>84</v>
      </c>
      <c r="C265" s="4">
        <v>13800</v>
      </c>
      <c r="D265" s="4" t="s">
        <v>80</v>
      </c>
      <c r="E265" s="2">
        <v>50</v>
      </c>
      <c r="F265" s="4"/>
      <c r="G265" s="4">
        <v>2243</v>
      </c>
      <c r="H265" s="4">
        <v>345</v>
      </c>
      <c r="I265" s="4">
        <f t="shared" si="356"/>
        <v>2588</v>
      </c>
      <c r="J265" s="4">
        <f t="shared" si="357"/>
        <v>345</v>
      </c>
      <c r="K265" s="4">
        <f t="shared" si="358"/>
        <v>2933</v>
      </c>
      <c r="L265" s="4">
        <f t="shared" si="359"/>
        <v>345</v>
      </c>
      <c r="M265" s="4">
        <f t="shared" si="355"/>
        <v>3278</v>
      </c>
      <c r="N265" s="4">
        <f t="shared" si="360"/>
        <v>345</v>
      </c>
      <c r="O265" s="4">
        <f t="shared" si="361"/>
        <v>3623</v>
      </c>
      <c r="P265" s="4">
        <f t="shared" si="362"/>
        <v>276</v>
      </c>
      <c r="Q265" s="4">
        <f t="shared" si="363"/>
        <v>3899</v>
      </c>
      <c r="R265" s="4">
        <f t="shared" si="364"/>
        <v>276</v>
      </c>
      <c r="S265" s="4">
        <f t="shared" si="365"/>
        <v>4175</v>
      </c>
      <c r="T265" s="4">
        <f t="shared" si="366"/>
        <v>276</v>
      </c>
      <c r="U265" s="4">
        <f t="shared" si="367"/>
        <v>4451</v>
      </c>
      <c r="V265" s="4">
        <f t="shared" si="368"/>
        <v>276</v>
      </c>
      <c r="W265" s="4">
        <f t="shared" si="369"/>
        <v>4727</v>
      </c>
      <c r="X265" s="4">
        <f t="shared" si="370"/>
        <v>276</v>
      </c>
      <c r="Y265" s="4">
        <f t="shared" si="371"/>
        <v>5003</v>
      </c>
      <c r="Z265" s="4">
        <f t="shared" si="372"/>
        <v>276</v>
      </c>
      <c r="AA265" s="4">
        <f t="shared" si="373"/>
        <v>5279</v>
      </c>
      <c r="AB265" s="4">
        <f t="shared" si="374"/>
        <v>276</v>
      </c>
      <c r="AC265" s="4">
        <f t="shared" si="375"/>
        <v>5555</v>
      </c>
      <c r="AD265" s="3">
        <f t="shared" si="376"/>
        <v>276</v>
      </c>
      <c r="AE265" s="4">
        <f t="shared" si="377"/>
        <v>5831</v>
      </c>
      <c r="AF265" s="3">
        <f t="shared" si="378"/>
        <v>276</v>
      </c>
      <c r="AG265" s="5">
        <f t="shared" si="379"/>
        <v>6107</v>
      </c>
      <c r="AH265" s="3">
        <f t="shared" si="380"/>
        <v>276</v>
      </c>
      <c r="AI265" s="5">
        <f t="shared" si="381"/>
        <v>6383</v>
      </c>
      <c r="AJ265" s="3">
        <f t="shared" si="382"/>
        <v>276</v>
      </c>
      <c r="AK265" s="3">
        <f t="shared" si="383"/>
        <v>6659</v>
      </c>
      <c r="AL265" s="3">
        <f t="shared" si="384"/>
        <v>276</v>
      </c>
      <c r="AM265" s="4">
        <f t="shared" si="385"/>
        <v>6935</v>
      </c>
      <c r="AN265" s="4">
        <f t="shared" si="386"/>
        <v>6865</v>
      </c>
      <c r="AO265" s="21">
        <f t="shared" si="387"/>
        <v>276</v>
      </c>
      <c r="AP265" s="4">
        <f t="shared" si="388"/>
        <v>7211</v>
      </c>
      <c r="AQ265" s="4">
        <v>5692</v>
      </c>
      <c r="AR265" s="21">
        <v>345</v>
      </c>
      <c r="AS265" s="19">
        <v>8453</v>
      </c>
      <c r="AT265" s="4">
        <v>5347</v>
      </c>
      <c r="AU265" s="21">
        <f t="shared" si="395"/>
        <v>276</v>
      </c>
      <c r="AV265" s="19">
        <f t="shared" si="389"/>
        <v>8729</v>
      </c>
      <c r="AW265" s="4">
        <f t="shared" si="390"/>
        <v>5071</v>
      </c>
      <c r="AX265" s="4">
        <f t="shared" si="396"/>
        <v>276</v>
      </c>
      <c r="AY265" s="4">
        <f t="shared" si="391"/>
        <v>9005</v>
      </c>
      <c r="AZ265" s="4">
        <f t="shared" si="392"/>
        <v>4795</v>
      </c>
      <c r="BA265" s="22">
        <f t="shared" si="397"/>
        <v>276</v>
      </c>
      <c r="BB265" s="4">
        <f t="shared" si="393"/>
        <v>9281</v>
      </c>
      <c r="BC265" s="4">
        <f t="shared" si="394"/>
        <v>4519</v>
      </c>
      <c r="BF265" s="22">
        <v>276</v>
      </c>
      <c r="BG265" s="4">
        <f t="shared" si="321"/>
        <v>0</v>
      </c>
    </row>
    <row r="266" spans="1:59" x14ac:dyDescent="0.35">
      <c r="A266" s="3" t="s">
        <v>291</v>
      </c>
      <c r="B266" s="3" t="s">
        <v>85</v>
      </c>
      <c r="C266" s="4">
        <v>6975</v>
      </c>
      <c r="D266" s="4" t="s">
        <v>80</v>
      </c>
      <c r="E266" s="2">
        <v>50</v>
      </c>
      <c r="F266" s="4"/>
      <c r="G266" s="4">
        <v>957</v>
      </c>
      <c r="H266" s="4">
        <v>174</v>
      </c>
      <c r="I266" s="4">
        <f t="shared" si="356"/>
        <v>1131</v>
      </c>
      <c r="J266" s="4">
        <f t="shared" si="357"/>
        <v>174</v>
      </c>
      <c r="K266" s="4">
        <f t="shared" si="358"/>
        <v>1305</v>
      </c>
      <c r="L266" s="4">
        <f t="shared" si="359"/>
        <v>174</v>
      </c>
      <c r="M266" s="4">
        <f t="shared" si="355"/>
        <v>1479</v>
      </c>
      <c r="N266" s="4">
        <f t="shared" si="360"/>
        <v>174</v>
      </c>
      <c r="O266" s="4">
        <f t="shared" si="361"/>
        <v>1653</v>
      </c>
      <c r="P266" s="4">
        <f t="shared" si="362"/>
        <v>139.5</v>
      </c>
      <c r="Q266" s="4">
        <f t="shared" si="363"/>
        <v>1792.5</v>
      </c>
      <c r="R266" s="4">
        <f t="shared" si="364"/>
        <v>139.5</v>
      </c>
      <c r="S266" s="4">
        <f t="shared" si="365"/>
        <v>1932</v>
      </c>
      <c r="T266" s="4">
        <f t="shared" si="366"/>
        <v>139.5</v>
      </c>
      <c r="U266" s="4">
        <f t="shared" si="367"/>
        <v>2071.5</v>
      </c>
      <c r="V266" s="4">
        <f t="shared" si="368"/>
        <v>139.5</v>
      </c>
      <c r="W266" s="4">
        <f t="shared" si="369"/>
        <v>2211</v>
      </c>
      <c r="X266" s="4">
        <f t="shared" si="370"/>
        <v>139.5</v>
      </c>
      <c r="Y266" s="4">
        <f t="shared" si="371"/>
        <v>2350.5</v>
      </c>
      <c r="Z266" s="4">
        <f t="shared" si="372"/>
        <v>139.5</v>
      </c>
      <c r="AA266" s="4">
        <f t="shared" si="373"/>
        <v>2490</v>
      </c>
      <c r="AB266" s="4">
        <f t="shared" si="374"/>
        <v>139.5</v>
      </c>
      <c r="AC266" s="4">
        <f t="shared" si="375"/>
        <v>2629.5</v>
      </c>
      <c r="AD266" s="3">
        <f t="shared" si="376"/>
        <v>139.5</v>
      </c>
      <c r="AE266" s="4">
        <f t="shared" si="377"/>
        <v>2769</v>
      </c>
      <c r="AF266" s="3">
        <f t="shared" si="378"/>
        <v>139.5</v>
      </c>
      <c r="AG266" s="5">
        <f t="shared" si="379"/>
        <v>2908.5</v>
      </c>
      <c r="AH266" s="3">
        <f t="shared" si="380"/>
        <v>139.5</v>
      </c>
      <c r="AI266" s="5">
        <f t="shared" si="381"/>
        <v>3048</v>
      </c>
      <c r="AJ266" s="3">
        <f t="shared" si="382"/>
        <v>139.5</v>
      </c>
      <c r="AK266" s="3">
        <f t="shared" si="383"/>
        <v>3187.5</v>
      </c>
      <c r="AL266" s="3">
        <f t="shared" si="384"/>
        <v>139.5</v>
      </c>
      <c r="AM266" s="4">
        <f t="shared" si="385"/>
        <v>3327</v>
      </c>
      <c r="AN266" s="4">
        <f t="shared" si="386"/>
        <v>3648</v>
      </c>
      <c r="AO266" s="21">
        <f t="shared" si="387"/>
        <v>139.5</v>
      </c>
      <c r="AP266" s="4">
        <f t="shared" si="388"/>
        <v>3466.5</v>
      </c>
      <c r="AQ266" s="4">
        <v>3055.125</v>
      </c>
      <c r="AR266" s="21">
        <v>174.375</v>
      </c>
      <c r="AS266" s="19">
        <v>4094.25</v>
      </c>
      <c r="AT266" s="4">
        <v>2880.75</v>
      </c>
      <c r="AU266" s="21">
        <f t="shared" si="395"/>
        <v>139.5</v>
      </c>
      <c r="AV266" s="19">
        <f t="shared" si="389"/>
        <v>4233.75</v>
      </c>
      <c r="AW266" s="4">
        <f t="shared" si="390"/>
        <v>2741.25</v>
      </c>
      <c r="AX266" s="4">
        <f t="shared" si="396"/>
        <v>139.5</v>
      </c>
      <c r="AY266" s="4">
        <f t="shared" si="391"/>
        <v>4373.25</v>
      </c>
      <c r="AZ266" s="4">
        <f t="shared" si="392"/>
        <v>2601.75</v>
      </c>
      <c r="BA266" s="22">
        <f t="shared" si="397"/>
        <v>139.5</v>
      </c>
      <c r="BB266" s="4">
        <f t="shared" si="393"/>
        <v>4512.75</v>
      </c>
      <c r="BC266" s="4">
        <f t="shared" si="394"/>
        <v>2462.25</v>
      </c>
      <c r="BF266" s="22">
        <v>139.5</v>
      </c>
      <c r="BG266" s="4">
        <f t="shared" si="321"/>
        <v>0</v>
      </c>
    </row>
    <row r="267" spans="1:59" x14ac:dyDescent="0.35">
      <c r="A267" s="3" t="s">
        <v>291</v>
      </c>
      <c r="B267" s="3" t="s">
        <v>86</v>
      </c>
      <c r="C267" s="4">
        <v>12050</v>
      </c>
      <c r="D267" s="4" t="s">
        <v>80</v>
      </c>
      <c r="E267" s="2">
        <v>50</v>
      </c>
      <c r="F267" s="4"/>
      <c r="G267" s="4">
        <v>1355</v>
      </c>
      <c r="H267" s="4">
        <v>301</v>
      </c>
      <c r="I267" s="4">
        <f t="shared" si="356"/>
        <v>1656</v>
      </c>
      <c r="J267" s="4">
        <f t="shared" si="357"/>
        <v>301</v>
      </c>
      <c r="K267" s="4">
        <f t="shared" si="358"/>
        <v>1957</v>
      </c>
      <c r="L267" s="4">
        <f t="shared" si="359"/>
        <v>301</v>
      </c>
      <c r="M267" s="4">
        <f t="shared" si="355"/>
        <v>2258</v>
      </c>
      <c r="N267" s="4">
        <f t="shared" si="360"/>
        <v>301</v>
      </c>
      <c r="O267" s="4">
        <f t="shared" si="361"/>
        <v>2559</v>
      </c>
      <c r="P267" s="4">
        <f t="shared" si="362"/>
        <v>241</v>
      </c>
      <c r="Q267" s="4">
        <f t="shared" si="363"/>
        <v>2800</v>
      </c>
      <c r="R267" s="4">
        <f t="shared" si="364"/>
        <v>241</v>
      </c>
      <c r="S267" s="4">
        <f t="shared" si="365"/>
        <v>3041</v>
      </c>
      <c r="T267" s="4">
        <f t="shared" si="366"/>
        <v>241</v>
      </c>
      <c r="U267" s="4">
        <f t="shared" si="367"/>
        <v>3282</v>
      </c>
      <c r="V267" s="4">
        <f t="shared" si="368"/>
        <v>241</v>
      </c>
      <c r="W267" s="4">
        <f t="shared" si="369"/>
        <v>3523</v>
      </c>
      <c r="X267" s="4">
        <f t="shared" si="370"/>
        <v>241</v>
      </c>
      <c r="Y267" s="4">
        <f t="shared" si="371"/>
        <v>3764</v>
      </c>
      <c r="Z267" s="4">
        <f t="shared" si="372"/>
        <v>241</v>
      </c>
      <c r="AA267" s="4">
        <f t="shared" si="373"/>
        <v>4005</v>
      </c>
      <c r="AB267" s="4">
        <f t="shared" si="374"/>
        <v>241</v>
      </c>
      <c r="AC267" s="4">
        <f t="shared" si="375"/>
        <v>4246</v>
      </c>
      <c r="AD267" s="3">
        <f t="shared" si="376"/>
        <v>241</v>
      </c>
      <c r="AE267" s="4">
        <f t="shared" si="377"/>
        <v>4487</v>
      </c>
      <c r="AF267" s="3">
        <f t="shared" si="378"/>
        <v>241</v>
      </c>
      <c r="AG267" s="5">
        <f t="shared" si="379"/>
        <v>4728</v>
      </c>
      <c r="AH267" s="3">
        <f t="shared" si="380"/>
        <v>241</v>
      </c>
      <c r="AI267" s="5">
        <f t="shared" si="381"/>
        <v>4969</v>
      </c>
      <c r="AJ267" s="3">
        <f t="shared" si="382"/>
        <v>241</v>
      </c>
      <c r="AK267" s="3">
        <f t="shared" si="383"/>
        <v>5210</v>
      </c>
      <c r="AL267" s="3">
        <f t="shared" si="384"/>
        <v>241</v>
      </c>
      <c r="AM267" s="4">
        <f t="shared" si="385"/>
        <v>5451</v>
      </c>
      <c r="AN267" s="4">
        <f t="shared" si="386"/>
        <v>6599</v>
      </c>
      <c r="AO267" s="21">
        <f t="shared" si="387"/>
        <v>241</v>
      </c>
      <c r="AP267" s="4">
        <f t="shared" si="388"/>
        <v>5692</v>
      </c>
      <c r="AQ267" s="4">
        <v>5574.75</v>
      </c>
      <c r="AR267" s="21">
        <v>301.25</v>
      </c>
      <c r="AS267" s="19">
        <v>6776.5</v>
      </c>
      <c r="AT267" s="4">
        <v>5273.5</v>
      </c>
      <c r="AU267" s="21">
        <f t="shared" si="395"/>
        <v>241</v>
      </c>
      <c r="AV267" s="19">
        <f t="shared" si="389"/>
        <v>7017.5</v>
      </c>
      <c r="AW267" s="4">
        <f t="shared" si="390"/>
        <v>5032.5</v>
      </c>
      <c r="AX267" s="4">
        <f t="shared" si="396"/>
        <v>241</v>
      </c>
      <c r="AY267" s="4">
        <f t="shared" si="391"/>
        <v>7258.5</v>
      </c>
      <c r="AZ267" s="4">
        <f t="shared" si="392"/>
        <v>4791.5</v>
      </c>
      <c r="BA267" s="22">
        <f t="shared" si="397"/>
        <v>241</v>
      </c>
      <c r="BB267" s="4">
        <f t="shared" si="393"/>
        <v>7499.5</v>
      </c>
      <c r="BC267" s="4">
        <f t="shared" si="394"/>
        <v>4550.5</v>
      </c>
      <c r="BF267" s="22">
        <v>241</v>
      </c>
      <c r="BG267" s="4">
        <f t="shared" si="321"/>
        <v>0</v>
      </c>
    </row>
    <row r="268" spans="1:59" x14ac:dyDescent="0.35">
      <c r="A268" s="3" t="s">
        <v>291</v>
      </c>
      <c r="B268" s="3" t="s">
        <v>88</v>
      </c>
      <c r="C268" s="4">
        <v>9000</v>
      </c>
      <c r="D268" s="4" t="s">
        <v>80</v>
      </c>
      <c r="E268" s="2">
        <v>50</v>
      </c>
      <c r="F268" s="4"/>
      <c r="G268" s="4">
        <v>788</v>
      </c>
      <c r="H268" s="4">
        <v>225</v>
      </c>
      <c r="I268" s="4">
        <f t="shared" si="356"/>
        <v>1013</v>
      </c>
      <c r="J268" s="4">
        <f t="shared" si="357"/>
        <v>225</v>
      </c>
      <c r="K268" s="4">
        <f t="shared" si="358"/>
        <v>1238</v>
      </c>
      <c r="L268" s="4">
        <f t="shared" si="359"/>
        <v>225</v>
      </c>
      <c r="M268" s="4">
        <f t="shared" si="355"/>
        <v>1463</v>
      </c>
      <c r="N268" s="4">
        <f t="shared" si="360"/>
        <v>225</v>
      </c>
      <c r="O268" s="4">
        <f t="shared" si="361"/>
        <v>1688</v>
      </c>
      <c r="P268" s="4">
        <f t="shared" si="362"/>
        <v>180</v>
      </c>
      <c r="Q268" s="4">
        <f t="shared" si="363"/>
        <v>1868</v>
      </c>
      <c r="R268" s="4">
        <f t="shared" si="364"/>
        <v>180</v>
      </c>
      <c r="S268" s="4">
        <f t="shared" si="365"/>
        <v>2048</v>
      </c>
      <c r="T268" s="4">
        <f t="shared" si="366"/>
        <v>180</v>
      </c>
      <c r="U268" s="4">
        <f t="shared" si="367"/>
        <v>2228</v>
      </c>
      <c r="V268" s="4">
        <f t="shared" si="368"/>
        <v>180</v>
      </c>
      <c r="W268" s="4">
        <f t="shared" si="369"/>
        <v>2408</v>
      </c>
      <c r="X268" s="4">
        <f t="shared" si="370"/>
        <v>180</v>
      </c>
      <c r="Y268" s="4">
        <f t="shared" si="371"/>
        <v>2588</v>
      </c>
      <c r="Z268" s="4">
        <f t="shared" si="372"/>
        <v>180</v>
      </c>
      <c r="AA268" s="4">
        <f t="shared" si="373"/>
        <v>2768</v>
      </c>
      <c r="AB268" s="4">
        <f t="shared" si="374"/>
        <v>180</v>
      </c>
      <c r="AC268" s="4">
        <f t="shared" si="375"/>
        <v>2948</v>
      </c>
      <c r="AD268" s="3">
        <f t="shared" si="376"/>
        <v>180</v>
      </c>
      <c r="AE268" s="4">
        <f t="shared" si="377"/>
        <v>3128</v>
      </c>
      <c r="AF268" s="3">
        <f t="shared" si="378"/>
        <v>180</v>
      </c>
      <c r="AG268" s="5">
        <f t="shared" si="379"/>
        <v>3308</v>
      </c>
      <c r="AH268" s="3">
        <f t="shared" si="380"/>
        <v>180</v>
      </c>
      <c r="AI268" s="5">
        <f t="shared" si="381"/>
        <v>3488</v>
      </c>
      <c r="AJ268" s="3">
        <f t="shared" si="382"/>
        <v>180</v>
      </c>
      <c r="AK268" s="3">
        <f t="shared" si="383"/>
        <v>3668</v>
      </c>
      <c r="AL268" s="3">
        <f t="shared" si="384"/>
        <v>180</v>
      </c>
      <c r="AM268" s="4">
        <f t="shared" si="385"/>
        <v>3848</v>
      </c>
      <c r="AN268" s="4">
        <f t="shared" si="386"/>
        <v>5152</v>
      </c>
      <c r="AO268" s="21">
        <f t="shared" si="387"/>
        <v>180</v>
      </c>
      <c r="AP268" s="4">
        <f t="shared" si="388"/>
        <v>4028</v>
      </c>
      <c r="AQ268" s="4">
        <v>4387</v>
      </c>
      <c r="AR268" s="21">
        <v>225</v>
      </c>
      <c r="AS268" s="19">
        <v>4838</v>
      </c>
      <c r="AT268" s="4">
        <v>4162</v>
      </c>
      <c r="AU268" s="21">
        <f t="shared" si="395"/>
        <v>180</v>
      </c>
      <c r="AV268" s="19">
        <f t="shared" si="389"/>
        <v>5018</v>
      </c>
      <c r="AW268" s="4">
        <f t="shared" si="390"/>
        <v>3982</v>
      </c>
      <c r="AX268" s="4">
        <f t="shared" si="396"/>
        <v>180</v>
      </c>
      <c r="AY268" s="4">
        <f t="shared" si="391"/>
        <v>5198</v>
      </c>
      <c r="AZ268" s="4">
        <f t="shared" si="392"/>
        <v>3802</v>
      </c>
      <c r="BA268" s="22">
        <f t="shared" si="397"/>
        <v>180</v>
      </c>
      <c r="BB268" s="4">
        <f t="shared" si="393"/>
        <v>5378</v>
      </c>
      <c r="BC268" s="4">
        <f t="shared" si="394"/>
        <v>3622</v>
      </c>
      <c r="BF268" s="22">
        <v>180</v>
      </c>
      <c r="BG268" s="4">
        <f t="shared" si="321"/>
        <v>0</v>
      </c>
    </row>
    <row r="269" spans="1:59" x14ac:dyDescent="0.35">
      <c r="A269" s="3" t="s">
        <v>291</v>
      </c>
      <c r="B269" s="3" t="s">
        <v>50</v>
      </c>
      <c r="C269" s="4">
        <v>6950</v>
      </c>
      <c r="D269" s="4" t="s">
        <v>80</v>
      </c>
      <c r="E269" s="2">
        <v>50</v>
      </c>
      <c r="F269" s="4"/>
      <c r="G269" s="4">
        <v>435</v>
      </c>
      <c r="H269" s="4">
        <v>174</v>
      </c>
      <c r="I269" s="4">
        <f t="shared" si="356"/>
        <v>609</v>
      </c>
      <c r="J269" s="4">
        <f t="shared" si="357"/>
        <v>174</v>
      </c>
      <c r="K269" s="4">
        <f t="shared" si="358"/>
        <v>783</v>
      </c>
      <c r="L269" s="4">
        <f t="shared" si="359"/>
        <v>174</v>
      </c>
      <c r="M269" s="4">
        <f t="shared" si="355"/>
        <v>957</v>
      </c>
      <c r="N269" s="4">
        <f t="shared" si="360"/>
        <v>174</v>
      </c>
      <c r="O269" s="4">
        <f t="shared" si="361"/>
        <v>1131</v>
      </c>
      <c r="P269" s="4">
        <f t="shared" si="362"/>
        <v>139</v>
      </c>
      <c r="Q269" s="4">
        <f t="shared" si="363"/>
        <v>1270</v>
      </c>
      <c r="R269" s="4">
        <f t="shared" si="364"/>
        <v>139</v>
      </c>
      <c r="S269" s="4">
        <f t="shared" si="365"/>
        <v>1409</v>
      </c>
      <c r="T269" s="4">
        <f t="shared" si="366"/>
        <v>139</v>
      </c>
      <c r="U269" s="4">
        <f t="shared" si="367"/>
        <v>1548</v>
      </c>
      <c r="V269" s="4">
        <f t="shared" si="368"/>
        <v>139</v>
      </c>
      <c r="W269" s="4">
        <f t="shared" si="369"/>
        <v>1687</v>
      </c>
      <c r="X269" s="4">
        <f t="shared" si="370"/>
        <v>139</v>
      </c>
      <c r="Y269" s="4">
        <f t="shared" si="371"/>
        <v>1826</v>
      </c>
      <c r="Z269" s="4">
        <f t="shared" si="372"/>
        <v>139</v>
      </c>
      <c r="AA269" s="4">
        <f t="shared" si="373"/>
        <v>1965</v>
      </c>
      <c r="AB269" s="4">
        <f t="shared" si="374"/>
        <v>139</v>
      </c>
      <c r="AC269" s="4">
        <f t="shared" si="375"/>
        <v>2104</v>
      </c>
      <c r="AD269" s="3">
        <f t="shared" si="376"/>
        <v>139</v>
      </c>
      <c r="AE269" s="4">
        <f t="shared" si="377"/>
        <v>2243</v>
      </c>
      <c r="AF269" s="3">
        <f t="shared" si="378"/>
        <v>139</v>
      </c>
      <c r="AG269" s="5">
        <f t="shared" si="379"/>
        <v>2382</v>
      </c>
      <c r="AH269" s="3">
        <f t="shared" si="380"/>
        <v>139</v>
      </c>
      <c r="AI269" s="5">
        <f t="shared" si="381"/>
        <v>2521</v>
      </c>
      <c r="AJ269" s="3">
        <f t="shared" si="382"/>
        <v>139</v>
      </c>
      <c r="AK269" s="3">
        <f t="shared" si="383"/>
        <v>2660</v>
      </c>
      <c r="AL269" s="3">
        <f t="shared" si="384"/>
        <v>139</v>
      </c>
      <c r="AM269" s="4">
        <f t="shared" si="385"/>
        <v>2799</v>
      </c>
      <c r="AN269" s="4">
        <f t="shared" si="386"/>
        <v>4151</v>
      </c>
      <c r="AO269" s="21">
        <f t="shared" si="387"/>
        <v>139</v>
      </c>
      <c r="AP269" s="4">
        <f t="shared" si="388"/>
        <v>2938</v>
      </c>
      <c r="AQ269" s="4">
        <v>3560.25</v>
      </c>
      <c r="AR269" s="21">
        <v>173.75</v>
      </c>
      <c r="AS269" s="19">
        <v>3563.5</v>
      </c>
      <c r="AT269" s="4">
        <v>3386.5</v>
      </c>
      <c r="AU269" s="21">
        <f t="shared" si="395"/>
        <v>139</v>
      </c>
      <c r="AV269" s="19">
        <f t="shared" si="389"/>
        <v>3702.5</v>
      </c>
      <c r="AW269" s="4">
        <f t="shared" si="390"/>
        <v>3247.5</v>
      </c>
      <c r="AX269" s="4">
        <f t="shared" si="396"/>
        <v>139</v>
      </c>
      <c r="AY269" s="4">
        <f t="shared" si="391"/>
        <v>3841.5</v>
      </c>
      <c r="AZ269" s="4">
        <f t="shared" si="392"/>
        <v>3108.5</v>
      </c>
      <c r="BA269" s="22">
        <f t="shared" si="397"/>
        <v>139</v>
      </c>
      <c r="BB269" s="4">
        <f t="shared" si="393"/>
        <v>3980.5</v>
      </c>
      <c r="BC269" s="4">
        <f t="shared" si="394"/>
        <v>2969.5</v>
      </c>
      <c r="BF269" s="22">
        <v>139</v>
      </c>
      <c r="BG269" s="4">
        <f t="shared" si="321"/>
        <v>0</v>
      </c>
    </row>
    <row r="270" spans="1:59" x14ac:dyDescent="0.35">
      <c r="A270" s="3" t="s">
        <v>291</v>
      </c>
      <c r="B270" s="3" t="s">
        <v>198</v>
      </c>
      <c r="C270" s="4">
        <v>6800</v>
      </c>
      <c r="D270" s="4" t="s">
        <v>80</v>
      </c>
      <c r="E270" s="2">
        <v>50</v>
      </c>
      <c r="F270" s="4"/>
      <c r="G270" s="4">
        <v>255</v>
      </c>
      <c r="H270" s="4">
        <v>170</v>
      </c>
      <c r="I270" s="4">
        <f t="shared" si="356"/>
        <v>425</v>
      </c>
      <c r="J270" s="4">
        <f t="shared" si="357"/>
        <v>170</v>
      </c>
      <c r="K270" s="4">
        <f t="shared" si="358"/>
        <v>595</v>
      </c>
      <c r="L270" s="4">
        <f t="shared" si="359"/>
        <v>170</v>
      </c>
      <c r="M270" s="4">
        <f t="shared" si="355"/>
        <v>765</v>
      </c>
      <c r="N270" s="4">
        <f t="shared" si="360"/>
        <v>170</v>
      </c>
      <c r="O270" s="4">
        <f t="shared" si="361"/>
        <v>935</v>
      </c>
      <c r="P270" s="4">
        <f t="shared" si="362"/>
        <v>136</v>
      </c>
      <c r="Q270" s="4">
        <f t="shared" si="363"/>
        <v>1071</v>
      </c>
      <c r="R270" s="4">
        <f t="shared" si="364"/>
        <v>136</v>
      </c>
      <c r="S270" s="4">
        <f t="shared" si="365"/>
        <v>1207</v>
      </c>
      <c r="T270" s="4">
        <f t="shared" si="366"/>
        <v>136</v>
      </c>
      <c r="U270" s="4">
        <f t="shared" si="367"/>
        <v>1343</v>
      </c>
      <c r="V270" s="4">
        <f t="shared" si="368"/>
        <v>136</v>
      </c>
      <c r="W270" s="4">
        <f t="shared" si="369"/>
        <v>1479</v>
      </c>
      <c r="X270" s="4">
        <f t="shared" si="370"/>
        <v>136</v>
      </c>
      <c r="Y270" s="4">
        <f t="shared" si="371"/>
        <v>1615</v>
      </c>
      <c r="Z270" s="4">
        <f t="shared" si="372"/>
        <v>136</v>
      </c>
      <c r="AA270" s="4">
        <f t="shared" si="373"/>
        <v>1751</v>
      </c>
      <c r="AB270" s="4">
        <f t="shared" si="374"/>
        <v>136</v>
      </c>
      <c r="AC270" s="4">
        <f t="shared" si="375"/>
        <v>1887</v>
      </c>
      <c r="AD270" s="3">
        <f t="shared" si="376"/>
        <v>136</v>
      </c>
      <c r="AE270" s="4">
        <f t="shared" si="377"/>
        <v>2023</v>
      </c>
      <c r="AF270" s="3">
        <f t="shared" si="378"/>
        <v>136</v>
      </c>
      <c r="AG270" s="5">
        <f t="shared" si="379"/>
        <v>2159</v>
      </c>
      <c r="AH270" s="3">
        <f t="shared" si="380"/>
        <v>136</v>
      </c>
      <c r="AI270" s="5">
        <f t="shared" si="381"/>
        <v>2295</v>
      </c>
      <c r="AJ270" s="3">
        <f t="shared" si="382"/>
        <v>136</v>
      </c>
      <c r="AK270" s="3">
        <f t="shared" si="383"/>
        <v>2431</v>
      </c>
      <c r="AL270" s="3">
        <f t="shared" si="384"/>
        <v>136</v>
      </c>
      <c r="AM270" s="4">
        <f t="shared" si="385"/>
        <v>2567</v>
      </c>
      <c r="AN270" s="4">
        <f t="shared" si="386"/>
        <v>4233</v>
      </c>
      <c r="AO270" s="21">
        <f t="shared" si="387"/>
        <v>136</v>
      </c>
      <c r="AP270" s="4">
        <f t="shared" si="388"/>
        <v>2703</v>
      </c>
      <c r="AQ270" s="4">
        <v>3655</v>
      </c>
      <c r="AR270" s="21">
        <v>170</v>
      </c>
      <c r="AS270" s="19">
        <v>3315</v>
      </c>
      <c r="AT270" s="4">
        <v>3485</v>
      </c>
      <c r="AU270" s="21">
        <f t="shared" si="395"/>
        <v>136</v>
      </c>
      <c r="AV270" s="19">
        <f t="shared" si="389"/>
        <v>3451</v>
      </c>
      <c r="AW270" s="4">
        <f t="shared" si="390"/>
        <v>3349</v>
      </c>
      <c r="AX270" s="4">
        <f t="shared" si="396"/>
        <v>136</v>
      </c>
      <c r="AY270" s="4">
        <f t="shared" si="391"/>
        <v>3587</v>
      </c>
      <c r="AZ270" s="4">
        <f t="shared" si="392"/>
        <v>3213</v>
      </c>
      <c r="BA270" s="22">
        <f t="shared" si="397"/>
        <v>136</v>
      </c>
      <c r="BB270" s="4">
        <f t="shared" si="393"/>
        <v>3723</v>
      </c>
      <c r="BC270" s="4">
        <f t="shared" si="394"/>
        <v>3077</v>
      </c>
      <c r="BF270" s="22">
        <v>136</v>
      </c>
      <c r="BG270" s="4">
        <f t="shared" si="321"/>
        <v>0</v>
      </c>
    </row>
    <row r="271" spans="1:59" x14ac:dyDescent="0.35">
      <c r="A271" s="3" t="s">
        <v>291</v>
      </c>
      <c r="B271" s="3" t="s">
        <v>199</v>
      </c>
      <c r="C271" s="4">
        <v>6850</v>
      </c>
      <c r="D271" s="4" t="s">
        <v>80</v>
      </c>
      <c r="E271" s="2">
        <v>50</v>
      </c>
      <c r="F271" s="4"/>
      <c r="G271" s="4">
        <v>86</v>
      </c>
      <c r="H271" s="4">
        <v>171</v>
      </c>
      <c r="I271" s="4">
        <f t="shared" si="356"/>
        <v>257</v>
      </c>
      <c r="J271" s="4">
        <f t="shared" si="357"/>
        <v>171</v>
      </c>
      <c r="K271" s="4">
        <f t="shared" si="358"/>
        <v>428</v>
      </c>
      <c r="L271" s="4">
        <f t="shared" si="359"/>
        <v>171</v>
      </c>
      <c r="M271" s="4">
        <f t="shared" si="355"/>
        <v>599</v>
      </c>
      <c r="N271" s="4">
        <f t="shared" si="360"/>
        <v>171</v>
      </c>
      <c r="O271" s="4">
        <f t="shared" si="361"/>
        <v>770</v>
      </c>
      <c r="P271" s="4">
        <f t="shared" si="362"/>
        <v>137</v>
      </c>
      <c r="Q271" s="4">
        <f t="shared" si="363"/>
        <v>907</v>
      </c>
      <c r="R271" s="4">
        <f t="shared" si="364"/>
        <v>137</v>
      </c>
      <c r="S271" s="4">
        <f t="shared" si="365"/>
        <v>1044</v>
      </c>
      <c r="T271" s="4">
        <f t="shared" si="366"/>
        <v>137</v>
      </c>
      <c r="U271" s="4">
        <f t="shared" si="367"/>
        <v>1181</v>
      </c>
      <c r="V271" s="4">
        <f t="shared" si="368"/>
        <v>137</v>
      </c>
      <c r="W271" s="4">
        <f t="shared" si="369"/>
        <v>1318</v>
      </c>
      <c r="X271" s="4">
        <f t="shared" si="370"/>
        <v>137</v>
      </c>
      <c r="Y271" s="4">
        <f t="shared" si="371"/>
        <v>1455</v>
      </c>
      <c r="Z271" s="4">
        <f t="shared" si="372"/>
        <v>137</v>
      </c>
      <c r="AA271" s="4">
        <f t="shared" si="373"/>
        <v>1592</v>
      </c>
      <c r="AB271" s="4">
        <f t="shared" si="374"/>
        <v>137</v>
      </c>
      <c r="AC271" s="4">
        <f t="shared" si="375"/>
        <v>1729</v>
      </c>
      <c r="AD271" s="3">
        <f t="shared" si="376"/>
        <v>137</v>
      </c>
      <c r="AE271" s="4">
        <f t="shared" si="377"/>
        <v>1866</v>
      </c>
      <c r="AF271" s="3">
        <f t="shared" si="378"/>
        <v>137</v>
      </c>
      <c r="AG271" s="5">
        <f t="shared" si="379"/>
        <v>2003</v>
      </c>
      <c r="AH271" s="3">
        <f t="shared" si="380"/>
        <v>137</v>
      </c>
      <c r="AI271" s="5">
        <f t="shared" si="381"/>
        <v>2140</v>
      </c>
      <c r="AJ271" s="3">
        <f t="shared" si="382"/>
        <v>137</v>
      </c>
      <c r="AK271" s="3">
        <f t="shared" si="383"/>
        <v>2277</v>
      </c>
      <c r="AL271" s="3">
        <f t="shared" si="384"/>
        <v>137</v>
      </c>
      <c r="AM271" s="4">
        <f t="shared" si="385"/>
        <v>2414</v>
      </c>
      <c r="AN271" s="4">
        <f t="shared" si="386"/>
        <v>4436</v>
      </c>
      <c r="AO271" s="21">
        <f t="shared" si="387"/>
        <v>137</v>
      </c>
      <c r="AP271" s="4">
        <f t="shared" si="388"/>
        <v>2551</v>
      </c>
      <c r="AQ271" s="4">
        <v>3853.75</v>
      </c>
      <c r="AR271" s="21">
        <v>171.25</v>
      </c>
      <c r="AS271" s="19">
        <v>3167.5</v>
      </c>
      <c r="AT271" s="4">
        <v>3682.5</v>
      </c>
      <c r="AU271" s="21">
        <f t="shared" si="395"/>
        <v>137</v>
      </c>
      <c r="AV271" s="19">
        <f t="shared" si="389"/>
        <v>3304.5</v>
      </c>
      <c r="AW271" s="4">
        <f t="shared" si="390"/>
        <v>3545.5</v>
      </c>
      <c r="AX271" s="4">
        <f t="shared" si="396"/>
        <v>137</v>
      </c>
      <c r="AY271" s="4">
        <f t="shared" si="391"/>
        <v>3441.5</v>
      </c>
      <c r="AZ271" s="4">
        <f t="shared" si="392"/>
        <v>3408.5</v>
      </c>
      <c r="BA271" s="22">
        <f t="shared" si="397"/>
        <v>137</v>
      </c>
      <c r="BB271" s="4">
        <f t="shared" si="393"/>
        <v>3578.5</v>
      </c>
      <c r="BC271" s="4">
        <f t="shared" si="394"/>
        <v>3271.5</v>
      </c>
      <c r="BF271" s="22">
        <v>137</v>
      </c>
      <c r="BG271" s="4">
        <f t="shared" si="321"/>
        <v>0</v>
      </c>
    </row>
    <row r="272" spans="1:59" x14ac:dyDescent="0.35">
      <c r="A272" s="3" t="s">
        <v>291</v>
      </c>
      <c r="B272" s="3" t="s">
        <v>200</v>
      </c>
      <c r="C272" s="4">
        <v>18132</v>
      </c>
      <c r="D272" s="4" t="s">
        <v>80</v>
      </c>
      <c r="E272" s="2">
        <v>50</v>
      </c>
      <c r="F272" s="4"/>
      <c r="G272" s="4"/>
      <c r="H272" s="4">
        <v>227</v>
      </c>
      <c r="I272" s="4">
        <f t="shared" si="356"/>
        <v>227</v>
      </c>
      <c r="J272" s="4">
        <f t="shared" si="357"/>
        <v>227</v>
      </c>
      <c r="K272" s="4">
        <f t="shared" si="358"/>
        <v>454</v>
      </c>
      <c r="L272" s="4">
        <f t="shared" si="359"/>
        <v>227</v>
      </c>
      <c r="M272" s="4">
        <f t="shared" si="355"/>
        <v>681</v>
      </c>
      <c r="N272" s="4">
        <f t="shared" si="360"/>
        <v>227</v>
      </c>
      <c r="O272" s="4">
        <f t="shared" si="361"/>
        <v>908</v>
      </c>
      <c r="P272" s="4">
        <f t="shared" si="362"/>
        <v>362.64</v>
      </c>
      <c r="Q272" s="4">
        <f t="shared" si="363"/>
        <v>1270.6399999999999</v>
      </c>
      <c r="R272" s="4">
        <f t="shared" si="364"/>
        <v>362.64</v>
      </c>
      <c r="S272" s="4">
        <f t="shared" si="365"/>
        <v>1633.2799999999997</v>
      </c>
      <c r="T272" s="4">
        <f t="shared" si="366"/>
        <v>362.64</v>
      </c>
      <c r="U272" s="4">
        <f t="shared" si="367"/>
        <v>1995.9199999999996</v>
      </c>
      <c r="V272" s="4">
        <f t="shared" si="368"/>
        <v>362.64</v>
      </c>
      <c r="W272" s="4">
        <f t="shared" si="369"/>
        <v>2358.5599999999995</v>
      </c>
      <c r="X272" s="4">
        <f t="shared" si="370"/>
        <v>362.64</v>
      </c>
      <c r="Y272" s="4">
        <f t="shared" si="371"/>
        <v>2721.1999999999994</v>
      </c>
      <c r="Z272" s="4">
        <f t="shared" si="372"/>
        <v>362.64</v>
      </c>
      <c r="AA272" s="4">
        <f t="shared" si="373"/>
        <v>3083.8399999999992</v>
      </c>
      <c r="AB272" s="4">
        <f t="shared" si="374"/>
        <v>362.64</v>
      </c>
      <c r="AC272" s="4">
        <f t="shared" si="375"/>
        <v>3446.4799999999991</v>
      </c>
      <c r="AD272" s="3">
        <f t="shared" si="376"/>
        <v>362.64</v>
      </c>
      <c r="AE272" s="4">
        <f t="shared" si="377"/>
        <v>3809.119999999999</v>
      </c>
      <c r="AF272" s="3">
        <f t="shared" si="378"/>
        <v>362.64</v>
      </c>
      <c r="AG272" s="5">
        <f t="shared" si="379"/>
        <v>4171.7599999999993</v>
      </c>
      <c r="AH272" s="3">
        <f t="shared" si="380"/>
        <v>362.64</v>
      </c>
      <c r="AI272" s="5">
        <f t="shared" si="381"/>
        <v>4534.3999999999996</v>
      </c>
      <c r="AJ272" s="3">
        <f t="shared" si="382"/>
        <v>362.64</v>
      </c>
      <c r="AK272" s="3">
        <f t="shared" si="383"/>
        <v>4897.04</v>
      </c>
      <c r="AL272" s="3">
        <f t="shared" si="384"/>
        <v>362.64</v>
      </c>
      <c r="AM272" s="4">
        <f t="shared" si="385"/>
        <v>5259.68</v>
      </c>
      <c r="AN272" s="4">
        <f t="shared" si="386"/>
        <v>12872.32</v>
      </c>
      <c r="AO272" s="21">
        <f t="shared" si="387"/>
        <v>362.64</v>
      </c>
      <c r="AP272" s="4">
        <f t="shared" si="388"/>
        <v>5622.3200000000006</v>
      </c>
      <c r="AQ272" s="4">
        <v>11331.099999999999</v>
      </c>
      <c r="AR272" s="21">
        <v>453.3</v>
      </c>
      <c r="AS272" s="19">
        <v>7254.2000000000016</v>
      </c>
      <c r="AT272" s="4">
        <v>10877.8</v>
      </c>
      <c r="AU272" s="21">
        <f t="shared" si="395"/>
        <v>362.64</v>
      </c>
      <c r="AV272" s="19">
        <f t="shared" si="389"/>
        <v>7616.840000000002</v>
      </c>
      <c r="AW272" s="4">
        <f t="shared" si="390"/>
        <v>10515.159999999998</v>
      </c>
      <c r="AX272" s="4">
        <f t="shared" si="396"/>
        <v>362.64</v>
      </c>
      <c r="AY272" s="4">
        <f t="shared" si="391"/>
        <v>7979.4800000000023</v>
      </c>
      <c r="AZ272" s="4">
        <f t="shared" si="392"/>
        <v>10152.519999999997</v>
      </c>
      <c r="BA272" s="22">
        <f t="shared" si="397"/>
        <v>362.64</v>
      </c>
      <c r="BB272" s="4">
        <f t="shared" si="393"/>
        <v>8342.1200000000026</v>
      </c>
      <c r="BC272" s="4">
        <f t="shared" si="394"/>
        <v>9789.8799999999974</v>
      </c>
      <c r="BF272" s="22">
        <v>362.64</v>
      </c>
      <c r="BG272" s="4">
        <f t="shared" si="321"/>
        <v>0</v>
      </c>
    </row>
    <row r="273" spans="1:59" x14ac:dyDescent="0.35">
      <c r="A273" s="3" t="s">
        <v>291</v>
      </c>
      <c r="B273" s="3" t="s">
        <v>99</v>
      </c>
      <c r="C273" s="4">
        <v>17861</v>
      </c>
      <c r="D273" s="4" t="s">
        <v>80</v>
      </c>
      <c r="E273" s="2">
        <v>50</v>
      </c>
      <c r="F273" s="4"/>
      <c r="G273" s="4"/>
      <c r="H273" s="4"/>
      <c r="I273" s="4"/>
      <c r="J273" s="4">
        <v>223</v>
      </c>
      <c r="K273" s="4">
        <f t="shared" si="358"/>
        <v>223</v>
      </c>
      <c r="L273" s="4">
        <f>C273/E273</f>
        <v>357.22</v>
      </c>
      <c r="M273" s="4">
        <f t="shared" si="355"/>
        <v>580.22</v>
      </c>
      <c r="N273" s="4">
        <f t="shared" si="360"/>
        <v>357.22</v>
      </c>
      <c r="O273" s="4">
        <f t="shared" si="361"/>
        <v>937.44</v>
      </c>
      <c r="P273" s="4">
        <f t="shared" si="362"/>
        <v>357.22</v>
      </c>
      <c r="Q273" s="4">
        <f t="shared" si="363"/>
        <v>1294.6600000000001</v>
      </c>
      <c r="R273" s="4">
        <f t="shared" si="364"/>
        <v>357.22</v>
      </c>
      <c r="S273" s="4">
        <f t="shared" si="365"/>
        <v>1651.88</v>
      </c>
      <c r="T273" s="4">
        <f t="shared" si="366"/>
        <v>357.22</v>
      </c>
      <c r="U273" s="4">
        <f t="shared" si="367"/>
        <v>2009.1000000000001</v>
      </c>
      <c r="V273" s="4">
        <f t="shared" si="368"/>
        <v>357.22</v>
      </c>
      <c r="W273" s="4">
        <f t="shared" si="369"/>
        <v>2366.3200000000002</v>
      </c>
      <c r="X273" s="4">
        <f t="shared" si="370"/>
        <v>357.22</v>
      </c>
      <c r="Y273" s="4">
        <f t="shared" si="371"/>
        <v>2723.54</v>
      </c>
      <c r="Z273" s="4">
        <f t="shared" si="372"/>
        <v>357.22</v>
      </c>
      <c r="AA273" s="4">
        <f t="shared" si="373"/>
        <v>3080.76</v>
      </c>
      <c r="AB273" s="4">
        <f t="shared" si="374"/>
        <v>357.22</v>
      </c>
      <c r="AC273" s="4">
        <f t="shared" si="375"/>
        <v>3437.9800000000005</v>
      </c>
      <c r="AD273" s="3">
        <f t="shared" si="376"/>
        <v>357.22</v>
      </c>
      <c r="AE273" s="4">
        <f t="shared" si="377"/>
        <v>3795.2000000000007</v>
      </c>
      <c r="AF273" s="3">
        <f t="shared" si="378"/>
        <v>357.22</v>
      </c>
      <c r="AG273" s="5">
        <f t="shared" si="379"/>
        <v>4152.420000000001</v>
      </c>
      <c r="AH273" s="3">
        <f t="shared" si="380"/>
        <v>357.22</v>
      </c>
      <c r="AI273" s="5">
        <f t="shared" si="381"/>
        <v>4509.6400000000012</v>
      </c>
      <c r="AJ273" s="3">
        <f t="shared" si="382"/>
        <v>357.22</v>
      </c>
      <c r="AK273" s="3">
        <f t="shared" si="383"/>
        <v>4866.8600000000015</v>
      </c>
      <c r="AL273" s="3">
        <f t="shared" si="384"/>
        <v>357.22</v>
      </c>
      <c r="AM273" s="4">
        <f t="shared" si="385"/>
        <v>5224.0800000000017</v>
      </c>
      <c r="AN273" s="4">
        <f t="shared" si="386"/>
        <v>12636.919999999998</v>
      </c>
      <c r="AO273" s="21">
        <f t="shared" si="387"/>
        <v>357.22</v>
      </c>
      <c r="AP273" s="4">
        <f t="shared" si="388"/>
        <v>5581.300000000002</v>
      </c>
      <c r="AQ273" s="4">
        <v>10940.125000000002</v>
      </c>
      <c r="AR273" s="21">
        <v>446.52499999999998</v>
      </c>
      <c r="AS273" s="19">
        <v>7367.3999999999978</v>
      </c>
      <c r="AT273" s="4">
        <v>10493.600000000002</v>
      </c>
      <c r="AU273" s="21">
        <f t="shared" si="395"/>
        <v>357.22</v>
      </c>
      <c r="AV273" s="19">
        <f t="shared" si="389"/>
        <v>7724.6199999999981</v>
      </c>
      <c r="AW273" s="4">
        <f t="shared" si="390"/>
        <v>10136.380000000001</v>
      </c>
      <c r="AX273" s="4">
        <f t="shared" si="396"/>
        <v>357.22</v>
      </c>
      <c r="AY273" s="4">
        <f t="shared" si="391"/>
        <v>8081.8399999999983</v>
      </c>
      <c r="AZ273" s="4">
        <f t="shared" si="392"/>
        <v>9779.1600000000017</v>
      </c>
      <c r="BA273" s="22">
        <f t="shared" si="397"/>
        <v>357.22</v>
      </c>
      <c r="BB273" s="4">
        <f t="shared" si="393"/>
        <v>8439.0599999999977</v>
      </c>
      <c r="BC273" s="4">
        <f t="shared" si="394"/>
        <v>9421.9400000000023</v>
      </c>
      <c r="BF273" s="22">
        <v>357.22</v>
      </c>
      <c r="BG273" s="4">
        <f t="shared" si="321"/>
        <v>0</v>
      </c>
    </row>
    <row r="274" spans="1:59" x14ac:dyDescent="0.35">
      <c r="A274" s="3" t="s">
        <v>291</v>
      </c>
      <c r="B274" s="3" t="s">
        <v>205</v>
      </c>
      <c r="C274" s="4">
        <v>14014</v>
      </c>
      <c r="D274" s="4" t="s">
        <v>80</v>
      </c>
      <c r="E274" s="2">
        <v>50</v>
      </c>
      <c r="F274" s="4"/>
      <c r="G274" s="4"/>
      <c r="H274" s="4"/>
      <c r="I274" s="4"/>
      <c r="J274" s="4"/>
      <c r="K274" s="4"/>
      <c r="L274" s="4">
        <f>14014/40*0.5</f>
        <v>175.17500000000001</v>
      </c>
      <c r="M274" s="4">
        <f t="shared" si="355"/>
        <v>175.17500000000001</v>
      </c>
      <c r="N274" s="4">
        <f>14014/40</f>
        <v>350.35</v>
      </c>
      <c r="O274" s="4">
        <f t="shared" si="361"/>
        <v>525.52500000000009</v>
      </c>
      <c r="P274" s="4">
        <f t="shared" si="362"/>
        <v>280.27999999999997</v>
      </c>
      <c r="Q274" s="4">
        <f t="shared" si="363"/>
        <v>805.80500000000006</v>
      </c>
      <c r="R274" s="4">
        <f t="shared" si="364"/>
        <v>280.27999999999997</v>
      </c>
      <c r="S274" s="4">
        <f t="shared" si="365"/>
        <v>1086.085</v>
      </c>
      <c r="T274" s="4">
        <f t="shared" si="366"/>
        <v>280.27999999999997</v>
      </c>
      <c r="U274" s="4">
        <f t="shared" si="367"/>
        <v>1366.365</v>
      </c>
      <c r="V274" s="4">
        <f t="shared" si="368"/>
        <v>280.27999999999997</v>
      </c>
      <c r="W274" s="4">
        <f t="shared" si="369"/>
        <v>1646.645</v>
      </c>
      <c r="X274" s="4">
        <f t="shared" si="370"/>
        <v>280.27999999999997</v>
      </c>
      <c r="Y274" s="4">
        <f t="shared" si="371"/>
        <v>1926.925</v>
      </c>
      <c r="Z274" s="4">
        <f t="shared" si="372"/>
        <v>280.27999999999997</v>
      </c>
      <c r="AA274" s="4">
        <f t="shared" si="373"/>
        <v>2207.2049999999999</v>
      </c>
      <c r="AB274" s="4">
        <f t="shared" si="374"/>
        <v>280.27999999999997</v>
      </c>
      <c r="AC274" s="4">
        <f t="shared" si="375"/>
        <v>2487.4849999999997</v>
      </c>
      <c r="AD274" s="3">
        <f t="shared" si="376"/>
        <v>280.27999999999997</v>
      </c>
      <c r="AE274" s="4">
        <f t="shared" si="377"/>
        <v>2767.7649999999994</v>
      </c>
      <c r="AF274" s="3">
        <f t="shared" si="378"/>
        <v>280.27999999999997</v>
      </c>
      <c r="AG274" s="5">
        <f t="shared" si="379"/>
        <v>3048.0449999999992</v>
      </c>
      <c r="AH274" s="3">
        <f t="shared" si="380"/>
        <v>280.27999999999997</v>
      </c>
      <c r="AI274" s="5">
        <f t="shared" si="381"/>
        <v>3328.3249999999989</v>
      </c>
      <c r="AJ274" s="3">
        <f t="shared" si="382"/>
        <v>280.27999999999997</v>
      </c>
      <c r="AK274" s="3">
        <f t="shared" si="383"/>
        <v>3608.6049999999987</v>
      </c>
      <c r="AL274" s="3">
        <f t="shared" si="384"/>
        <v>280.27999999999997</v>
      </c>
      <c r="AM274" s="4">
        <f t="shared" si="385"/>
        <v>3888.8849999999984</v>
      </c>
      <c r="AN274" s="4">
        <f t="shared" si="386"/>
        <v>10125.115000000002</v>
      </c>
      <c r="AO274" s="21">
        <f t="shared" si="387"/>
        <v>280.27999999999997</v>
      </c>
      <c r="AP274" s="4">
        <f t="shared" si="388"/>
        <v>4169.1649999999981</v>
      </c>
      <c r="AQ274" s="4">
        <v>8933.9249999999993</v>
      </c>
      <c r="AR274" s="21">
        <v>350.35</v>
      </c>
      <c r="AS274" s="19">
        <v>5430.4250000000011</v>
      </c>
      <c r="AT274" s="4">
        <v>8583.5749999999989</v>
      </c>
      <c r="AU274" s="21">
        <f t="shared" si="395"/>
        <v>280.27999999999997</v>
      </c>
      <c r="AV274" s="19">
        <f t="shared" si="389"/>
        <v>5710.7050000000008</v>
      </c>
      <c r="AW274" s="4">
        <f t="shared" si="390"/>
        <v>8303.2949999999983</v>
      </c>
      <c r="AX274" s="4">
        <f t="shared" si="396"/>
        <v>280.27999999999997</v>
      </c>
      <c r="AY274" s="4">
        <f t="shared" si="391"/>
        <v>5990.9850000000006</v>
      </c>
      <c r="AZ274" s="4">
        <f t="shared" si="392"/>
        <v>8023.0149999999994</v>
      </c>
      <c r="BA274" s="22">
        <f t="shared" si="397"/>
        <v>280.27999999999997</v>
      </c>
      <c r="BB274" s="4">
        <f t="shared" si="393"/>
        <v>6271.2650000000003</v>
      </c>
      <c r="BC274" s="4">
        <f t="shared" si="394"/>
        <v>7742.7349999999997</v>
      </c>
      <c r="BF274" s="22">
        <v>280.27999999999997</v>
      </c>
      <c r="BG274" s="4">
        <f t="shared" si="321"/>
        <v>0</v>
      </c>
    </row>
    <row r="275" spans="1:59" x14ac:dyDescent="0.35">
      <c r="A275" s="3" t="s">
        <v>291</v>
      </c>
      <c r="B275" s="3" t="s">
        <v>209</v>
      </c>
      <c r="C275" s="4">
        <v>8139</v>
      </c>
      <c r="D275" s="4" t="s">
        <v>80</v>
      </c>
      <c r="E275" s="2">
        <v>50</v>
      </c>
      <c r="F275" s="4"/>
      <c r="G275" s="4"/>
      <c r="H275" s="4"/>
      <c r="I275" s="4"/>
      <c r="J275" s="4"/>
      <c r="K275" s="4"/>
      <c r="L275" s="4"/>
      <c r="M275" s="4"/>
      <c r="N275" s="4">
        <f>8139/40*0.5</f>
        <v>101.7375</v>
      </c>
      <c r="O275" s="4">
        <f t="shared" si="361"/>
        <v>101.7375</v>
      </c>
      <c r="P275" s="4">
        <f t="shared" si="362"/>
        <v>162.78</v>
      </c>
      <c r="Q275" s="4">
        <f t="shared" si="363"/>
        <v>264.51749999999998</v>
      </c>
      <c r="R275" s="4">
        <f t="shared" si="364"/>
        <v>162.78</v>
      </c>
      <c r="S275" s="4">
        <f t="shared" si="365"/>
        <v>427.29750000000001</v>
      </c>
      <c r="T275" s="4">
        <f t="shared" si="366"/>
        <v>162.78</v>
      </c>
      <c r="U275" s="4">
        <f t="shared" si="367"/>
        <v>590.07749999999999</v>
      </c>
      <c r="V275" s="4">
        <f t="shared" si="368"/>
        <v>162.78</v>
      </c>
      <c r="W275" s="4">
        <f t="shared" si="369"/>
        <v>752.85749999999996</v>
      </c>
      <c r="X275" s="4">
        <f t="shared" si="370"/>
        <v>162.78</v>
      </c>
      <c r="Y275" s="4">
        <f t="shared" si="371"/>
        <v>915.63749999999993</v>
      </c>
      <c r="Z275" s="4">
        <f t="shared" si="372"/>
        <v>162.78</v>
      </c>
      <c r="AA275" s="4">
        <f t="shared" si="373"/>
        <v>1078.4175</v>
      </c>
      <c r="AB275" s="4">
        <f t="shared" si="374"/>
        <v>162.78</v>
      </c>
      <c r="AC275" s="4">
        <f t="shared" si="375"/>
        <v>1241.1975</v>
      </c>
      <c r="AD275" s="3">
        <f t="shared" si="376"/>
        <v>162.78</v>
      </c>
      <c r="AE275" s="4">
        <f t="shared" si="377"/>
        <v>1403.9775</v>
      </c>
      <c r="AF275" s="3">
        <f t="shared" si="378"/>
        <v>162.78</v>
      </c>
      <c r="AG275" s="5">
        <f t="shared" si="379"/>
        <v>1566.7574999999999</v>
      </c>
      <c r="AH275" s="3">
        <f t="shared" si="380"/>
        <v>162.78</v>
      </c>
      <c r="AI275" s="5">
        <f t="shared" si="381"/>
        <v>1729.5374999999999</v>
      </c>
      <c r="AJ275" s="3">
        <f t="shared" si="382"/>
        <v>162.78</v>
      </c>
      <c r="AK275" s="3">
        <f t="shared" si="383"/>
        <v>1892.3174999999999</v>
      </c>
      <c r="AL275" s="3">
        <f t="shared" si="384"/>
        <v>162.78</v>
      </c>
      <c r="AM275" s="4">
        <f t="shared" si="385"/>
        <v>2055.0974999999999</v>
      </c>
      <c r="AN275" s="4">
        <f t="shared" si="386"/>
        <v>6083.9025000000001</v>
      </c>
      <c r="AO275" s="21">
        <f t="shared" si="387"/>
        <v>162.78</v>
      </c>
      <c r="AP275" s="4">
        <f t="shared" si="388"/>
        <v>2217.8775000000001</v>
      </c>
      <c r="AQ275" s="4">
        <v>5392.0874999999996</v>
      </c>
      <c r="AR275" s="21">
        <v>203.47499999999999</v>
      </c>
      <c r="AS275" s="19">
        <v>2950.3874999999994</v>
      </c>
      <c r="AT275" s="4">
        <v>5188.6125000000011</v>
      </c>
      <c r="AU275" s="21">
        <f t="shared" si="395"/>
        <v>162.78</v>
      </c>
      <c r="AV275" s="19">
        <f t="shared" si="389"/>
        <v>3113.1674999999996</v>
      </c>
      <c r="AW275" s="4">
        <f t="shared" si="390"/>
        <v>5025.8325000000004</v>
      </c>
      <c r="AX275" s="4">
        <f t="shared" si="396"/>
        <v>162.78</v>
      </c>
      <c r="AY275" s="4">
        <f t="shared" si="391"/>
        <v>3275.9474999999998</v>
      </c>
      <c r="AZ275" s="4">
        <f t="shared" si="392"/>
        <v>4863.0524999999998</v>
      </c>
      <c r="BA275" s="22">
        <f t="shared" si="397"/>
        <v>162.78</v>
      </c>
      <c r="BB275" s="4">
        <f t="shared" si="393"/>
        <v>3438.7275</v>
      </c>
      <c r="BC275" s="4">
        <f t="shared" si="394"/>
        <v>4700.2725</v>
      </c>
      <c r="BF275" s="22">
        <v>162.78</v>
      </c>
      <c r="BG275" s="4">
        <f t="shared" si="321"/>
        <v>0</v>
      </c>
    </row>
    <row r="276" spans="1:59" x14ac:dyDescent="0.35">
      <c r="A276" s="3" t="s">
        <v>291</v>
      </c>
      <c r="B276" s="3" t="s">
        <v>211</v>
      </c>
      <c r="C276" s="4">
        <v>7133</v>
      </c>
      <c r="D276" s="4" t="s">
        <v>80</v>
      </c>
      <c r="E276" s="2">
        <v>50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>
        <f>C276/E276/2</f>
        <v>71.33</v>
      </c>
      <c r="Q276" s="4">
        <f t="shared" si="363"/>
        <v>71.33</v>
      </c>
      <c r="R276" s="4">
        <f t="shared" si="364"/>
        <v>142.66</v>
      </c>
      <c r="S276" s="4">
        <f t="shared" si="365"/>
        <v>213.99</v>
      </c>
      <c r="T276" s="4">
        <f t="shared" si="366"/>
        <v>142.66</v>
      </c>
      <c r="U276" s="4">
        <f t="shared" si="367"/>
        <v>356.65</v>
      </c>
      <c r="V276" s="4">
        <f t="shared" si="368"/>
        <v>142.66</v>
      </c>
      <c r="W276" s="4">
        <f t="shared" si="369"/>
        <v>499.30999999999995</v>
      </c>
      <c r="X276" s="4">
        <f t="shared" si="370"/>
        <v>142.66</v>
      </c>
      <c r="Y276" s="4">
        <f t="shared" si="371"/>
        <v>641.96999999999991</v>
      </c>
      <c r="Z276" s="4">
        <f t="shared" si="372"/>
        <v>142.66</v>
      </c>
      <c r="AA276" s="4">
        <f t="shared" si="373"/>
        <v>784.62999999999988</v>
      </c>
      <c r="AB276" s="4">
        <f t="shared" si="374"/>
        <v>142.66</v>
      </c>
      <c r="AC276" s="4">
        <f t="shared" si="375"/>
        <v>927.28999999999985</v>
      </c>
      <c r="AD276" s="3">
        <f t="shared" si="376"/>
        <v>142.66</v>
      </c>
      <c r="AE276" s="4">
        <f t="shared" si="377"/>
        <v>1069.9499999999998</v>
      </c>
      <c r="AF276" s="3">
        <f t="shared" si="378"/>
        <v>142.66</v>
      </c>
      <c r="AG276" s="5">
        <f t="shared" si="379"/>
        <v>1212.6099999999999</v>
      </c>
      <c r="AH276" s="3">
        <f t="shared" si="380"/>
        <v>142.66</v>
      </c>
      <c r="AI276" s="5">
        <f t="shared" si="381"/>
        <v>1355.27</v>
      </c>
      <c r="AJ276" s="3">
        <f t="shared" si="382"/>
        <v>142.66</v>
      </c>
      <c r="AK276" s="3">
        <f t="shared" si="383"/>
        <v>1497.93</v>
      </c>
      <c r="AL276" s="3">
        <f t="shared" si="384"/>
        <v>142.66</v>
      </c>
      <c r="AM276" s="4">
        <f t="shared" si="385"/>
        <v>1640.5900000000001</v>
      </c>
      <c r="AN276" s="4">
        <f t="shared" si="386"/>
        <v>5492.41</v>
      </c>
      <c r="AO276" s="21">
        <f t="shared" si="387"/>
        <v>142.66</v>
      </c>
      <c r="AP276" s="4">
        <f t="shared" si="388"/>
        <v>1783.2500000000002</v>
      </c>
      <c r="AQ276" s="4">
        <v>4903.9375</v>
      </c>
      <c r="AR276" s="21">
        <v>178.32499999999999</v>
      </c>
      <c r="AS276" s="19">
        <v>2407.3874999999998</v>
      </c>
      <c r="AT276" s="4">
        <v>4725.6125000000002</v>
      </c>
      <c r="AU276" s="21">
        <f t="shared" si="395"/>
        <v>142.66</v>
      </c>
      <c r="AV276" s="19">
        <f t="shared" si="389"/>
        <v>2550.0474999999997</v>
      </c>
      <c r="AW276" s="4">
        <f t="shared" si="390"/>
        <v>4582.9525000000003</v>
      </c>
      <c r="AX276" s="4">
        <f t="shared" si="396"/>
        <v>142.66</v>
      </c>
      <c r="AY276" s="4">
        <f t="shared" si="391"/>
        <v>2692.7074999999995</v>
      </c>
      <c r="AZ276" s="4">
        <f t="shared" si="392"/>
        <v>4440.2925000000005</v>
      </c>
      <c r="BA276" s="22">
        <f t="shared" si="397"/>
        <v>142.66</v>
      </c>
      <c r="BB276" s="4">
        <f t="shared" si="393"/>
        <v>2835.3674999999994</v>
      </c>
      <c r="BC276" s="4">
        <f t="shared" si="394"/>
        <v>4297.6325000000006</v>
      </c>
      <c r="BF276" s="22">
        <v>142.66</v>
      </c>
      <c r="BG276" s="4">
        <f t="shared" si="321"/>
        <v>0</v>
      </c>
    </row>
    <row r="277" spans="1:59" x14ac:dyDescent="0.35">
      <c r="A277" s="3" t="s">
        <v>291</v>
      </c>
      <c r="B277" s="3" t="s">
        <v>213</v>
      </c>
      <c r="C277" s="4">
        <v>22107</v>
      </c>
      <c r="D277" s="4" t="s">
        <v>80</v>
      </c>
      <c r="E277" s="2">
        <v>50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>
        <f>22107/40*0.5</f>
        <v>276.33749999999998</v>
      </c>
      <c r="S277" s="4">
        <f t="shared" si="365"/>
        <v>276.33749999999998</v>
      </c>
      <c r="T277" s="4">
        <v>553</v>
      </c>
      <c r="U277" s="4">
        <f t="shared" si="367"/>
        <v>829.33749999999998</v>
      </c>
      <c r="V277" s="4">
        <f t="shared" si="368"/>
        <v>553</v>
      </c>
      <c r="W277" s="4">
        <f t="shared" si="369"/>
        <v>1382.3375000000001</v>
      </c>
      <c r="X277" s="4">
        <f t="shared" si="370"/>
        <v>553</v>
      </c>
      <c r="Y277" s="4">
        <f t="shared" si="371"/>
        <v>1935.3375000000001</v>
      </c>
      <c r="Z277" s="4">
        <f t="shared" si="372"/>
        <v>553</v>
      </c>
      <c r="AA277" s="4">
        <f t="shared" si="373"/>
        <v>2488.3375000000001</v>
      </c>
      <c r="AB277" s="4">
        <f t="shared" si="374"/>
        <v>553</v>
      </c>
      <c r="AC277" s="4">
        <f t="shared" si="375"/>
        <v>3041.3375000000001</v>
      </c>
      <c r="AD277" s="3">
        <f t="shared" si="376"/>
        <v>553</v>
      </c>
      <c r="AE277" s="4">
        <f t="shared" si="377"/>
        <v>3594.3375000000001</v>
      </c>
      <c r="AF277" s="3">
        <f t="shared" si="378"/>
        <v>553</v>
      </c>
      <c r="AG277" s="5">
        <f t="shared" si="379"/>
        <v>4147.3374999999996</v>
      </c>
      <c r="AH277" s="3">
        <f t="shared" si="380"/>
        <v>553</v>
      </c>
      <c r="AI277" s="5">
        <f t="shared" si="381"/>
        <v>4700.3374999999996</v>
      </c>
      <c r="AJ277" s="3">
        <f t="shared" si="382"/>
        <v>553</v>
      </c>
      <c r="AK277" s="3">
        <f t="shared" si="383"/>
        <v>5253.3374999999996</v>
      </c>
      <c r="AL277" s="3">
        <f t="shared" si="384"/>
        <v>553</v>
      </c>
      <c r="AM277" s="4">
        <f t="shared" si="385"/>
        <v>5806.3374999999996</v>
      </c>
      <c r="AN277" s="4">
        <f t="shared" si="386"/>
        <v>16300.6625</v>
      </c>
      <c r="AO277" s="21">
        <f t="shared" si="387"/>
        <v>553</v>
      </c>
      <c r="AP277" s="4">
        <f t="shared" si="388"/>
        <v>6359.3374999999996</v>
      </c>
      <c r="AQ277" s="4">
        <v>15747.6625</v>
      </c>
      <c r="AR277" s="21">
        <v>553</v>
      </c>
      <c r="AS277" s="19">
        <v>6912.3374999999996</v>
      </c>
      <c r="AT277" s="4">
        <v>15194.6625</v>
      </c>
      <c r="AU277" s="21">
        <f t="shared" si="395"/>
        <v>442.14</v>
      </c>
      <c r="AV277" s="19">
        <f t="shared" si="389"/>
        <v>7354.4775</v>
      </c>
      <c r="AW277" s="4">
        <f t="shared" si="390"/>
        <v>14752.522499999999</v>
      </c>
      <c r="AX277" s="4">
        <f t="shared" si="396"/>
        <v>442.14</v>
      </c>
      <c r="AY277" s="4">
        <f t="shared" si="391"/>
        <v>7796.6175000000003</v>
      </c>
      <c r="AZ277" s="4">
        <f t="shared" si="392"/>
        <v>14310.3825</v>
      </c>
      <c r="BA277" s="22">
        <f t="shared" si="397"/>
        <v>442.14</v>
      </c>
      <c r="BB277" s="4">
        <f t="shared" si="393"/>
        <v>8238.7574999999997</v>
      </c>
      <c r="BC277" s="4">
        <f t="shared" si="394"/>
        <v>13868.2425</v>
      </c>
      <c r="BF277" s="22">
        <v>442.14</v>
      </c>
      <c r="BG277" s="4">
        <f t="shared" si="321"/>
        <v>0</v>
      </c>
    </row>
    <row r="278" spans="1:59" x14ac:dyDescent="0.35">
      <c r="A278" s="3" t="s">
        <v>291</v>
      </c>
      <c r="B278" s="3" t="s">
        <v>215</v>
      </c>
      <c r="C278" s="4">
        <v>4451.8599999999997</v>
      </c>
      <c r="D278" s="4" t="s">
        <v>80</v>
      </c>
      <c r="E278" s="2">
        <v>50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>
        <v>56</v>
      </c>
      <c r="U278" s="4">
        <f t="shared" si="367"/>
        <v>56</v>
      </c>
      <c r="V278" s="4">
        <f>4452/40</f>
        <v>111.3</v>
      </c>
      <c r="W278" s="4">
        <f t="shared" si="369"/>
        <v>167.3</v>
      </c>
      <c r="X278" s="4">
        <f t="shared" si="370"/>
        <v>111.3</v>
      </c>
      <c r="Y278" s="4">
        <f t="shared" si="371"/>
        <v>278.60000000000002</v>
      </c>
      <c r="Z278" s="4">
        <f t="shared" si="372"/>
        <v>111.3</v>
      </c>
      <c r="AA278" s="4">
        <f t="shared" si="373"/>
        <v>389.90000000000003</v>
      </c>
      <c r="AB278" s="4">
        <f t="shared" si="374"/>
        <v>111.3</v>
      </c>
      <c r="AC278" s="4">
        <f t="shared" si="375"/>
        <v>501.20000000000005</v>
      </c>
      <c r="AD278" s="3">
        <f t="shared" si="376"/>
        <v>111.3</v>
      </c>
      <c r="AE278" s="4">
        <f t="shared" si="377"/>
        <v>612.5</v>
      </c>
      <c r="AF278" s="3">
        <f t="shared" si="378"/>
        <v>111.3</v>
      </c>
      <c r="AG278" s="5">
        <f t="shared" si="379"/>
        <v>723.8</v>
      </c>
      <c r="AH278" s="3">
        <f t="shared" si="380"/>
        <v>111.3</v>
      </c>
      <c r="AI278" s="5">
        <f t="shared" si="381"/>
        <v>835.09999999999991</v>
      </c>
      <c r="AJ278" s="3">
        <f t="shared" si="382"/>
        <v>111.3</v>
      </c>
      <c r="AK278" s="3">
        <f t="shared" si="383"/>
        <v>946.39999999999986</v>
      </c>
      <c r="AL278" s="3">
        <f t="shared" si="384"/>
        <v>111.3</v>
      </c>
      <c r="AM278" s="4">
        <f t="shared" si="385"/>
        <v>1057.6999999999998</v>
      </c>
      <c r="AN278" s="4">
        <f t="shared" si="386"/>
        <v>3394.16</v>
      </c>
      <c r="AO278" s="21">
        <f t="shared" si="387"/>
        <v>111.3</v>
      </c>
      <c r="AP278" s="4">
        <f t="shared" si="388"/>
        <v>1168.9999999999998</v>
      </c>
      <c r="AQ278" s="4">
        <v>3282.8599999999997</v>
      </c>
      <c r="AR278" s="21">
        <v>111.3</v>
      </c>
      <c r="AS278" s="19">
        <v>1280.2999999999997</v>
      </c>
      <c r="AT278" s="4">
        <v>3171.56</v>
      </c>
      <c r="AU278" s="21">
        <f t="shared" si="395"/>
        <v>89.037199999999999</v>
      </c>
      <c r="AV278" s="19">
        <f t="shared" si="389"/>
        <v>1369.3371999999997</v>
      </c>
      <c r="AW278" s="4">
        <f t="shared" si="390"/>
        <v>3082.5227999999997</v>
      </c>
      <c r="AX278" s="4">
        <f t="shared" si="396"/>
        <v>89.037199999999999</v>
      </c>
      <c r="AY278" s="4">
        <f t="shared" si="391"/>
        <v>1458.3743999999997</v>
      </c>
      <c r="AZ278" s="4">
        <f t="shared" si="392"/>
        <v>2993.4856</v>
      </c>
      <c r="BA278" s="22">
        <f t="shared" si="397"/>
        <v>89.037199999999999</v>
      </c>
      <c r="BB278" s="4">
        <f t="shared" si="393"/>
        <v>1547.4115999999997</v>
      </c>
      <c r="BC278" s="4">
        <f t="shared" si="394"/>
        <v>2904.4484000000002</v>
      </c>
      <c r="BF278" s="22">
        <v>89.037199999999999</v>
      </c>
      <c r="BG278" s="4">
        <f t="shared" si="321"/>
        <v>0</v>
      </c>
    </row>
    <row r="279" spans="1:59" x14ac:dyDescent="0.35">
      <c r="A279" s="3" t="s">
        <v>291</v>
      </c>
      <c r="B279" s="3" t="s">
        <v>217</v>
      </c>
      <c r="C279" s="4">
        <v>5741</v>
      </c>
      <c r="D279" s="4" t="s">
        <v>80</v>
      </c>
      <c r="E279" s="2">
        <v>50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>
        <v>72</v>
      </c>
      <c r="W279" s="4">
        <f t="shared" si="369"/>
        <v>72</v>
      </c>
      <c r="X279" s="4">
        <f>5741/40</f>
        <v>143.52500000000001</v>
      </c>
      <c r="Y279" s="4">
        <f t="shared" si="371"/>
        <v>215.52500000000001</v>
      </c>
      <c r="Z279" s="4">
        <f t="shared" si="372"/>
        <v>143.52500000000001</v>
      </c>
      <c r="AA279" s="4">
        <f t="shared" si="373"/>
        <v>359.05</v>
      </c>
      <c r="AB279" s="4">
        <f t="shared" si="374"/>
        <v>143.52500000000001</v>
      </c>
      <c r="AC279" s="4">
        <f t="shared" si="375"/>
        <v>502.57500000000005</v>
      </c>
      <c r="AD279" s="3">
        <f t="shared" si="376"/>
        <v>143.52500000000001</v>
      </c>
      <c r="AE279" s="4">
        <f t="shared" si="377"/>
        <v>646.1</v>
      </c>
      <c r="AF279" s="3">
        <f t="shared" si="378"/>
        <v>143.52500000000001</v>
      </c>
      <c r="AG279" s="5">
        <f t="shared" si="379"/>
        <v>789.625</v>
      </c>
      <c r="AH279" s="3">
        <f t="shared" si="380"/>
        <v>143.52500000000001</v>
      </c>
      <c r="AI279" s="5">
        <f t="shared" si="381"/>
        <v>933.15</v>
      </c>
      <c r="AJ279" s="3">
        <f t="shared" si="382"/>
        <v>143.52500000000001</v>
      </c>
      <c r="AK279" s="3">
        <f t="shared" si="383"/>
        <v>1076.675</v>
      </c>
      <c r="AL279" s="3">
        <f t="shared" si="384"/>
        <v>143.52500000000001</v>
      </c>
      <c r="AM279" s="4">
        <f t="shared" si="385"/>
        <v>1220.2</v>
      </c>
      <c r="AN279" s="4">
        <f t="shared" si="386"/>
        <v>4520.8</v>
      </c>
      <c r="AO279" s="21">
        <f t="shared" si="387"/>
        <v>143.52500000000001</v>
      </c>
      <c r="AP279" s="4">
        <f t="shared" si="388"/>
        <v>1363.7250000000001</v>
      </c>
      <c r="AQ279" s="4">
        <v>4377.2750000000005</v>
      </c>
      <c r="AR279" s="21">
        <v>143.52500000000001</v>
      </c>
      <c r="AS279" s="19">
        <v>1507.2500000000002</v>
      </c>
      <c r="AT279" s="4">
        <v>4233.75</v>
      </c>
      <c r="AU279" s="21">
        <f t="shared" si="395"/>
        <v>114.82</v>
      </c>
      <c r="AV279" s="19">
        <f t="shared" si="389"/>
        <v>1622.0700000000002</v>
      </c>
      <c r="AW279" s="4">
        <f t="shared" si="390"/>
        <v>4118.93</v>
      </c>
      <c r="AX279" s="4">
        <f t="shared" si="396"/>
        <v>114.82</v>
      </c>
      <c r="AY279" s="4">
        <f t="shared" si="391"/>
        <v>1736.89</v>
      </c>
      <c r="AZ279" s="4">
        <f t="shared" si="392"/>
        <v>4004.1099999999997</v>
      </c>
      <c r="BA279" s="22">
        <f t="shared" si="397"/>
        <v>114.82</v>
      </c>
      <c r="BB279" s="4">
        <f t="shared" si="393"/>
        <v>1851.71</v>
      </c>
      <c r="BC279" s="4">
        <f t="shared" si="394"/>
        <v>3889.29</v>
      </c>
      <c r="BF279" s="22">
        <v>114.82</v>
      </c>
      <c r="BG279" s="4">
        <f t="shared" si="321"/>
        <v>0</v>
      </c>
    </row>
    <row r="280" spans="1:59" x14ac:dyDescent="0.35">
      <c r="A280" s="1" t="s">
        <v>292</v>
      </c>
      <c r="B280" s="3" t="s">
        <v>217</v>
      </c>
      <c r="C280" s="4">
        <v>-7500</v>
      </c>
      <c r="D280" s="4"/>
      <c r="E280" s="2">
        <v>50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>
        <v>-3750</v>
      </c>
      <c r="X280" s="4"/>
      <c r="Y280" s="4">
        <f t="shared" si="371"/>
        <v>-3750</v>
      </c>
      <c r="Z280" s="4">
        <f t="shared" si="372"/>
        <v>0</v>
      </c>
      <c r="AA280" s="4">
        <f t="shared" si="373"/>
        <v>-3750</v>
      </c>
      <c r="AB280" s="4">
        <f t="shared" si="374"/>
        <v>0</v>
      </c>
      <c r="AC280" s="4">
        <f t="shared" si="375"/>
        <v>-3750</v>
      </c>
      <c r="AD280" s="3">
        <f t="shared" si="376"/>
        <v>0</v>
      </c>
      <c r="AE280" s="4">
        <f t="shared" si="377"/>
        <v>-3750</v>
      </c>
      <c r="AF280" s="3">
        <f t="shared" si="378"/>
        <v>0</v>
      </c>
      <c r="AG280" s="5">
        <f t="shared" si="379"/>
        <v>-3750</v>
      </c>
      <c r="AH280" s="3">
        <f t="shared" si="380"/>
        <v>0</v>
      </c>
      <c r="AI280" s="5">
        <f t="shared" si="381"/>
        <v>-3750</v>
      </c>
      <c r="AJ280" s="3">
        <f t="shared" si="382"/>
        <v>0</v>
      </c>
      <c r="AK280" s="3">
        <f t="shared" si="383"/>
        <v>-3750</v>
      </c>
      <c r="AL280" s="3">
        <f t="shared" si="384"/>
        <v>0</v>
      </c>
      <c r="AM280" s="4">
        <f t="shared" si="385"/>
        <v>-3750</v>
      </c>
      <c r="AN280" s="4">
        <f t="shared" si="386"/>
        <v>-3750</v>
      </c>
      <c r="AO280" s="21">
        <f t="shared" si="387"/>
        <v>0</v>
      </c>
      <c r="AP280" s="4">
        <f t="shared" si="388"/>
        <v>-3750</v>
      </c>
      <c r="AQ280" s="4">
        <v>-3750</v>
      </c>
      <c r="AR280" s="21">
        <v>0</v>
      </c>
      <c r="AS280" s="19">
        <v>-3750</v>
      </c>
      <c r="AT280" s="4">
        <v>-3750</v>
      </c>
      <c r="AU280" s="21">
        <f t="shared" si="395"/>
        <v>-150</v>
      </c>
      <c r="AV280" s="19">
        <f t="shared" si="389"/>
        <v>-3900</v>
      </c>
      <c r="AW280" s="4">
        <f t="shared" si="390"/>
        <v>-3600</v>
      </c>
      <c r="AX280" s="4">
        <f t="shared" si="396"/>
        <v>-150</v>
      </c>
      <c r="AY280" s="4">
        <f t="shared" si="391"/>
        <v>-4050</v>
      </c>
      <c r="AZ280" s="4">
        <f t="shared" si="392"/>
        <v>-3450</v>
      </c>
      <c r="BA280" s="22">
        <f t="shared" si="397"/>
        <v>-150</v>
      </c>
      <c r="BB280" s="4">
        <f t="shared" si="393"/>
        <v>-4200</v>
      </c>
      <c r="BC280" s="4">
        <f t="shared" si="394"/>
        <v>-3300</v>
      </c>
      <c r="BF280" s="22">
        <v>-150</v>
      </c>
      <c r="BG280" s="4">
        <f t="shared" si="321"/>
        <v>0</v>
      </c>
    </row>
    <row r="281" spans="1:59" x14ac:dyDescent="0.35">
      <c r="A281" s="3" t="s">
        <v>291</v>
      </c>
      <c r="B281" s="3" t="s">
        <v>230</v>
      </c>
      <c r="C281" s="4">
        <v>1026</v>
      </c>
      <c r="D281" s="4" t="s">
        <v>80</v>
      </c>
      <c r="E281" s="2">
        <v>50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X281" s="4">
        <f>1026/40/2</f>
        <v>12.824999999999999</v>
      </c>
      <c r="Y281" s="4">
        <f t="shared" si="371"/>
        <v>12.824999999999999</v>
      </c>
      <c r="Z281" s="3">
        <f>1026/40</f>
        <v>25.65</v>
      </c>
      <c r="AA281" s="4">
        <f t="shared" si="373"/>
        <v>38.474999999999994</v>
      </c>
      <c r="AB281" s="4">
        <f t="shared" si="374"/>
        <v>25.65</v>
      </c>
      <c r="AC281" s="4">
        <f t="shared" si="375"/>
        <v>64.125</v>
      </c>
      <c r="AD281" s="3">
        <f t="shared" si="376"/>
        <v>25.65</v>
      </c>
      <c r="AE281" s="4">
        <f t="shared" si="377"/>
        <v>89.775000000000006</v>
      </c>
      <c r="AF281" s="3">
        <f t="shared" si="378"/>
        <v>25.65</v>
      </c>
      <c r="AG281" s="5">
        <f t="shared" si="379"/>
        <v>115.42500000000001</v>
      </c>
      <c r="AH281" s="3">
        <f t="shared" si="380"/>
        <v>25.65</v>
      </c>
      <c r="AI281" s="5">
        <f t="shared" si="381"/>
        <v>141.07500000000002</v>
      </c>
      <c r="AJ281" s="3">
        <f t="shared" si="382"/>
        <v>25.65</v>
      </c>
      <c r="AK281" s="3">
        <f t="shared" si="383"/>
        <v>166.72500000000002</v>
      </c>
      <c r="AL281" s="3">
        <f t="shared" si="384"/>
        <v>25.65</v>
      </c>
      <c r="AM281" s="4">
        <f t="shared" si="385"/>
        <v>192.37500000000003</v>
      </c>
      <c r="AN281" s="4">
        <f t="shared" si="386"/>
        <v>833.625</v>
      </c>
      <c r="AO281" s="21">
        <f t="shared" si="387"/>
        <v>25.65</v>
      </c>
      <c r="AP281" s="4">
        <f t="shared" si="388"/>
        <v>218.02500000000003</v>
      </c>
      <c r="AQ281" s="4">
        <v>807.97500000000002</v>
      </c>
      <c r="AR281" s="21">
        <v>25.65</v>
      </c>
      <c r="AS281" s="19">
        <v>243.67500000000004</v>
      </c>
      <c r="AT281" s="4">
        <v>782.32499999999993</v>
      </c>
      <c r="AU281" s="21">
        <f t="shared" si="395"/>
        <v>20.52</v>
      </c>
      <c r="AV281" s="19">
        <f t="shared" si="389"/>
        <v>264.19500000000005</v>
      </c>
      <c r="AW281" s="4">
        <f t="shared" si="390"/>
        <v>761.80499999999995</v>
      </c>
      <c r="AX281" s="4">
        <f t="shared" si="396"/>
        <v>20.52</v>
      </c>
      <c r="AY281" s="4">
        <f t="shared" si="391"/>
        <v>284.71500000000003</v>
      </c>
      <c r="AZ281" s="4">
        <f t="shared" si="392"/>
        <v>741.28499999999997</v>
      </c>
      <c r="BA281" s="22">
        <f t="shared" si="397"/>
        <v>20.52</v>
      </c>
      <c r="BB281" s="4">
        <f t="shared" si="393"/>
        <v>305.23500000000001</v>
      </c>
      <c r="BC281" s="4">
        <f t="shared" si="394"/>
        <v>720.76499999999999</v>
      </c>
      <c r="BF281" s="22">
        <v>20.52</v>
      </c>
      <c r="BG281" s="4">
        <f t="shared" si="321"/>
        <v>0</v>
      </c>
    </row>
    <row r="282" spans="1:59" x14ac:dyDescent="0.35">
      <c r="A282" s="3" t="s">
        <v>291</v>
      </c>
      <c r="B282" s="3" t="s">
        <v>232</v>
      </c>
      <c r="C282" s="4">
        <v>2063</v>
      </c>
      <c r="D282" s="4" t="s">
        <v>80</v>
      </c>
      <c r="E282" s="2">
        <v>50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X282" s="4"/>
      <c r="Y282" s="4"/>
      <c r="Z282" s="3">
        <v>26</v>
      </c>
      <c r="AA282" s="4">
        <v>26</v>
      </c>
      <c r="AB282" s="4">
        <f>2063/40</f>
        <v>51.575000000000003</v>
      </c>
      <c r="AC282" s="4">
        <f t="shared" si="375"/>
        <v>77.575000000000003</v>
      </c>
      <c r="AD282" s="3">
        <f t="shared" si="376"/>
        <v>51.575000000000003</v>
      </c>
      <c r="AE282" s="4">
        <f t="shared" si="377"/>
        <v>129.15</v>
      </c>
      <c r="AF282" s="3">
        <f t="shared" si="378"/>
        <v>51.575000000000003</v>
      </c>
      <c r="AG282" s="5">
        <f t="shared" si="379"/>
        <v>180.72500000000002</v>
      </c>
      <c r="AH282" s="3">
        <f t="shared" si="380"/>
        <v>51.575000000000003</v>
      </c>
      <c r="AI282" s="5">
        <f t="shared" si="381"/>
        <v>232.3</v>
      </c>
      <c r="AJ282" s="3">
        <f t="shared" si="382"/>
        <v>51.575000000000003</v>
      </c>
      <c r="AK282" s="3">
        <f t="shared" si="383"/>
        <v>283.875</v>
      </c>
      <c r="AL282" s="3">
        <f t="shared" si="384"/>
        <v>51.575000000000003</v>
      </c>
      <c r="AM282" s="4">
        <f t="shared" si="385"/>
        <v>335.45</v>
      </c>
      <c r="AN282" s="4">
        <f t="shared" si="386"/>
        <v>1727.55</v>
      </c>
      <c r="AO282" s="21">
        <f t="shared" si="387"/>
        <v>51.575000000000003</v>
      </c>
      <c r="AP282" s="4">
        <f t="shared" si="388"/>
        <v>387.02499999999998</v>
      </c>
      <c r="AQ282" s="4">
        <v>1675.9749999999999</v>
      </c>
      <c r="AR282" s="21">
        <v>51.575000000000003</v>
      </c>
      <c r="AS282" s="19">
        <v>438.59999999999997</v>
      </c>
      <c r="AT282" s="4">
        <v>1624.4</v>
      </c>
      <c r="AU282" s="21">
        <f t="shared" si="395"/>
        <v>41.26</v>
      </c>
      <c r="AV282" s="19">
        <f t="shared" si="389"/>
        <v>479.85999999999996</v>
      </c>
      <c r="AW282" s="4">
        <f t="shared" si="390"/>
        <v>1583.14</v>
      </c>
      <c r="AX282" s="4">
        <f t="shared" si="396"/>
        <v>41.26</v>
      </c>
      <c r="AY282" s="4">
        <f t="shared" si="391"/>
        <v>521.12</v>
      </c>
      <c r="AZ282" s="4">
        <f t="shared" si="392"/>
        <v>1541.88</v>
      </c>
      <c r="BA282" s="22">
        <f t="shared" si="397"/>
        <v>41.26</v>
      </c>
      <c r="BB282" s="4">
        <f t="shared" si="393"/>
        <v>562.38</v>
      </c>
      <c r="BC282" s="4">
        <f t="shared" si="394"/>
        <v>1500.62</v>
      </c>
      <c r="BF282" s="22">
        <v>41.26</v>
      </c>
      <c r="BG282" s="4">
        <f t="shared" si="321"/>
        <v>0</v>
      </c>
    </row>
    <row r="283" spans="1:59" x14ac:dyDescent="0.35">
      <c r="A283" s="3" t="s">
        <v>291</v>
      </c>
      <c r="B283" s="3" t="s">
        <v>234</v>
      </c>
      <c r="C283" s="4">
        <v>513</v>
      </c>
      <c r="D283" s="4" t="s">
        <v>80</v>
      </c>
      <c r="E283" s="2">
        <v>50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X283" s="4"/>
      <c r="Y283" s="4"/>
      <c r="AA283" s="4"/>
      <c r="AB283" s="4">
        <v>6</v>
      </c>
      <c r="AC283" s="4">
        <v>6</v>
      </c>
      <c r="AD283" s="3">
        <v>13</v>
      </c>
      <c r="AE283" s="4">
        <f t="shared" si="377"/>
        <v>19</v>
      </c>
      <c r="AF283" s="3">
        <f t="shared" si="378"/>
        <v>13</v>
      </c>
      <c r="AG283" s="5">
        <f t="shared" si="379"/>
        <v>32</v>
      </c>
      <c r="AH283" s="3">
        <f t="shared" si="380"/>
        <v>13</v>
      </c>
      <c r="AI283" s="5">
        <f t="shared" si="381"/>
        <v>45</v>
      </c>
      <c r="AJ283" s="3">
        <f t="shared" si="382"/>
        <v>13</v>
      </c>
      <c r="AK283" s="3">
        <f t="shared" si="383"/>
        <v>58</v>
      </c>
      <c r="AL283" s="3">
        <f t="shared" si="384"/>
        <v>13</v>
      </c>
      <c r="AM283" s="4">
        <f t="shared" si="385"/>
        <v>71</v>
      </c>
      <c r="AN283" s="4">
        <f t="shared" si="386"/>
        <v>442</v>
      </c>
      <c r="AO283" s="21">
        <f t="shared" si="387"/>
        <v>13</v>
      </c>
      <c r="AP283" s="4">
        <f t="shared" si="388"/>
        <v>84</v>
      </c>
      <c r="AQ283" s="4">
        <v>429</v>
      </c>
      <c r="AR283" s="21">
        <v>13</v>
      </c>
      <c r="AS283" s="19">
        <v>97</v>
      </c>
      <c r="AT283" s="4">
        <v>416</v>
      </c>
      <c r="AU283" s="21">
        <f t="shared" si="395"/>
        <v>10.26</v>
      </c>
      <c r="AV283" s="19">
        <f t="shared" si="389"/>
        <v>107.26</v>
      </c>
      <c r="AW283" s="4">
        <f t="shared" si="390"/>
        <v>405.74</v>
      </c>
      <c r="AX283" s="4">
        <f t="shared" si="396"/>
        <v>10.26</v>
      </c>
      <c r="AY283" s="4">
        <f t="shared" si="391"/>
        <v>117.52000000000001</v>
      </c>
      <c r="AZ283" s="4">
        <f t="shared" si="392"/>
        <v>395.48</v>
      </c>
      <c r="BA283" s="22">
        <f t="shared" si="397"/>
        <v>10.26</v>
      </c>
      <c r="BB283" s="4">
        <f t="shared" si="393"/>
        <v>127.78000000000002</v>
      </c>
      <c r="BC283" s="4">
        <f t="shared" si="394"/>
        <v>385.21999999999997</v>
      </c>
      <c r="BF283" s="22">
        <v>10.26</v>
      </c>
      <c r="BG283" s="4">
        <f t="shared" ref="BG283:BG346" si="398">BA283-BF283</f>
        <v>0</v>
      </c>
    </row>
    <row r="284" spans="1:59" x14ac:dyDescent="0.35">
      <c r="A284" s="3" t="s">
        <v>291</v>
      </c>
      <c r="B284" s="3" t="s">
        <v>121</v>
      </c>
      <c r="C284" s="4">
        <v>1187</v>
      </c>
      <c r="D284" s="4" t="s">
        <v>80</v>
      </c>
      <c r="E284" s="2">
        <v>50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X284" s="4"/>
      <c r="Y284" s="4"/>
      <c r="AA284" s="4"/>
      <c r="AB284" s="4"/>
      <c r="AC284" s="4"/>
      <c r="AD284" s="3">
        <f>1187/40/2</f>
        <v>14.8375</v>
      </c>
      <c r="AE284" s="4">
        <f t="shared" si="377"/>
        <v>14.8375</v>
      </c>
      <c r="AF284" s="3">
        <f>1187/40</f>
        <v>29.675000000000001</v>
      </c>
      <c r="AG284" s="5">
        <f t="shared" si="379"/>
        <v>44.512500000000003</v>
      </c>
      <c r="AH284" s="3">
        <f>1187/40</f>
        <v>29.675000000000001</v>
      </c>
      <c r="AI284" s="5">
        <f t="shared" si="381"/>
        <v>74.1875</v>
      </c>
      <c r="AJ284" s="3">
        <f t="shared" si="382"/>
        <v>29.675000000000001</v>
      </c>
      <c r="AK284" s="3">
        <f t="shared" si="383"/>
        <v>103.8625</v>
      </c>
      <c r="AL284" s="3">
        <f t="shared" si="384"/>
        <v>29.675000000000001</v>
      </c>
      <c r="AM284" s="4">
        <f t="shared" si="385"/>
        <v>133.53749999999999</v>
      </c>
      <c r="AN284" s="4">
        <f t="shared" si="386"/>
        <v>1053.4625000000001</v>
      </c>
      <c r="AO284" s="21">
        <f t="shared" si="387"/>
        <v>29.675000000000001</v>
      </c>
      <c r="AP284" s="4">
        <f t="shared" si="388"/>
        <v>163.21250000000001</v>
      </c>
      <c r="AQ284" s="4">
        <v>1023.7875000000001</v>
      </c>
      <c r="AR284" s="21">
        <v>29.675000000000001</v>
      </c>
      <c r="AS284" s="19">
        <v>192.88750000000002</v>
      </c>
      <c r="AT284" s="4">
        <v>994.11249999999995</v>
      </c>
      <c r="AU284" s="21">
        <f t="shared" si="395"/>
        <v>23.74</v>
      </c>
      <c r="AV284" s="19">
        <f t="shared" si="389"/>
        <v>216.62750000000003</v>
      </c>
      <c r="AW284" s="4">
        <f t="shared" si="390"/>
        <v>970.37249999999995</v>
      </c>
      <c r="AX284" s="4">
        <f t="shared" si="396"/>
        <v>23.74</v>
      </c>
      <c r="AY284" s="4">
        <f t="shared" si="391"/>
        <v>240.36750000000004</v>
      </c>
      <c r="AZ284" s="4">
        <f t="shared" si="392"/>
        <v>946.63249999999994</v>
      </c>
      <c r="BA284" s="22">
        <f t="shared" si="397"/>
        <v>23.74</v>
      </c>
      <c r="BB284" s="4">
        <f t="shared" si="393"/>
        <v>264.10750000000002</v>
      </c>
      <c r="BC284" s="4">
        <f t="shared" si="394"/>
        <v>922.89249999999993</v>
      </c>
      <c r="BF284" s="22">
        <v>23.74</v>
      </c>
      <c r="BG284" s="4">
        <f t="shared" si="398"/>
        <v>0</v>
      </c>
    </row>
    <row r="285" spans="1:59" x14ac:dyDescent="0.35">
      <c r="A285" s="3" t="s">
        <v>291</v>
      </c>
      <c r="B285" s="3" t="s">
        <v>238</v>
      </c>
      <c r="C285" s="4">
        <v>588</v>
      </c>
      <c r="D285" s="4" t="s">
        <v>80</v>
      </c>
      <c r="E285" s="2">
        <v>50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X285" s="4"/>
      <c r="Y285" s="4"/>
      <c r="AA285" s="4"/>
      <c r="AB285" s="4"/>
      <c r="AC285" s="4"/>
      <c r="AE285" s="4"/>
      <c r="AF285" s="3">
        <f>588/40/2</f>
        <v>7.35</v>
      </c>
      <c r="AG285" s="5">
        <f t="shared" si="379"/>
        <v>7.35</v>
      </c>
      <c r="AH285" s="3">
        <f>588/40</f>
        <v>14.7</v>
      </c>
      <c r="AI285" s="5">
        <f t="shared" si="381"/>
        <v>22.049999999999997</v>
      </c>
      <c r="AJ285" s="3">
        <f t="shared" si="382"/>
        <v>14.7</v>
      </c>
      <c r="AK285" s="3">
        <f t="shared" si="383"/>
        <v>36.75</v>
      </c>
      <c r="AL285" s="3">
        <f t="shared" si="384"/>
        <v>14.7</v>
      </c>
      <c r="AM285" s="4">
        <f t="shared" si="385"/>
        <v>51.45</v>
      </c>
      <c r="AN285" s="4">
        <f t="shared" si="386"/>
        <v>536.54999999999995</v>
      </c>
      <c r="AO285" s="21">
        <f t="shared" si="387"/>
        <v>14.7</v>
      </c>
      <c r="AP285" s="4">
        <f t="shared" si="388"/>
        <v>66.150000000000006</v>
      </c>
      <c r="AQ285" s="4">
        <v>521.84999999999991</v>
      </c>
      <c r="AR285" s="21">
        <v>14.7</v>
      </c>
      <c r="AS285" s="19">
        <v>80.850000000000009</v>
      </c>
      <c r="AT285" s="4">
        <v>507.15</v>
      </c>
      <c r="AU285" s="21">
        <f t="shared" si="395"/>
        <v>11.76</v>
      </c>
      <c r="AV285" s="19">
        <f t="shared" si="389"/>
        <v>92.610000000000014</v>
      </c>
      <c r="AW285" s="4">
        <f t="shared" si="390"/>
        <v>495.39</v>
      </c>
      <c r="AX285" s="4">
        <f t="shared" si="396"/>
        <v>11.76</v>
      </c>
      <c r="AY285" s="4">
        <f t="shared" si="391"/>
        <v>104.37000000000002</v>
      </c>
      <c r="AZ285" s="4">
        <f t="shared" si="392"/>
        <v>483.63</v>
      </c>
      <c r="BA285" s="22">
        <f t="shared" si="397"/>
        <v>11.76</v>
      </c>
      <c r="BB285" s="4">
        <f t="shared" si="393"/>
        <v>116.13000000000002</v>
      </c>
      <c r="BC285" s="4">
        <f t="shared" si="394"/>
        <v>471.87</v>
      </c>
      <c r="BF285" s="22">
        <v>11.76</v>
      </c>
      <c r="BG285" s="4">
        <f t="shared" si="398"/>
        <v>0</v>
      </c>
    </row>
    <row r="286" spans="1:59" x14ac:dyDescent="0.35">
      <c r="A286" s="3" t="s">
        <v>291</v>
      </c>
      <c r="B286" s="3" t="s">
        <v>240</v>
      </c>
      <c r="C286" s="4">
        <v>1645</v>
      </c>
      <c r="D286" s="4" t="s">
        <v>80</v>
      </c>
      <c r="E286" s="2">
        <v>50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X286" s="4"/>
      <c r="Y286" s="4"/>
      <c r="AA286" s="4"/>
      <c r="AB286" s="4"/>
      <c r="AC286" s="4"/>
      <c r="AE286" s="4"/>
      <c r="AG286" s="5"/>
      <c r="AH286" s="3">
        <v>20.56</v>
      </c>
      <c r="AI286" s="3">
        <v>20.56</v>
      </c>
      <c r="AJ286" s="3">
        <f>1645/40</f>
        <v>41.125</v>
      </c>
      <c r="AK286" s="3">
        <f t="shared" si="383"/>
        <v>61.685000000000002</v>
      </c>
      <c r="AL286" s="3">
        <f>1645/40</f>
        <v>41.125</v>
      </c>
      <c r="AM286" s="4">
        <f t="shared" si="385"/>
        <v>102.81</v>
      </c>
      <c r="AN286" s="4">
        <f t="shared" si="386"/>
        <v>1542.19</v>
      </c>
      <c r="AO286" s="21">
        <f t="shared" si="387"/>
        <v>41.125</v>
      </c>
      <c r="AP286" s="4">
        <f t="shared" si="388"/>
        <v>143.935</v>
      </c>
      <c r="AQ286" s="4">
        <v>1501.0650000000001</v>
      </c>
      <c r="AR286" s="21">
        <v>41.125</v>
      </c>
      <c r="AS286" s="19">
        <v>185.06</v>
      </c>
      <c r="AT286" s="4">
        <v>1459.94</v>
      </c>
      <c r="AU286" s="21">
        <f t="shared" si="395"/>
        <v>32.9</v>
      </c>
      <c r="AV286" s="19">
        <f t="shared" si="389"/>
        <v>217.96</v>
      </c>
      <c r="AW286" s="4">
        <f t="shared" si="390"/>
        <v>1427.04</v>
      </c>
      <c r="AX286" s="4">
        <f t="shared" si="396"/>
        <v>32.9</v>
      </c>
      <c r="AY286" s="4">
        <f t="shared" si="391"/>
        <v>250.86</v>
      </c>
      <c r="AZ286" s="4">
        <f t="shared" si="392"/>
        <v>1394.1399999999999</v>
      </c>
      <c r="BA286" s="22">
        <f t="shared" si="397"/>
        <v>32.9</v>
      </c>
      <c r="BB286" s="4">
        <f t="shared" si="393"/>
        <v>283.76</v>
      </c>
      <c r="BC286" s="4">
        <f t="shared" si="394"/>
        <v>1361.24</v>
      </c>
      <c r="BF286" s="22">
        <v>32.9</v>
      </c>
      <c r="BG286" s="4">
        <f t="shared" si="398"/>
        <v>0</v>
      </c>
    </row>
    <row r="287" spans="1:59" x14ac:dyDescent="0.35">
      <c r="A287" s="3" t="s">
        <v>291</v>
      </c>
      <c r="B287" s="3" t="s">
        <v>244</v>
      </c>
      <c r="C287" s="4">
        <v>1926</v>
      </c>
      <c r="D287" s="4" t="s">
        <v>80</v>
      </c>
      <c r="E287" s="2">
        <v>50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X287" s="4"/>
      <c r="Y287" s="4"/>
      <c r="AA287" s="4"/>
      <c r="AB287" s="4"/>
      <c r="AC287" s="4"/>
      <c r="AE287" s="4"/>
      <c r="AG287" s="5"/>
      <c r="AJ287" s="3">
        <v>48</v>
      </c>
      <c r="AK287" s="3">
        <v>48</v>
      </c>
      <c r="AL287" s="3">
        <f>1926/40</f>
        <v>48.15</v>
      </c>
      <c r="AM287" s="4">
        <f t="shared" si="385"/>
        <v>96.15</v>
      </c>
      <c r="AN287" s="4">
        <f t="shared" si="386"/>
        <v>1829.85</v>
      </c>
      <c r="AO287" s="21">
        <f t="shared" si="387"/>
        <v>48.15</v>
      </c>
      <c r="AP287" s="4">
        <f t="shared" si="388"/>
        <v>144.30000000000001</v>
      </c>
      <c r="AQ287" s="4">
        <v>1781.6999999999998</v>
      </c>
      <c r="AR287" s="21">
        <v>48.15</v>
      </c>
      <c r="AS287" s="19">
        <v>192.45000000000002</v>
      </c>
      <c r="AT287" s="4">
        <v>1733.55</v>
      </c>
      <c r="AU287" s="21">
        <f t="shared" si="395"/>
        <v>38.520000000000003</v>
      </c>
      <c r="AV287" s="19">
        <f t="shared" si="389"/>
        <v>230.97000000000003</v>
      </c>
      <c r="AW287" s="4">
        <f t="shared" si="390"/>
        <v>1695.03</v>
      </c>
      <c r="AX287" s="4">
        <f t="shared" si="396"/>
        <v>38.520000000000003</v>
      </c>
      <c r="AY287" s="4">
        <f t="shared" si="391"/>
        <v>269.49</v>
      </c>
      <c r="AZ287" s="4">
        <f t="shared" si="392"/>
        <v>1656.51</v>
      </c>
      <c r="BA287" s="22">
        <f t="shared" si="397"/>
        <v>38.520000000000003</v>
      </c>
      <c r="BB287" s="4">
        <f t="shared" si="393"/>
        <v>308.01</v>
      </c>
      <c r="BC287" s="4">
        <f t="shared" si="394"/>
        <v>1617.99</v>
      </c>
      <c r="BF287" s="22">
        <v>38.520000000000003</v>
      </c>
      <c r="BG287" s="4">
        <f t="shared" si="398"/>
        <v>0</v>
      </c>
    </row>
    <row r="288" spans="1:59" x14ac:dyDescent="0.35">
      <c r="A288" s="3" t="s">
        <v>291</v>
      </c>
      <c r="B288" s="3" t="s">
        <v>247</v>
      </c>
      <c r="C288" s="4">
        <v>2940</v>
      </c>
      <c r="D288" s="4" t="s">
        <v>80</v>
      </c>
      <c r="E288" s="2">
        <v>50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X288" s="4"/>
      <c r="Y288" s="4"/>
      <c r="AA288" s="4"/>
      <c r="AB288" s="4"/>
      <c r="AC288" s="4"/>
      <c r="AE288" s="4"/>
      <c r="AG288" s="5"/>
      <c r="AL288" s="4">
        <f>SUM(C288/40/2)</f>
        <v>36.75</v>
      </c>
      <c r="AM288" s="4">
        <f t="shared" si="385"/>
        <v>36.75</v>
      </c>
      <c r="AN288" s="4">
        <f t="shared" si="386"/>
        <v>2903.25</v>
      </c>
      <c r="AO288" s="21">
        <f>2940/40</f>
        <v>73.5</v>
      </c>
      <c r="AP288" s="4">
        <f t="shared" si="388"/>
        <v>110.25</v>
      </c>
      <c r="AQ288" s="4">
        <v>2829.75</v>
      </c>
      <c r="AR288" s="21">
        <v>73.5</v>
      </c>
      <c r="AS288" s="19">
        <v>183.75</v>
      </c>
      <c r="AT288" s="4">
        <v>2756.25</v>
      </c>
      <c r="AU288" s="21">
        <f t="shared" si="395"/>
        <v>58.8</v>
      </c>
      <c r="AV288" s="19">
        <f t="shared" si="389"/>
        <v>242.55</v>
      </c>
      <c r="AW288" s="4">
        <f t="shared" si="390"/>
        <v>2697.45</v>
      </c>
      <c r="AX288" s="4">
        <f t="shared" si="396"/>
        <v>58.8</v>
      </c>
      <c r="AY288" s="4">
        <f t="shared" si="391"/>
        <v>301.35000000000002</v>
      </c>
      <c r="AZ288" s="4">
        <f t="shared" si="392"/>
        <v>2638.65</v>
      </c>
      <c r="BA288" s="22">
        <f t="shared" si="397"/>
        <v>58.8</v>
      </c>
      <c r="BB288" s="4">
        <f t="shared" si="393"/>
        <v>360.15000000000003</v>
      </c>
      <c r="BC288" s="4">
        <f t="shared" si="394"/>
        <v>2579.85</v>
      </c>
      <c r="BF288" s="22">
        <v>58.8</v>
      </c>
      <c r="BG288" s="4">
        <f t="shared" si="398"/>
        <v>0</v>
      </c>
    </row>
    <row r="289" spans="1:59" x14ac:dyDescent="0.35">
      <c r="A289" s="3" t="s">
        <v>291</v>
      </c>
      <c r="B289" s="3" t="s">
        <v>249</v>
      </c>
      <c r="C289" s="4">
        <v>2352</v>
      </c>
      <c r="D289" s="4" t="s">
        <v>80</v>
      </c>
      <c r="E289" s="2">
        <v>50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X289" s="4"/>
      <c r="Y289" s="4"/>
      <c r="AA289" s="4"/>
      <c r="AB289" s="4"/>
      <c r="AC289" s="4"/>
      <c r="AE289" s="4"/>
      <c r="AG289" s="5"/>
      <c r="AL289" s="4"/>
      <c r="AM289" s="4"/>
      <c r="AN289" s="4">
        <v>2352</v>
      </c>
      <c r="AO289" s="21">
        <f>2352/40/12*6</f>
        <v>29.4</v>
      </c>
      <c r="AP289" s="4">
        <f t="shared" si="388"/>
        <v>29.4</v>
      </c>
      <c r="AQ289" s="4">
        <v>2322.6</v>
      </c>
      <c r="AR289" s="21">
        <v>58.8</v>
      </c>
      <c r="AS289" s="19">
        <v>88.199999999999989</v>
      </c>
      <c r="AT289" s="4">
        <v>2263.7999999999997</v>
      </c>
      <c r="AU289" s="21">
        <f t="shared" si="395"/>
        <v>47.04</v>
      </c>
      <c r="AV289" s="19">
        <f t="shared" si="389"/>
        <v>135.23999999999998</v>
      </c>
      <c r="AW289" s="4">
        <f t="shared" si="390"/>
        <v>2216.7600000000002</v>
      </c>
      <c r="AX289" s="4">
        <f t="shared" si="396"/>
        <v>47.04</v>
      </c>
      <c r="AY289" s="4">
        <f t="shared" si="391"/>
        <v>182.27999999999997</v>
      </c>
      <c r="AZ289" s="4">
        <f t="shared" si="392"/>
        <v>2169.7200000000003</v>
      </c>
      <c r="BA289" s="22">
        <f t="shared" si="397"/>
        <v>47.04</v>
      </c>
      <c r="BB289" s="4">
        <f t="shared" si="393"/>
        <v>229.31999999999996</v>
      </c>
      <c r="BC289" s="4">
        <f t="shared" si="394"/>
        <v>2122.6799999999998</v>
      </c>
      <c r="BF289" s="22">
        <v>47.04</v>
      </c>
      <c r="BG289" s="4">
        <f t="shared" si="398"/>
        <v>0</v>
      </c>
    </row>
    <row r="290" spans="1:59" x14ac:dyDescent="0.35">
      <c r="A290" s="3" t="s">
        <v>291</v>
      </c>
      <c r="B290" s="3" t="s">
        <v>251</v>
      </c>
      <c r="C290" s="4">
        <v>2352</v>
      </c>
      <c r="D290" s="4" t="s">
        <v>80</v>
      </c>
      <c r="E290" s="2">
        <v>50</v>
      </c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X290" s="4"/>
      <c r="Y290" s="4"/>
      <c r="AA290" s="4"/>
      <c r="AB290" s="4"/>
      <c r="AC290" s="4"/>
      <c r="AE290" s="4"/>
      <c r="AG290" s="5"/>
      <c r="AL290" s="4"/>
      <c r="AM290" s="4"/>
      <c r="AN290" s="4"/>
      <c r="AO290" s="21"/>
      <c r="AP290" s="4">
        <f t="shared" si="388"/>
        <v>0</v>
      </c>
      <c r="AQ290" s="4">
        <v>2352</v>
      </c>
      <c r="AR290" s="21">
        <v>29.4</v>
      </c>
      <c r="AS290" s="19">
        <v>29.4</v>
      </c>
      <c r="AT290" s="4">
        <v>2322.6</v>
      </c>
      <c r="AU290" s="21">
        <f t="shared" si="395"/>
        <v>47.04</v>
      </c>
      <c r="AV290" s="19">
        <f t="shared" si="389"/>
        <v>76.44</v>
      </c>
      <c r="AW290" s="4">
        <f t="shared" si="390"/>
        <v>2275.56</v>
      </c>
      <c r="AX290" s="4">
        <f t="shared" si="396"/>
        <v>47.04</v>
      </c>
      <c r="AY290" s="4">
        <f t="shared" si="391"/>
        <v>123.47999999999999</v>
      </c>
      <c r="AZ290" s="4">
        <f t="shared" si="392"/>
        <v>2228.52</v>
      </c>
      <c r="BA290" s="22">
        <f t="shared" si="397"/>
        <v>47.04</v>
      </c>
      <c r="BB290" s="4">
        <f t="shared" si="393"/>
        <v>170.51999999999998</v>
      </c>
      <c r="BC290" s="4">
        <f t="shared" si="394"/>
        <v>2181.48</v>
      </c>
      <c r="BF290" s="22">
        <v>47.04</v>
      </c>
      <c r="BG290" s="4">
        <f t="shared" si="398"/>
        <v>0</v>
      </c>
    </row>
    <row r="291" spans="1:59" x14ac:dyDescent="0.35">
      <c r="A291" s="3" t="s">
        <v>291</v>
      </c>
      <c r="B291" s="3" t="s">
        <v>255</v>
      </c>
      <c r="C291" s="4">
        <v>4704</v>
      </c>
      <c r="D291" s="4" t="s">
        <v>80</v>
      </c>
      <c r="E291" s="2">
        <v>50</v>
      </c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X291" s="4"/>
      <c r="Y291" s="4"/>
      <c r="AA291" s="4"/>
      <c r="AB291" s="4"/>
      <c r="AC291" s="4"/>
      <c r="AE291" s="4"/>
      <c r="AG291" s="5"/>
      <c r="AL291" s="4"/>
      <c r="AM291" s="4"/>
      <c r="AN291" s="4"/>
      <c r="AO291" s="21"/>
      <c r="AP291" s="4"/>
      <c r="AQ291" s="4"/>
      <c r="AR291" s="21"/>
      <c r="AS291" s="19"/>
      <c r="AT291" s="4">
        <v>4704</v>
      </c>
      <c r="AU291" s="21">
        <f>SUM(C291/E291/2)</f>
        <v>47.04</v>
      </c>
      <c r="AV291" s="19">
        <f t="shared" si="389"/>
        <v>47.04</v>
      </c>
      <c r="AW291" s="4">
        <f t="shared" si="390"/>
        <v>4656.96</v>
      </c>
      <c r="AX291" s="4">
        <f t="shared" si="396"/>
        <v>94.08</v>
      </c>
      <c r="AY291" s="4">
        <f t="shared" si="391"/>
        <v>141.12</v>
      </c>
      <c r="AZ291" s="4">
        <f t="shared" si="392"/>
        <v>4562.88</v>
      </c>
      <c r="BA291" s="22">
        <f t="shared" si="397"/>
        <v>94.08</v>
      </c>
      <c r="BB291" s="4">
        <f t="shared" si="393"/>
        <v>235.2</v>
      </c>
      <c r="BC291" s="4">
        <f t="shared" si="394"/>
        <v>4468.8</v>
      </c>
      <c r="BF291" s="22">
        <v>94.08</v>
      </c>
      <c r="BG291" s="4">
        <f t="shared" si="398"/>
        <v>0</v>
      </c>
    </row>
    <row r="292" spans="1:59" x14ac:dyDescent="0.35">
      <c r="A292" s="3" t="s">
        <v>291</v>
      </c>
      <c r="B292" s="3" t="s">
        <v>257</v>
      </c>
      <c r="C292" s="4">
        <v>3528</v>
      </c>
      <c r="D292" s="4" t="s">
        <v>80</v>
      </c>
      <c r="E292" s="2">
        <v>50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X292" s="4"/>
      <c r="Y292" s="4"/>
      <c r="AA292" s="4"/>
      <c r="AB292" s="4"/>
      <c r="AC292" s="4"/>
      <c r="AE292" s="4"/>
      <c r="AG292" s="5"/>
      <c r="AL292" s="4"/>
      <c r="AM292" s="4"/>
      <c r="AN292" s="4"/>
      <c r="AO292" s="21"/>
      <c r="AP292" s="4"/>
      <c r="AQ292" s="4"/>
      <c r="AR292" s="21"/>
      <c r="AS292" s="19"/>
      <c r="AT292" s="4"/>
      <c r="AU292" s="21"/>
      <c r="AV292" s="19"/>
      <c r="AW292" s="4"/>
      <c r="AX292" s="4">
        <f>SUM(C292/E292/2)</f>
        <v>35.28</v>
      </c>
      <c r="AY292" s="4">
        <f t="shared" ref="AY292" si="399">SUM(AV292+AX292)</f>
        <v>35.28</v>
      </c>
      <c r="AZ292" s="4">
        <f t="shared" si="392"/>
        <v>3492.72</v>
      </c>
      <c r="BA292" s="22">
        <f t="shared" si="397"/>
        <v>70.56</v>
      </c>
      <c r="BB292" s="4">
        <f t="shared" si="393"/>
        <v>105.84</v>
      </c>
      <c r="BC292" s="4">
        <f t="shared" si="394"/>
        <v>3422.16</v>
      </c>
      <c r="BF292" s="22">
        <v>70.56</v>
      </c>
      <c r="BG292" s="4">
        <f t="shared" si="398"/>
        <v>0</v>
      </c>
    </row>
    <row r="293" spans="1:59" x14ac:dyDescent="0.35">
      <c r="A293" s="1" t="s">
        <v>291</v>
      </c>
      <c r="B293" s="1" t="s">
        <v>264</v>
      </c>
      <c r="C293" s="19">
        <v>3528</v>
      </c>
      <c r="D293" s="19" t="s">
        <v>80</v>
      </c>
      <c r="E293" s="37">
        <v>50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X293" s="4"/>
      <c r="Y293" s="4"/>
      <c r="AA293" s="4"/>
      <c r="AB293" s="4"/>
      <c r="AC293" s="4"/>
      <c r="AE293" s="4"/>
      <c r="AG293" s="5"/>
      <c r="AL293" s="4"/>
      <c r="AM293" s="4"/>
      <c r="AN293" s="4"/>
      <c r="AO293" s="21"/>
      <c r="AP293" s="4"/>
      <c r="AQ293" s="4"/>
      <c r="AR293" s="21"/>
      <c r="AS293" s="19"/>
      <c r="AT293" s="4"/>
      <c r="AU293" s="21"/>
      <c r="AV293" s="19"/>
      <c r="AW293" s="4"/>
      <c r="AX293" s="4"/>
      <c r="AY293" s="4"/>
      <c r="AZ293" s="4"/>
      <c r="BA293" s="22">
        <f>SUM(C293/E293/2)</f>
        <v>35.28</v>
      </c>
      <c r="BB293" s="4">
        <f t="shared" ref="BB293" si="400">SUM(AY293+BA293)</f>
        <v>35.28</v>
      </c>
      <c r="BC293" s="4">
        <f t="shared" si="394"/>
        <v>3492.72</v>
      </c>
      <c r="BD293" s="3">
        <v>3528</v>
      </c>
      <c r="BF293" s="22">
        <v>35.28</v>
      </c>
      <c r="BG293" s="4">
        <f t="shared" si="398"/>
        <v>0</v>
      </c>
    </row>
    <row r="294" spans="1:59" x14ac:dyDescent="0.35">
      <c r="C294" s="4"/>
      <c r="D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X294" s="4"/>
      <c r="Y294" s="4"/>
      <c r="AA294" s="4"/>
      <c r="AB294" s="4"/>
      <c r="AC294" s="4"/>
      <c r="AE294" s="4"/>
      <c r="AG294" s="5"/>
      <c r="AL294" s="4"/>
      <c r="AM294" s="4"/>
      <c r="AN294" s="4"/>
      <c r="AO294" s="21"/>
      <c r="AP294" s="4"/>
      <c r="AQ294" s="4"/>
      <c r="AR294" s="21"/>
      <c r="AS294" s="19"/>
      <c r="AT294" s="4"/>
      <c r="BA294" s="17"/>
      <c r="BF294" s="17"/>
      <c r="BG294" s="4">
        <f t="shared" si="398"/>
        <v>0</v>
      </c>
    </row>
    <row r="295" spans="1:59" x14ac:dyDescent="0.35">
      <c r="C295" s="19">
        <f>SUM(C260:C294)</f>
        <v>242264.86</v>
      </c>
      <c r="D295" s="4"/>
      <c r="F295" s="4"/>
      <c r="G295" s="19">
        <f t="shared" ref="G295:R295" si="401">SUM(G260:G281)</f>
        <v>32812</v>
      </c>
      <c r="H295" s="19">
        <f t="shared" si="401"/>
        <v>3324</v>
      </c>
      <c r="I295" s="19">
        <f t="shared" si="401"/>
        <v>36136</v>
      </c>
      <c r="J295" s="19">
        <f t="shared" si="401"/>
        <v>3547</v>
      </c>
      <c r="K295" s="19">
        <f t="shared" si="401"/>
        <v>39683</v>
      </c>
      <c r="L295" s="19">
        <f t="shared" si="401"/>
        <v>3856.3950000000004</v>
      </c>
      <c r="M295" s="19">
        <f t="shared" si="401"/>
        <v>43539.395000000004</v>
      </c>
      <c r="N295" s="19">
        <f t="shared" si="401"/>
        <v>4133.3074999999999</v>
      </c>
      <c r="O295" s="19">
        <f t="shared" si="401"/>
        <v>47672.702500000007</v>
      </c>
      <c r="P295" s="19">
        <f t="shared" si="401"/>
        <v>3710.93</v>
      </c>
      <c r="Q295" s="19">
        <f t="shared" si="401"/>
        <v>51383.632500000007</v>
      </c>
      <c r="R295" s="19">
        <f t="shared" si="401"/>
        <v>4058.5974999999999</v>
      </c>
      <c r="S295" s="19">
        <f>Q295+R295</f>
        <v>55442.23000000001</v>
      </c>
      <c r="T295" s="19">
        <f>SUM(T260:T278)</f>
        <v>4391.26</v>
      </c>
      <c r="U295" s="19">
        <f>SUM(U260:U278)</f>
        <v>59833.49</v>
      </c>
      <c r="V295" s="19">
        <f>SUM(V260:V281)</f>
        <v>4518.5600000000004</v>
      </c>
      <c r="W295" s="19">
        <f>SUM(W260:W281)</f>
        <v>60602.049999999988</v>
      </c>
      <c r="X295" s="19">
        <f>SUM(X260:X281)</f>
        <v>4602.91</v>
      </c>
      <c r="Y295" s="19">
        <f>SUM(Y260:Y281)</f>
        <v>65204.959999999992</v>
      </c>
      <c r="Z295" s="19">
        <f>SUM(Z260:Z282)</f>
        <v>4641.7349999999997</v>
      </c>
      <c r="AA295" s="19">
        <f>SUM(AA260:AA282)</f>
        <v>69846.694999999992</v>
      </c>
      <c r="AB295" s="19">
        <f>SUM(AB260:AB283)</f>
        <v>4673.3099999999995</v>
      </c>
      <c r="AC295" s="19">
        <f>SUM(AC260:AC283)</f>
        <v>74520.004999999961</v>
      </c>
      <c r="AD295" s="3">
        <f>SUM(AD260:AD284)</f>
        <v>4695.1474999999991</v>
      </c>
      <c r="AE295" s="3">
        <f>SUM(AE260:AE284)</f>
        <v>79215.152499999953</v>
      </c>
      <c r="AF295" s="3">
        <f>SUM(AF260:AF285)</f>
        <v>4717.335</v>
      </c>
      <c r="AG295" s="5">
        <f>SUM(AG260:AG285)</f>
        <v>83932.487500000003</v>
      </c>
      <c r="AH295" s="3">
        <f>SUM(AH260:AH286)</f>
        <v>4745.2449999999999</v>
      </c>
      <c r="AI295" s="3">
        <f>SUM(AI260:AI286)</f>
        <v>88677.732499999984</v>
      </c>
      <c r="AJ295" s="19">
        <f>SUM(AJ260:AJ288)</f>
        <v>4813.8099999999995</v>
      </c>
      <c r="AK295" s="19">
        <f>SUM(AK260:AK288)</f>
        <v>93491.542499999967</v>
      </c>
      <c r="AL295" s="19">
        <f>SUM(AL260:AL294)</f>
        <v>4850.7099999999991</v>
      </c>
      <c r="AM295" s="19">
        <f>SUM(AM260:AM294)</f>
        <v>98342.252499999973</v>
      </c>
      <c r="AN295" s="19">
        <f>SUM(AN260:AN294)</f>
        <v>129810.60750000004</v>
      </c>
      <c r="AO295" s="25">
        <f>SUM(AO260:AO294)</f>
        <v>4916.8599999999988</v>
      </c>
      <c r="AP295" s="19">
        <f>SUM(AP260:AP290)</f>
        <v>103259.11249999996</v>
      </c>
      <c r="AQ295" s="19">
        <v>114792.62500000003</v>
      </c>
      <c r="AR295" s="25">
        <v>5921.2249999999995</v>
      </c>
      <c r="AS295" s="19">
        <v>121633.45999999996</v>
      </c>
      <c r="AT295" s="19">
        <v>108871.40000000004</v>
      </c>
      <c r="AU295" s="25">
        <f>SUM(AU260:AU294)</f>
        <v>4616.1772000000001</v>
      </c>
      <c r="AV295" s="19">
        <f>SUM(AV260:AV294)</f>
        <v>126249.63719999998</v>
      </c>
      <c r="AW295" s="19">
        <f>SUM(AW260:AW294)</f>
        <v>108959.2228</v>
      </c>
      <c r="AX295" s="19">
        <f t="shared" ref="AX295:BC295" si="402">SUM(AX260:AX294)</f>
        <v>3895.4972000000007</v>
      </c>
      <c r="AY295" s="19">
        <f t="shared" si="402"/>
        <v>130145.13439999998</v>
      </c>
      <c r="AZ295" s="19">
        <f t="shared" si="402"/>
        <v>108591.72560000003</v>
      </c>
      <c r="BA295" s="20">
        <f t="shared" si="402"/>
        <v>3966.0572000000006</v>
      </c>
      <c r="BB295" s="19">
        <f t="shared" si="402"/>
        <v>134111.19159999999</v>
      </c>
      <c r="BC295" s="19">
        <f t="shared" si="402"/>
        <v>108153.66840000001</v>
      </c>
      <c r="BF295" s="20">
        <v>3966.0572000000006</v>
      </c>
      <c r="BG295" s="4">
        <f t="shared" si="398"/>
        <v>0</v>
      </c>
    </row>
    <row r="296" spans="1:59" x14ac:dyDescent="0.35">
      <c r="C296" s="4"/>
      <c r="D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X296" s="4"/>
      <c r="Y296" s="4"/>
      <c r="AC296" s="4"/>
      <c r="AG296" s="5"/>
      <c r="AM296" s="4"/>
      <c r="AN296" s="4"/>
      <c r="AO296" s="21">
        <f t="shared" ref="AO296:AO305" si="403">AL296</f>
        <v>0</v>
      </c>
      <c r="AP296" s="4"/>
      <c r="AQ296" s="4"/>
      <c r="AR296" s="6"/>
      <c r="AS296" s="1"/>
      <c r="AT296" s="4"/>
      <c r="BA296" s="17"/>
      <c r="BF296" s="17"/>
      <c r="BG296" s="4">
        <f t="shared" si="398"/>
        <v>0</v>
      </c>
    </row>
    <row r="297" spans="1:59" x14ac:dyDescent="0.35">
      <c r="A297" s="3" t="s">
        <v>293</v>
      </c>
      <c r="C297" s="4"/>
      <c r="D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X297" s="4"/>
      <c r="Y297" s="4"/>
      <c r="AC297" s="4"/>
      <c r="AG297" s="5"/>
      <c r="AM297" s="4"/>
      <c r="AN297" s="4"/>
      <c r="AO297" s="21">
        <f t="shared" si="403"/>
        <v>0</v>
      </c>
      <c r="AP297" s="4"/>
      <c r="AQ297" s="4"/>
      <c r="AR297" s="6"/>
      <c r="AS297" s="1"/>
      <c r="BA297" s="17"/>
      <c r="BF297" s="17"/>
      <c r="BG297" s="4">
        <f t="shared" si="398"/>
        <v>0</v>
      </c>
    </row>
    <row r="298" spans="1:59" x14ac:dyDescent="0.35">
      <c r="C298" s="4"/>
      <c r="D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X298" s="4"/>
      <c r="Y298" s="4"/>
      <c r="AC298" s="4"/>
      <c r="AG298" s="5"/>
      <c r="AM298" s="4"/>
      <c r="AN298" s="4"/>
      <c r="AO298" s="21">
        <f t="shared" si="403"/>
        <v>0</v>
      </c>
      <c r="AP298" s="4"/>
      <c r="AQ298" s="4"/>
      <c r="AR298" s="6"/>
      <c r="AS298" s="1"/>
      <c r="BA298" s="17"/>
      <c r="BF298" s="17"/>
      <c r="BG298" s="4">
        <f t="shared" si="398"/>
        <v>0</v>
      </c>
    </row>
    <row r="299" spans="1:59" x14ac:dyDescent="0.35">
      <c r="A299" s="3" t="s">
        <v>294</v>
      </c>
      <c r="B299" s="3" t="s">
        <v>295</v>
      </c>
      <c r="C299" s="4">
        <v>1350</v>
      </c>
      <c r="D299" s="4" t="s">
        <v>80</v>
      </c>
      <c r="E299" s="2">
        <v>22.5</v>
      </c>
      <c r="F299" s="4"/>
      <c r="G299" s="4">
        <v>653</v>
      </c>
      <c r="H299" s="4">
        <v>135</v>
      </c>
      <c r="I299" s="4">
        <f>SUM(G299:H299)</f>
        <v>788</v>
      </c>
      <c r="J299" s="4">
        <v>135</v>
      </c>
      <c r="K299" s="4">
        <f>I299+J299</f>
        <v>923</v>
      </c>
      <c r="L299" s="4">
        <f>J299</f>
        <v>135</v>
      </c>
      <c r="M299" s="4">
        <f>K299+L299</f>
        <v>1058</v>
      </c>
      <c r="N299" s="4">
        <f>L299</f>
        <v>135</v>
      </c>
      <c r="O299" s="4">
        <f>M299+N299</f>
        <v>1193</v>
      </c>
      <c r="P299" s="4">
        <f>C299/E299</f>
        <v>60</v>
      </c>
      <c r="Q299" s="4">
        <f>O299+P299</f>
        <v>1253</v>
      </c>
      <c r="R299" s="4">
        <f>1350-1328</f>
        <v>22</v>
      </c>
      <c r="S299" s="4">
        <f>Q299+R299</f>
        <v>1275</v>
      </c>
      <c r="T299" s="4">
        <v>0</v>
      </c>
      <c r="U299" s="4">
        <f>S299+T299</f>
        <v>1275</v>
      </c>
      <c r="V299" s="4">
        <f>T299</f>
        <v>0</v>
      </c>
      <c r="W299" s="4">
        <f>U299+V299</f>
        <v>1275</v>
      </c>
      <c r="X299" s="4">
        <f>V299</f>
        <v>0</v>
      </c>
      <c r="Y299" s="4">
        <f>W299+V299</f>
        <v>1275</v>
      </c>
      <c r="Z299" s="4">
        <f>X299</f>
        <v>0</v>
      </c>
      <c r="AA299" s="4">
        <f>Y299+X299</f>
        <v>1275</v>
      </c>
      <c r="AB299" s="4">
        <f>Z299</f>
        <v>0</v>
      </c>
      <c r="AC299" s="4">
        <f t="shared" ref="AC299:AC305" si="404">SUM(AA299:AB299)</f>
        <v>1275</v>
      </c>
      <c r="AD299" s="3">
        <f t="shared" ref="AD299:AD305" si="405">AB299</f>
        <v>0</v>
      </c>
      <c r="AE299" s="4">
        <f t="shared" ref="AE299:AE305" si="406">AC299+AD299</f>
        <v>1275</v>
      </c>
      <c r="AF299" s="3">
        <f>AD299</f>
        <v>0</v>
      </c>
      <c r="AG299" s="5">
        <f t="shared" ref="AG299:AG305" si="407">AE299+AF299</f>
        <v>1275</v>
      </c>
      <c r="AH299" s="3">
        <f>AF299</f>
        <v>0</v>
      </c>
      <c r="AI299" s="5">
        <f t="shared" ref="AI299:AI305" si="408">AG299+AH299</f>
        <v>1275</v>
      </c>
      <c r="AJ299" s="3">
        <f>AH299</f>
        <v>0</v>
      </c>
      <c r="AK299" s="3">
        <f t="shared" ref="AK299:AK305" si="409">SUM(AI299:AJ299)</f>
        <v>1275</v>
      </c>
      <c r="AL299" s="4">
        <f>AJ299</f>
        <v>0</v>
      </c>
      <c r="AM299" s="4">
        <f t="shared" ref="AM299:AM305" si="410">SUM(AK299:AL299)</f>
        <v>1275</v>
      </c>
      <c r="AN299" s="4">
        <f t="shared" ref="AN299:AN305" si="411">C299-AM299</f>
        <v>75</v>
      </c>
      <c r="AO299" s="21">
        <f t="shared" si="403"/>
        <v>0</v>
      </c>
      <c r="AP299" s="4">
        <f t="shared" ref="AP299:AP306" si="412">AM299+AO299</f>
        <v>1275</v>
      </c>
      <c r="AQ299" s="4">
        <v>0</v>
      </c>
      <c r="AR299" s="21">
        <v>0</v>
      </c>
      <c r="AS299" s="19">
        <v>1350</v>
      </c>
      <c r="AT299" s="4">
        <v>0</v>
      </c>
      <c r="AU299" s="21">
        <f>AR299</f>
        <v>0</v>
      </c>
      <c r="AV299" s="19">
        <f t="shared" ref="AV299:AV305" si="413">AS299+AU299</f>
        <v>1350</v>
      </c>
      <c r="AW299" s="4">
        <f t="shared" ref="AW299:AW305" si="414">C299-AV299</f>
        <v>0</v>
      </c>
      <c r="AX299" s="4">
        <v>0</v>
      </c>
      <c r="AY299" s="4">
        <f t="shared" ref="AY299:AY305" si="415">SUM(AV299+AX299)</f>
        <v>1350</v>
      </c>
      <c r="AZ299" s="4">
        <f t="shared" ref="AZ299:AZ305" si="416">SUM(C299-AY299)</f>
        <v>0</v>
      </c>
      <c r="BA299" s="22">
        <v>0</v>
      </c>
      <c r="BB299" s="4">
        <f t="shared" ref="BB299:BB305" si="417">SUM(AY299+BA299)</f>
        <v>1350</v>
      </c>
      <c r="BC299" s="4">
        <f t="shared" ref="BC299:BC305" si="418">SUM(C299-BB299)</f>
        <v>0</v>
      </c>
      <c r="BF299" s="22">
        <v>0</v>
      </c>
      <c r="BG299" s="4">
        <f t="shared" si="398"/>
        <v>0</v>
      </c>
    </row>
    <row r="300" spans="1:59" x14ac:dyDescent="0.35">
      <c r="A300" s="3" t="s">
        <v>296</v>
      </c>
      <c r="B300" s="3" t="s">
        <v>297</v>
      </c>
      <c r="C300" s="4">
        <v>955</v>
      </c>
      <c r="D300" s="4" t="s">
        <v>80</v>
      </c>
      <c r="E300" s="2">
        <v>22.5</v>
      </c>
      <c r="F300" s="4"/>
      <c r="G300" s="4">
        <v>16</v>
      </c>
      <c r="H300" s="4">
        <v>96</v>
      </c>
      <c r="I300" s="4">
        <f>SUM(G300:H300)</f>
        <v>112</v>
      </c>
      <c r="J300" s="4">
        <v>96</v>
      </c>
      <c r="K300" s="4">
        <f>I300+J300</f>
        <v>208</v>
      </c>
      <c r="L300" s="4">
        <f>J300</f>
        <v>96</v>
      </c>
      <c r="M300" s="4">
        <f>K300+L300</f>
        <v>304</v>
      </c>
      <c r="N300" s="4">
        <f>L300</f>
        <v>96</v>
      </c>
      <c r="O300" s="4">
        <f>M300+N300</f>
        <v>400</v>
      </c>
      <c r="P300" s="4">
        <f>C300/E300</f>
        <v>42.444444444444443</v>
      </c>
      <c r="Q300" s="4">
        <f>O300+P300</f>
        <v>442.44444444444446</v>
      </c>
      <c r="R300" s="4">
        <f>SUM(C300/E300)</f>
        <v>42.444444444444443</v>
      </c>
      <c r="S300" s="4">
        <f>Q300+R300</f>
        <v>484.88888888888891</v>
      </c>
      <c r="T300" s="4">
        <f>R300</f>
        <v>42.444444444444443</v>
      </c>
      <c r="U300" s="4">
        <f>S300+T300</f>
        <v>527.33333333333337</v>
      </c>
      <c r="V300" s="4">
        <f>T300</f>
        <v>42.444444444444443</v>
      </c>
      <c r="W300" s="4">
        <f>U300+V300</f>
        <v>569.77777777777783</v>
      </c>
      <c r="X300" s="4">
        <f>V300</f>
        <v>42.444444444444443</v>
      </c>
      <c r="Y300" s="4">
        <f>W300+V300</f>
        <v>612.22222222222229</v>
      </c>
      <c r="Z300" s="4">
        <f>955-878</f>
        <v>77</v>
      </c>
      <c r="AA300" s="4">
        <f>878+77</f>
        <v>955</v>
      </c>
      <c r="AB300" s="4">
        <v>0</v>
      </c>
      <c r="AC300" s="4">
        <f t="shared" si="404"/>
        <v>955</v>
      </c>
      <c r="AD300" s="3">
        <f t="shared" si="405"/>
        <v>0</v>
      </c>
      <c r="AE300" s="4">
        <f t="shared" si="406"/>
        <v>955</v>
      </c>
      <c r="AF300" s="3">
        <f>AD300</f>
        <v>0</v>
      </c>
      <c r="AG300" s="5">
        <f t="shared" si="407"/>
        <v>955</v>
      </c>
      <c r="AH300" s="3">
        <f>AF300</f>
        <v>0</v>
      </c>
      <c r="AI300" s="5">
        <f t="shared" si="408"/>
        <v>955</v>
      </c>
      <c r="AJ300" s="3">
        <f>AH300</f>
        <v>0</v>
      </c>
      <c r="AK300" s="3">
        <f t="shared" si="409"/>
        <v>955</v>
      </c>
      <c r="AL300" s="4">
        <f>AJ300</f>
        <v>0</v>
      </c>
      <c r="AM300" s="4">
        <f t="shared" si="410"/>
        <v>955</v>
      </c>
      <c r="AN300" s="4">
        <f t="shared" si="411"/>
        <v>0</v>
      </c>
      <c r="AO300" s="21">
        <f t="shared" si="403"/>
        <v>0</v>
      </c>
      <c r="AP300" s="4">
        <f t="shared" si="412"/>
        <v>955</v>
      </c>
      <c r="AQ300" s="4">
        <v>0</v>
      </c>
      <c r="AR300" s="21">
        <v>0</v>
      </c>
      <c r="AS300" s="19">
        <v>955</v>
      </c>
      <c r="AT300" s="4">
        <v>0</v>
      </c>
      <c r="AU300" s="21">
        <v>0</v>
      </c>
      <c r="AV300" s="19">
        <f t="shared" si="413"/>
        <v>955</v>
      </c>
      <c r="AW300" s="4">
        <f t="shared" si="414"/>
        <v>0</v>
      </c>
      <c r="AX300" s="4">
        <v>0</v>
      </c>
      <c r="AY300" s="4">
        <f t="shared" si="415"/>
        <v>955</v>
      </c>
      <c r="AZ300" s="4">
        <f t="shared" si="416"/>
        <v>0</v>
      </c>
      <c r="BA300" s="22">
        <v>0</v>
      </c>
      <c r="BB300" s="4">
        <f t="shared" si="417"/>
        <v>955</v>
      </c>
      <c r="BC300" s="4">
        <f t="shared" si="418"/>
        <v>0</v>
      </c>
      <c r="BF300" s="22">
        <v>0</v>
      </c>
      <c r="BG300" s="4">
        <f t="shared" si="398"/>
        <v>0</v>
      </c>
    </row>
    <row r="301" spans="1:59" x14ac:dyDescent="0.35">
      <c r="A301" s="3" t="s">
        <v>298</v>
      </c>
      <c r="B301" s="3" t="s">
        <v>299</v>
      </c>
      <c r="C301" s="4">
        <v>1875</v>
      </c>
      <c r="D301" s="4" t="s">
        <v>80</v>
      </c>
      <c r="E301" s="2">
        <v>22.5</v>
      </c>
      <c r="F301" s="4"/>
      <c r="G301" s="4"/>
      <c r="H301" s="4"/>
      <c r="I301" s="4"/>
      <c r="J301" s="4">
        <v>47</v>
      </c>
      <c r="K301" s="4">
        <f>I301+J301</f>
        <v>47</v>
      </c>
      <c r="L301" s="4">
        <f>J301</f>
        <v>47</v>
      </c>
      <c r="M301" s="4">
        <f>K301+L301</f>
        <v>94</v>
      </c>
      <c r="N301" s="4">
        <f>L301</f>
        <v>47</v>
      </c>
      <c r="O301" s="4">
        <f>M301+N301</f>
        <v>141</v>
      </c>
      <c r="P301" s="4">
        <f>C301/E301</f>
        <v>83.333333333333329</v>
      </c>
      <c r="Q301" s="4">
        <f>O301+P301</f>
        <v>224.33333333333331</v>
      </c>
      <c r="R301" s="4">
        <f>SUM(C301/E301)</f>
        <v>83.333333333333329</v>
      </c>
      <c r="S301" s="4">
        <f>Q301+R301</f>
        <v>307.66666666666663</v>
      </c>
      <c r="T301" s="4">
        <f>R301</f>
        <v>83.333333333333329</v>
      </c>
      <c r="U301" s="4">
        <f>S301+T301</f>
        <v>390.99999999999994</v>
      </c>
      <c r="V301" s="4">
        <f>T301</f>
        <v>83.333333333333329</v>
      </c>
      <c r="W301" s="4">
        <f>891+18</f>
        <v>909</v>
      </c>
      <c r="X301" s="4">
        <f>V301</f>
        <v>83.333333333333329</v>
      </c>
      <c r="Y301" s="4">
        <f>W301+V301</f>
        <v>992.33333333333337</v>
      </c>
      <c r="Z301" s="4">
        <f>X301</f>
        <v>83.333333333333329</v>
      </c>
      <c r="AA301" s="4">
        <f>Y301+X301</f>
        <v>1075.6666666666667</v>
      </c>
      <c r="AB301" s="4">
        <f>Z301</f>
        <v>83.333333333333329</v>
      </c>
      <c r="AC301" s="4">
        <f t="shared" si="404"/>
        <v>1159</v>
      </c>
      <c r="AD301" s="3">
        <f t="shared" si="405"/>
        <v>83.333333333333329</v>
      </c>
      <c r="AE301" s="4">
        <f t="shared" si="406"/>
        <v>1242.3333333333333</v>
      </c>
      <c r="AF301" s="3">
        <f>AD301</f>
        <v>83.333333333333329</v>
      </c>
      <c r="AG301" s="5">
        <f t="shared" si="407"/>
        <v>1325.6666666666665</v>
      </c>
      <c r="AH301" s="3">
        <f>1875-1846.5</f>
        <v>28.5</v>
      </c>
      <c r="AI301" s="5">
        <f t="shared" si="408"/>
        <v>1354.1666666666665</v>
      </c>
      <c r="AJ301" s="3">
        <v>0</v>
      </c>
      <c r="AK301" s="3">
        <f t="shared" si="409"/>
        <v>1354.1666666666665</v>
      </c>
      <c r="AL301" s="4">
        <v>0</v>
      </c>
      <c r="AM301" s="4">
        <f t="shared" si="410"/>
        <v>1354.1666666666665</v>
      </c>
      <c r="AN301" s="4">
        <f t="shared" si="411"/>
        <v>520.83333333333348</v>
      </c>
      <c r="AO301" s="21">
        <f t="shared" si="403"/>
        <v>0</v>
      </c>
      <c r="AP301" s="4">
        <f t="shared" si="412"/>
        <v>1354.1666666666665</v>
      </c>
      <c r="AQ301" s="4">
        <v>0</v>
      </c>
      <c r="AR301" s="21">
        <v>0</v>
      </c>
      <c r="AS301" s="19">
        <v>1875</v>
      </c>
      <c r="AT301" s="4">
        <v>0</v>
      </c>
      <c r="AU301" s="21">
        <v>0</v>
      </c>
      <c r="AV301" s="19">
        <f t="shared" si="413"/>
        <v>1875</v>
      </c>
      <c r="AW301" s="4">
        <f t="shared" si="414"/>
        <v>0</v>
      </c>
      <c r="AX301" s="4">
        <v>0</v>
      </c>
      <c r="AY301" s="4">
        <f t="shared" si="415"/>
        <v>1875</v>
      </c>
      <c r="AZ301" s="4">
        <f t="shared" si="416"/>
        <v>0</v>
      </c>
      <c r="BA301" s="22">
        <v>0</v>
      </c>
      <c r="BB301" s="4">
        <f t="shared" si="417"/>
        <v>1875</v>
      </c>
      <c r="BC301" s="4">
        <f t="shared" si="418"/>
        <v>0</v>
      </c>
      <c r="BF301" s="22">
        <v>0</v>
      </c>
      <c r="BG301" s="4">
        <f t="shared" si="398"/>
        <v>0</v>
      </c>
    </row>
    <row r="302" spans="1:59" x14ac:dyDescent="0.35">
      <c r="A302" s="3" t="s">
        <v>98</v>
      </c>
      <c r="B302" s="3" t="s">
        <v>99</v>
      </c>
      <c r="C302" s="4">
        <v>968000</v>
      </c>
      <c r="D302" s="4" t="s">
        <v>80</v>
      </c>
      <c r="E302" s="2">
        <v>22.5</v>
      </c>
      <c r="F302" s="4"/>
      <c r="G302" s="4"/>
      <c r="H302" s="4"/>
      <c r="I302" s="4"/>
      <c r="J302" s="4">
        <f>968000/40/12*6</f>
        <v>12100</v>
      </c>
      <c r="K302" s="4">
        <f>I302+J302</f>
        <v>12100</v>
      </c>
      <c r="L302" s="4">
        <f>C302/E302</f>
        <v>43022.222222222219</v>
      </c>
      <c r="M302" s="4">
        <f>K302+L302</f>
        <v>55122.222222222219</v>
      </c>
      <c r="N302" s="4">
        <f>L302</f>
        <v>43022.222222222219</v>
      </c>
      <c r="O302" s="4">
        <f>M302+N302</f>
        <v>98144.444444444438</v>
      </c>
      <c r="P302" s="4">
        <f>C302/E302</f>
        <v>43022.222222222219</v>
      </c>
      <c r="Q302" s="4">
        <f>O302+P302</f>
        <v>141166.66666666666</v>
      </c>
      <c r="R302" s="4">
        <f>SUM(C302/E302)</f>
        <v>43022.222222222219</v>
      </c>
      <c r="S302" s="4">
        <f>Q302+R302</f>
        <v>184188.88888888888</v>
      </c>
      <c r="T302" s="4">
        <f>R302</f>
        <v>43022.222222222219</v>
      </c>
      <c r="U302" s="4">
        <f>S302+T302</f>
        <v>227211.11111111109</v>
      </c>
      <c r="V302" s="4">
        <f>T302</f>
        <v>43022.222222222219</v>
      </c>
      <c r="W302" s="4">
        <f>U302+V302</f>
        <v>270233.33333333331</v>
      </c>
      <c r="X302" s="4">
        <f>V302</f>
        <v>43022.222222222219</v>
      </c>
      <c r="Y302" s="4">
        <f>W302+V302</f>
        <v>313255.5555555555</v>
      </c>
      <c r="Z302" s="4">
        <f>X302</f>
        <v>43022.222222222219</v>
      </c>
      <c r="AA302" s="4">
        <f>Y302+X302</f>
        <v>356277.77777777775</v>
      </c>
      <c r="AB302" s="4">
        <f>Z302</f>
        <v>43022.222222222219</v>
      </c>
      <c r="AC302" s="4">
        <f t="shared" si="404"/>
        <v>399300</v>
      </c>
      <c r="AD302" s="3">
        <f t="shared" si="405"/>
        <v>43022.222222222219</v>
      </c>
      <c r="AE302" s="4">
        <f t="shared" si="406"/>
        <v>442322.22222222225</v>
      </c>
      <c r="AF302" s="3">
        <f>AD302</f>
        <v>43022.222222222219</v>
      </c>
      <c r="AG302" s="5">
        <f t="shared" si="407"/>
        <v>485344.4444444445</v>
      </c>
      <c r="AH302" s="3">
        <f>AF302</f>
        <v>43022.222222222219</v>
      </c>
      <c r="AI302" s="5">
        <f t="shared" si="408"/>
        <v>528366.66666666674</v>
      </c>
      <c r="AJ302" s="3">
        <f>AH302</f>
        <v>43022.222222222219</v>
      </c>
      <c r="AK302" s="3">
        <f t="shared" si="409"/>
        <v>571388.88888888899</v>
      </c>
      <c r="AL302" s="4">
        <f>AJ302</f>
        <v>43022.222222222219</v>
      </c>
      <c r="AM302" s="4">
        <f t="shared" si="410"/>
        <v>614411.11111111124</v>
      </c>
      <c r="AN302" s="4">
        <f t="shared" si="411"/>
        <v>353588.88888888876</v>
      </c>
      <c r="AO302" s="21">
        <f t="shared" si="403"/>
        <v>43022.222222222219</v>
      </c>
      <c r="AP302" s="4">
        <f t="shared" si="412"/>
        <v>657433.33333333349</v>
      </c>
      <c r="AQ302" s="4">
        <v>592900</v>
      </c>
      <c r="AR302" s="21">
        <v>24200</v>
      </c>
      <c r="AS302" s="19">
        <v>399300</v>
      </c>
      <c r="AT302" s="4">
        <v>568700</v>
      </c>
      <c r="AU302" s="21">
        <f t="shared" ref="AU302:AU305" si="419">SUM(C302/E302)</f>
        <v>43022.222222222219</v>
      </c>
      <c r="AV302" s="19">
        <f t="shared" si="413"/>
        <v>442322.22222222225</v>
      </c>
      <c r="AW302" s="4">
        <f t="shared" si="414"/>
        <v>525677.77777777775</v>
      </c>
      <c r="AX302" s="4">
        <f t="shared" ref="AX302:AX305" si="420">SUM(C302/E302)</f>
        <v>43022.222222222219</v>
      </c>
      <c r="AY302" s="4">
        <f t="shared" si="415"/>
        <v>485344.4444444445</v>
      </c>
      <c r="AZ302" s="4">
        <f t="shared" si="416"/>
        <v>482655.5555555555</v>
      </c>
      <c r="BA302" s="22">
        <f t="shared" ref="BA302:BA305" si="421">SUM(C302/E302)</f>
        <v>43022.222222222219</v>
      </c>
      <c r="BB302" s="4">
        <f t="shared" si="417"/>
        <v>528366.66666666674</v>
      </c>
      <c r="BC302" s="4">
        <f t="shared" si="418"/>
        <v>439633.33333333326</v>
      </c>
      <c r="BF302" s="22">
        <v>43022.222222222219</v>
      </c>
      <c r="BG302" s="4">
        <f t="shared" si="398"/>
        <v>0</v>
      </c>
    </row>
    <row r="303" spans="1:59" x14ac:dyDescent="0.35">
      <c r="A303" s="3" t="s">
        <v>300</v>
      </c>
      <c r="B303" s="3" t="s">
        <v>301</v>
      </c>
      <c r="C303" s="4">
        <v>919</v>
      </c>
      <c r="D303" s="4" t="s">
        <v>80</v>
      </c>
      <c r="E303" s="2">
        <v>22.5</v>
      </c>
      <c r="F303" s="4"/>
      <c r="G303" s="4"/>
      <c r="H303" s="4"/>
      <c r="I303" s="4"/>
      <c r="J303" s="4"/>
      <c r="K303" s="4"/>
      <c r="L303" s="4">
        <f>919/10*0.5</f>
        <v>45.95</v>
      </c>
      <c r="M303" s="4">
        <f>K303+L303</f>
        <v>45.95</v>
      </c>
      <c r="N303" s="4">
        <f>919/10</f>
        <v>91.9</v>
      </c>
      <c r="O303" s="4">
        <f>M303+N303</f>
        <v>137.85000000000002</v>
      </c>
      <c r="P303" s="4">
        <f>C303/E303</f>
        <v>40.844444444444441</v>
      </c>
      <c r="Q303" s="4">
        <f>O303+P303</f>
        <v>178.69444444444446</v>
      </c>
      <c r="R303" s="4">
        <f>SUM(C303/E303)</f>
        <v>40.844444444444441</v>
      </c>
      <c r="S303" s="4">
        <f>Q303+R303</f>
        <v>219.53888888888889</v>
      </c>
      <c r="T303" s="4">
        <f>R303</f>
        <v>40.844444444444441</v>
      </c>
      <c r="U303" s="4">
        <f>S303+T303</f>
        <v>260.38333333333333</v>
      </c>
      <c r="V303" s="4">
        <f>T303</f>
        <v>40.844444444444441</v>
      </c>
      <c r="W303" s="4">
        <f>U303+V303</f>
        <v>301.22777777777776</v>
      </c>
      <c r="X303" s="4">
        <f>V303</f>
        <v>40.844444444444441</v>
      </c>
      <c r="Y303" s="4">
        <f>W303+V303</f>
        <v>342.07222222222219</v>
      </c>
      <c r="Z303" s="4">
        <f>X303</f>
        <v>40.844444444444441</v>
      </c>
      <c r="AA303" s="4">
        <f>Y303+X303</f>
        <v>382.91666666666663</v>
      </c>
      <c r="AB303" s="4">
        <f>Z303</f>
        <v>40.844444444444441</v>
      </c>
      <c r="AC303" s="4">
        <f t="shared" si="404"/>
        <v>423.76111111111106</v>
      </c>
      <c r="AD303" s="3">
        <f t="shared" si="405"/>
        <v>40.844444444444441</v>
      </c>
      <c r="AE303" s="4">
        <f t="shared" si="406"/>
        <v>464.6055555555555</v>
      </c>
      <c r="AF303" s="3">
        <f>919-873</f>
        <v>46</v>
      </c>
      <c r="AG303" s="5">
        <f t="shared" si="407"/>
        <v>510.6055555555555</v>
      </c>
      <c r="AH303" s="3">
        <v>0</v>
      </c>
      <c r="AI303" s="5">
        <f t="shared" si="408"/>
        <v>510.6055555555555</v>
      </c>
      <c r="AJ303" s="3">
        <f>AH303</f>
        <v>0</v>
      </c>
      <c r="AK303" s="3">
        <f t="shared" si="409"/>
        <v>510.6055555555555</v>
      </c>
      <c r="AL303" s="4">
        <f>AJ303</f>
        <v>0</v>
      </c>
      <c r="AM303" s="4">
        <f t="shared" si="410"/>
        <v>510.6055555555555</v>
      </c>
      <c r="AN303" s="4">
        <f t="shared" si="411"/>
        <v>408.3944444444445</v>
      </c>
      <c r="AO303" s="21">
        <f t="shared" si="403"/>
        <v>0</v>
      </c>
      <c r="AP303" s="4">
        <f t="shared" si="412"/>
        <v>510.6055555555555</v>
      </c>
      <c r="AQ303" s="4">
        <v>-4.9999999999954525E-2</v>
      </c>
      <c r="AR303" s="21">
        <v>0</v>
      </c>
      <c r="AS303" s="19">
        <v>919.05</v>
      </c>
      <c r="AT303" s="4">
        <v>-4.9999999999954525E-2</v>
      </c>
      <c r="AU303" s="21">
        <v>0</v>
      </c>
      <c r="AV303" s="19">
        <f t="shared" si="413"/>
        <v>919.05</v>
      </c>
      <c r="AW303" s="4">
        <f t="shared" si="414"/>
        <v>-4.9999999999954525E-2</v>
      </c>
      <c r="AX303" s="4">
        <v>0</v>
      </c>
      <c r="AY303" s="4">
        <f t="shared" si="415"/>
        <v>919.05</v>
      </c>
      <c r="AZ303" s="4">
        <f t="shared" si="416"/>
        <v>-4.9999999999954525E-2</v>
      </c>
      <c r="BA303" s="22">
        <v>0</v>
      </c>
      <c r="BB303" s="4">
        <f t="shared" si="417"/>
        <v>919.05</v>
      </c>
      <c r="BC303" s="4">
        <f t="shared" si="418"/>
        <v>-4.9999999999954525E-2</v>
      </c>
      <c r="BF303" s="22">
        <v>0</v>
      </c>
      <c r="BG303" s="4">
        <f t="shared" si="398"/>
        <v>0</v>
      </c>
    </row>
    <row r="304" spans="1:59" x14ac:dyDescent="0.35">
      <c r="A304" s="3" t="s">
        <v>302</v>
      </c>
      <c r="B304" s="3" t="s">
        <v>303</v>
      </c>
      <c r="C304" s="4">
        <v>3096</v>
      </c>
      <c r="D304" s="4" t="s">
        <v>80</v>
      </c>
      <c r="E304" s="2">
        <v>10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>
        <v>154</v>
      </c>
      <c r="AA304" s="4">
        <v>154</v>
      </c>
      <c r="AB304" s="4">
        <f>3096/10</f>
        <v>309.60000000000002</v>
      </c>
      <c r="AC304" s="4">
        <f t="shared" si="404"/>
        <v>463.6</v>
      </c>
      <c r="AD304" s="3">
        <f t="shared" si="405"/>
        <v>309.60000000000002</v>
      </c>
      <c r="AE304" s="4">
        <f t="shared" si="406"/>
        <v>773.2</v>
      </c>
      <c r="AF304" s="3">
        <f>AD304</f>
        <v>309.60000000000002</v>
      </c>
      <c r="AG304" s="5">
        <f t="shared" si="407"/>
        <v>1082.8000000000002</v>
      </c>
      <c r="AH304" s="3">
        <f>AF304</f>
        <v>309.60000000000002</v>
      </c>
      <c r="AI304" s="5">
        <f t="shared" si="408"/>
        <v>1392.4</v>
      </c>
      <c r="AJ304" s="3">
        <f>AH304</f>
        <v>309.60000000000002</v>
      </c>
      <c r="AK304" s="3">
        <f t="shared" si="409"/>
        <v>1702</v>
      </c>
      <c r="AL304" s="4">
        <f>AJ304</f>
        <v>309.60000000000002</v>
      </c>
      <c r="AM304" s="4">
        <f t="shared" si="410"/>
        <v>2011.6</v>
      </c>
      <c r="AN304" s="4">
        <f t="shared" si="411"/>
        <v>1084.4000000000001</v>
      </c>
      <c r="AO304" s="21">
        <f t="shared" si="403"/>
        <v>309.60000000000002</v>
      </c>
      <c r="AP304" s="4">
        <f t="shared" si="412"/>
        <v>2321.1999999999998</v>
      </c>
      <c r="AQ304" s="4">
        <v>774.80000000000007</v>
      </c>
      <c r="AR304" s="21">
        <v>309.60000000000002</v>
      </c>
      <c r="AS304" s="19">
        <v>2630.7999999999997</v>
      </c>
      <c r="AT304" s="4">
        <v>465.20000000000005</v>
      </c>
      <c r="AU304" s="21">
        <f t="shared" si="419"/>
        <v>309.60000000000002</v>
      </c>
      <c r="AV304" s="19">
        <f t="shared" si="413"/>
        <v>2940.3999999999996</v>
      </c>
      <c r="AW304" s="4">
        <f t="shared" si="414"/>
        <v>155.60000000000036</v>
      </c>
      <c r="AX304" s="4">
        <f t="shared" si="420"/>
        <v>309.60000000000002</v>
      </c>
      <c r="AY304" s="4">
        <f t="shared" si="415"/>
        <v>3249.9999999999995</v>
      </c>
      <c r="AZ304" s="4">
        <f t="shared" si="416"/>
        <v>-153.99999999999955</v>
      </c>
      <c r="BA304" s="22">
        <f t="shared" si="421"/>
        <v>309.60000000000002</v>
      </c>
      <c r="BB304" s="4">
        <f t="shared" si="417"/>
        <v>3559.5999999999995</v>
      </c>
      <c r="BC304" s="4">
        <f t="shared" si="418"/>
        <v>-463.59999999999945</v>
      </c>
      <c r="BF304" s="22">
        <v>137.6</v>
      </c>
      <c r="BG304" s="4">
        <f t="shared" si="398"/>
        <v>172.00000000000003</v>
      </c>
    </row>
    <row r="305" spans="1:59" x14ac:dyDescent="0.35">
      <c r="A305" s="3" t="s">
        <v>304</v>
      </c>
      <c r="B305" s="3" t="s">
        <v>305</v>
      </c>
      <c r="C305" s="4">
        <v>3345</v>
      </c>
      <c r="D305" s="4" t="s">
        <v>80</v>
      </c>
      <c r="E305" s="2">
        <v>10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>
        <v>139</v>
      </c>
      <c r="AA305" s="4">
        <v>139</v>
      </c>
      <c r="AB305" s="4">
        <f>3345/10</f>
        <v>334.5</v>
      </c>
      <c r="AC305" s="4">
        <f t="shared" si="404"/>
        <v>473.5</v>
      </c>
      <c r="AD305" s="3">
        <f t="shared" si="405"/>
        <v>334.5</v>
      </c>
      <c r="AE305" s="4">
        <f t="shared" si="406"/>
        <v>808</v>
      </c>
      <c r="AF305" s="3">
        <f>AD305</f>
        <v>334.5</v>
      </c>
      <c r="AG305" s="5">
        <f t="shared" si="407"/>
        <v>1142.5</v>
      </c>
      <c r="AH305" s="3">
        <f>AF305</f>
        <v>334.5</v>
      </c>
      <c r="AI305" s="5">
        <f t="shared" si="408"/>
        <v>1477</v>
      </c>
      <c r="AJ305" s="3">
        <f>AH305</f>
        <v>334.5</v>
      </c>
      <c r="AK305" s="3">
        <f t="shared" si="409"/>
        <v>1811.5</v>
      </c>
      <c r="AL305" s="4">
        <f>AJ305</f>
        <v>334.5</v>
      </c>
      <c r="AM305" s="4">
        <f t="shared" si="410"/>
        <v>2146</v>
      </c>
      <c r="AN305" s="4">
        <f t="shared" si="411"/>
        <v>1199</v>
      </c>
      <c r="AO305" s="21">
        <f t="shared" si="403"/>
        <v>334.5</v>
      </c>
      <c r="AP305" s="4">
        <f t="shared" si="412"/>
        <v>2480.5</v>
      </c>
      <c r="AQ305" s="4">
        <v>864.5</v>
      </c>
      <c r="AR305" s="21">
        <v>334.5</v>
      </c>
      <c r="AS305" s="19">
        <v>2815</v>
      </c>
      <c r="AT305" s="4">
        <v>530</v>
      </c>
      <c r="AU305" s="21">
        <f t="shared" si="419"/>
        <v>334.5</v>
      </c>
      <c r="AV305" s="19">
        <f t="shared" si="413"/>
        <v>3149.5</v>
      </c>
      <c r="AW305" s="4">
        <f t="shared" si="414"/>
        <v>195.5</v>
      </c>
      <c r="AX305" s="4">
        <f t="shared" si="420"/>
        <v>334.5</v>
      </c>
      <c r="AY305" s="4">
        <f t="shared" si="415"/>
        <v>3484</v>
      </c>
      <c r="AZ305" s="4">
        <f t="shared" si="416"/>
        <v>-139</v>
      </c>
      <c r="BA305" s="22">
        <f t="shared" si="421"/>
        <v>334.5</v>
      </c>
      <c r="BB305" s="4">
        <f t="shared" si="417"/>
        <v>3818.5</v>
      </c>
      <c r="BC305" s="4">
        <f t="shared" si="418"/>
        <v>-473.5</v>
      </c>
      <c r="BF305" s="22">
        <v>148.66666666666666</v>
      </c>
      <c r="BG305" s="4">
        <f t="shared" si="398"/>
        <v>185.83333333333334</v>
      </c>
    </row>
    <row r="306" spans="1:59" x14ac:dyDescent="0.35">
      <c r="C306" s="4"/>
      <c r="D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E306" s="4"/>
      <c r="AG306" s="5"/>
      <c r="AL306" s="4"/>
      <c r="AM306" s="4"/>
      <c r="AN306" s="4"/>
      <c r="AO306" s="21"/>
      <c r="AP306" s="4">
        <f t="shared" si="412"/>
        <v>0</v>
      </c>
      <c r="AQ306" s="4"/>
      <c r="AR306" s="21"/>
      <c r="AS306" s="19"/>
      <c r="AT306" s="4"/>
      <c r="BA306" s="17"/>
      <c r="BF306" s="17"/>
      <c r="BG306" s="4">
        <f t="shared" si="398"/>
        <v>0</v>
      </c>
    </row>
    <row r="307" spans="1:59" x14ac:dyDescent="0.35">
      <c r="C307" s="19">
        <f>SUM(C299:C306)</f>
        <v>979540</v>
      </c>
      <c r="D307" s="4"/>
      <c r="F307" s="4"/>
      <c r="G307" s="19">
        <f t="shared" ref="G307:R307" si="422">SUM(G299:G303)</f>
        <v>669</v>
      </c>
      <c r="H307" s="19">
        <f t="shared" si="422"/>
        <v>231</v>
      </c>
      <c r="I307" s="19">
        <f t="shared" si="422"/>
        <v>900</v>
      </c>
      <c r="J307" s="19">
        <f t="shared" si="422"/>
        <v>12378</v>
      </c>
      <c r="K307" s="19">
        <f t="shared" si="422"/>
        <v>13278</v>
      </c>
      <c r="L307" s="19">
        <f t="shared" si="422"/>
        <v>43346.172222222216</v>
      </c>
      <c r="M307" s="19">
        <f t="shared" si="422"/>
        <v>56624.172222222216</v>
      </c>
      <c r="N307" s="19">
        <f t="shared" si="422"/>
        <v>43392.12222222222</v>
      </c>
      <c r="O307" s="19">
        <f t="shared" si="422"/>
        <v>100016.29444444444</v>
      </c>
      <c r="P307" s="19">
        <f t="shared" si="422"/>
        <v>43248.844444444447</v>
      </c>
      <c r="Q307" s="19">
        <f t="shared" si="422"/>
        <v>143265.13888888888</v>
      </c>
      <c r="R307" s="19">
        <f t="shared" si="422"/>
        <v>43210.844444444447</v>
      </c>
      <c r="S307" s="19">
        <f>Q307+R307</f>
        <v>186475.98333333334</v>
      </c>
      <c r="T307" s="19">
        <f>SUM(T299:T303)</f>
        <v>43188.844444444447</v>
      </c>
      <c r="U307" s="19">
        <f>SUM(U299:U303)</f>
        <v>229664.82777777777</v>
      </c>
      <c r="V307" s="19">
        <f>SUM(V299:V303)</f>
        <v>43188.844444444447</v>
      </c>
      <c r="W307" s="19">
        <f>SUM(W299:W303)</f>
        <v>273288.33888888883</v>
      </c>
      <c r="X307" s="19">
        <f>V307</f>
        <v>43188.844444444447</v>
      </c>
      <c r="Y307" s="19">
        <f>W307+V307</f>
        <v>316477.18333333329</v>
      </c>
      <c r="Z307" s="19">
        <f>SUM(Z299:Z305)</f>
        <v>43516.4</v>
      </c>
      <c r="AA307" s="19">
        <f>SUM(AA299:AA305)</f>
        <v>360259.36111111112</v>
      </c>
      <c r="AB307" s="19">
        <f>SUM(AB299:AB305)</f>
        <v>43790.5</v>
      </c>
      <c r="AC307" s="19">
        <f>SUM(AC299:AC305)</f>
        <v>404049.86111111107</v>
      </c>
      <c r="AD307" s="3">
        <f>AB307</f>
        <v>43790.5</v>
      </c>
      <c r="AE307" s="4">
        <f t="shared" ref="AE307:AE337" si="423">AC307+AD307</f>
        <v>447840.36111111107</v>
      </c>
      <c r="AF307" s="3">
        <f t="shared" ref="AF307:BC307" si="424">SUM(AF299:AF305)</f>
        <v>43795.655555555553</v>
      </c>
      <c r="AG307" s="5">
        <f t="shared" si="424"/>
        <v>491636.01666666672</v>
      </c>
      <c r="AH307" s="3">
        <f t="shared" si="424"/>
        <v>43694.822222222218</v>
      </c>
      <c r="AI307" s="3">
        <f t="shared" si="424"/>
        <v>535330.83888888895</v>
      </c>
      <c r="AJ307" s="3">
        <f t="shared" si="424"/>
        <v>43666.322222222218</v>
      </c>
      <c r="AK307" s="3">
        <f t="shared" si="424"/>
        <v>578997.16111111117</v>
      </c>
      <c r="AL307" s="4">
        <f t="shared" si="424"/>
        <v>43666.322222222218</v>
      </c>
      <c r="AM307" s="4">
        <f t="shared" si="424"/>
        <v>622663.4833333334</v>
      </c>
      <c r="AN307" s="4">
        <f t="shared" si="424"/>
        <v>356876.51666666655</v>
      </c>
      <c r="AO307" s="25">
        <f t="shared" si="424"/>
        <v>43666.322222222218</v>
      </c>
      <c r="AP307" s="4">
        <f t="shared" si="424"/>
        <v>666329.80555555562</v>
      </c>
      <c r="AQ307" s="4">
        <v>594539.25</v>
      </c>
      <c r="AR307" s="21">
        <v>24844.1</v>
      </c>
      <c r="AS307" s="19">
        <v>409844.85</v>
      </c>
      <c r="AT307" s="4">
        <v>569695.14999999991</v>
      </c>
      <c r="AU307" s="21">
        <f t="shared" si="424"/>
        <v>43666.322222222218</v>
      </c>
      <c r="AV307" s="19">
        <f t="shared" si="424"/>
        <v>453511.17222222226</v>
      </c>
      <c r="AW307" s="19">
        <f t="shared" si="424"/>
        <v>526028.82777777768</v>
      </c>
      <c r="AX307" s="19">
        <f t="shared" si="424"/>
        <v>43666.322222222218</v>
      </c>
      <c r="AY307" s="19">
        <f t="shared" si="424"/>
        <v>497177.49444444448</v>
      </c>
      <c r="AZ307" s="19">
        <f t="shared" si="424"/>
        <v>482362.50555555552</v>
      </c>
      <c r="BA307" s="20">
        <f t="shared" si="424"/>
        <v>43666.322222222218</v>
      </c>
      <c r="BB307" s="19">
        <f t="shared" si="424"/>
        <v>540843.81666666677</v>
      </c>
      <c r="BC307" s="19">
        <f t="shared" si="424"/>
        <v>438696.18333333329</v>
      </c>
      <c r="BF307" s="20">
        <v>43308.488888888882</v>
      </c>
      <c r="BG307" s="4">
        <f t="shared" si="398"/>
        <v>357.83333333333576</v>
      </c>
    </row>
    <row r="308" spans="1:59" x14ac:dyDescent="0.35">
      <c r="C308" s="4"/>
      <c r="D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X308" s="4"/>
      <c r="Y308" s="4"/>
      <c r="AC308" s="4"/>
      <c r="AE308" s="4">
        <f t="shared" si="423"/>
        <v>0</v>
      </c>
      <c r="AG308" s="5"/>
      <c r="AM308" s="4"/>
      <c r="AN308" s="4"/>
      <c r="AO308" s="6"/>
      <c r="AR308" s="6"/>
      <c r="AS308" s="1"/>
      <c r="AT308" s="4"/>
      <c r="BA308" s="17"/>
      <c r="BF308" s="17"/>
      <c r="BG308" s="4">
        <f t="shared" si="398"/>
        <v>0</v>
      </c>
    </row>
    <row r="309" spans="1:59" x14ac:dyDescent="0.35">
      <c r="C309" s="4"/>
      <c r="D309" s="4"/>
      <c r="F309" s="4"/>
      <c r="G309" s="19"/>
      <c r="H309" s="19"/>
      <c r="I309" s="19"/>
      <c r="J309" s="4"/>
      <c r="K309" s="4"/>
      <c r="L309" s="4"/>
      <c r="M309" s="4"/>
      <c r="N309" s="4"/>
      <c r="O309" s="4"/>
      <c r="P309" s="4"/>
      <c r="Q309" s="4"/>
      <c r="X309" s="4"/>
      <c r="Y309" s="4"/>
      <c r="AC309" s="4"/>
      <c r="AE309" s="4">
        <f t="shared" si="423"/>
        <v>0</v>
      </c>
      <c r="AG309" s="5"/>
      <c r="AM309" s="4"/>
      <c r="AN309" s="4"/>
      <c r="AO309" s="6"/>
      <c r="AR309" s="6"/>
      <c r="AS309" s="1"/>
      <c r="BA309" s="17"/>
      <c r="BF309" s="17"/>
      <c r="BG309" s="4">
        <f t="shared" si="398"/>
        <v>0</v>
      </c>
    </row>
    <row r="310" spans="1:59" x14ac:dyDescent="0.35">
      <c r="A310" s="3" t="s">
        <v>306</v>
      </c>
      <c r="C310" s="4"/>
      <c r="D310" s="4"/>
      <c r="F310" s="4"/>
      <c r="G310" s="19"/>
      <c r="H310" s="19"/>
      <c r="I310" s="19"/>
      <c r="J310" s="4"/>
      <c r="K310" s="4"/>
      <c r="L310" s="4"/>
      <c r="M310" s="4"/>
      <c r="N310" s="4"/>
      <c r="O310" s="4"/>
      <c r="P310" s="4"/>
      <c r="Q310" s="4"/>
      <c r="X310" s="4"/>
      <c r="Y310" s="4"/>
      <c r="AC310" s="4"/>
      <c r="AE310" s="4">
        <f t="shared" si="423"/>
        <v>0</v>
      </c>
      <c r="AG310" s="5"/>
      <c r="AM310" s="4"/>
      <c r="AN310" s="4"/>
      <c r="AO310" s="6"/>
      <c r="AR310" s="6"/>
      <c r="AS310" s="1"/>
      <c r="BA310" s="17"/>
      <c r="BF310" s="17"/>
      <c r="BG310" s="4">
        <f t="shared" si="398"/>
        <v>0</v>
      </c>
    </row>
    <row r="311" spans="1:59" x14ac:dyDescent="0.35">
      <c r="C311" s="4"/>
      <c r="D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X311" s="4"/>
      <c r="Y311" s="4"/>
      <c r="AC311" s="4"/>
      <c r="AE311" s="4">
        <f t="shared" si="423"/>
        <v>0</v>
      </c>
      <c r="AG311" s="5"/>
      <c r="AM311" s="4"/>
      <c r="AN311" s="4"/>
      <c r="AO311" s="6"/>
      <c r="AR311" s="6"/>
      <c r="AS311" s="1"/>
      <c r="BA311" s="17"/>
      <c r="BF311" s="17"/>
      <c r="BG311" s="4">
        <f t="shared" si="398"/>
        <v>0</v>
      </c>
    </row>
    <row r="312" spans="1:59" x14ac:dyDescent="0.35">
      <c r="A312" s="3" t="s">
        <v>307</v>
      </c>
      <c r="B312" s="3" t="s">
        <v>308</v>
      </c>
      <c r="C312" s="4">
        <v>15679</v>
      </c>
      <c r="D312" s="4" t="s">
        <v>80</v>
      </c>
      <c r="E312" s="2">
        <v>22.5</v>
      </c>
      <c r="F312" s="4"/>
      <c r="G312" s="4">
        <v>8190</v>
      </c>
      <c r="H312" s="4">
        <v>1568</v>
      </c>
      <c r="I312" s="4">
        <f t="shared" ref="I312:I327" si="425">SUM(G312:H312)</f>
        <v>9758</v>
      </c>
      <c r="J312" s="4">
        <f>H312</f>
        <v>1568</v>
      </c>
      <c r="K312" s="4">
        <f t="shared" ref="K312:K328" si="426">I312+J312</f>
        <v>11326</v>
      </c>
      <c r="L312" s="4">
        <f t="shared" ref="L312:L318" si="427">J312</f>
        <v>1568</v>
      </c>
      <c r="M312" s="4">
        <f t="shared" ref="M312:M329" si="428">K312+L312</f>
        <v>12894</v>
      </c>
      <c r="N312" s="4">
        <f t="shared" ref="N312:N318" si="429">L312</f>
        <v>1568</v>
      </c>
      <c r="O312" s="4">
        <f t="shared" ref="O312:O330" si="430">M312+N312</f>
        <v>14462</v>
      </c>
      <c r="P312" s="4">
        <f>15679-14462</f>
        <v>1217</v>
      </c>
      <c r="Q312" s="4">
        <f t="shared" ref="Q312:Q330" si="431">O312+P312</f>
        <v>15679</v>
      </c>
      <c r="R312" s="4">
        <v>0</v>
      </c>
      <c r="S312" s="4">
        <f t="shared" ref="S312:S331" si="432">Q312+R312</f>
        <v>15679</v>
      </c>
      <c r="T312" s="4">
        <f t="shared" ref="T312:T330" si="433">R312</f>
        <v>0</v>
      </c>
      <c r="U312" s="4">
        <f t="shared" ref="U312:U333" si="434">S312+T312</f>
        <v>15679</v>
      </c>
      <c r="V312" s="4">
        <f t="shared" ref="V312:V326" si="435">T312</f>
        <v>0</v>
      </c>
      <c r="W312" s="4">
        <f t="shared" ref="W312:W333" si="436">U312+V312</f>
        <v>15679</v>
      </c>
      <c r="X312" s="4">
        <f t="shared" ref="X312:X326" si="437">V312</f>
        <v>0</v>
      </c>
      <c r="Y312" s="4">
        <f t="shared" ref="Y312:Y330" si="438">SUM(W312:X312)</f>
        <v>15679</v>
      </c>
      <c r="Z312" s="4">
        <f t="shared" ref="Z312:Z326" si="439">X312</f>
        <v>0</v>
      </c>
      <c r="AA312" s="4">
        <f t="shared" ref="AA312:AA327" si="440">Y312+X312</f>
        <v>15679</v>
      </c>
      <c r="AB312" s="4">
        <f t="shared" ref="AB312:AB333" si="441">Z312</f>
        <v>0</v>
      </c>
      <c r="AC312" s="4">
        <f t="shared" ref="AC312:AC333" si="442">SUM(AA312:AB312)</f>
        <v>15679</v>
      </c>
      <c r="AD312" s="3">
        <f t="shared" ref="AD312:AD327" si="443">AB312</f>
        <v>0</v>
      </c>
      <c r="AE312" s="4">
        <f t="shared" si="423"/>
        <v>15679</v>
      </c>
      <c r="AF312" s="3">
        <f t="shared" ref="AF312:AF334" si="444">AD312</f>
        <v>0</v>
      </c>
      <c r="AG312" s="5">
        <f t="shared" ref="AG312:AG334" si="445">AE312+AF312</f>
        <v>15679</v>
      </c>
      <c r="AH312" s="3">
        <f t="shared" ref="AH312:AH327" si="446">AF312</f>
        <v>0</v>
      </c>
      <c r="AI312" s="5">
        <f t="shared" ref="AI312:AI334" si="447">AG312+AH312</f>
        <v>15679</v>
      </c>
      <c r="AJ312" s="3">
        <f t="shared" ref="AJ312:AJ327" si="448">AH312</f>
        <v>0</v>
      </c>
      <c r="AK312" s="3">
        <f t="shared" ref="AK312:AK334" si="449">SUM(AI312:AJ312)</f>
        <v>15679</v>
      </c>
      <c r="AL312" s="3">
        <f t="shared" ref="AL312:AL327" si="450">AJ312</f>
        <v>0</v>
      </c>
      <c r="AM312" s="4">
        <f t="shared" ref="AM312:AM331" si="451">SUM(AK312:AL312)</f>
        <v>15679</v>
      </c>
      <c r="AN312" s="4">
        <f t="shared" ref="AN312:AN334" si="452">C312-AM312</f>
        <v>0</v>
      </c>
      <c r="AO312" s="21">
        <f t="shared" ref="AO312:AO330" si="453">AL312</f>
        <v>0</v>
      </c>
      <c r="AP312" s="4">
        <f t="shared" ref="AP312:AP334" si="454">AM312+AO312</f>
        <v>15679</v>
      </c>
      <c r="AQ312" s="4">
        <v>0</v>
      </c>
      <c r="AR312" s="21">
        <v>0</v>
      </c>
      <c r="AS312" s="19">
        <v>15679</v>
      </c>
      <c r="AT312" s="4">
        <v>0</v>
      </c>
      <c r="AU312" s="21">
        <f t="shared" ref="AU312:AU333" si="455">AR312</f>
        <v>0</v>
      </c>
      <c r="AV312" s="19">
        <f t="shared" ref="AV312:AV335" si="456">AS312+AU312</f>
        <v>15679</v>
      </c>
      <c r="AW312" s="4">
        <f t="shared" ref="AW312:AW335" si="457">C312-AV312</f>
        <v>0</v>
      </c>
      <c r="AX312" s="4">
        <v>0</v>
      </c>
      <c r="AY312" s="4">
        <f t="shared" ref="AY312:AY335" si="458">SUM(AV312+AX312)</f>
        <v>15679</v>
      </c>
      <c r="AZ312" s="4">
        <f t="shared" ref="AZ312:AZ335" si="459">SUM(C312-AY312)</f>
        <v>0</v>
      </c>
      <c r="BA312" s="22">
        <v>0</v>
      </c>
      <c r="BB312" s="4">
        <f t="shared" ref="BB312:BB335" si="460">SUM(AY312+BA312)</f>
        <v>15679</v>
      </c>
      <c r="BC312" s="4">
        <f t="shared" ref="BC312:BC335" si="461">SUM(C312-BB312)</f>
        <v>0</v>
      </c>
      <c r="BF312" s="22">
        <v>0</v>
      </c>
      <c r="BG312" s="4">
        <f t="shared" si="398"/>
        <v>0</v>
      </c>
    </row>
    <row r="313" spans="1:59" x14ac:dyDescent="0.35">
      <c r="A313" s="3" t="s">
        <v>309</v>
      </c>
      <c r="B313" s="3" t="s">
        <v>310</v>
      </c>
      <c r="C313" s="4">
        <v>1634</v>
      </c>
      <c r="D313" s="4" t="s">
        <v>80</v>
      </c>
      <c r="E313" s="2">
        <v>22.5</v>
      </c>
      <c r="F313" s="4"/>
      <c r="G313" s="4">
        <v>1634</v>
      </c>
      <c r="H313" s="4"/>
      <c r="I313" s="4">
        <f t="shared" si="425"/>
        <v>1634</v>
      </c>
      <c r="J313" s="4"/>
      <c r="K313" s="4">
        <f t="shared" si="426"/>
        <v>1634</v>
      </c>
      <c r="L313" s="4">
        <f t="shared" si="427"/>
        <v>0</v>
      </c>
      <c r="M313" s="4">
        <f t="shared" si="428"/>
        <v>1634</v>
      </c>
      <c r="N313" s="4">
        <f t="shared" si="429"/>
        <v>0</v>
      </c>
      <c r="O313" s="4">
        <f t="shared" si="430"/>
        <v>1634</v>
      </c>
      <c r="P313" s="4">
        <f t="shared" ref="P313:P318" si="462">N313</f>
        <v>0</v>
      </c>
      <c r="Q313" s="4">
        <f t="shared" si="431"/>
        <v>1634</v>
      </c>
      <c r="R313" s="4">
        <f t="shared" ref="R313:R325" si="463">P313</f>
        <v>0</v>
      </c>
      <c r="S313" s="4">
        <f t="shared" si="432"/>
        <v>1634</v>
      </c>
      <c r="T313" s="4">
        <f t="shared" si="433"/>
        <v>0</v>
      </c>
      <c r="U313" s="4">
        <f t="shared" si="434"/>
        <v>1634</v>
      </c>
      <c r="V313" s="4">
        <f t="shared" si="435"/>
        <v>0</v>
      </c>
      <c r="W313" s="4">
        <f t="shared" si="436"/>
        <v>1634</v>
      </c>
      <c r="X313" s="4">
        <f t="shared" si="437"/>
        <v>0</v>
      </c>
      <c r="Y313" s="4">
        <f t="shared" si="438"/>
        <v>1634</v>
      </c>
      <c r="Z313" s="4">
        <f t="shared" si="439"/>
        <v>0</v>
      </c>
      <c r="AA313" s="4">
        <f t="shared" si="440"/>
        <v>1634</v>
      </c>
      <c r="AB313" s="4">
        <f t="shared" si="441"/>
        <v>0</v>
      </c>
      <c r="AC313" s="4">
        <f t="shared" si="442"/>
        <v>1634</v>
      </c>
      <c r="AD313" s="3">
        <f t="shared" si="443"/>
        <v>0</v>
      </c>
      <c r="AE313" s="4">
        <f t="shared" si="423"/>
        <v>1634</v>
      </c>
      <c r="AF313" s="3">
        <f t="shared" si="444"/>
        <v>0</v>
      </c>
      <c r="AG313" s="5">
        <f t="shared" si="445"/>
        <v>1634</v>
      </c>
      <c r="AH313" s="3">
        <f t="shared" si="446"/>
        <v>0</v>
      </c>
      <c r="AI313" s="5">
        <f t="shared" si="447"/>
        <v>1634</v>
      </c>
      <c r="AJ313" s="3">
        <f t="shared" si="448"/>
        <v>0</v>
      </c>
      <c r="AK313" s="3">
        <f t="shared" si="449"/>
        <v>1634</v>
      </c>
      <c r="AL313" s="3">
        <f t="shared" si="450"/>
        <v>0</v>
      </c>
      <c r="AM313" s="4">
        <f t="shared" si="451"/>
        <v>1634</v>
      </c>
      <c r="AN313" s="4">
        <f t="shared" si="452"/>
        <v>0</v>
      </c>
      <c r="AO313" s="21">
        <f t="shared" si="453"/>
        <v>0</v>
      </c>
      <c r="AP313" s="4">
        <f t="shared" si="454"/>
        <v>1634</v>
      </c>
      <c r="AQ313" s="4">
        <v>0</v>
      </c>
      <c r="AR313" s="21">
        <v>0</v>
      </c>
      <c r="AS313" s="19">
        <v>1634</v>
      </c>
      <c r="AT313" s="4">
        <v>0</v>
      </c>
      <c r="AU313" s="21">
        <f t="shared" si="455"/>
        <v>0</v>
      </c>
      <c r="AV313" s="19">
        <f t="shared" si="456"/>
        <v>1634</v>
      </c>
      <c r="AW313" s="4">
        <f t="shared" si="457"/>
        <v>0</v>
      </c>
      <c r="AX313" s="4">
        <v>0</v>
      </c>
      <c r="AY313" s="4">
        <f t="shared" si="458"/>
        <v>1634</v>
      </c>
      <c r="AZ313" s="4">
        <f t="shared" si="459"/>
        <v>0</v>
      </c>
      <c r="BA313" s="22">
        <v>0</v>
      </c>
      <c r="BB313" s="4">
        <f t="shared" si="460"/>
        <v>1634</v>
      </c>
      <c r="BC313" s="4">
        <f t="shared" si="461"/>
        <v>0</v>
      </c>
      <c r="BF313" s="22">
        <v>0</v>
      </c>
      <c r="BG313" s="4">
        <f t="shared" si="398"/>
        <v>0</v>
      </c>
    </row>
    <row r="314" spans="1:59" x14ac:dyDescent="0.35">
      <c r="A314" s="3" t="s">
        <v>311</v>
      </c>
      <c r="B314" s="3" t="s">
        <v>312</v>
      </c>
      <c r="C314" s="4">
        <v>895</v>
      </c>
      <c r="D314" s="4" t="s">
        <v>80</v>
      </c>
      <c r="E314" s="2">
        <v>22.5</v>
      </c>
      <c r="F314" s="4"/>
      <c r="G314" s="4">
        <v>895</v>
      </c>
      <c r="H314" s="4"/>
      <c r="I314" s="4">
        <f t="shared" si="425"/>
        <v>895</v>
      </c>
      <c r="J314" s="4"/>
      <c r="K314" s="4">
        <f t="shared" si="426"/>
        <v>895</v>
      </c>
      <c r="L314" s="4">
        <f t="shared" si="427"/>
        <v>0</v>
      </c>
      <c r="M314" s="4">
        <f t="shared" si="428"/>
        <v>895</v>
      </c>
      <c r="N314" s="4">
        <f t="shared" si="429"/>
        <v>0</v>
      </c>
      <c r="O314" s="4">
        <f t="shared" si="430"/>
        <v>895</v>
      </c>
      <c r="P314" s="4">
        <f t="shared" si="462"/>
        <v>0</v>
      </c>
      <c r="Q314" s="4">
        <f t="shared" si="431"/>
        <v>895</v>
      </c>
      <c r="R314" s="4">
        <f t="shared" si="463"/>
        <v>0</v>
      </c>
      <c r="S314" s="4">
        <f t="shared" si="432"/>
        <v>895</v>
      </c>
      <c r="T314" s="4">
        <f t="shared" si="433"/>
        <v>0</v>
      </c>
      <c r="U314" s="4">
        <f t="shared" si="434"/>
        <v>895</v>
      </c>
      <c r="V314" s="4">
        <f t="shared" si="435"/>
        <v>0</v>
      </c>
      <c r="W314" s="4">
        <f t="shared" si="436"/>
        <v>895</v>
      </c>
      <c r="X314" s="4">
        <f t="shared" si="437"/>
        <v>0</v>
      </c>
      <c r="Y314" s="4">
        <f t="shared" si="438"/>
        <v>895</v>
      </c>
      <c r="Z314" s="4">
        <f t="shared" si="439"/>
        <v>0</v>
      </c>
      <c r="AA314" s="4">
        <f t="shared" si="440"/>
        <v>895</v>
      </c>
      <c r="AB314" s="4">
        <f t="shared" si="441"/>
        <v>0</v>
      </c>
      <c r="AC314" s="4">
        <f t="shared" si="442"/>
        <v>895</v>
      </c>
      <c r="AD314" s="3">
        <f t="shared" si="443"/>
        <v>0</v>
      </c>
      <c r="AE314" s="4">
        <f t="shared" si="423"/>
        <v>895</v>
      </c>
      <c r="AF314" s="3">
        <f t="shared" si="444"/>
        <v>0</v>
      </c>
      <c r="AG314" s="5">
        <f t="shared" si="445"/>
        <v>895</v>
      </c>
      <c r="AH314" s="3">
        <f t="shared" si="446"/>
        <v>0</v>
      </c>
      <c r="AI314" s="5">
        <f t="shared" si="447"/>
        <v>895</v>
      </c>
      <c r="AJ314" s="3">
        <f t="shared" si="448"/>
        <v>0</v>
      </c>
      <c r="AK314" s="3">
        <f t="shared" si="449"/>
        <v>895</v>
      </c>
      <c r="AL314" s="3">
        <f t="shared" si="450"/>
        <v>0</v>
      </c>
      <c r="AM314" s="4">
        <f t="shared" si="451"/>
        <v>895</v>
      </c>
      <c r="AN314" s="4">
        <f t="shared" si="452"/>
        <v>0</v>
      </c>
      <c r="AO314" s="21">
        <f t="shared" si="453"/>
        <v>0</v>
      </c>
      <c r="AP314" s="4">
        <f t="shared" si="454"/>
        <v>895</v>
      </c>
      <c r="AQ314" s="4">
        <v>0</v>
      </c>
      <c r="AR314" s="21">
        <v>0</v>
      </c>
      <c r="AS314" s="19">
        <v>895</v>
      </c>
      <c r="AT314" s="4">
        <v>0</v>
      </c>
      <c r="AU314" s="21">
        <f t="shared" si="455"/>
        <v>0</v>
      </c>
      <c r="AV314" s="19">
        <f t="shared" si="456"/>
        <v>895</v>
      </c>
      <c r="AW314" s="4">
        <f t="shared" si="457"/>
        <v>0</v>
      </c>
      <c r="AX314" s="4">
        <v>0</v>
      </c>
      <c r="AY314" s="4">
        <f t="shared" si="458"/>
        <v>895</v>
      </c>
      <c r="AZ314" s="4">
        <f t="shared" si="459"/>
        <v>0</v>
      </c>
      <c r="BA314" s="22">
        <v>0</v>
      </c>
      <c r="BB314" s="4">
        <f t="shared" si="460"/>
        <v>895</v>
      </c>
      <c r="BC314" s="4">
        <f t="shared" si="461"/>
        <v>0</v>
      </c>
      <c r="BF314" s="22">
        <v>0</v>
      </c>
      <c r="BG314" s="4">
        <f t="shared" si="398"/>
        <v>0</v>
      </c>
    </row>
    <row r="315" spans="1:59" x14ac:dyDescent="0.35">
      <c r="A315" s="3" t="s">
        <v>313</v>
      </c>
      <c r="B315" s="3" t="s">
        <v>312</v>
      </c>
      <c r="C315" s="4">
        <v>575</v>
      </c>
      <c r="D315" s="4" t="s">
        <v>80</v>
      </c>
      <c r="E315" s="2">
        <v>22.5</v>
      </c>
      <c r="F315" s="4"/>
      <c r="G315" s="4">
        <v>575</v>
      </c>
      <c r="H315" s="4"/>
      <c r="I315" s="4">
        <f t="shared" si="425"/>
        <v>575</v>
      </c>
      <c r="J315" s="4"/>
      <c r="K315" s="4">
        <f t="shared" si="426"/>
        <v>575</v>
      </c>
      <c r="L315" s="4">
        <f t="shared" si="427"/>
        <v>0</v>
      </c>
      <c r="M315" s="4">
        <f t="shared" si="428"/>
        <v>575</v>
      </c>
      <c r="N315" s="4">
        <f t="shared" si="429"/>
        <v>0</v>
      </c>
      <c r="O315" s="4">
        <f t="shared" si="430"/>
        <v>575</v>
      </c>
      <c r="P315" s="4">
        <f t="shared" si="462"/>
        <v>0</v>
      </c>
      <c r="Q315" s="4">
        <f t="shared" si="431"/>
        <v>575</v>
      </c>
      <c r="R315" s="4">
        <f t="shared" si="463"/>
        <v>0</v>
      </c>
      <c r="S315" s="4">
        <f t="shared" si="432"/>
        <v>575</v>
      </c>
      <c r="T315" s="4">
        <f t="shared" si="433"/>
        <v>0</v>
      </c>
      <c r="U315" s="4">
        <f t="shared" si="434"/>
        <v>575</v>
      </c>
      <c r="V315" s="4">
        <f t="shared" si="435"/>
        <v>0</v>
      </c>
      <c r="W315" s="4">
        <f t="shared" si="436"/>
        <v>575</v>
      </c>
      <c r="X315" s="4">
        <f t="shared" si="437"/>
        <v>0</v>
      </c>
      <c r="Y315" s="4">
        <f t="shared" si="438"/>
        <v>575</v>
      </c>
      <c r="Z315" s="4">
        <f t="shared" si="439"/>
        <v>0</v>
      </c>
      <c r="AA315" s="4">
        <f t="shared" si="440"/>
        <v>575</v>
      </c>
      <c r="AB315" s="4">
        <f t="shared" si="441"/>
        <v>0</v>
      </c>
      <c r="AC315" s="4">
        <f t="shared" si="442"/>
        <v>575</v>
      </c>
      <c r="AD315" s="3">
        <f t="shared" si="443"/>
        <v>0</v>
      </c>
      <c r="AE315" s="4">
        <f t="shared" si="423"/>
        <v>575</v>
      </c>
      <c r="AF315" s="3">
        <f t="shared" si="444"/>
        <v>0</v>
      </c>
      <c r="AG315" s="5">
        <f t="shared" si="445"/>
        <v>575</v>
      </c>
      <c r="AH315" s="3">
        <f t="shared" si="446"/>
        <v>0</v>
      </c>
      <c r="AI315" s="5">
        <f t="shared" si="447"/>
        <v>575</v>
      </c>
      <c r="AJ315" s="3">
        <f t="shared" si="448"/>
        <v>0</v>
      </c>
      <c r="AK315" s="3">
        <f t="shared" si="449"/>
        <v>575</v>
      </c>
      <c r="AL315" s="3">
        <f t="shared" si="450"/>
        <v>0</v>
      </c>
      <c r="AM315" s="4">
        <f t="shared" si="451"/>
        <v>575</v>
      </c>
      <c r="AN315" s="4">
        <f t="shared" si="452"/>
        <v>0</v>
      </c>
      <c r="AO315" s="21">
        <f t="shared" si="453"/>
        <v>0</v>
      </c>
      <c r="AP315" s="4">
        <f t="shared" si="454"/>
        <v>575</v>
      </c>
      <c r="AQ315" s="4">
        <v>0</v>
      </c>
      <c r="AR315" s="21">
        <v>0</v>
      </c>
      <c r="AS315" s="19">
        <v>575</v>
      </c>
      <c r="AT315" s="4">
        <v>0</v>
      </c>
      <c r="AU315" s="21">
        <f t="shared" si="455"/>
        <v>0</v>
      </c>
      <c r="AV315" s="19">
        <f t="shared" si="456"/>
        <v>575</v>
      </c>
      <c r="AW315" s="4">
        <f t="shared" si="457"/>
        <v>0</v>
      </c>
      <c r="AX315" s="4">
        <v>0</v>
      </c>
      <c r="AY315" s="4">
        <f t="shared" si="458"/>
        <v>575</v>
      </c>
      <c r="AZ315" s="4">
        <f t="shared" si="459"/>
        <v>0</v>
      </c>
      <c r="BA315" s="22">
        <v>0</v>
      </c>
      <c r="BB315" s="4">
        <f t="shared" si="460"/>
        <v>575</v>
      </c>
      <c r="BC315" s="4">
        <f t="shared" si="461"/>
        <v>0</v>
      </c>
      <c r="BF315" s="22">
        <v>0</v>
      </c>
      <c r="BG315" s="4">
        <f t="shared" si="398"/>
        <v>0</v>
      </c>
    </row>
    <row r="316" spans="1:59" x14ac:dyDescent="0.35">
      <c r="A316" s="3" t="s">
        <v>171</v>
      </c>
      <c r="B316" s="3" t="s">
        <v>314</v>
      </c>
      <c r="C316" s="4">
        <v>10091</v>
      </c>
      <c r="D316" s="4" t="s">
        <v>80</v>
      </c>
      <c r="E316" s="2">
        <v>22.5</v>
      </c>
      <c r="F316" s="4"/>
      <c r="G316" s="4">
        <v>10091</v>
      </c>
      <c r="H316" s="4"/>
      <c r="I316" s="4">
        <f t="shared" si="425"/>
        <v>10091</v>
      </c>
      <c r="J316" s="4"/>
      <c r="K316" s="4">
        <f t="shared" si="426"/>
        <v>10091</v>
      </c>
      <c r="L316" s="4">
        <f t="shared" si="427"/>
        <v>0</v>
      </c>
      <c r="M316" s="4">
        <f t="shared" si="428"/>
        <v>10091</v>
      </c>
      <c r="N316" s="4">
        <f t="shared" si="429"/>
        <v>0</v>
      </c>
      <c r="O316" s="4">
        <f t="shared" si="430"/>
        <v>10091</v>
      </c>
      <c r="P316" s="4">
        <f t="shared" si="462"/>
        <v>0</v>
      </c>
      <c r="Q316" s="4">
        <f t="shared" si="431"/>
        <v>10091</v>
      </c>
      <c r="R316" s="4">
        <f t="shared" si="463"/>
        <v>0</v>
      </c>
      <c r="S316" s="4">
        <f t="shared" si="432"/>
        <v>10091</v>
      </c>
      <c r="T316" s="4">
        <f t="shared" si="433"/>
        <v>0</v>
      </c>
      <c r="U316" s="4">
        <f t="shared" si="434"/>
        <v>10091</v>
      </c>
      <c r="V316" s="4">
        <f t="shared" si="435"/>
        <v>0</v>
      </c>
      <c r="W316" s="4">
        <f t="shared" si="436"/>
        <v>10091</v>
      </c>
      <c r="X316" s="4">
        <f t="shared" si="437"/>
        <v>0</v>
      </c>
      <c r="Y316" s="4">
        <f t="shared" si="438"/>
        <v>10091</v>
      </c>
      <c r="Z316" s="4">
        <f t="shared" si="439"/>
        <v>0</v>
      </c>
      <c r="AA316" s="4">
        <f t="shared" si="440"/>
        <v>10091</v>
      </c>
      <c r="AB316" s="4">
        <f t="shared" si="441"/>
        <v>0</v>
      </c>
      <c r="AC316" s="4">
        <f t="shared" si="442"/>
        <v>10091</v>
      </c>
      <c r="AD316" s="3">
        <f t="shared" si="443"/>
        <v>0</v>
      </c>
      <c r="AE316" s="4">
        <f t="shared" si="423"/>
        <v>10091</v>
      </c>
      <c r="AF316" s="3">
        <f t="shared" si="444"/>
        <v>0</v>
      </c>
      <c r="AG316" s="5">
        <f t="shared" si="445"/>
        <v>10091</v>
      </c>
      <c r="AH316" s="3">
        <f t="shared" si="446"/>
        <v>0</v>
      </c>
      <c r="AI316" s="5">
        <f t="shared" si="447"/>
        <v>10091</v>
      </c>
      <c r="AJ316" s="3">
        <f t="shared" si="448"/>
        <v>0</v>
      </c>
      <c r="AK316" s="3">
        <f t="shared" si="449"/>
        <v>10091</v>
      </c>
      <c r="AL316" s="3">
        <f t="shared" si="450"/>
        <v>0</v>
      </c>
      <c r="AM316" s="4">
        <f t="shared" si="451"/>
        <v>10091</v>
      </c>
      <c r="AN316" s="4">
        <f t="shared" si="452"/>
        <v>0</v>
      </c>
      <c r="AO316" s="21">
        <f t="shared" si="453"/>
        <v>0</v>
      </c>
      <c r="AP316" s="4">
        <f t="shared" si="454"/>
        <v>10091</v>
      </c>
      <c r="AQ316" s="4">
        <v>0</v>
      </c>
      <c r="AR316" s="21">
        <v>0</v>
      </c>
      <c r="AS316" s="19">
        <v>10091</v>
      </c>
      <c r="AT316" s="4">
        <v>0</v>
      </c>
      <c r="AU316" s="21">
        <f t="shared" si="455"/>
        <v>0</v>
      </c>
      <c r="AV316" s="19">
        <f t="shared" si="456"/>
        <v>10091</v>
      </c>
      <c r="AW316" s="4">
        <f t="shared" si="457"/>
        <v>0</v>
      </c>
      <c r="AX316" s="4">
        <v>0</v>
      </c>
      <c r="AY316" s="4">
        <f t="shared" si="458"/>
        <v>10091</v>
      </c>
      <c r="AZ316" s="4">
        <f t="shared" si="459"/>
        <v>0</v>
      </c>
      <c r="BA316" s="22">
        <v>0</v>
      </c>
      <c r="BB316" s="4">
        <f t="shared" si="460"/>
        <v>10091</v>
      </c>
      <c r="BC316" s="4">
        <f t="shared" si="461"/>
        <v>0</v>
      </c>
      <c r="BF316" s="22">
        <v>0</v>
      </c>
      <c r="BG316" s="4">
        <f t="shared" si="398"/>
        <v>0</v>
      </c>
    </row>
    <row r="317" spans="1:59" x14ac:dyDescent="0.35">
      <c r="A317" s="3" t="s">
        <v>315</v>
      </c>
      <c r="B317" s="3" t="s">
        <v>169</v>
      </c>
      <c r="C317" s="4">
        <v>429</v>
      </c>
      <c r="D317" s="4" t="s">
        <v>80</v>
      </c>
      <c r="E317" s="2">
        <v>22.5</v>
      </c>
      <c r="F317" s="4"/>
      <c r="G317" s="4">
        <v>429</v>
      </c>
      <c r="H317" s="4"/>
      <c r="I317" s="4">
        <f t="shared" si="425"/>
        <v>429</v>
      </c>
      <c r="J317" s="4"/>
      <c r="K317" s="4">
        <f t="shared" si="426"/>
        <v>429</v>
      </c>
      <c r="L317" s="4">
        <f t="shared" si="427"/>
        <v>0</v>
      </c>
      <c r="M317" s="4">
        <f t="shared" si="428"/>
        <v>429</v>
      </c>
      <c r="N317" s="4">
        <f t="shared" si="429"/>
        <v>0</v>
      </c>
      <c r="O317" s="4">
        <f t="shared" si="430"/>
        <v>429</v>
      </c>
      <c r="P317" s="4">
        <f t="shared" si="462"/>
        <v>0</v>
      </c>
      <c r="Q317" s="4">
        <f t="shared" si="431"/>
        <v>429</v>
      </c>
      <c r="R317" s="4">
        <f t="shared" si="463"/>
        <v>0</v>
      </c>
      <c r="S317" s="4">
        <f t="shared" si="432"/>
        <v>429</v>
      </c>
      <c r="T317" s="4">
        <f t="shared" si="433"/>
        <v>0</v>
      </c>
      <c r="U317" s="4">
        <f t="shared" si="434"/>
        <v>429</v>
      </c>
      <c r="V317" s="4">
        <f t="shared" si="435"/>
        <v>0</v>
      </c>
      <c r="W317" s="4">
        <f t="shared" si="436"/>
        <v>429</v>
      </c>
      <c r="X317" s="4">
        <f t="shared" si="437"/>
        <v>0</v>
      </c>
      <c r="Y317" s="4">
        <f t="shared" si="438"/>
        <v>429</v>
      </c>
      <c r="Z317" s="4">
        <f t="shared" si="439"/>
        <v>0</v>
      </c>
      <c r="AA317" s="4">
        <f t="shared" si="440"/>
        <v>429</v>
      </c>
      <c r="AB317" s="4">
        <f t="shared" si="441"/>
        <v>0</v>
      </c>
      <c r="AC317" s="4">
        <f t="shared" si="442"/>
        <v>429</v>
      </c>
      <c r="AD317" s="3">
        <f t="shared" si="443"/>
        <v>0</v>
      </c>
      <c r="AE317" s="4">
        <f t="shared" si="423"/>
        <v>429</v>
      </c>
      <c r="AF317" s="3">
        <f t="shared" si="444"/>
        <v>0</v>
      </c>
      <c r="AG317" s="5">
        <f t="shared" si="445"/>
        <v>429</v>
      </c>
      <c r="AH317" s="3">
        <f t="shared" si="446"/>
        <v>0</v>
      </c>
      <c r="AI317" s="5">
        <f t="shared" si="447"/>
        <v>429</v>
      </c>
      <c r="AJ317" s="3">
        <f t="shared" si="448"/>
        <v>0</v>
      </c>
      <c r="AK317" s="3">
        <f t="shared" si="449"/>
        <v>429</v>
      </c>
      <c r="AL317" s="3">
        <f t="shared" si="450"/>
        <v>0</v>
      </c>
      <c r="AM317" s="4">
        <f t="shared" si="451"/>
        <v>429</v>
      </c>
      <c r="AN317" s="4">
        <f t="shared" si="452"/>
        <v>0</v>
      </c>
      <c r="AO317" s="21">
        <f t="shared" si="453"/>
        <v>0</v>
      </c>
      <c r="AP317" s="4">
        <f t="shared" si="454"/>
        <v>429</v>
      </c>
      <c r="AQ317" s="4">
        <v>0</v>
      </c>
      <c r="AR317" s="21">
        <v>0</v>
      </c>
      <c r="AS317" s="19">
        <v>429</v>
      </c>
      <c r="AT317" s="4">
        <v>0</v>
      </c>
      <c r="AU317" s="21">
        <f t="shared" si="455"/>
        <v>0</v>
      </c>
      <c r="AV317" s="19">
        <f t="shared" si="456"/>
        <v>429</v>
      </c>
      <c r="AW317" s="4">
        <f t="shared" si="457"/>
        <v>0</v>
      </c>
      <c r="AX317" s="4">
        <v>0</v>
      </c>
      <c r="AY317" s="4">
        <f t="shared" si="458"/>
        <v>429</v>
      </c>
      <c r="AZ317" s="4">
        <f t="shared" si="459"/>
        <v>0</v>
      </c>
      <c r="BA317" s="22">
        <v>0</v>
      </c>
      <c r="BB317" s="4">
        <f t="shared" si="460"/>
        <v>429</v>
      </c>
      <c r="BC317" s="4">
        <f t="shared" si="461"/>
        <v>0</v>
      </c>
      <c r="BF317" s="22">
        <v>0</v>
      </c>
      <c r="BG317" s="4">
        <f t="shared" si="398"/>
        <v>0</v>
      </c>
    </row>
    <row r="318" spans="1:59" x14ac:dyDescent="0.35">
      <c r="A318" s="3" t="s">
        <v>316</v>
      </c>
      <c r="B318" s="3" t="s">
        <v>169</v>
      </c>
      <c r="C318" s="4">
        <v>500</v>
      </c>
      <c r="D318" s="4" t="s">
        <v>80</v>
      </c>
      <c r="E318" s="2">
        <v>10</v>
      </c>
      <c r="F318" s="4"/>
      <c r="G318" s="4">
        <v>500</v>
      </c>
      <c r="H318" s="4"/>
      <c r="I318" s="4">
        <f t="shared" si="425"/>
        <v>500</v>
      </c>
      <c r="J318" s="4"/>
      <c r="K318" s="4">
        <f t="shared" si="426"/>
        <v>500</v>
      </c>
      <c r="L318" s="4">
        <f t="shared" si="427"/>
        <v>0</v>
      </c>
      <c r="M318" s="4">
        <f t="shared" si="428"/>
        <v>500</v>
      </c>
      <c r="N318" s="4">
        <f t="shared" si="429"/>
        <v>0</v>
      </c>
      <c r="O318" s="4">
        <f t="shared" si="430"/>
        <v>500</v>
      </c>
      <c r="P318" s="4">
        <f t="shared" si="462"/>
        <v>0</v>
      </c>
      <c r="Q318" s="4">
        <f t="shared" si="431"/>
        <v>500</v>
      </c>
      <c r="R318" s="4">
        <f t="shared" si="463"/>
        <v>0</v>
      </c>
      <c r="S318" s="4">
        <f t="shared" si="432"/>
        <v>500</v>
      </c>
      <c r="T318" s="4">
        <f t="shared" si="433"/>
        <v>0</v>
      </c>
      <c r="U318" s="4">
        <f t="shared" si="434"/>
        <v>500</v>
      </c>
      <c r="V318" s="4">
        <f t="shared" si="435"/>
        <v>0</v>
      </c>
      <c r="W318" s="4">
        <f t="shared" si="436"/>
        <v>500</v>
      </c>
      <c r="X318" s="4">
        <f t="shared" si="437"/>
        <v>0</v>
      </c>
      <c r="Y318" s="4">
        <f t="shared" si="438"/>
        <v>500</v>
      </c>
      <c r="Z318" s="4">
        <f t="shared" si="439"/>
        <v>0</v>
      </c>
      <c r="AA318" s="4">
        <f t="shared" si="440"/>
        <v>500</v>
      </c>
      <c r="AB318" s="4">
        <f t="shared" si="441"/>
        <v>0</v>
      </c>
      <c r="AC318" s="4">
        <f t="shared" si="442"/>
        <v>500</v>
      </c>
      <c r="AD318" s="3">
        <f t="shared" si="443"/>
        <v>0</v>
      </c>
      <c r="AE318" s="4">
        <f t="shared" si="423"/>
        <v>500</v>
      </c>
      <c r="AF318" s="3">
        <f t="shared" si="444"/>
        <v>0</v>
      </c>
      <c r="AG318" s="5">
        <f t="shared" si="445"/>
        <v>500</v>
      </c>
      <c r="AH318" s="3">
        <f t="shared" si="446"/>
        <v>0</v>
      </c>
      <c r="AI318" s="5">
        <f t="shared" si="447"/>
        <v>500</v>
      </c>
      <c r="AJ318" s="3">
        <f t="shared" si="448"/>
        <v>0</v>
      </c>
      <c r="AK318" s="3">
        <f t="shared" si="449"/>
        <v>500</v>
      </c>
      <c r="AL318" s="3">
        <f t="shared" si="450"/>
        <v>0</v>
      </c>
      <c r="AM318" s="4">
        <f t="shared" si="451"/>
        <v>500</v>
      </c>
      <c r="AN318" s="4">
        <f t="shared" si="452"/>
        <v>0</v>
      </c>
      <c r="AO318" s="21">
        <f t="shared" si="453"/>
        <v>0</v>
      </c>
      <c r="AP318" s="4">
        <f t="shared" si="454"/>
        <v>500</v>
      </c>
      <c r="AQ318" s="4">
        <v>0</v>
      </c>
      <c r="AR318" s="21">
        <v>0</v>
      </c>
      <c r="AS318" s="19">
        <v>500</v>
      </c>
      <c r="AT318" s="4">
        <v>0</v>
      </c>
      <c r="AU318" s="21">
        <f t="shared" si="455"/>
        <v>0</v>
      </c>
      <c r="AV318" s="19">
        <f t="shared" si="456"/>
        <v>500</v>
      </c>
      <c r="AW318" s="4">
        <f t="shared" si="457"/>
        <v>0</v>
      </c>
      <c r="AX318" s="4">
        <v>0</v>
      </c>
      <c r="AY318" s="4">
        <f t="shared" si="458"/>
        <v>500</v>
      </c>
      <c r="AZ318" s="4">
        <f t="shared" si="459"/>
        <v>0</v>
      </c>
      <c r="BA318" s="22">
        <v>0</v>
      </c>
      <c r="BB318" s="4">
        <f t="shared" si="460"/>
        <v>500</v>
      </c>
      <c r="BC318" s="4">
        <f t="shared" si="461"/>
        <v>0</v>
      </c>
      <c r="BF318" s="22">
        <v>0</v>
      </c>
      <c r="BG318" s="4">
        <f t="shared" si="398"/>
        <v>0</v>
      </c>
    </row>
    <row r="319" spans="1:59" x14ac:dyDescent="0.35">
      <c r="A319" s="3" t="s">
        <v>317</v>
      </c>
      <c r="B319" s="3" t="s">
        <v>48</v>
      </c>
      <c r="C319" s="4">
        <v>5400</v>
      </c>
      <c r="D319" s="4" t="s">
        <v>80</v>
      </c>
      <c r="E319" s="2">
        <v>10</v>
      </c>
      <c r="F319" s="4"/>
      <c r="G319" s="4">
        <v>4050</v>
      </c>
      <c r="H319" s="4">
        <v>540</v>
      </c>
      <c r="I319" s="4">
        <f t="shared" si="425"/>
        <v>4590</v>
      </c>
      <c r="J319" s="4">
        <v>540</v>
      </c>
      <c r="K319" s="4">
        <f t="shared" si="426"/>
        <v>5130</v>
      </c>
      <c r="L319" s="4">
        <f>5400-5130</f>
        <v>270</v>
      </c>
      <c r="M319" s="4">
        <f t="shared" si="428"/>
        <v>5400</v>
      </c>
      <c r="N319" s="4">
        <v>0</v>
      </c>
      <c r="O319" s="4">
        <f t="shared" si="430"/>
        <v>5400</v>
      </c>
      <c r="P319" s="4">
        <v>0</v>
      </c>
      <c r="Q319" s="4">
        <f t="shared" si="431"/>
        <v>5400</v>
      </c>
      <c r="R319" s="4">
        <f t="shared" si="463"/>
        <v>0</v>
      </c>
      <c r="S319" s="4">
        <f t="shared" si="432"/>
        <v>5400</v>
      </c>
      <c r="T319" s="4">
        <f t="shared" si="433"/>
        <v>0</v>
      </c>
      <c r="U319" s="4">
        <f t="shared" si="434"/>
        <v>5400</v>
      </c>
      <c r="V319" s="4">
        <f t="shared" si="435"/>
        <v>0</v>
      </c>
      <c r="W319" s="4">
        <f t="shared" si="436"/>
        <v>5400</v>
      </c>
      <c r="X319" s="4">
        <f t="shared" si="437"/>
        <v>0</v>
      </c>
      <c r="Y319" s="4">
        <f t="shared" si="438"/>
        <v>5400</v>
      </c>
      <c r="Z319" s="4">
        <f t="shared" si="439"/>
        <v>0</v>
      </c>
      <c r="AA319" s="4">
        <f t="shared" si="440"/>
        <v>5400</v>
      </c>
      <c r="AB319" s="4">
        <f t="shared" si="441"/>
        <v>0</v>
      </c>
      <c r="AC319" s="4">
        <f t="shared" si="442"/>
        <v>5400</v>
      </c>
      <c r="AD319" s="3">
        <f t="shared" si="443"/>
        <v>0</v>
      </c>
      <c r="AE319" s="4">
        <f t="shared" si="423"/>
        <v>5400</v>
      </c>
      <c r="AF319" s="3">
        <f t="shared" si="444"/>
        <v>0</v>
      </c>
      <c r="AG319" s="5">
        <f t="shared" si="445"/>
        <v>5400</v>
      </c>
      <c r="AH319" s="3">
        <f t="shared" si="446"/>
        <v>0</v>
      </c>
      <c r="AI319" s="5">
        <f t="shared" si="447"/>
        <v>5400</v>
      </c>
      <c r="AJ319" s="3">
        <f t="shared" si="448"/>
        <v>0</v>
      </c>
      <c r="AK319" s="3">
        <f t="shared" si="449"/>
        <v>5400</v>
      </c>
      <c r="AL319" s="3">
        <f t="shared" si="450"/>
        <v>0</v>
      </c>
      <c r="AM319" s="4">
        <f t="shared" si="451"/>
        <v>5400</v>
      </c>
      <c r="AN319" s="4">
        <f t="shared" si="452"/>
        <v>0</v>
      </c>
      <c r="AO319" s="21">
        <f t="shared" si="453"/>
        <v>0</v>
      </c>
      <c r="AP319" s="4">
        <f t="shared" si="454"/>
        <v>5400</v>
      </c>
      <c r="AQ319" s="4">
        <v>0</v>
      </c>
      <c r="AR319" s="21">
        <v>0</v>
      </c>
      <c r="AS319" s="19">
        <v>5400</v>
      </c>
      <c r="AT319" s="4">
        <v>0</v>
      </c>
      <c r="AU319" s="21">
        <f t="shared" si="455"/>
        <v>0</v>
      </c>
      <c r="AV319" s="19">
        <f t="shared" si="456"/>
        <v>5400</v>
      </c>
      <c r="AW319" s="4">
        <f t="shared" si="457"/>
        <v>0</v>
      </c>
      <c r="AX319" s="4">
        <v>0</v>
      </c>
      <c r="AY319" s="4">
        <f t="shared" si="458"/>
        <v>5400</v>
      </c>
      <c r="AZ319" s="4">
        <f t="shared" si="459"/>
        <v>0</v>
      </c>
      <c r="BA319" s="22">
        <v>0</v>
      </c>
      <c r="BB319" s="4">
        <f t="shared" si="460"/>
        <v>5400</v>
      </c>
      <c r="BC319" s="4">
        <f t="shared" si="461"/>
        <v>0</v>
      </c>
      <c r="BF319" s="22">
        <v>0</v>
      </c>
      <c r="BG319" s="4">
        <f t="shared" si="398"/>
        <v>0</v>
      </c>
    </row>
    <row r="320" spans="1:59" x14ac:dyDescent="0.35">
      <c r="A320" s="3" t="s">
        <v>318</v>
      </c>
      <c r="B320" s="3" t="s">
        <v>83</v>
      </c>
      <c r="C320" s="4">
        <v>11930</v>
      </c>
      <c r="D320" s="4" t="s">
        <v>80</v>
      </c>
      <c r="E320" s="2">
        <v>22.5</v>
      </c>
      <c r="F320" s="4"/>
      <c r="G320" s="4">
        <v>8948</v>
      </c>
      <c r="H320" s="4">
        <v>1193</v>
      </c>
      <c r="I320" s="4">
        <f t="shared" si="425"/>
        <v>10141</v>
      </c>
      <c r="J320" s="4">
        <v>1193</v>
      </c>
      <c r="K320" s="4">
        <f t="shared" si="426"/>
        <v>11334</v>
      </c>
      <c r="L320" s="4">
        <f>11930-11334</f>
        <v>596</v>
      </c>
      <c r="M320" s="4">
        <f t="shared" si="428"/>
        <v>11930</v>
      </c>
      <c r="N320" s="4">
        <v>0</v>
      </c>
      <c r="O320" s="4">
        <f t="shared" si="430"/>
        <v>11930</v>
      </c>
      <c r="P320" s="4">
        <v>0</v>
      </c>
      <c r="Q320" s="4">
        <f t="shared" si="431"/>
        <v>11930</v>
      </c>
      <c r="R320" s="4">
        <f t="shared" si="463"/>
        <v>0</v>
      </c>
      <c r="S320" s="4">
        <f t="shared" si="432"/>
        <v>11930</v>
      </c>
      <c r="T320" s="4">
        <f t="shared" si="433"/>
        <v>0</v>
      </c>
      <c r="U320" s="4">
        <f t="shared" si="434"/>
        <v>11930</v>
      </c>
      <c r="V320" s="4">
        <f t="shared" si="435"/>
        <v>0</v>
      </c>
      <c r="W320" s="4">
        <f t="shared" si="436"/>
        <v>11930</v>
      </c>
      <c r="X320" s="4">
        <f t="shared" si="437"/>
        <v>0</v>
      </c>
      <c r="Y320" s="4">
        <f t="shared" si="438"/>
        <v>11930</v>
      </c>
      <c r="Z320" s="4">
        <f t="shared" si="439"/>
        <v>0</v>
      </c>
      <c r="AA320" s="4">
        <f t="shared" si="440"/>
        <v>11930</v>
      </c>
      <c r="AB320" s="4">
        <f t="shared" si="441"/>
        <v>0</v>
      </c>
      <c r="AC320" s="4">
        <f t="shared" si="442"/>
        <v>11930</v>
      </c>
      <c r="AD320" s="3">
        <f t="shared" si="443"/>
        <v>0</v>
      </c>
      <c r="AE320" s="4">
        <f t="shared" si="423"/>
        <v>11930</v>
      </c>
      <c r="AF320" s="3">
        <f t="shared" si="444"/>
        <v>0</v>
      </c>
      <c r="AG320" s="5">
        <f t="shared" si="445"/>
        <v>11930</v>
      </c>
      <c r="AH320" s="3">
        <f t="shared" si="446"/>
        <v>0</v>
      </c>
      <c r="AI320" s="5">
        <f t="shared" si="447"/>
        <v>11930</v>
      </c>
      <c r="AJ320" s="3">
        <f t="shared" si="448"/>
        <v>0</v>
      </c>
      <c r="AK320" s="3">
        <f t="shared" si="449"/>
        <v>11930</v>
      </c>
      <c r="AL320" s="3">
        <f t="shared" si="450"/>
        <v>0</v>
      </c>
      <c r="AM320" s="4">
        <f t="shared" si="451"/>
        <v>11930</v>
      </c>
      <c r="AN320" s="4">
        <f t="shared" si="452"/>
        <v>0</v>
      </c>
      <c r="AO320" s="21">
        <f t="shared" si="453"/>
        <v>0</v>
      </c>
      <c r="AP320" s="4">
        <f t="shared" si="454"/>
        <v>11930</v>
      </c>
      <c r="AQ320" s="4">
        <v>0</v>
      </c>
      <c r="AR320" s="21">
        <v>0</v>
      </c>
      <c r="AS320" s="19">
        <v>11930</v>
      </c>
      <c r="AT320" s="4">
        <v>0</v>
      </c>
      <c r="AU320" s="21">
        <f t="shared" si="455"/>
        <v>0</v>
      </c>
      <c r="AV320" s="19">
        <f t="shared" si="456"/>
        <v>11930</v>
      </c>
      <c r="AW320" s="4">
        <f t="shared" si="457"/>
        <v>0</v>
      </c>
      <c r="AX320" s="4">
        <v>0</v>
      </c>
      <c r="AY320" s="4">
        <f t="shared" si="458"/>
        <v>11930</v>
      </c>
      <c r="AZ320" s="4">
        <f t="shared" si="459"/>
        <v>0</v>
      </c>
      <c r="BA320" s="22">
        <v>0</v>
      </c>
      <c r="BB320" s="4">
        <f t="shared" si="460"/>
        <v>11930</v>
      </c>
      <c r="BC320" s="4">
        <f t="shared" si="461"/>
        <v>0</v>
      </c>
      <c r="BF320" s="22">
        <v>0</v>
      </c>
      <c r="BG320" s="4">
        <f t="shared" si="398"/>
        <v>0</v>
      </c>
    </row>
    <row r="321" spans="1:59" x14ac:dyDescent="0.35">
      <c r="A321" s="3" t="s">
        <v>319</v>
      </c>
      <c r="B321" s="3" t="s">
        <v>84</v>
      </c>
      <c r="C321" s="4">
        <v>660</v>
      </c>
      <c r="D321" s="4" t="s">
        <v>80</v>
      </c>
      <c r="E321" s="2">
        <v>22.5</v>
      </c>
      <c r="F321" s="4"/>
      <c r="G321" s="4">
        <v>429</v>
      </c>
      <c r="H321" s="4">
        <v>66</v>
      </c>
      <c r="I321" s="4">
        <f t="shared" si="425"/>
        <v>495</v>
      </c>
      <c r="J321" s="4">
        <v>66</v>
      </c>
      <c r="K321" s="4">
        <f t="shared" si="426"/>
        <v>561</v>
      </c>
      <c r="L321" s="4">
        <f>J321</f>
        <v>66</v>
      </c>
      <c r="M321" s="4">
        <f t="shared" si="428"/>
        <v>627</v>
      </c>
      <c r="N321" s="4">
        <f>660-627</f>
        <v>33</v>
      </c>
      <c r="O321" s="4">
        <f t="shared" si="430"/>
        <v>660</v>
      </c>
      <c r="P321" s="4">
        <v>0</v>
      </c>
      <c r="Q321" s="4">
        <f t="shared" si="431"/>
        <v>660</v>
      </c>
      <c r="R321" s="4">
        <f t="shared" si="463"/>
        <v>0</v>
      </c>
      <c r="S321" s="4">
        <f t="shared" si="432"/>
        <v>660</v>
      </c>
      <c r="T321" s="4">
        <f t="shared" si="433"/>
        <v>0</v>
      </c>
      <c r="U321" s="4">
        <f t="shared" si="434"/>
        <v>660</v>
      </c>
      <c r="V321" s="4">
        <f t="shared" si="435"/>
        <v>0</v>
      </c>
      <c r="W321" s="4">
        <f t="shared" si="436"/>
        <v>660</v>
      </c>
      <c r="X321" s="4">
        <f t="shared" si="437"/>
        <v>0</v>
      </c>
      <c r="Y321" s="4">
        <f t="shared" si="438"/>
        <v>660</v>
      </c>
      <c r="Z321" s="4">
        <f t="shared" si="439"/>
        <v>0</v>
      </c>
      <c r="AA321" s="4">
        <f t="shared" si="440"/>
        <v>660</v>
      </c>
      <c r="AB321" s="4">
        <f t="shared" si="441"/>
        <v>0</v>
      </c>
      <c r="AC321" s="4">
        <f t="shared" si="442"/>
        <v>660</v>
      </c>
      <c r="AD321" s="3">
        <f t="shared" si="443"/>
        <v>0</v>
      </c>
      <c r="AE321" s="4">
        <f t="shared" si="423"/>
        <v>660</v>
      </c>
      <c r="AF321" s="3">
        <f t="shared" si="444"/>
        <v>0</v>
      </c>
      <c r="AG321" s="5">
        <f t="shared" si="445"/>
        <v>660</v>
      </c>
      <c r="AH321" s="3">
        <f t="shared" si="446"/>
        <v>0</v>
      </c>
      <c r="AI321" s="5">
        <f t="shared" si="447"/>
        <v>660</v>
      </c>
      <c r="AJ321" s="3">
        <f t="shared" si="448"/>
        <v>0</v>
      </c>
      <c r="AK321" s="3">
        <f t="shared" si="449"/>
        <v>660</v>
      </c>
      <c r="AL321" s="3">
        <f t="shared" si="450"/>
        <v>0</v>
      </c>
      <c r="AM321" s="4">
        <f t="shared" si="451"/>
        <v>660</v>
      </c>
      <c r="AN321" s="4">
        <f t="shared" si="452"/>
        <v>0</v>
      </c>
      <c r="AO321" s="21">
        <f t="shared" si="453"/>
        <v>0</v>
      </c>
      <c r="AP321" s="4">
        <f t="shared" si="454"/>
        <v>660</v>
      </c>
      <c r="AQ321" s="4">
        <v>0</v>
      </c>
      <c r="AR321" s="21">
        <v>0</v>
      </c>
      <c r="AS321" s="19">
        <v>660</v>
      </c>
      <c r="AT321" s="4">
        <v>0</v>
      </c>
      <c r="AU321" s="21">
        <f t="shared" si="455"/>
        <v>0</v>
      </c>
      <c r="AV321" s="19">
        <f t="shared" si="456"/>
        <v>660</v>
      </c>
      <c r="AW321" s="4">
        <f t="shared" si="457"/>
        <v>0</v>
      </c>
      <c r="AX321" s="4">
        <v>0</v>
      </c>
      <c r="AY321" s="4">
        <f t="shared" si="458"/>
        <v>660</v>
      </c>
      <c r="AZ321" s="4">
        <f t="shared" si="459"/>
        <v>0</v>
      </c>
      <c r="BA321" s="22">
        <v>0</v>
      </c>
      <c r="BB321" s="4">
        <f t="shared" si="460"/>
        <v>660</v>
      </c>
      <c r="BC321" s="4">
        <f t="shared" si="461"/>
        <v>0</v>
      </c>
      <c r="BF321" s="22">
        <v>0</v>
      </c>
      <c r="BG321" s="4">
        <f t="shared" si="398"/>
        <v>0</v>
      </c>
    </row>
    <row r="322" spans="1:59" x14ac:dyDescent="0.35">
      <c r="A322" s="3" t="s">
        <v>320</v>
      </c>
      <c r="B322" s="3" t="s">
        <v>84</v>
      </c>
      <c r="C322" s="4">
        <v>366</v>
      </c>
      <c r="D322" s="4" t="s">
        <v>80</v>
      </c>
      <c r="E322" s="2">
        <v>10</v>
      </c>
      <c r="F322" s="4"/>
      <c r="G322" s="4">
        <v>240</v>
      </c>
      <c r="H322" s="4">
        <v>37</v>
      </c>
      <c r="I322" s="4">
        <f t="shared" si="425"/>
        <v>277</v>
      </c>
      <c r="J322" s="4">
        <v>37</v>
      </c>
      <c r="K322" s="4">
        <f t="shared" si="426"/>
        <v>314</v>
      </c>
      <c r="L322" s="4">
        <f>J322</f>
        <v>37</v>
      </c>
      <c r="M322" s="4">
        <f t="shared" si="428"/>
        <v>351</v>
      </c>
      <c r="N322" s="4">
        <f>366-351</f>
        <v>15</v>
      </c>
      <c r="O322" s="4">
        <f t="shared" si="430"/>
        <v>366</v>
      </c>
      <c r="P322" s="4">
        <v>0</v>
      </c>
      <c r="Q322" s="4">
        <f t="shared" si="431"/>
        <v>366</v>
      </c>
      <c r="R322" s="4">
        <f t="shared" si="463"/>
        <v>0</v>
      </c>
      <c r="S322" s="4">
        <f t="shared" si="432"/>
        <v>366</v>
      </c>
      <c r="T322" s="4">
        <f t="shared" si="433"/>
        <v>0</v>
      </c>
      <c r="U322" s="4">
        <f t="shared" si="434"/>
        <v>366</v>
      </c>
      <c r="V322" s="4">
        <f t="shared" si="435"/>
        <v>0</v>
      </c>
      <c r="W322" s="4">
        <f t="shared" si="436"/>
        <v>366</v>
      </c>
      <c r="X322" s="4">
        <f t="shared" si="437"/>
        <v>0</v>
      </c>
      <c r="Y322" s="4">
        <f t="shared" si="438"/>
        <v>366</v>
      </c>
      <c r="Z322" s="4">
        <f t="shared" si="439"/>
        <v>0</v>
      </c>
      <c r="AA322" s="4">
        <f t="shared" si="440"/>
        <v>366</v>
      </c>
      <c r="AB322" s="4">
        <f t="shared" si="441"/>
        <v>0</v>
      </c>
      <c r="AC322" s="4">
        <f t="shared" si="442"/>
        <v>366</v>
      </c>
      <c r="AD322" s="3">
        <f t="shared" si="443"/>
        <v>0</v>
      </c>
      <c r="AE322" s="4">
        <f t="shared" si="423"/>
        <v>366</v>
      </c>
      <c r="AF322" s="3">
        <f t="shared" si="444"/>
        <v>0</v>
      </c>
      <c r="AG322" s="5">
        <f t="shared" si="445"/>
        <v>366</v>
      </c>
      <c r="AH322" s="3">
        <f t="shared" si="446"/>
        <v>0</v>
      </c>
      <c r="AI322" s="5">
        <f t="shared" si="447"/>
        <v>366</v>
      </c>
      <c r="AJ322" s="3">
        <f t="shared" si="448"/>
        <v>0</v>
      </c>
      <c r="AK322" s="3">
        <f t="shared" si="449"/>
        <v>366</v>
      </c>
      <c r="AL322" s="3">
        <f t="shared" si="450"/>
        <v>0</v>
      </c>
      <c r="AM322" s="4">
        <f t="shared" si="451"/>
        <v>366</v>
      </c>
      <c r="AN322" s="4">
        <f t="shared" si="452"/>
        <v>0</v>
      </c>
      <c r="AO322" s="21">
        <f t="shared" si="453"/>
        <v>0</v>
      </c>
      <c r="AP322" s="4">
        <f t="shared" si="454"/>
        <v>366</v>
      </c>
      <c r="AQ322" s="4">
        <v>0</v>
      </c>
      <c r="AR322" s="21">
        <v>0</v>
      </c>
      <c r="AS322" s="19">
        <v>366</v>
      </c>
      <c r="AT322" s="4">
        <v>0</v>
      </c>
      <c r="AU322" s="21">
        <f t="shared" si="455"/>
        <v>0</v>
      </c>
      <c r="AV322" s="19">
        <f t="shared" si="456"/>
        <v>366</v>
      </c>
      <c r="AW322" s="4">
        <f t="shared" si="457"/>
        <v>0</v>
      </c>
      <c r="AX322" s="4">
        <v>0</v>
      </c>
      <c r="AY322" s="4">
        <f t="shared" si="458"/>
        <v>366</v>
      </c>
      <c r="AZ322" s="4">
        <f t="shared" si="459"/>
        <v>0</v>
      </c>
      <c r="BA322" s="22">
        <v>0</v>
      </c>
      <c r="BB322" s="4">
        <f t="shared" si="460"/>
        <v>366</v>
      </c>
      <c r="BC322" s="4">
        <f t="shared" si="461"/>
        <v>0</v>
      </c>
      <c r="BF322" s="22">
        <v>0</v>
      </c>
      <c r="BG322" s="4">
        <f t="shared" si="398"/>
        <v>0</v>
      </c>
    </row>
    <row r="323" spans="1:59" x14ac:dyDescent="0.35">
      <c r="A323" s="3" t="s">
        <v>321</v>
      </c>
      <c r="B323" s="3" t="s">
        <v>322</v>
      </c>
      <c r="C323" s="4">
        <v>1179</v>
      </c>
      <c r="D323" s="4" t="s">
        <v>80</v>
      </c>
      <c r="E323" s="2">
        <v>10</v>
      </c>
      <c r="F323" s="4"/>
      <c r="G323" s="4">
        <v>1179</v>
      </c>
      <c r="H323" s="4"/>
      <c r="I323" s="4">
        <f t="shared" si="425"/>
        <v>1179</v>
      </c>
      <c r="J323" s="4"/>
      <c r="K323" s="4">
        <f t="shared" si="426"/>
        <v>1179</v>
      </c>
      <c r="L323" s="4">
        <f>J323</f>
        <v>0</v>
      </c>
      <c r="M323" s="4">
        <f t="shared" si="428"/>
        <v>1179</v>
      </c>
      <c r="N323" s="4">
        <f>L323</f>
        <v>0</v>
      </c>
      <c r="O323" s="4">
        <f t="shared" si="430"/>
        <v>1179</v>
      </c>
      <c r="P323" s="4">
        <f>N323</f>
        <v>0</v>
      </c>
      <c r="Q323" s="4">
        <f t="shared" si="431"/>
        <v>1179</v>
      </c>
      <c r="R323" s="4">
        <f t="shared" si="463"/>
        <v>0</v>
      </c>
      <c r="S323" s="4">
        <f t="shared" si="432"/>
        <v>1179</v>
      </c>
      <c r="T323" s="4">
        <f t="shared" si="433"/>
        <v>0</v>
      </c>
      <c r="U323" s="4">
        <f t="shared" si="434"/>
        <v>1179</v>
      </c>
      <c r="V323" s="4">
        <f t="shared" si="435"/>
        <v>0</v>
      </c>
      <c r="W323" s="4">
        <f t="shared" si="436"/>
        <v>1179</v>
      </c>
      <c r="X323" s="4">
        <f t="shared" si="437"/>
        <v>0</v>
      </c>
      <c r="Y323" s="4">
        <f t="shared" si="438"/>
        <v>1179</v>
      </c>
      <c r="Z323" s="4">
        <f t="shared" si="439"/>
        <v>0</v>
      </c>
      <c r="AA323" s="4">
        <f t="shared" si="440"/>
        <v>1179</v>
      </c>
      <c r="AB323" s="4">
        <f t="shared" si="441"/>
        <v>0</v>
      </c>
      <c r="AC323" s="4">
        <f t="shared" si="442"/>
        <v>1179</v>
      </c>
      <c r="AD323" s="3">
        <f t="shared" si="443"/>
        <v>0</v>
      </c>
      <c r="AE323" s="4">
        <f t="shared" si="423"/>
        <v>1179</v>
      </c>
      <c r="AF323" s="3">
        <f t="shared" si="444"/>
        <v>0</v>
      </c>
      <c r="AG323" s="5">
        <f t="shared" si="445"/>
        <v>1179</v>
      </c>
      <c r="AH323" s="3">
        <f t="shared" si="446"/>
        <v>0</v>
      </c>
      <c r="AI323" s="5">
        <f t="shared" si="447"/>
        <v>1179</v>
      </c>
      <c r="AJ323" s="3">
        <f t="shared" si="448"/>
        <v>0</v>
      </c>
      <c r="AK323" s="3">
        <f t="shared" si="449"/>
        <v>1179</v>
      </c>
      <c r="AL323" s="3">
        <f t="shared" si="450"/>
        <v>0</v>
      </c>
      <c r="AM323" s="4">
        <f t="shared" si="451"/>
        <v>1179</v>
      </c>
      <c r="AN323" s="4">
        <f t="shared" si="452"/>
        <v>0</v>
      </c>
      <c r="AO323" s="21">
        <f t="shared" si="453"/>
        <v>0</v>
      </c>
      <c r="AP323" s="4">
        <f t="shared" si="454"/>
        <v>1179</v>
      </c>
      <c r="AQ323" s="4">
        <v>0</v>
      </c>
      <c r="AR323" s="21">
        <v>0</v>
      </c>
      <c r="AS323" s="19">
        <v>1179</v>
      </c>
      <c r="AT323" s="4">
        <v>0</v>
      </c>
      <c r="AU323" s="21">
        <f t="shared" si="455"/>
        <v>0</v>
      </c>
      <c r="AV323" s="19">
        <f t="shared" si="456"/>
        <v>1179</v>
      </c>
      <c r="AW323" s="4">
        <f t="shared" si="457"/>
        <v>0</v>
      </c>
      <c r="AX323" s="4">
        <v>0</v>
      </c>
      <c r="AY323" s="4">
        <f t="shared" si="458"/>
        <v>1179</v>
      </c>
      <c r="AZ323" s="4">
        <f t="shared" si="459"/>
        <v>0</v>
      </c>
      <c r="BA323" s="22">
        <v>0</v>
      </c>
      <c r="BB323" s="4">
        <f t="shared" si="460"/>
        <v>1179</v>
      </c>
      <c r="BC323" s="4">
        <f t="shared" si="461"/>
        <v>0</v>
      </c>
      <c r="BF323" s="22">
        <v>0</v>
      </c>
      <c r="BG323" s="4">
        <f t="shared" si="398"/>
        <v>0</v>
      </c>
    </row>
    <row r="324" spans="1:59" x14ac:dyDescent="0.35">
      <c r="A324" s="3" t="s">
        <v>323</v>
      </c>
      <c r="B324" s="3" t="s">
        <v>324</v>
      </c>
      <c r="C324" s="4">
        <v>1506</v>
      </c>
      <c r="D324" s="4" t="s">
        <v>80</v>
      </c>
      <c r="E324" s="2">
        <v>10</v>
      </c>
      <c r="F324" s="4"/>
      <c r="G324" s="4">
        <v>665</v>
      </c>
      <c r="H324" s="4">
        <v>301</v>
      </c>
      <c r="I324" s="4">
        <f t="shared" si="425"/>
        <v>966</v>
      </c>
      <c r="J324" s="4">
        <v>301</v>
      </c>
      <c r="K324" s="4">
        <f t="shared" si="426"/>
        <v>1267</v>
      </c>
      <c r="L324" s="4">
        <f>1506-1267</f>
        <v>239</v>
      </c>
      <c r="M324" s="4">
        <f t="shared" si="428"/>
        <v>1506</v>
      </c>
      <c r="N324" s="4">
        <v>0</v>
      </c>
      <c r="O324" s="4">
        <f t="shared" si="430"/>
        <v>1506</v>
      </c>
      <c r="P324" s="4">
        <v>0</v>
      </c>
      <c r="Q324" s="4">
        <f t="shared" si="431"/>
        <v>1506</v>
      </c>
      <c r="R324" s="4">
        <f t="shared" si="463"/>
        <v>0</v>
      </c>
      <c r="S324" s="4">
        <f t="shared" si="432"/>
        <v>1506</v>
      </c>
      <c r="T324" s="4">
        <f t="shared" si="433"/>
        <v>0</v>
      </c>
      <c r="U324" s="4">
        <f t="shared" si="434"/>
        <v>1506</v>
      </c>
      <c r="V324" s="4">
        <f t="shared" si="435"/>
        <v>0</v>
      </c>
      <c r="W324" s="4">
        <f t="shared" si="436"/>
        <v>1506</v>
      </c>
      <c r="X324" s="4">
        <f t="shared" si="437"/>
        <v>0</v>
      </c>
      <c r="Y324" s="4">
        <f t="shared" si="438"/>
        <v>1506</v>
      </c>
      <c r="Z324" s="4">
        <f t="shared" si="439"/>
        <v>0</v>
      </c>
      <c r="AA324" s="4">
        <f t="shared" si="440"/>
        <v>1506</v>
      </c>
      <c r="AB324" s="4">
        <f t="shared" si="441"/>
        <v>0</v>
      </c>
      <c r="AC324" s="4">
        <f t="shared" si="442"/>
        <v>1506</v>
      </c>
      <c r="AD324" s="3">
        <f t="shared" si="443"/>
        <v>0</v>
      </c>
      <c r="AE324" s="4">
        <f t="shared" si="423"/>
        <v>1506</v>
      </c>
      <c r="AF324" s="3">
        <f t="shared" si="444"/>
        <v>0</v>
      </c>
      <c r="AG324" s="5">
        <f t="shared" si="445"/>
        <v>1506</v>
      </c>
      <c r="AH324" s="3">
        <f t="shared" si="446"/>
        <v>0</v>
      </c>
      <c r="AI324" s="5">
        <f t="shared" si="447"/>
        <v>1506</v>
      </c>
      <c r="AJ324" s="3">
        <f t="shared" si="448"/>
        <v>0</v>
      </c>
      <c r="AK324" s="3">
        <f t="shared" si="449"/>
        <v>1506</v>
      </c>
      <c r="AL324" s="3">
        <f t="shared" si="450"/>
        <v>0</v>
      </c>
      <c r="AM324" s="4">
        <f t="shared" si="451"/>
        <v>1506</v>
      </c>
      <c r="AN324" s="4">
        <f t="shared" si="452"/>
        <v>0</v>
      </c>
      <c r="AO324" s="21">
        <f t="shared" si="453"/>
        <v>0</v>
      </c>
      <c r="AP324" s="4">
        <f t="shared" si="454"/>
        <v>1506</v>
      </c>
      <c r="AQ324" s="4">
        <v>0</v>
      </c>
      <c r="AR324" s="21">
        <v>0</v>
      </c>
      <c r="AS324" s="19">
        <v>1506</v>
      </c>
      <c r="AT324" s="4">
        <v>0</v>
      </c>
      <c r="AU324" s="21">
        <f t="shared" si="455"/>
        <v>0</v>
      </c>
      <c r="AV324" s="19">
        <f t="shared" si="456"/>
        <v>1506</v>
      </c>
      <c r="AW324" s="4">
        <f t="shared" si="457"/>
        <v>0</v>
      </c>
      <c r="AX324" s="4">
        <v>0</v>
      </c>
      <c r="AY324" s="4">
        <f t="shared" si="458"/>
        <v>1506</v>
      </c>
      <c r="AZ324" s="4">
        <f t="shared" si="459"/>
        <v>0</v>
      </c>
      <c r="BA324" s="22">
        <v>0</v>
      </c>
      <c r="BB324" s="4">
        <f t="shared" si="460"/>
        <v>1506</v>
      </c>
      <c r="BC324" s="4">
        <f t="shared" si="461"/>
        <v>0</v>
      </c>
      <c r="BF324" s="22">
        <v>0</v>
      </c>
      <c r="BG324" s="4">
        <f t="shared" si="398"/>
        <v>0</v>
      </c>
    </row>
    <row r="325" spans="1:59" x14ac:dyDescent="0.35">
      <c r="A325" s="3" t="s">
        <v>325</v>
      </c>
      <c r="B325" s="3" t="s">
        <v>198</v>
      </c>
      <c r="C325" s="4">
        <v>380</v>
      </c>
      <c r="D325" s="4" t="s">
        <v>80</v>
      </c>
      <c r="E325" s="2">
        <v>10</v>
      </c>
      <c r="F325" s="4"/>
      <c r="G325" s="4">
        <v>114</v>
      </c>
      <c r="H325" s="4">
        <v>76</v>
      </c>
      <c r="I325" s="4">
        <f t="shared" si="425"/>
        <v>190</v>
      </c>
      <c r="J325" s="4">
        <v>76</v>
      </c>
      <c r="K325" s="4">
        <f t="shared" si="426"/>
        <v>266</v>
      </c>
      <c r="L325" s="4">
        <f>J325</f>
        <v>76</v>
      </c>
      <c r="M325" s="4">
        <f t="shared" si="428"/>
        <v>342</v>
      </c>
      <c r="N325" s="4">
        <f>380-342</f>
        <v>38</v>
      </c>
      <c r="O325" s="4">
        <f t="shared" si="430"/>
        <v>380</v>
      </c>
      <c r="P325" s="4">
        <v>0</v>
      </c>
      <c r="Q325" s="4">
        <f t="shared" si="431"/>
        <v>380</v>
      </c>
      <c r="R325" s="4">
        <f t="shared" si="463"/>
        <v>0</v>
      </c>
      <c r="S325" s="4">
        <f t="shared" si="432"/>
        <v>380</v>
      </c>
      <c r="T325" s="4">
        <f t="shared" si="433"/>
        <v>0</v>
      </c>
      <c r="U325" s="4">
        <f t="shared" si="434"/>
        <v>380</v>
      </c>
      <c r="V325" s="4">
        <f t="shared" si="435"/>
        <v>0</v>
      </c>
      <c r="W325" s="4">
        <f t="shared" si="436"/>
        <v>380</v>
      </c>
      <c r="X325" s="4">
        <f t="shared" si="437"/>
        <v>0</v>
      </c>
      <c r="Y325" s="4">
        <f t="shared" si="438"/>
        <v>380</v>
      </c>
      <c r="Z325" s="4">
        <f t="shared" si="439"/>
        <v>0</v>
      </c>
      <c r="AA325" s="4">
        <f t="shared" si="440"/>
        <v>380</v>
      </c>
      <c r="AB325" s="4">
        <f t="shared" si="441"/>
        <v>0</v>
      </c>
      <c r="AC325" s="4">
        <f t="shared" si="442"/>
        <v>380</v>
      </c>
      <c r="AD325" s="3">
        <f t="shared" si="443"/>
        <v>0</v>
      </c>
      <c r="AE325" s="4">
        <f t="shared" si="423"/>
        <v>380</v>
      </c>
      <c r="AF325" s="3">
        <f t="shared" si="444"/>
        <v>0</v>
      </c>
      <c r="AG325" s="5">
        <f t="shared" si="445"/>
        <v>380</v>
      </c>
      <c r="AH325" s="3">
        <f t="shared" si="446"/>
        <v>0</v>
      </c>
      <c r="AI325" s="5">
        <f t="shared" si="447"/>
        <v>380</v>
      </c>
      <c r="AJ325" s="3">
        <f t="shared" si="448"/>
        <v>0</v>
      </c>
      <c r="AK325" s="3">
        <f t="shared" si="449"/>
        <v>380</v>
      </c>
      <c r="AL325" s="3">
        <f t="shared" si="450"/>
        <v>0</v>
      </c>
      <c r="AM325" s="4">
        <f t="shared" si="451"/>
        <v>380</v>
      </c>
      <c r="AN325" s="4">
        <f t="shared" si="452"/>
        <v>0</v>
      </c>
      <c r="AO325" s="21">
        <f t="shared" si="453"/>
        <v>0</v>
      </c>
      <c r="AP325" s="4">
        <f t="shared" si="454"/>
        <v>380</v>
      </c>
      <c r="AQ325" s="4">
        <v>0</v>
      </c>
      <c r="AR325" s="21">
        <v>0</v>
      </c>
      <c r="AS325" s="19">
        <v>380</v>
      </c>
      <c r="AT325" s="4">
        <v>0</v>
      </c>
      <c r="AU325" s="21">
        <f t="shared" si="455"/>
        <v>0</v>
      </c>
      <c r="AV325" s="19">
        <f t="shared" si="456"/>
        <v>380</v>
      </c>
      <c r="AW325" s="4">
        <f t="shared" si="457"/>
        <v>0</v>
      </c>
      <c r="AX325" s="4">
        <v>0</v>
      </c>
      <c r="AY325" s="4">
        <f t="shared" si="458"/>
        <v>380</v>
      </c>
      <c r="AZ325" s="4">
        <f t="shared" si="459"/>
        <v>0</v>
      </c>
      <c r="BA325" s="22">
        <v>0</v>
      </c>
      <c r="BB325" s="4">
        <f t="shared" si="460"/>
        <v>380</v>
      </c>
      <c r="BC325" s="4">
        <f t="shared" si="461"/>
        <v>0</v>
      </c>
      <c r="BF325" s="22">
        <v>0</v>
      </c>
      <c r="BG325" s="4">
        <f t="shared" si="398"/>
        <v>0</v>
      </c>
    </row>
    <row r="326" spans="1:59" x14ac:dyDescent="0.35">
      <c r="A326" s="3" t="s">
        <v>326</v>
      </c>
      <c r="B326" s="3" t="s">
        <v>327</v>
      </c>
      <c r="C326" s="4">
        <v>1818</v>
      </c>
      <c r="D326" s="4" t="s">
        <v>80</v>
      </c>
      <c r="E326" s="2">
        <v>10</v>
      </c>
      <c r="F326" s="4"/>
      <c r="G326" s="4">
        <v>30</v>
      </c>
      <c r="H326" s="4">
        <v>364</v>
      </c>
      <c r="I326" s="4">
        <f t="shared" si="425"/>
        <v>394</v>
      </c>
      <c r="J326" s="4">
        <v>364</v>
      </c>
      <c r="K326" s="4">
        <f t="shared" si="426"/>
        <v>758</v>
      </c>
      <c r="L326" s="4">
        <f>J326</f>
        <v>364</v>
      </c>
      <c r="M326" s="4">
        <f t="shared" si="428"/>
        <v>1122</v>
      </c>
      <c r="N326" s="4">
        <f>L326</f>
        <v>364</v>
      </c>
      <c r="O326" s="4">
        <f t="shared" si="430"/>
        <v>1486</v>
      </c>
      <c r="P326" s="4">
        <f>1818-1486</f>
        <v>332</v>
      </c>
      <c r="Q326" s="4">
        <f t="shared" si="431"/>
        <v>1818</v>
      </c>
      <c r="R326" s="4">
        <v>0</v>
      </c>
      <c r="S326" s="4">
        <f t="shared" si="432"/>
        <v>1818</v>
      </c>
      <c r="T326" s="4">
        <f t="shared" si="433"/>
        <v>0</v>
      </c>
      <c r="U326" s="4">
        <f t="shared" si="434"/>
        <v>1818</v>
      </c>
      <c r="V326" s="4">
        <f t="shared" si="435"/>
        <v>0</v>
      </c>
      <c r="W326" s="4">
        <f t="shared" si="436"/>
        <v>1818</v>
      </c>
      <c r="X326" s="4">
        <f t="shared" si="437"/>
        <v>0</v>
      </c>
      <c r="Y326" s="4">
        <f t="shared" si="438"/>
        <v>1818</v>
      </c>
      <c r="Z326" s="4">
        <f t="shared" si="439"/>
        <v>0</v>
      </c>
      <c r="AA326" s="4">
        <f t="shared" si="440"/>
        <v>1818</v>
      </c>
      <c r="AB326" s="4">
        <f t="shared" si="441"/>
        <v>0</v>
      </c>
      <c r="AC326" s="4">
        <f t="shared" si="442"/>
        <v>1818</v>
      </c>
      <c r="AD326" s="3">
        <f t="shared" si="443"/>
        <v>0</v>
      </c>
      <c r="AE326" s="4">
        <f t="shared" si="423"/>
        <v>1818</v>
      </c>
      <c r="AF326" s="3">
        <f t="shared" si="444"/>
        <v>0</v>
      </c>
      <c r="AG326" s="5">
        <f t="shared" si="445"/>
        <v>1818</v>
      </c>
      <c r="AH326" s="3">
        <f t="shared" si="446"/>
        <v>0</v>
      </c>
      <c r="AI326" s="5">
        <f t="shared" si="447"/>
        <v>1818</v>
      </c>
      <c r="AJ326" s="3">
        <f t="shared" si="448"/>
        <v>0</v>
      </c>
      <c r="AK326" s="3">
        <f t="shared" si="449"/>
        <v>1818</v>
      </c>
      <c r="AL326" s="3">
        <f t="shared" si="450"/>
        <v>0</v>
      </c>
      <c r="AM326" s="4">
        <f t="shared" si="451"/>
        <v>1818</v>
      </c>
      <c r="AN326" s="4">
        <f t="shared" si="452"/>
        <v>0</v>
      </c>
      <c r="AO326" s="21">
        <f t="shared" si="453"/>
        <v>0</v>
      </c>
      <c r="AP326" s="4">
        <f t="shared" si="454"/>
        <v>1818</v>
      </c>
      <c r="AQ326" s="4">
        <v>0</v>
      </c>
      <c r="AR326" s="21">
        <v>0</v>
      </c>
      <c r="AS326" s="19">
        <v>1818</v>
      </c>
      <c r="AT326" s="4">
        <v>0</v>
      </c>
      <c r="AU326" s="21">
        <f t="shared" si="455"/>
        <v>0</v>
      </c>
      <c r="AV326" s="19">
        <f t="shared" si="456"/>
        <v>1818</v>
      </c>
      <c r="AW326" s="4">
        <f t="shared" si="457"/>
        <v>0</v>
      </c>
      <c r="AX326" s="4">
        <v>0</v>
      </c>
      <c r="AY326" s="4">
        <f t="shared" si="458"/>
        <v>1818</v>
      </c>
      <c r="AZ326" s="4">
        <f t="shared" si="459"/>
        <v>0</v>
      </c>
      <c r="BA326" s="22">
        <v>0</v>
      </c>
      <c r="BB326" s="4">
        <f t="shared" si="460"/>
        <v>1818</v>
      </c>
      <c r="BC326" s="4">
        <f t="shared" si="461"/>
        <v>0</v>
      </c>
      <c r="BF326" s="22">
        <v>0</v>
      </c>
      <c r="BG326" s="4">
        <f t="shared" si="398"/>
        <v>0</v>
      </c>
    </row>
    <row r="327" spans="1:59" x14ac:dyDescent="0.35">
      <c r="A327" s="3" t="s">
        <v>326</v>
      </c>
      <c r="B327" s="3" t="s">
        <v>328</v>
      </c>
      <c r="C327" s="4">
        <v>2390</v>
      </c>
      <c r="D327" s="4" t="s">
        <v>80</v>
      </c>
      <c r="E327" s="2">
        <v>10</v>
      </c>
      <c r="F327" s="4"/>
      <c r="G327" s="4"/>
      <c r="H327" s="4">
        <v>398</v>
      </c>
      <c r="I327" s="4">
        <f t="shared" si="425"/>
        <v>398</v>
      </c>
      <c r="J327" s="4">
        <v>398</v>
      </c>
      <c r="K327" s="4">
        <f t="shared" si="426"/>
        <v>796</v>
      </c>
      <c r="L327" s="4">
        <f>J327</f>
        <v>398</v>
      </c>
      <c r="M327" s="4">
        <f t="shared" si="428"/>
        <v>1194</v>
      </c>
      <c r="N327" s="4">
        <f>L327</f>
        <v>398</v>
      </c>
      <c r="O327" s="4">
        <f t="shared" si="430"/>
        <v>1592</v>
      </c>
      <c r="P327" s="4">
        <f>C327/E327</f>
        <v>239</v>
      </c>
      <c r="Q327" s="4">
        <f t="shared" si="431"/>
        <v>1831</v>
      </c>
      <c r="R327" s="4">
        <f>SUM(C327/E327)</f>
        <v>239</v>
      </c>
      <c r="S327" s="4">
        <f t="shared" si="432"/>
        <v>2070</v>
      </c>
      <c r="T327" s="4">
        <f t="shared" si="433"/>
        <v>239</v>
      </c>
      <c r="U327" s="4">
        <f t="shared" si="434"/>
        <v>2309</v>
      </c>
      <c r="V327" s="4">
        <f>2390-2309</f>
        <v>81</v>
      </c>
      <c r="W327" s="4">
        <f t="shared" si="436"/>
        <v>2390</v>
      </c>
      <c r="X327" s="4">
        <v>0</v>
      </c>
      <c r="Y327" s="4">
        <f t="shared" si="438"/>
        <v>2390</v>
      </c>
      <c r="Z327" s="4">
        <v>0</v>
      </c>
      <c r="AA327" s="4">
        <f t="shared" si="440"/>
        <v>2390</v>
      </c>
      <c r="AB327" s="4">
        <f t="shared" si="441"/>
        <v>0</v>
      </c>
      <c r="AC327" s="4">
        <f t="shared" si="442"/>
        <v>2390</v>
      </c>
      <c r="AD327" s="3">
        <f t="shared" si="443"/>
        <v>0</v>
      </c>
      <c r="AE327" s="4">
        <f t="shared" si="423"/>
        <v>2390</v>
      </c>
      <c r="AF327" s="3">
        <f t="shared" si="444"/>
        <v>0</v>
      </c>
      <c r="AG327" s="5">
        <f t="shared" si="445"/>
        <v>2390</v>
      </c>
      <c r="AH327" s="3">
        <f t="shared" si="446"/>
        <v>0</v>
      </c>
      <c r="AI327" s="5">
        <f t="shared" si="447"/>
        <v>2390</v>
      </c>
      <c r="AJ327" s="3">
        <f t="shared" si="448"/>
        <v>0</v>
      </c>
      <c r="AK327" s="3">
        <f t="shared" si="449"/>
        <v>2390</v>
      </c>
      <c r="AL327" s="3">
        <f t="shared" si="450"/>
        <v>0</v>
      </c>
      <c r="AM327" s="4">
        <f t="shared" si="451"/>
        <v>2390</v>
      </c>
      <c r="AN327" s="4">
        <f t="shared" si="452"/>
        <v>0</v>
      </c>
      <c r="AO327" s="21">
        <f t="shared" si="453"/>
        <v>0</v>
      </c>
      <c r="AP327" s="4">
        <f t="shared" si="454"/>
        <v>2390</v>
      </c>
      <c r="AQ327" s="4">
        <v>0</v>
      </c>
      <c r="AR327" s="21">
        <v>0</v>
      </c>
      <c r="AS327" s="19">
        <v>2390</v>
      </c>
      <c r="AT327" s="4">
        <v>0</v>
      </c>
      <c r="AU327" s="21">
        <f t="shared" si="455"/>
        <v>0</v>
      </c>
      <c r="AV327" s="19">
        <f t="shared" si="456"/>
        <v>2390</v>
      </c>
      <c r="AW327" s="4">
        <f t="shared" si="457"/>
        <v>0</v>
      </c>
      <c r="AX327" s="4">
        <v>0</v>
      </c>
      <c r="AY327" s="4">
        <f t="shared" si="458"/>
        <v>2390</v>
      </c>
      <c r="AZ327" s="4">
        <f t="shared" si="459"/>
        <v>0</v>
      </c>
      <c r="BA327" s="22">
        <v>0</v>
      </c>
      <c r="BB327" s="4">
        <f t="shared" si="460"/>
        <v>2390</v>
      </c>
      <c r="BC327" s="4">
        <f t="shared" si="461"/>
        <v>0</v>
      </c>
      <c r="BF327" s="22">
        <v>0</v>
      </c>
      <c r="BG327" s="4">
        <f t="shared" si="398"/>
        <v>0</v>
      </c>
    </row>
    <row r="328" spans="1:59" x14ac:dyDescent="0.35">
      <c r="A328" s="3" t="s">
        <v>329</v>
      </c>
      <c r="B328" s="3" t="s">
        <v>330</v>
      </c>
      <c r="C328" s="4">
        <v>505</v>
      </c>
      <c r="D328" s="4" t="s">
        <v>80</v>
      </c>
      <c r="E328" s="2">
        <v>10</v>
      </c>
      <c r="F328" s="4"/>
      <c r="G328" s="4"/>
      <c r="H328" s="4"/>
      <c r="I328" s="4"/>
      <c r="J328" s="4">
        <v>25</v>
      </c>
      <c r="K328" s="4">
        <f t="shared" si="426"/>
        <v>25</v>
      </c>
      <c r="L328" s="4">
        <f>C328/E328</f>
        <v>50.5</v>
      </c>
      <c r="M328" s="4">
        <f t="shared" si="428"/>
        <v>75.5</v>
      </c>
      <c r="N328" s="4">
        <f>L328</f>
        <v>50.5</v>
      </c>
      <c r="O328" s="4">
        <f t="shared" si="430"/>
        <v>126</v>
      </c>
      <c r="P328" s="4">
        <f>C328/E328</f>
        <v>50.5</v>
      </c>
      <c r="Q328" s="4">
        <f t="shared" si="431"/>
        <v>176.5</v>
      </c>
      <c r="R328" s="4">
        <f>SUM(C328/E328)</f>
        <v>50.5</v>
      </c>
      <c r="S328" s="4">
        <f t="shared" si="432"/>
        <v>227</v>
      </c>
      <c r="T328" s="4">
        <f t="shared" si="433"/>
        <v>50.5</v>
      </c>
      <c r="U328" s="4">
        <f t="shared" si="434"/>
        <v>277.5</v>
      </c>
      <c r="V328" s="4">
        <f>T328</f>
        <v>50.5</v>
      </c>
      <c r="W328" s="4">
        <f t="shared" si="436"/>
        <v>328</v>
      </c>
      <c r="X328" s="4">
        <f>V328</f>
        <v>50.5</v>
      </c>
      <c r="Y328" s="4">
        <f t="shared" si="438"/>
        <v>378.5</v>
      </c>
      <c r="Z328" s="4">
        <f t="shared" ref="Z328:Z333" si="464">X328</f>
        <v>50.5</v>
      </c>
      <c r="AA328" s="4">
        <f>Y328+X328-25</f>
        <v>404</v>
      </c>
      <c r="AB328" s="4">
        <f t="shared" si="441"/>
        <v>50.5</v>
      </c>
      <c r="AC328" s="4">
        <f t="shared" si="442"/>
        <v>454.5</v>
      </c>
      <c r="AD328" s="3">
        <f>505-480</f>
        <v>25</v>
      </c>
      <c r="AE328" s="4">
        <f t="shared" si="423"/>
        <v>479.5</v>
      </c>
      <c r="AF328" s="3">
        <f t="shared" si="444"/>
        <v>25</v>
      </c>
      <c r="AG328" s="5">
        <f t="shared" si="445"/>
        <v>504.5</v>
      </c>
      <c r="AH328" s="3">
        <v>0.5</v>
      </c>
      <c r="AI328" s="5">
        <f t="shared" si="447"/>
        <v>505</v>
      </c>
      <c r="AK328" s="3">
        <f t="shared" si="449"/>
        <v>505</v>
      </c>
      <c r="AM328" s="4">
        <f t="shared" si="451"/>
        <v>505</v>
      </c>
      <c r="AN328" s="4">
        <f t="shared" si="452"/>
        <v>0</v>
      </c>
      <c r="AO328" s="21">
        <f t="shared" si="453"/>
        <v>0</v>
      </c>
      <c r="AP328" s="4">
        <f t="shared" si="454"/>
        <v>505</v>
      </c>
      <c r="AQ328" s="4">
        <v>0</v>
      </c>
      <c r="AR328" s="21">
        <v>0</v>
      </c>
      <c r="AS328" s="19">
        <v>505</v>
      </c>
      <c r="AT328" s="4">
        <v>0</v>
      </c>
      <c r="AU328" s="21">
        <f t="shared" si="455"/>
        <v>0</v>
      </c>
      <c r="AV328" s="19">
        <f t="shared" si="456"/>
        <v>505</v>
      </c>
      <c r="AW328" s="4">
        <f t="shared" si="457"/>
        <v>0</v>
      </c>
      <c r="AX328" s="4">
        <v>0</v>
      </c>
      <c r="AY328" s="4">
        <f t="shared" si="458"/>
        <v>505</v>
      </c>
      <c r="AZ328" s="4">
        <f t="shared" si="459"/>
        <v>0</v>
      </c>
      <c r="BA328" s="22">
        <v>0</v>
      </c>
      <c r="BB328" s="4">
        <f t="shared" si="460"/>
        <v>505</v>
      </c>
      <c r="BC328" s="4">
        <f t="shared" si="461"/>
        <v>0</v>
      </c>
      <c r="BF328" s="22">
        <v>0</v>
      </c>
      <c r="BG328" s="4">
        <f t="shared" si="398"/>
        <v>0</v>
      </c>
    </row>
    <row r="329" spans="1:59" x14ac:dyDescent="0.35">
      <c r="A329" s="3" t="s">
        <v>331</v>
      </c>
      <c r="B329" s="3" t="s">
        <v>332</v>
      </c>
      <c r="C329" s="4">
        <v>1641</v>
      </c>
      <c r="D329" s="4" t="s">
        <v>80</v>
      </c>
      <c r="E329" s="2">
        <v>10</v>
      </c>
      <c r="F329" s="4"/>
      <c r="G329" s="4"/>
      <c r="H329" s="4"/>
      <c r="I329" s="4"/>
      <c r="J329" s="4"/>
      <c r="K329" s="4"/>
      <c r="L329" s="4">
        <f>1641/10*0.5</f>
        <v>82.05</v>
      </c>
      <c r="M329" s="4">
        <f t="shared" si="428"/>
        <v>82.05</v>
      </c>
      <c r="N329" s="4">
        <f>1641/10</f>
        <v>164.1</v>
      </c>
      <c r="O329" s="4">
        <f t="shared" si="430"/>
        <v>246.14999999999998</v>
      </c>
      <c r="P329" s="4">
        <f>C329/E329</f>
        <v>164.1</v>
      </c>
      <c r="Q329" s="4">
        <f t="shared" si="431"/>
        <v>410.25</v>
      </c>
      <c r="R329" s="4">
        <f>SUM(C329/E329)</f>
        <v>164.1</v>
      </c>
      <c r="S329" s="4">
        <f t="shared" si="432"/>
        <v>574.35</v>
      </c>
      <c r="T329" s="4">
        <f t="shared" si="433"/>
        <v>164.1</v>
      </c>
      <c r="U329" s="4">
        <f t="shared" si="434"/>
        <v>738.45</v>
      </c>
      <c r="V329" s="4">
        <f>T329</f>
        <v>164.1</v>
      </c>
      <c r="W329" s="4">
        <f t="shared" si="436"/>
        <v>902.55000000000007</v>
      </c>
      <c r="X329" s="4">
        <v>164</v>
      </c>
      <c r="Y329" s="4">
        <f t="shared" si="438"/>
        <v>1066.5500000000002</v>
      </c>
      <c r="Z329" s="4">
        <f t="shared" si="464"/>
        <v>164</v>
      </c>
      <c r="AA329" s="4">
        <f>Y329+X329-82</f>
        <v>1148.5500000000002</v>
      </c>
      <c r="AB329" s="4">
        <f t="shared" si="441"/>
        <v>164</v>
      </c>
      <c r="AC329" s="4">
        <f t="shared" si="442"/>
        <v>1312.5500000000002</v>
      </c>
      <c r="AD329" s="3">
        <f>AB329</f>
        <v>164</v>
      </c>
      <c r="AE329" s="4">
        <f t="shared" si="423"/>
        <v>1476.5500000000002</v>
      </c>
      <c r="AF329" s="3">
        <f t="shared" si="444"/>
        <v>164</v>
      </c>
      <c r="AG329" s="5">
        <f t="shared" si="445"/>
        <v>1640.5500000000002</v>
      </c>
      <c r="AH329" s="3">
        <v>0.45</v>
      </c>
      <c r="AI329" s="5">
        <f t="shared" si="447"/>
        <v>1641.0000000000002</v>
      </c>
      <c r="AK329" s="3">
        <f t="shared" si="449"/>
        <v>1641.0000000000002</v>
      </c>
      <c r="AM329" s="4">
        <f t="shared" si="451"/>
        <v>1641.0000000000002</v>
      </c>
      <c r="AN329" s="4">
        <f t="shared" si="452"/>
        <v>0</v>
      </c>
      <c r="AO329" s="21">
        <f t="shared" si="453"/>
        <v>0</v>
      </c>
      <c r="AP329" s="4">
        <f t="shared" si="454"/>
        <v>1641.0000000000002</v>
      </c>
      <c r="AQ329" s="4">
        <v>0</v>
      </c>
      <c r="AR329" s="21">
        <v>0</v>
      </c>
      <c r="AS329" s="19">
        <v>1641.0000000000002</v>
      </c>
      <c r="AT329" s="4">
        <v>0</v>
      </c>
      <c r="AU329" s="21">
        <f t="shared" si="455"/>
        <v>0</v>
      </c>
      <c r="AV329" s="19">
        <f t="shared" si="456"/>
        <v>1641.0000000000002</v>
      </c>
      <c r="AW329" s="4">
        <f t="shared" si="457"/>
        <v>0</v>
      </c>
      <c r="AX329" s="4">
        <v>0</v>
      </c>
      <c r="AY329" s="4">
        <f t="shared" si="458"/>
        <v>1641.0000000000002</v>
      </c>
      <c r="AZ329" s="4">
        <f t="shared" si="459"/>
        <v>-2.2737367544323206E-13</v>
      </c>
      <c r="BA329" s="22">
        <v>0</v>
      </c>
      <c r="BB329" s="4">
        <f t="shared" si="460"/>
        <v>1641.0000000000002</v>
      </c>
      <c r="BC329" s="4">
        <f t="shared" si="461"/>
        <v>-2.2737367544323206E-13</v>
      </c>
      <c r="BF329" s="22">
        <v>0</v>
      </c>
      <c r="BG329" s="4">
        <f t="shared" si="398"/>
        <v>0</v>
      </c>
    </row>
    <row r="330" spans="1:59" x14ac:dyDescent="0.35">
      <c r="A330" s="3" t="s">
        <v>333</v>
      </c>
      <c r="B330" s="3" t="s">
        <v>334</v>
      </c>
      <c r="C330" s="4">
        <v>5932</v>
      </c>
      <c r="D330" s="4" t="s">
        <v>80</v>
      </c>
      <c r="E330" s="2">
        <v>22.5</v>
      </c>
      <c r="F330" s="4"/>
      <c r="G330" s="4"/>
      <c r="H330" s="4"/>
      <c r="I330" s="4"/>
      <c r="J330" s="4"/>
      <c r="K330" s="4"/>
      <c r="L330" s="4"/>
      <c r="M330" s="4"/>
      <c r="N330" s="4">
        <f>5932/10/12*3</f>
        <v>148.30000000000001</v>
      </c>
      <c r="O330" s="4">
        <f t="shared" si="430"/>
        <v>148.30000000000001</v>
      </c>
      <c r="P330" s="4">
        <f>C330/E330</f>
        <v>263.64444444444445</v>
      </c>
      <c r="Q330" s="4">
        <f t="shared" si="431"/>
        <v>411.94444444444446</v>
      </c>
      <c r="R330" s="4">
        <f>SUM(C330/E330)</f>
        <v>263.64444444444445</v>
      </c>
      <c r="S330" s="4">
        <f t="shared" si="432"/>
        <v>675.58888888888896</v>
      </c>
      <c r="T330" s="4">
        <f t="shared" si="433"/>
        <v>263.64444444444445</v>
      </c>
      <c r="U330" s="4">
        <f t="shared" si="434"/>
        <v>939.23333333333335</v>
      </c>
      <c r="V330" s="4">
        <f>T330</f>
        <v>263.64444444444445</v>
      </c>
      <c r="W330" s="4">
        <f t="shared" si="436"/>
        <v>1202.8777777777777</v>
      </c>
      <c r="X330" s="4">
        <v>593</v>
      </c>
      <c r="Y330" s="4">
        <f t="shared" si="438"/>
        <v>1795.8777777777777</v>
      </c>
      <c r="Z330" s="4">
        <f t="shared" si="464"/>
        <v>593</v>
      </c>
      <c r="AA330" s="4">
        <f>Y330+X330</f>
        <v>2388.8777777777777</v>
      </c>
      <c r="AB330" s="4">
        <f t="shared" si="441"/>
        <v>593</v>
      </c>
      <c r="AC330" s="4">
        <f t="shared" si="442"/>
        <v>2981.8777777777777</v>
      </c>
      <c r="AD330" s="3">
        <f>AB330</f>
        <v>593</v>
      </c>
      <c r="AE330" s="4">
        <f t="shared" si="423"/>
        <v>3574.8777777777777</v>
      </c>
      <c r="AF330" s="3">
        <f t="shared" si="444"/>
        <v>593</v>
      </c>
      <c r="AG330" s="5">
        <f t="shared" si="445"/>
        <v>4167.8777777777777</v>
      </c>
      <c r="AH330" s="3">
        <f>5932-5486.1</f>
        <v>445.89999999999964</v>
      </c>
      <c r="AI330" s="5">
        <f t="shared" si="447"/>
        <v>4613.7777777777774</v>
      </c>
      <c r="AK330" s="3">
        <f t="shared" si="449"/>
        <v>4613.7777777777774</v>
      </c>
      <c r="AM330" s="4">
        <f t="shared" si="451"/>
        <v>4613.7777777777774</v>
      </c>
      <c r="AN330" s="4">
        <f t="shared" si="452"/>
        <v>1318.2222222222226</v>
      </c>
      <c r="AO330" s="21">
        <f t="shared" si="453"/>
        <v>0</v>
      </c>
      <c r="AP330" s="4">
        <f t="shared" si="454"/>
        <v>4613.7777777777774</v>
      </c>
      <c r="AQ330" s="4">
        <v>0</v>
      </c>
      <c r="AR330" s="21">
        <v>0</v>
      </c>
      <c r="AS330" s="19">
        <v>5932</v>
      </c>
      <c r="AT330" s="4">
        <v>0</v>
      </c>
      <c r="AU330" s="21">
        <f t="shared" si="455"/>
        <v>0</v>
      </c>
      <c r="AV330" s="19">
        <f t="shared" si="456"/>
        <v>5932</v>
      </c>
      <c r="AW330" s="4">
        <f t="shared" si="457"/>
        <v>0</v>
      </c>
      <c r="AX330" s="4">
        <v>0</v>
      </c>
      <c r="AY330" s="4">
        <f t="shared" si="458"/>
        <v>5932</v>
      </c>
      <c r="AZ330" s="4">
        <f t="shared" si="459"/>
        <v>0</v>
      </c>
      <c r="BA330" s="22">
        <v>0</v>
      </c>
      <c r="BB330" s="4">
        <f t="shared" si="460"/>
        <v>5932</v>
      </c>
      <c r="BC330" s="4">
        <f t="shared" si="461"/>
        <v>0</v>
      </c>
      <c r="BF330" s="22">
        <v>0</v>
      </c>
      <c r="BG330" s="4">
        <f t="shared" si="398"/>
        <v>0</v>
      </c>
    </row>
    <row r="331" spans="1:59" x14ac:dyDescent="0.35">
      <c r="A331" s="3" t="s">
        <v>335</v>
      </c>
      <c r="B331" s="3" t="s">
        <v>336</v>
      </c>
      <c r="C331" s="4">
        <v>24881</v>
      </c>
      <c r="D331" s="4" t="s">
        <v>80</v>
      </c>
      <c r="E331" s="2">
        <v>10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>
        <f>C331/10/12*9</f>
        <v>1866.075</v>
      </c>
      <c r="S331" s="4">
        <f t="shared" si="432"/>
        <v>1866.075</v>
      </c>
      <c r="T331" s="4">
        <v>2488</v>
      </c>
      <c r="U331" s="4">
        <f t="shared" si="434"/>
        <v>4354.0749999999998</v>
      </c>
      <c r="V331" s="4">
        <f>T331</f>
        <v>2488</v>
      </c>
      <c r="W331" s="4">
        <f t="shared" si="436"/>
        <v>6842.0749999999998</v>
      </c>
      <c r="X331" s="4">
        <f>V331</f>
        <v>2488</v>
      </c>
      <c r="Y331" s="4">
        <v>9411</v>
      </c>
      <c r="Z331" s="4">
        <f t="shared" si="464"/>
        <v>2488</v>
      </c>
      <c r="AA331" s="4">
        <f>Y331+X331+107</f>
        <v>12006</v>
      </c>
      <c r="AB331" s="4">
        <f t="shared" si="441"/>
        <v>2488</v>
      </c>
      <c r="AC331" s="4">
        <f t="shared" si="442"/>
        <v>14494</v>
      </c>
      <c r="AD331" s="3">
        <f>AB331</f>
        <v>2488</v>
      </c>
      <c r="AE331" s="4">
        <f t="shared" si="423"/>
        <v>16982</v>
      </c>
      <c r="AF331" s="3">
        <f t="shared" si="444"/>
        <v>2488</v>
      </c>
      <c r="AG331" s="5">
        <f t="shared" si="445"/>
        <v>19470</v>
      </c>
      <c r="AH331" s="3">
        <f>AF331</f>
        <v>2488</v>
      </c>
      <c r="AI331" s="5">
        <f t="shared" si="447"/>
        <v>21958</v>
      </c>
      <c r="AJ331" s="3">
        <f>AH331</f>
        <v>2488</v>
      </c>
      <c r="AK331" s="3">
        <f t="shared" si="449"/>
        <v>24446</v>
      </c>
      <c r="AL331" s="4">
        <f>24881-24446</f>
        <v>435</v>
      </c>
      <c r="AM331" s="4">
        <f t="shared" si="451"/>
        <v>24881</v>
      </c>
      <c r="AN331" s="4">
        <f t="shared" si="452"/>
        <v>0</v>
      </c>
      <c r="AO331" s="21">
        <v>0</v>
      </c>
      <c r="AP331" s="4">
        <f t="shared" si="454"/>
        <v>24881</v>
      </c>
      <c r="AQ331" s="4">
        <v>0</v>
      </c>
      <c r="AR331" s="21">
        <v>0</v>
      </c>
      <c r="AS331" s="19">
        <v>24881</v>
      </c>
      <c r="AT331" s="4">
        <v>0</v>
      </c>
      <c r="AU331" s="21">
        <f t="shared" si="455"/>
        <v>0</v>
      </c>
      <c r="AV331" s="19">
        <f t="shared" si="456"/>
        <v>24881</v>
      </c>
      <c r="AW331" s="4">
        <f t="shared" si="457"/>
        <v>0</v>
      </c>
      <c r="AX331" s="4">
        <v>0</v>
      </c>
      <c r="AY331" s="4">
        <f t="shared" si="458"/>
        <v>24881</v>
      </c>
      <c r="AZ331" s="4">
        <f t="shared" si="459"/>
        <v>0</v>
      </c>
      <c r="BA331" s="22">
        <v>0</v>
      </c>
      <c r="BB331" s="4">
        <f t="shared" si="460"/>
        <v>24881</v>
      </c>
      <c r="BC331" s="4">
        <f t="shared" si="461"/>
        <v>0</v>
      </c>
      <c r="BF331" s="22">
        <v>0</v>
      </c>
      <c r="BG331" s="4">
        <f t="shared" si="398"/>
        <v>0</v>
      </c>
    </row>
    <row r="332" spans="1:59" x14ac:dyDescent="0.35">
      <c r="A332" s="3" t="s">
        <v>337</v>
      </c>
      <c r="B332" s="3" t="s">
        <v>338</v>
      </c>
      <c r="C332" s="4">
        <v>12014</v>
      </c>
      <c r="D332" s="4" t="s">
        <v>80</v>
      </c>
      <c r="E332" s="2">
        <v>22.5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>
        <f>12014/10/12*8</f>
        <v>800.93333333333339</v>
      </c>
      <c r="U332" s="4">
        <f t="shared" si="434"/>
        <v>800.93333333333339</v>
      </c>
      <c r="V332" s="4">
        <f>T332</f>
        <v>800.93333333333339</v>
      </c>
      <c r="W332" s="4">
        <f t="shared" si="436"/>
        <v>1601.8666666666668</v>
      </c>
      <c r="X332" s="4">
        <f>V332</f>
        <v>800.93333333333339</v>
      </c>
      <c r="Y332" s="4">
        <f>SUM(W332:X332)</f>
        <v>2402.8000000000002</v>
      </c>
      <c r="Z332" s="4">
        <f t="shared" si="464"/>
        <v>800.93333333333339</v>
      </c>
      <c r="AA332" s="4">
        <f>Y332+X332</f>
        <v>3203.7333333333336</v>
      </c>
      <c r="AB332" s="4">
        <f t="shared" si="441"/>
        <v>800.93333333333339</v>
      </c>
      <c r="AC332" s="4">
        <f t="shared" si="442"/>
        <v>4004.666666666667</v>
      </c>
      <c r="AD332" s="3">
        <f>AB332</f>
        <v>800.93333333333339</v>
      </c>
      <c r="AE332" s="4">
        <f t="shared" si="423"/>
        <v>4805.6000000000004</v>
      </c>
      <c r="AF332" s="3">
        <f t="shared" si="444"/>
        <v>800.93333333333339</v>
      </c>
      <c r="AG332" s="5">
        <f t="shared" si="445"/>
        <v>5606.5333333333338</v>
      </c>
      <c r="AH332" s="3">
        <f>AF332</f>
        <v>800.93333333333339</v>
      </c>
      <c r="AI332" s="5">
        <f t="shared" si="447"/>
        <v>6407.4666666666672</v>
      </c>
      <c r="AJ332" s="3">
        <f>AH332</f>
        <v>800.93333333333339</v>
      </c>
      <c r="AK332" s="3">
        <f t="shared" si="449"/>
        <v>7208.4000000000005</v>
      </c>
      <c r="AL332" s="4">
        <f>AJ332</f>
        <v>800.93333333333339</v>
      </c>
      <c r="AM332" s="4">
        <v>10957</v>
      </c>
      <c r="AN332" s="4">
        <f t="shared" si="452"/>
        <v>1057</v>
      </c>
      <c r="AO332" s="21">
        <f>AL332</f>
        <v>800.93333333333339</v>
      </c>
      <c r="AP332" s="4">
        <f t="shared" si="454"/>
        <v>11757.933333333334</v>
      </c>
      <c r="AQ332" s="4">
        <v>256.06666666666661</v>
      </c>
      <c r="AR332" s="21">
        <v>256</v>
      </c>
      <c r="AS332" s="19">
        <v>12013.933333333334</v>
      </c>
      <c r="AT332" s="4">
        <v>6.6666666666606034E-2</v>
      </c>
      <c r="AU332" s="21">
        <v>0</v>
      </c>
      <c r="AV332" s="19">
        <f t="shared" si="456"/>
        <v>12013.933333333334</v>
      </c>
      <c r="AW332" s="4">
        <f t="shared" si="457"/>
        <v>6.6666666665696539E-2</v>
      </c>
      <c r="AX332" s="4">
        <v>0</v>
      </c>
      <c r="AY332" s="4">
        <f t="shared" si="458"/>
        <v>12013.933333333334</v>
      </c>
      <c r="AZ332" s="4">
        <f t="shared" si="459"/>
        <v>6.6666666665696539E-2</v>
      </c>
      <c r="BA332" s="22">
        <v>0</v>
      </c>
      <c r="BB332" s="4">
        <f t="shared" si="460"/>
        <v>12013.933333333334</v>
      </c>
      <c r="BC332" s="4">
        <f t="shared" si="461"/>
        <v>6.6666666665696539E-2</v>
      </c>
      <c r="BF332" s="22">
        <v>0</v>
      </c>
      <c r="BG332" s="4">
        <f t="shared" si="398"/>
        <v>0</v>
      </c>
    </row>
    <row r="333" spans="1:59" x14ac:dyDescent="0.35">
      <c r="A333" s="3" t="s">
        <v>339</v>
      </c>
      <c r="B333" s="3" t="s">
        <v>340</v>
      </c>
      <c r="C333" s="4">
        <v>11482</v>
      </c>
      <c r="D333" s="4" t="s">
        <v>80</v>
      </c>
      <c r="E333" s="2">
        <v>22.5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>
        <f>C333/10/12*5.5</f>
        <v>526.25833333333333</v>
      </c>
      <c r="U333" s="4">
        <f t="shared" si="434"/>
        <v>526.25833333333333</v>
      </c>
      <c r="V333" s="4">
        <f>11482/10</f>
        <v>1148.2</v>
      </c>
      <c r="W333" s="4">
        <f t="shared" si="436"/>
        <v>1674.4583333333335</v>
      </c>
      <c r="X333" s="4">
        <f>V333</f>
        <v>1148.2</v>
      </c>
      <c r="Y333" s="4">
        <f>SUM(W333:X333)</f>
        <v>2822.6583333333338</v>
      </c>
      <c r="Z333" s="4">
        <f t="shared" si="464"/>
        <v>1148.2</v>
      </c>
      <c r="AA333" s="4">
        <f>Y333+X333</f>
        <v>3970.8583333333336</v>
      </c>
      <c r="AB333" s="4">
        <f t="shared" si="441"/>
        <v>1148.2</v>
      </c>
      <c r="AC333" s="4">
        <f t="shared" si="442"/>
        <v>5119.0583333333334</v>
      </c>
      <c r="AD333" s="3">
        <f>AB333</f>
        <v>1148.2</v>
      </c>
      <c r="AE333" s="4">
        <f t="shared" si="423"/>
        <v>6267.2583333333332</v>
      </c>
      <c r="AF333" s="3">
        <f t="shared" si="444"/>
        <v>1148.2</v>
      </c>
      <c r="AG333" s="5">
        <f t="shared" si="445"/>
        <v>7415.458333333333</v>
      </c>
      <c r="AH333" s="3">
        <f>AF333</f>
        <v>1148.2</v>
      </c>
      <c r="AI333" s="5">
        <f t="shared" si="447"/>
        <v>8563.6583333333328</v>
      </c>
      <c r="AJ333" s="3">
        <f>AH333</f>
        <v>1148.2</v>
      </c>
      <c r="AK333" s="3">
        <f t="shared" si="449"/>
        <v>9711.8583333333336</v>
      </c>
      <c r="AL333" s="4">
        <f>AJ333</f>
        <v>1148.2</v>
      </c>
      <c r="AM333" s="4">
        <f>SUM(AK333:AL333)</f>
        <v>10860.058333333334</v>
      </c>
      <c r="AN333" s="4">
        <f t="shared" si="452"/>
        <v>621.9416666666657</v>
      </c>
      <c r="AO333" s="21">
        <v>622</v>
      </c>
      <c r="AP333" s="4">
        <f t="shared" si="454"/>
        <v>11482.058333333334</v>
      </c>
      <c r="AQ333" s="4">
        <v>-5.8333333334303461E-2</v>
      </c>
      <c r="AR333" s="21">
        <v>0</v>
      </c>
      <c r="AS333" s="19">
        <v>11482.058333333334</v>
      </c>
      <c r="AT333" s="4">
        <v>-5.8333333334303461E-2</v>
      </c>
      <c r="AU333" s="21">
        <f t="shared" si="455"/>
        <v>0</v>
      </c>
      <c r="AV333" s="19">
        <f t="shared" si="456"/>
        <v>11482.058333333334</v>
      </c>
      <c r="AW333" s="4">
        <f t="shared" si="457"/>
        <v>-5.8333333334303461E-2</v>
      </c>
      <c r="AX333" s="4">
        <v>0</v>
      </c>
      <c r="AY333" s="4">
        <f t="shared" si="458"/>
        <v>11482.058333333334</v>
      </c>
      <c r="AZ333" s="4">
        <f t="shared" si="459"/>
        <v>-5.8333333334303461E-2</v>
      </c>
      <c r="BA333" s="22">
        <v>0</v>
      </c>
      <c r="BB333" s="4">
        <f t="shared" si="460"/>
        <v>11482.058333333334</v>
      </c>
      <c r="BC333" s="4">
        <f t="shared" si="461"/>
        <v>-5.8333333334303461E-2</v>
      </c>
      <c r="BF333" s="22">
        <v>0</v>
      </c>
      <c r="BG333" s="4">
        <f t="shared" si="398"/>
        <v>0</v>
      </c>
    </row>
    <row r="334" spans="1:59" x14ac:dyDescent="0.35">
      <c r="A334" s="3" t="s">
        <v>341</v>
      </c>
      <c r="B334" s="3" t="s">
        <v>342</v>
      </c>
      <c r="C334" s="4">
        <v>9306</v>
      </c>
      <c r="D334" s="4" t="s">
        <v>80</v>
      </c>
      <c r="E334" s="2">
        <v>22.5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3">
        <v>931</v>
      </c>
      <c r="AE334" s="4">
        <f t="shared" si="423"/>
        <v>931</v>
      </c>
      <c r="AF334" s="3">
        <f t="shared" si="444"/>
        <v>931</v>
      </c>
      <c r="AG334" s="5">
        <f t="shared" si="445"/>
        <v>1862</v>
      </c>
      <c r="AH334" s="3">
        <f>AF334</f>
        <v>931</v>
      </c>
      <c r="AI334" s="5">
        <f t="shared" si="447"/>
        <v>2793</v>
      </c>
      <c r="AJ334" s="3">
        <f>AH334</f>
        <v>931</v>
      </c>
      <c r="AK334" s="3">
        <f t="shared" si="449"/>
        <v>3724</v>
      </c>
      <c r="AL334" s="4">
        <f>AJ334</f>
        <v>931</v>
      </c>
      <c r="AM334" s="4">
        <f>SUM(AK334:AL334)</f>
        <v>4655</v>
      </c>
      <c r="AN334" s="4">
        <f t="shared" si="452"/>
        <v>4651</v>
      </c>
      <c r="AO334" s="21">
        <f>AL334</f>
        <v>931</v>
      </c>
      <c r="AP334" s="4">
        <f t="shared" si="454"/>
        <v>5586</v>
      </c>
      <c r="AQ334" s="4">
        <v>3720</v>
      </c>
      <c r="AR334" s="21">
        <v>931</v>
      </c>
      <c r="AS334" s="19">
        <v>6517</v>
      </c>
      <c r="AT334" s="4">
        <v>2789</v>
      </c>
      <c r="AU334" s="21">
        <f t="shared" ref="AU334" si="465">SUM(C334/E334)</f>
        <v>413.6</v>
      </c>
      <c r="AV334" s="19">
        <f t="shared" si="456"/>
        <v>6930.6</v>
      </c>
      <c r="AW334" s="4">
        <f t="shared" si="457"/>
        <v>2375.3999999999996</v>
      </c>
      <c r="AX334" s="4">
        <f t="shared" ref="AX334:AX335" si="466">SUM(C334/E334)</f>
        <v>413.6</v>
      </c>
      <c r="AY334" s="4">
        <f t="shared" si="458"/>
        <v>7344.2000000000007</v>
      </c>
      <c r="AZ334" s="4">
        <f t="shared" si="459"/>
        <v>1961.7999999999993</v>
      </c>
      <c r="BA334" s="22">
        <f t="shared" ref="BA334:BA335" si="467">SUM(C334/E334)</f>
        <v>413.6</v>
      </c>
      <c r="BB334" s="4">
        <f t="shared" si="460"/>
        <v>7757.8000000000011</v>
      </c>
      <c r="BC334" s="4">
        <f t="shared" si="461"/>
        <v>1548.1999999999989</v>
      </c>
      <c r="BF334" s="22">
        <v>413.6</v>
      </c>
      <c r="BG334" s="4">
        <f t="shared" si="398"/>
        <v>0</v>
      </c>
    </row>
    <row r="335" spans="1:59" x14ac:dyDescent="0.35">
      <c r="A335" s="3" t="s">
        <v>335</v>
      </c>
      <c r="B335" s="42" t="s">
        <v>343</v>
      </c>
      <c r="C335" s="4">
        <v>16698</v>
      </c>
      <c r="D335" s="4" t="s">
        <v>80</v>
      </c>
      <c r="E335" s="2">
        <v>10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AC335" s="4"/>
      <c r="AE335" s="4">
        <f t="shared" si="423"/>
        <v>0</v>
      </c>
      <c r="AG335" s="5"/>
      <c r="AL335" s="4"/>
      <c r="AM335" s="4"/>
      <c r="AN335" s="4"/>
      <c r="AO335" s="21"/>
      <c r="AP335" s="4"/>
      <c r="AQ335" s="4"/>
      <c r="AR335" s="21"/>
      <c r="AS335" s="19"/>
      <c r="AT335" s="4"/>
      <c r="AU335" s="21">
        <f>SUM(C335/E335/6)</f>
        <v>278.3</v>
      </c>
      <c r="AV335" s="19">
        <f t="shared" si="456"/>
        <v>278.3</v>
      </c>
      <c r="AW335" s="4">
        <f t="shared" si="457"/>
        <v>16419.7</v>
      </c>
      <c r="AX335" s="4">
        <f t="shared" si="466"/>
        <v>1669.8</v>
      </c>
      <c r="AY335" s="4">
        <f t="shared" si="458"/>
        <v>1948.1</v>
      </c>
      <c r="AZ335" s="4">
        <f t="shared" si="459"/>
        <v>14749.9</v>
      </c>
      <c r="BA335" s="22">
        <f t="shared" si="467"/>
        <v>1669.8</v>
      </c>
      <c r="BB335" s="4">
        <f t="shared" si="460"/>
        <v>3617.8999999999996</v>
      </c>
      <c r="BC335" s="4">
        <f t="shared" si="461"/>
        <v>13080.1</v>
      </c>
      <c r="BF335" s="22">
        <v>742.13333333333333</v>
      </c>
      <c r="BG335" s="4">
        <f t="shared" si="398"/>
        <v>927.66666666666663</v>
      </c>
    </row>
    <row r="336" spans="1:59" x14ac:dyDescent="0.35">
      <c r="A336" s="3" t="s">
        <v>344</v>
      </c>
      <c r="B336" s="3" t="s">
        <v>162</v>
      </c>
      <c r="C336" s="4">
        <v>24000</v>
      </c>
      <c r="D336" s="4" t="s">
        <v>80</v>
      </c>
      <c r="E336" s="2">
        <v>10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AC336" s="4"/>
      <c r="AE336" s="4"/>
      <c r="AG336" s="5"/>
      <c r="AL336" s="4"/>
      <c r="AM336" s="4"/>
      <c r="AN336" s="4"/>
      <c r="AO336" s="21"/>
      <c r="AP336" s="4"/>
      <c r="AQ336" s="4"/>
      <c r="AR336" s="21"/>
      <c r="AS336" s="19"/>
      <c r="AT336" s="4"/>
      <c r="AU336" s="21"/>
      <c r="AV336" s="19"/>
      <c r="AW336" s="4"/>
      <c r="AX336" s="4"/>
      <c r="AY336" s="4"/>
      <c r="AZ336" s="4"/>
      <c r="BA336" s="22">
        <f>SUM(C336/E336)</f>
        <v>2400</v>
      </c>
      <c r="BB336" s="4">
        <f t="shared" ref="BB336" si="468">SUM(AY336+BA336)</f>
        <v>2400</v>
      </c>
      <c r="BC336" s="4">
        <f t="shared" ref="BC336" si="469">SUM(C336-BB336)</f>
        <v>21600</v>
      </c>
      <c r="BD336" s="3">
        <v>24000</v>
      </c>
      <c r="BF336" s="22">
        <v>533.33333333333337</v>
      </c>
      <c r="BG336" s="4">
        <f t="shared" si="398"/>
        <v>1866.6666666666665</v>
      </c>
    </row>
    <row r="337" spans="1:59" x14ac:dyDescent="0.35">
      <c r="C337" s="4"/>
      <c r="D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AC337" s="4"/>
      <c r="AE337" s="4">
        <f t="shared" si="423"/>
        <v>0</v>
      </c>
      <c r="AG337" s="5"/>
      <c r="AL337" s="4"/>
      <c r="AM337" s="4"/>
      <c r="AN337" s="4"/>
      <c r="AO337" s="21"/>
      <c r="AP337" s="4"/>
      <c r="AQ337" s="4"/>
      <c r="AR337" s="21"/>
      <c r="AS337" s="19"/>
      <c r="AT337" s="4"/>
      <c r="BA337" s="17"/>
      <c r="BF337" s="17"/>
      <c r="BG337" s="4">
        <f t="shared" si="398"/>
        <v>0</v>
      </c>
    </row>
    <row r="338" spans="1:59" x14ac:dyDescent="0.35">
      <c r="C338" s="19">
        <f>SUM(C312:C337)</f>
        <v>161891</v>
      </c>
      <c r="D338" s="4"/>
      <c r="F338" s="4"/>
      <c r="G338" s="19">
        <f t="shared" ref="G338:Q338" si="470">SUM(G312:G330)</f>
        <v>37969</v>
      </c>
      <c r="H338" s="19">
        <f t="shared" si="470"/>
        <v>4543</v>
      </c>
      <c r="I338" s="19">
        <f t="shared" si="470"/>
        <v>42512</v>
      </c>
      <c r="J338" s="19">
        <f t="shared" si="470"/>
        <v>4568</v>
      </c>
      <c r="K338" s="19">
        <f t="shared" si="470"/>
        <v>47080</v>
      </c>
      <c r="L338" s="19">
        <f t="shared" si="470"/>
        <v>3746.55</v>
      </c>
      <c r="M338" s="19">
        <f t="shared" si="470"/>
        <v>50826.55</v>
      </c>
      <c r="N338" s="19">
        <f t="shared" si="470"/>
        <v>2778.9</v>
      </c>
      <c r="O338" s="19">
        <f t="shared" si="470"/>
        <v>53605.450000000004</v>
      </c>
      <c r="P338" s="19">
        <f t="shared" si="470"/>
        <v>2266.2444444444445</v>
      </c>
      <c r="Q338" s="19">
        <f t="shared" si="470"/>
        <v>55871.694444444445</v>
      </c>
      <c r="R338" s="19">
        <f>SUM(R312:R331)</f>
        <v>2583.3194444444443</v>
      </c>
      <c r="S338" s="19">
        <f>Q338+R338</f>
        <v>58455.013888888891</v>
      </c>
      <c r="T338" s="19">
        <f>SUM(T312:T333)</f>
        <v>4532.4361111111111</v>
      </c>
      <c r="U338" s="19">
        <f>SUM(U312:U333)</f>
        <v>62987.44999999999</v>
      </c>
      <c r="V338" s="19">
        <f>SUM(V312:V333)</f>
        <v>4996.3777777777777</v>
      </c>
      <c r="W338" s="19">
        <f>SUM(W312:W333)</f>
        <v>67983.827777777769</v>
      </c>
      <c r="X338" s="19">
        <f>V338</f>
        <v>4996.3777777777777</v>
      </c>
      <c r="Y338" s="19">
        <f>W338+V338</f>
        <v>72980.205555555542</v>
      </c>
      <c r="Z338" s="1">
        <v>5326</v>
      </c>
      <c r="AA338" s="19">
        <f>SUM(AA312:AA333)</f>
        <v>78554.01944444445</v>
      </c>
      <c r="AB338" s="1">
        <f>SUM(AB312:AB334)</f>
        <v>5244.6333333333332</v>
      </c>
      <c r="AC338" s="19">
        <f>SUM(AA338:AB338)</f>
        <v>83798.652777777781</v>
      </c>
      <c r="AD338" s="3">
        <f>SUM(AD312:AD334)</f>
        <v>6150.1333333333332</v>
      </c>
      <c r="AE338" s="4">
        <f>SUM(AE312:AE335)</f>
        <v>89948.786111111112</v>
      </c>
      <c r="AF338" s="3">
        <f>SUM(AF312:AF334)</f>
        <v>6150.1333333333332</v>
      </c>
      <c r="AG338" s="5">
        <f>SUM(AG312:AG334)</f>
        <v>96098.919444444444</v>
      </c>
      <c r="AH338" s="3">
        <f>SUM(AH312:AH334)</f>
        <v>5814.9833333333327</v>
      </c>
      <c r="AI338" s="3">
        <f>SUM(AI312:AI334)</f>
        <v>101913.90277777778</v>
      </c>
      <c r="AJ338" s="3">
        <f>AH338</f>
        <v>5814.9833333333327</v>
      </c>
      <c r="AK338" s="3">
        <f>SUM(AI338:AJ338)</f>
        <v>107728.88611111112</v>
      </c>
      <c r="AL338" s="4">
        <f t="shared" ref="AL338:AP338" si="471">SUM(AL312:AL334)</f>
        <v>3315.1333333333332</v>
      </c>
      <c r="AM338" s="4">
        <f t="shared" si="471"/>
        <v>113544.83611111112</v>
      </c>
      <c r="AN338" s="4">
        <f t="shared" si="471"/>
        <v>7648.1638888888883</v>
      </c>
      <c r="AO338" s="21">
        <f t="shared" si="471"/>
        <v>2353.9333333333334</v>
      </c>
      <c r="AP338" s="4">
        <f t="shared" si="471"/>
        <v>115898.76944444445</v>
      </c>
      <c r="AQ338" s="4">
        <v>3976.0083333333323</v>
      </c>
      <c r="AR338" s="21">
        <v>1187</v>
      </c>
      <c r="AS338" s="19">
        <v>118403.99166666667</v>
      </c>
      <c r="AT338" s="4">
        <v>2789.0083333333323</v>
      </c>
      <c r="AU338" s="21">
        <f>SUM(AU312:AU335)</f>
        <v>691.90000000000009</v>
      </c>
      <c r="AV338" s="21">
        <f t="shared" ref="AV338:AZ338" si="472">SUM(AV312:AV335)</f>
        <v>119095.89166666668</v>
      </c>
      <c r="AW338" s="25">
        <f t="shared" si="472"/>
        <v>18795.10833333333</v>
      </c>
      <c r="AX338" s="25">
        <f t="shared" si="472"/>
        <v>2083.4</v>
      </c>
      <c r="AY338" s="25">
        <f t="shared" si="472"/>
        <v>121179.29166666667</v>
      </c>
      <c r="AZ338" s="25">
        <f t="shared" si="472"/>
        <v>16711.708333333328</v>
      </c>
      <c r="BA338" s="20">
        <f t="shared" ref="BA338:BC338" si="473">SUM(BA312:BA337)</f>
        <v>4483.3999999999996</v>
      </c>
      <c r="BB338" s="19">
        <f t="shared" si="473"/>
        <v>125662.69166666667</v>
      </c>
      <c r="BC338" s="19">
        <f t="shared" si="473"/>
        <v>36228.308333333334</v>
      </c>
      <c r="BF338" s="20">
        <v>1689.0666666666666</v>
      </c>
      <c r="BG338" s="4">
        <f t="shared" si="398"/>
        <v>2794.333333333333</v>
      </c>
    </row>
    <row r="339" spans="1:59" x14ac:dyDescent="0.35">
      <c r="C339" s="4"/>
      <c r="D339" s="4"/>
      <c r="F339" s="4"/>
      <c r="G339" s="19"/>
      <c r="H339" s="19"/>
      <c r="I339" s="19"/>
      <c r="J339" s="4"/>
      <c r="K339" s="4"/>
      <c r="L339" s="4"/>
      <c r="M339" s="4">
        <f>K339+L339</f>
        <v>0</v>
      </c>
      <c r="N339" s="4"/>
      <c r="O339" s="4"/>
      <c r="P339" s="4"/>
      <c r="Q339" s="4"/>
      <c r="X339" s="4"/>
      <c r="Y339" s="4"/>
      <c r="AC339" s="4"/>
      <c r="AE339" s="4">
        <f t="shared" ref="AE339:AE344" si="474">AC339+AD339</f>
        <v>0</v>
      </c>
      <c r="AG339" s="5"/>
      <c r="AM339" s="4"/>
      <c r="AN339" s="4"/>
      <c r="AO339" s="6"/>
      <c r="AR339" s="6"/>
      <c r="AS339" s="1"/>
      <c r="AT339" s="4"/>
      <c r="BA339" s="17"/>
      <c r="BF339" s="17"/>
      <c r="BG339" s="4">
        <f t="shared" si="398"/>
        <v>0</v>
      </c>
    </row>
    <row r="340" spans="1:59" x14ac:dyDescent="0.35">
      <c r="A340" s="3" t="s">
        <v>345</v>
      </c>
      <c r="C340" s="4"/>
      <c r="D340" s="4"/>
      <c r="F340" s="4"/>
      <c r="G340" s="19"/>
      <c r="H340" s="19"/>
      <c r="I340" s="19"/>
      <c r="J340" s="4"/>
      <c r="K340" s="4"/>
      <c r="L340" s="4"/>
      <c r="M340" s="4">
        <f>K340+L340</f>
        <v>0</v>
      </c>
      <c r="N340" s="4"/>
      <c r="O340" s="4"/>
      <c r="P340" s="4"/>
      <c r="Q340" s="4"/>
      <c r="X340" s="4"/>
      <c r="Y340" s="4"/>
      <c r="AC340" s="4"/>
      <c r="AE340" s="4">
        <f t="shared" si="474"/>
        <v>0</v>
      </c>
      <c r="AG340" s="5"/>
      <c r="AM340" s="4"/>
      <c r="AN340" s="4"/>
      <c r="AO340" s="6"/>
      <c r="AR340" s="6"/>
      <c r="AS340" s="1"/>
      <c r="BA340" s="17"/>
      <c r="BF340" s="17"/>
      <c r="BG340" s="4">
        <f t="shared" si="398"/>
        <v>0</v>
      </c>
    </row>
    <row r="341" spans="1:59" x14ac:dyDescent="0.35">
      <c r="C341" s="4"/>
      <c r="D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X341" s="4"/>
      <c r="Y341" s="4"/>
      <c r="AC341" s="4"/>
      <c r="AE341" s="4">
        <f t="shared" si="474"/>
        <v>0</v>
      </c>
      <c r="AG341" s="5"/>
      <c r="AM341" s="4"/>
      <c r="AN341" s="4"/>
      <c r="AO341" s="6"/>
      <c r="AR341" s="6"/>
      <c r="AS341" s="1"/>
      <c r="AT341" s="4">
        <v>0</v>
      </c>
      <c r="BA341" s="17"/>
      <c r="BF341" s="17"/>
      <c r="BG341" s="4">
        <f t="shared" si="398"/>
        <v>0</v>
      </c>
    </row>
    <row r="342" spans="1:59" x14ac:dyDescent="0.35">
      <c r="C342" s="4"/>
      <c r="D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X342" s="4"/>
      <c r="Y342" s="4"/>
      <c r="AC342" s="4"/>
      <c r="AE342" s="4">
        <f t="shared" si="474"/>
        <v>0</v>
      </c>
      <c r="AG342" s="5"/>
      <c r="AM342" s="4"/>
      <c r="AN342" s="4"/>
      <c r="AO342" s="6"/>
      <c r="AR342" s="6"/>
      <c r="AS342" s="1"/>
      <c r="AT342" s="4">
        <v>0</v>
      </c>
      <c r="BA342" s="17"/>
      <c r="BF342" s="17"/>
      <c r="BG342" s="4">
        <f t="shared" si="398"/>
        <v>0</v>
      </c>
    </row>
    <row r="343" spans="1:59" x14ac:dyDescent="0.35">
      <c r="A343" s="3" t="s">
        <v>346</v>
      </c>
      <c r="B343" s="3" t="s">
        <v>169</v>
      </c>
      <c r="C343" s="4">
        <v>10950</v>
      </c>
      <c r="D343" s="4" t="s">
        <v>80</v>
      </c>
      <c r="E343" s="2">
        <v>7</v>
      </c>
      <c r="F343" s="4"/>
      <c r="G343" s="4">
        <v>10950</v>
      </c>
      <c r="H343" s="4"/>
      <c r="I343" s="4">
        <f>SUM(G343:H343)</f>
        <v>10950</v>
      </c>
      <c r="J343" s="4"/>
      <c r="K343" s="4">
        <f>I343+J343</f>
        <v>10950</v>
      </c>
      <c r="L343" s="4"/>
      <c r="M343" s="4">
        <f>K343+L343</f>
        <v>10950</v>
      </c>
      <c r="N343" s="4">
        <f>L343</f>
        <v>0</v>
      </c>
      <c r="O343" s="4">
        <f>M343+N343</f>
        <v>10950</v>
      </c>
      <c r="P343" s="4">
        <f>N343</f>
        <v>0</v>
      </c>
      <c r="Q343" s="4">
        <f>O343+P343</f>
        <v>10950</v>
      </c>
      <c r="R343" s="4">
        <f>SUM(P343)</f>
        <v>0</v>
      </c>
      <c r="S343" s="4">
        <f>Q343+R343</f>
        <v>10950</v>
      </c>
      <c r="T343" s="4">
        <f>R343</f>
        <v>0</v>
      </c>
      <c r="U343" s="4">
        <f>S343+T343</f>
        <v>10950</v>
      </c>
      <c r="V343" s="4">
        <f>T343</f>
        <v>0</v>
      </c>
      <c r="W343" s="4">
        <f t="shared" ref="W343:W349" si="475">U343+V343</f>
        <v>10950</v>
      </c>
      <c r="X343" s="4">
        <f>V343</f>
        <v>0</v>
      </c>
      <c r="Y343" s="4">
        <f t="shared" ref="Y343:Y349" si="476">SUM(W343:X343)</f>
        <v>10950</v>
      </c>
      <c r="Z343" s="4">
        <f>X343</f>
        <v>0</v>
      </c>
      <c r="AA343" s="4">
        <f t="shared" ref="AA343:AA348" si="477">Y343+X343</f>
        <v>10950</v>
      </c>
      <c r="AB343" s="4">
        <f t="shared" ref="AB343:AB348" si="478">Z343</f>
        <v>0</v>
      </c>
      <c r="AC343" s="4">
        <f t="shared" ref="AC343:AC349" si="479">SUM(AA343:AB343)</f>
        <v>10950</v>
      </c>
      <c r="AD343" s="3">
        <f t="shared" ref="AD343:AD348" si="480">AB343</f>
        <v>0</v>
      </c>
      <c r="AE343" s="4">
        <f t="shared" si="474"/>
        <v>10950</v>
      </c>
      <c r="AF343" s="3">
        <f t="shared" ref="AF343:AF348" si="481">AD343</f>
        <v>0</v>
      </c>
      <c r="AG343" s="5">
        <f t="shared" ref="AG343:AG348" si="482">AE343+AF343</f>
        <v>10950</v>
      </c>
      <c r="AH343" s="3">
        <f t="shared" ref="AH343:AH348" si="483">AF343</f>
        <v>0</v>
      </c>
      <c r="AI343" s="5">
        <f t="shared" ref="AI343:AI349" si="484">AG343+AH343</f>
        <v>10950</v>
      </c>
      <c r="AJ343" s="3">
        <f t="shared" ref="AJ343:AJ349" si="485">AH343</f>
        <v>0</v>
      </c>
      <c r="AK343" s="3">
        <f t="shared" ref="AK343:AK349" si="486">SUM(AI343:AJ343)</f>
        <v>10950</v>
      </c>
      <c r="AL343" s="3">
        <f t="shared" ref="AL343:AL349" si="487">AJ343</f>
        <v>0</v>
      </c>
      <c r="AM343" s="4">
        <f t="shared" ref="AM343:AM349" si="488">SUM(AK343:AL343)</f>
        <v>10950</v>
      </c>
      <c r="AN343" s="4">
        <f t="shared" ref="AN343:AN349" si="489">C343-AM343</f>
        <v>0</v>
      </c>
      <c r="AO343" s="21">
        <f t="shared" ref="AO343:AO349" si="490">AL343</f>
        <v>0</v>
      </c>
      <c r="AP343" s="4">
        <f t="shared" ref="AP343:AP347" si="491">AM343+AO343</f>
        <v>10950</v>
      </c>
      <c r="AQ343" s="4">
        <v>0</v>
      </c>
      <c r="AR343" s="21">
        <v>0</v>
      </c>
      <c r="AS343" s="19">
        <v>10950</v>
      </c>
      <c r="AT343" s="4">
        <v>0</v>
      </c>
      <c r="AU343" s="21">
        <v>0</v>
      </c>
      <c r="AV343" s="19">
        <f>AS343+AU343</f>
        <v>10950</v>
      </c>
      <c r="AW343" s="4">
        <f>C343-AV343</f>
        <v>0</v>
      </c>
      <c r="AX343" s="4">
        <v>0</v>
      </c>
      <c r="AY343" s="4">
        <f t="shared" ref="AY343:AY358" si="492">SUM(AV343+AX343)</f>
        <v>10950</v>
      </c>
      <c r="AZ343" s="4">
        <f t="shared" ref="AZ343:AZ358" si="493">SUM(C343-AY343)</f>
        <v>0</v>
      </c>
      <c r="BA343" s="22">
        <v>0</v>
      </c>
      <c r="BB343" s="4">
        <f t="shared" ref="BB343:BB350" si="494">SUM(AY343+BA343)</f>
        <v>10950</v>
      </c>
      <c r="BC343" s="4">
        <f t="shared" ref="BC343:BC368" si="495">SUM(C343-BB343)</f>
        <v>0</v>
      </c>
      <c r="BF343" s="22">
        <v>0</v>
      </c>
      <c r="BG343" s="4">
        <f t="shared" si="398"/>
        <v>0</v>
      </c>
    </row>
    <row r="344" spans="1:59" x14ac:dyDescent="0.35">
      <c r="A344" s="3" t="s">
        <v>347</v>
      </c>
      <c r="B344" s="3" t="s">
        <v>83</v>
      </c>
      <c r="C344" s="4">
        <v>650</v>
      </c>
      <c r="D344" s="4" t="s">
        <v>80</v>
      </c>
      <c r="E344" s="2">
        <v>7</v>
      </c>
      <c r="F344" s="4"/>
      <c r="G344" s="4">
        <v>650</v>
      </c>
      <c r="H344" s="4"/>
      <c r="I344" s="4">
        <f>SUM(G344:H344)</f>
        <v>650</v>
      </c>
      <c r="J344" s="4"/>
      <c r="K344" s="4">
        <f>I344+J344</f>
        <v>650</v>
      </c>
      <c r="L344" s="4"/>
      <c r="M344" s="4">
        <f>K344+L344</f>
        <v>650</v>
      </c>
      <c r="N344" s="4">
        <f>L344</f>
        <v>0</v>
      </c>
      <c r="O344" s="4">
        <f>M344+N344</f>
        <v>650</v>
      </c>
      <c r="P344" s="4">
        <f>N344</f>
        <v>0</v>
      </c>
      <c r="Q344" s="4">
        <f>O344+P344</f>
        <v>650</v>
      </c>
      <c r="R344" s="4">
        <f>SUM(P344)</f>
        <v>0</v>
      </c>
      <c r="S344" s="4">
        <f>Q344+R344</f>
        <v>650</v>
      </c>
      <c r="T344" s="4">
        <f>R344</f>
        <v>0</v>
      </c>
      <c r="U344" s="4">
        <f>S344+T344</f>
        <v>650</v>
      </c>
      <c r="V344" s="4">
        <f>T344</f>
        <v>0</v>
      </c>
      <c r="W344" s="4">
        <f t="shared" si="475"/>
        <v>650</v>
      </c>
      <c r="X344" s="4">
        <f>V344</f>
        <v>0</v>
      </c>
      <c r="Y344" s="4">
        <f t="shared" si="476"/>
        <v>650</v>
      </c>
      <c r="Z344" s="4">
        <f>X344</f>
        <v>0</v>
      </c>
      <c r="AA344" s="4">
        <f t="shared" si="477"/>
        <v>650</v>
      </c>
      <c r="AB344" s="4">
        <f t="shared" si="478"/>
        <v>0</v>
      </c>
      <c r="AC344" s="4">
        <f t="shared" si="479"/>
        <v>650</v>
      </c>
      <c r="AD344" s="3">
        <f t="shared" si="480"/>
        <v>0</v>
      </c>
      <c r="AE344" s="4">
        <f t="shared" si="474"/>
        <v>650</v>
      </c>
      <c r="AF344" s="3">
        <f t="shared" si="481"/>
        <v>0</v>
      </c>
      <c r="AG344" s="5">
        <f t="shared" si="482"/>
        <v>650</v>
      </c>
      <c r="AH344" s="3">
        <f t="shared" si="483"/>
        <v>0</v>
      </c>
      <c r="AI344" s="5">
        <f t="shared" si="484"/>
        <v>650</v>
      </c>
      <c r="AJ344" s="3">
        <f t="shared" si="485"/>
        <v>0</v>
      </c>
      <c r="AK344" s="3">
        <f t="shared" si="486"/>
        <v>650</v>
      </c>
      <c r="AL344" s="3">
        <f t="shared" si="487"/>
        <v>0</v>
      </c>
      <c r="AM344" s="4">
        <f t="shared" si="488"/>
        <v>650</v>
      </c>
      <c r="AN344" s="4">
        <f t="shared" si="489"/>
        <v>0</v>
      </c>
      <c r="AO344" s="21">
        <f t="shared" si="490"/>
        <v>0</v>
      </c>
      <c r="AP344" s="4">
        <f t="shared" si="491"/>
        <v>650</v>
      </c>
      <c r="AQ344" s="4">
        <v>0</v>
      </c>
      <c r="AR344" s="21">
        <v>0</v>
      </c>
      <c r="AS344" s="19">
        <v>650</v>
      </c>
      <c r="AT344" s="4">
        <v>0</v>
      </c>
      <c r="AU344" s="21">
        <v>0</v>
      </c>
      <c r="AV344" s="19">
        <f>AS344+AU344</f>
        <v>650</v>
      </c>
      <c r="AW344" s="4">
        <f>C344-AV344</f>
        <v>0</v>
      </c>
      <c r="AX344" s="4">
        <v>0</v>
      </c>
      <c r="AY344" s="4">
        <f t="shared" si="492"/>
        <v>650</v>
      </c>
      <c r="AZ344" s="4">
        <f t="shared" si="493"/>
        <v>0</v>
      </c>
      <c r="BA344" s="22">
        <v>0</v>
      </c>
      <c r="BB344" s="4">
        <f t="shared" si="494"/>
        <v>650</v>
      </c>
      <c r="BC344" s="4">
        <f t="shared" si="495"/>
        <v>0</v>
      </c>
      <c r="BF344" s="22">
        <v>0</v>
      </c>
      <c r="BG344" s="4">
        <f t="shared" si="398"/>
        <v>0</v>
      </c>
    </row>
    <row r="345" spans="1:59" x14ac:dyDescent="0.35">
      <c r="A345" s="3" t="s">
        <v>348</v>
      </c>
      <c r="B345" s="3" t="s">
        <v>349</v>
      </c>
      <c r="C345" s="4">
        <v>14539</v>
      </c>
      <c r="D345" s="4" t="s">
        <v>80</v>
      </c>
      <c r="E345" s="2">
        <v>7</v>
      </c>
      <c r="F345" s="4"/>
      <c r="G345" s="19"/>
      <c r="H345" s="4">
        <v>969</v>
      </c>
      <c r="I345" s="4">
        <f>SUM(G345:H345)</f>
        <v>969</v>
      </c>
      <c r="J345" s="4">
        <v>2908</v>
      </c>
      <c r="K345" s="4">
        <f>I345+J345</f>
        <v>3877</v>
      </c>
      <c r="L345" s="4">
        <v>2908</v>
      </c>
      <c r="M345" s="4">
        <f>K345+L345</f>
        <v>6785</v>
      </c>
      <c r="N345" s="4">
        <f>L345</f>
        <v>2908</v>
      </c>
      <c r="O345" s="4">
        <f>M345+N345</f>
        <v>9693</v>
      </c>
      <c r="P345" s="4">
        <f>C345/E345</f>
        <v>2077</v>
      </c>
      <c r="Q345" s="4">
        <f>O345+P345</f>
        <v>11770</v>
      </c>
      <c r="R345" s="4">
        <v>1938</v>
      </c>
      <c r="S345" s="4">
        <f>Q345+R345</f>
        <v>13708</v>
      </c>
      <c r="T345" s="4">
        <v>0</v>
      </c>
      <c r="U345" s="4">
        <f>S345+T345</f>
        <v>13708</v>
      </c>
      <c r="V345" s="4">
        <f>T345</f>
        <v>0</v>
      </c>
      <c r="W345" s="4">
        <f t="shared" si="475"/>
        <v>13708</v>
      </c>
      <c r="X345" s="4">
        <f>V345</f>
        <v>0</v>
      </c>
      <c r="Y345" s="4">
        <f t="shared" si="476"/>
        <v>13708</v>
      </c>
      <c r="Z345" s="4">
        <f>X345</f>
        <v>0</v>
      </c>
      <c r="AA345" s="4">
        <f t="shared" si="477"/>
        <v>13708</v>
      </c>
      <c r="AB345" s="4">
        <f t="shared" si="478"/>
        <v>0</v>
      </c>
      <c r="AC345" s="4">
        <f t="shared" si="479"/>
        <v>13708</v>
      </c>
      <c r="AD345" s="3">
        <f t="shared" si="480"/>
        <v>0</v>
      </c>
      <c r="AE345" s="4">
        <f>AC345+AD345</f>
        <v>13708</v>
      </c>
      <c r="AF345" s="3">
        <f t="shared" si="481"/>
        <v>0</v>
      </c>
      <c r="AG345" s="5">
        <f t="shared" si="482"/>
        <v>13708</v>
      </c>
      <c r="AH345" s="3">
        <f t="shared" si="483"/>
        <v>0</v>
      </c>
      <c r="AI345" s="5">
        <f t="shared" si="484"/>
        <v>13708</v>
      </c>
      <c r="AJ345" s="3">
        <f t="shared" si="485"/>
        <v>0</v>
      </c>
      <c r="AK345" s="3">
        <f t="shared" si="486"/>
        <v>13708</v>
      </c>
      <c r="AL345" s="3">
        <f t="shared" si="487"/>
        <v>0</v>
      </c>
      <c r="AM345" s="4">
        <f t="shared" si="488"/>
        <v>13708</v>
      </c>
      <c r="AN345" s="4">
        <f t="shared" si="489"/>
        <v>831</v>
      </c>
      <c r="AO345" s="21">
        <f t="shared" si="490"/>
        <v>0</v>
      </c>
      <c r="AP345" s="4">
        <f t="shared" si="491"/>
        <v>13708</v>
      </c>
      <c r="AQ345" s="4">
        <v>0.2000000000007276</v>
      </c>
      <c r="AR345" s="21">
        <v>0</v>
      </c>
      <c r="AS345" s="19">
        <v>14538.8</v>
      </c>
      <c r="AT345" s="4">
        <v>0.2000000000007276</v>
      </c>
      <c r="AU345" s="21">
        <f t="shared" ref="AU345:AU355" si="496">AR345</f>
        <v>0</v>
      </c>
      <c r="AV345" s="19">
        <f t="shared" ref="AV345:AV363" si="497">AS345+AU345</f>
        <v>14538.8</v>
      </c>
      <c r="AW345" s="4">
        <f t="shared" ref="AW345:AW363" si="498">C345-AV345</f>
        <v>0.2000000000007276</v>
      </c>
      <c r="AX345" s="4">
        <v>0</v>
      </c>
      <c r="AY345" s="4">
        <f t="shared" si="492"/>
        <v>14538.8</v>
      </c>
      <c r="AZ345" s="4">
        <f t="shared" si="493"/>
        <v>0.2000000000007276</v>
      </c>
      <c r="BA345" s="22">
        <v>0</v>
      </c>
      <c r="BB345" s="4">
        <f t="shared" si="494"/>
        <v>14538.8</v>
      </c>
      <c r="BC345" s="4">
        <f t="shared" si="495"/>
        <v>0.2000000000007276</v>
      </c>
      <c r="BF345" s="22">
        <v>0</v>
      </c>
      <c r="BG345" s="4">
        <f t="shared" si="398"/>
        <v>0</v>
      </c>
    </row>
    <row r="346" spans="1:59" x14ac:dyDescent="0.35">
      <c r="A346" s="3" t="s">
        <v>350</v>
      </c>
      <c r="B346" s="3" t="s">
        <v>351</v>
      </c>
      <c r="C346" s="4">
        <v>6000</v>
      </c>
      <c r="D346" s="4" t="s">
        <v>80</v>
      </c>
      <c r="E346" s="2">
        <v>7</v>
      </c>
      <c r="F346" s="4"/>
      <c r="G346" s="19"/>
      <c r="H346" s="4"/>
      <c r="I346" s="4"/>
      <c r="J346" s="4"/>
      <c r="K346" s="4"/>
      <c r="L346" s="4">
        <f>6000/5*0.5</f>
        <v>600</v>
      </c>
      <c r="M346" s="4">
        <v>1200</v>
      </c>
      <c r="N346" s="4">
        <v>1200</v>
      </c>
      <c r="O346" s="4">
        <f>M346+N346</f>
        <v>2400</v>
      </c>
      <c r="P346" s="4">
        <f>C346/E346</f>
        <v>857.14285714285711</v>
      </c>
      <c r="Q346" s="4">
        <f>O346+P346</f>
        <v>3257.1428571428569</v>
      </c>
      <c r="R346" s="4">
        <f>SUM(C346/E346)</f>
        <v>857.14285714285711</v>
      </c>
      <c r="S346" s="4">
        <f>Q346+R346</f>
        <v>4114.2857142857138</v>
      </c>
      <c r="T346" s="4">
        <f>R346</f>
        <v>857.14285714285711</v>
      </c>
      <c r="U346" s="4">
        <f>S346+T346</f>
        <v>4971.4285714285706</v>
      </c>
      <c r="V346" s="4">
        <v>0</v>
      </c>
      <c r="W346" s="4">
        <f t="shared" si="475"/>
        <v>4971.4285714285706</v>
      </c>
      <c r="X346" s="4">
        <f>V346</f>
        <v>0</v>
      </c>
      <c r="Y346" s="4">
        <f t="shared" si="476"/>
        <v>4971.4285714285706</v>
      </c>
      <c r="Z346" s="4">
        <f>X346</f>
        <v>0</v>
      </c>
      <c r="AA346" s="4">
        <f t="shared" si="477"/>
        <v>4971.4285714285706</v>
      </c>
      <c r="AB346" s="4">
        <f t="shared" si="478"/>
        <v>0</v>
      </c>
      <c r="AC346" s="4">
        <f t="shared" si="479"/>
        <v>4971.4285714285706</v>
      </c>
      <c r="AD346" s="3">
        <f t="shared" si="480"/>
        <v>0</v>
      </c>
      <c r="AE346" s="4">
        <f>AC346+AD346</f>
        <v>4971.4285714285706</v>
      </c>
      <c r="AF346" s="3">
        <f t="shared" si="481"/>
        <v>0</v>
      </c>
      <c r="AG346" s="5">
        <f t="shared" si="482"/>
        <v>4971.4285714285706</v>
      </c>
      <c r="AH346" s="3">
        <f t="shared" si="483"/>
        <v>0</v>
      </c>
      <c r="AI346" s="5">
        <f t="shared" si="484"/>
        <v>4971.4285714285706</v>
      </c>
      <c r="AJ346" s="3">
        <f t="shared" si="485"/>
        <v>0</v>
      </c>
      <c r="AK346" s="3">
        <f t="shared" si="486"/>
        <v>4971.4285714285706</v>
      </c>
      <c r="AL346" s="3">
        <f t="shared" si="487"/>
        <v>0</v>
      </c>
      <c r="AM346" s="4">
        <f t="shared" si="488"/>
        <v>4971.4285714285706</v>
      </c>
      <c r="AN346" s="4">
        <f t="shared" si="489"/>
        <v>1028.5714285714294</v>
      </c>
      <c r="AO346" s="21">
        <f t="shared" si="490"/>
        <v>0</v>
      </c>
      <c r="AP346" s="4">
        <f t="shared" si="491"/>
        <v>4971.4285714285706</v>
      </c>
      <c r="AQ346" s="4">
        <v>0</v>
      </c>
      <c r="AR346" s="21">
        <v>0</v>
      </c>
      <c r="AS346" s="19">
        <v>6000</v>
      </c>
      <c r="AT346" s="4">
        <v>0</v>
      </c>
      <c r="AU346" s="21">
        <f t="shared" si="496"/>
        <v>0</v>
      </c>
      <c r="AV346" s="19">
        <f t="shared" si="497"/>
        <v>6000</v>
      </c>
      <c r="AW346" s="4">
        <f t="shared" si="498"/>
        <v>0</v>
      </c>
      <c r="AX346" s="4">
        <v>0</v>
      </c>
      <c r="AY346" s="4">
        <f t="shared" si="492"/>
        <v>6000</v>
      </c>
      <c r="AZ346" s="4">
        <f t="shared" si="493"/>
        <v>0</v>
      </c>
      <c r="BA346" s="22">
        <v>0</v>
      </c>
      <c r="BB346" s="4">
        <f t="shared" si="494"/>
        <v>6000</v>
      </c>
      <c r="BC346" s="4">
        <f t="shared" si="495"/>
        <v>0</v>
      </c>
      <c r="BF346" s="22">
        <v>0</v>
      </c>
      <c r="BG346" s="4">
        <f t="shared" si="398"/>
        <v>0</v>
      </c>
    </row>
    <row r="347" spans="1:59" x14ac:dyDescent="0.35">
      <c r="A347" s="1" t="s">
        <v>352</v>
      </c>
      <c r="B347" s="1" t="s">
        <v>301</v>
      </c>
      <c r="C347" s="19">
        <v>9000</v>
      </c>
      <c r="D347" s="19" t="s">
        <v>80</v>
      </c>
      <c r="E347" s="37">
        <v>7</v>
      </c>
      <c r="F347" s="19"/>
      <c r="G347" s="19"/>
      <c r="H347" s="19"/>
      <c r="I347" s="19"/>
      <c r="J347" s="19"/>
      <c r="K347" s="19"/>
      <c r="L347" s="19">
        <f>9000/5*0.5</f>
        <v>900</v>
      </c>
      <c r="M347" s="19">
        <v>1800</v>
      </c>
      <c r="N347" s="19">
        <f>9000/5</f>
        <v>1800</v>
      </c>
      <c r="O347" s="19">
        <f>M347+N347</f>
        <v>3600</v>
      </c>
      <c r="P347" s="19">
        <f>C347/E347</f>
        <v>1285.7142857142858</v>
      </c>
      <c r="Q347" s="19">
        <f>O347+P347</f>
        <v>4885.7142857142862</v>
      </c>
      <c r="R347" s="19">
        <f>SUM(C347/E347)</f>
        <v>1285.7142857142858</v>
      </c>
      <c r="S347" s="19">
        <f>Q347+R347</f>
        <v>6171.4285714285725</v>
      </c>
      <c r="T347" s="19">
        <f>R347</f>
        <v>1285.7142857142858</v>
      </c>
      <c r="U347" s="19">
        <f>S347+T347</f>
        <v>7457.1428571428587</v>
      </c>
      <c r="V347" s="19">
        <v>0</v>
      </c>
      <c r="W347" s="19">
        <f t="shared" si="475"/>
        <v>7457.1428571428587</v>
      </c>
      <c r="X347" s="19">
        <f>V347</f>
        <v>0</v>
      </c>
      <c r="Y347" s="19">
        <f t="shared" si="476"/>
        <v>7457.1428571428587</v>
      </c>
      <c r="Z347" s="19">
        <f>X347</f>
        <v>0</v>
      </c>
      <c r="AA347" s="19">
        <f t="shared" si="477"/>
        <v>7457.1428571428587</v>
      </c>
      <c r="AB347" s="19">
        <f t="shared" si="478"/>
        <v>0</v>
      </c>
      <c r="AC347" s="19">
        <f t="shared" si="479"/>
        <v>7457.1428571428587</v>
      </c>
      <c r="AD347" s="1">
        <f t="shared" si="480"/>
        <v>0</v>
      </c>
      <c r="AE347" s="19">
        <f>AC347+AD347</f>
        <v>7457.1428571428587</v>
      </c>
      <c r="AF347" s="1">
        <f t="shared" si="481"/>
        <v>0</v>
      </c>
      <c r="AG347" s="36">
        <f t="shared" si="482"/>
        <v>7457.1428571428587</v>
      </c>
      <c r="AH347" s="1">
        <f t="shared" si="483"/>
        <v>0</v>
      </c>
      <c r="AI347" s="36">
        <f t="shared" si="484"/>
        <v>7457.1428571428587</v>
      </c>
      <c r="AJ347" s="1">
        <f t="shared" si="485"/>
        <v>0</v>
      </c>
      <c r="AK347" s="1">
        <f t="shared" si="486"/>
        <v>7457.1428571428587</v>
      </c>
      <c r="AL347" s="1">
        <f t="shared" si="487"/>
        <v>0</v>
      </c>
      <c r="AM347" s="19">
        <f t="shared" si="488"/>
        <v>7457.1428571428587</v>
      </c>
      <c r="AN347" s="19">
        <f t="shared" si="489"/>
        <v>1542.8571428571413</v>
      </c>
      <c r="AO347" s="25">
        <f t="shared" si="490"/>
        <v>0</v>
      </c>
      <c r="AP347" s="19">
        <f t="shared" si="491"/>
        <v>7457.1428571428587</v>
      </c>
      <c r="AQ347" s="19">
        <v>0</v>
      </c>
      <c r="AR347" s="25">
        <v>0</v>
      </c>
      <c r="AS347" s="19">
        <v>9000</v>
      </c>
      <c r="AT347" s="19">
        <v>0</v>
      </c>
      <c r="AU347" s="25">
        <f t="shared" si="496"/>
        <v>0</v>
      </c>
      <c r="AV347" s="19">
        <f t="shared" si="497"/>
        <v>9000</v>
      </c>
      <c r="AW347" s="19">
        <f t="shared" si="498"/>
        <v>0</v>
      </c>
      <c r="AX347" s="4">
        <v>0</v>
      </c>
      <c r="AY347" s="4">
        <f t="shared" si="492"/>
        <v>9000</v>
      </c>
      <c r="AZ347" s="4">
        <f t="shared" si="493"/>
        <v>0</v>
      </c>
      <c r="BA347" s="22">
        <v>0</v>
      </c>
      <c r="BB347" s="4">
        <f t="shared" si="494"/>
        <v>9000</v>
      </c>
      <c r="BC347" s="4">
        <f t="shared" si="495"/>
        <v>0</v>
      </c>
      <c r="BF347" s="22">
        <v>0</v>
      </c>
      <c r="BG347" s="4">
        <f t="shared" ref="BG347:BG410" si="499">BA347-BF347</f>
        <v>0</v>
      </c>
    </row>
    <row r="348" spans="1:59" x14ac:dyDescent="0.35">
      <c r="A348" s="3" t="s">
        <v>353</v>
      </c>
      <c r="B348" s="3" t="s">
        <v>354</v>
      </c>
      <c r="C348" s="4">
        <v>21064</v>
      </c>
      <c r="D348" s="4" t="s">
        <v>80</v>
      </c>
      <c r="E348" s="2">
        <v>7</v>
      </c>
      <c r="F348" s="4"/>
      <c r="G348" s="19"/>
      <c r="H348" s="19"/>
      <c r="I348" s="19"/>
      <c r="J348" s="4"/>
      <c r="K348" s="4"/>
      <c r="L348" s="4"/>
      <c r="M348" s="4">
        <v>4212</v>
      </c>
      <c r="N348" s="4">
        <v>4213</v>
      </c>
      <c r="O348" s="4"/>
      <c r="P348" s="4">
        <v>2106</v>
      </c>
      <c r="Q348" s="4">
        <v>2106</v>
      </c>
      <c r="R348" s="4">
        <f>SUM(C348/E348)</f>
        <v>3009.1428571428573</v>
      </c>
      <c r="S348" s="4">
        <v>6319</v>
      </c>
      <c r="T348" s="4">
        <f>R348</f>
        <v>3009.1428571428573</v>
      </c>
      <c r="U348" s="4">
        <v>21064</v>
      </c>
      <c r="V348" s="4">
        <v>0</v>
      </c>
      <c r="W348" s="4">
        <f t="shared" si="475"/>
        <v>21064</v>
      </c>
      <c r="X348" s="4">
        <v>0</v>
      </c>
      <c r="Y348" s="4">
        <f t="shared" si="476"/>
        <v>21064</v>
      </c>
      <c r="Z348" s="4">
        <v>0</v>
      </c>
      <c r="AA348" s="4">
        <f t="shared" si="477"/>
        <v>21064</v>
      </c>
      <c r="AB348" s="4">
        <f t="shared" si="478"/>
        <v>0</v>
      </c>
      <c r="AC348" s="4">
        <f t="shared" si="479"/>
        <v>21064</v>
      </c>
      <c r="AD348" s="3">
        <f t="shared" si="480"/>
        <v>0</v>
      </c>
      <c r="AE348" s="4">
        <f>AC348+AD348</f>
        <v>21064</v>
      </c>
      <c r="AF348" s="3">
        <f t="shared" si="481"/>
        <v>0</v>
      </c>
      <c r="AG348" s="5">
        <f t="shared" si="482"/>
        <v>21064</v>
      </c>
      <c r="AH348" s="3">
        <f t="shared" si="483"/>
        <v>0</v>
      </c>
      <c r="AI348" s="5">
        <f t="shared" si="484"/>
        <v>21064</v>
      </c>
      <c r="AJ348" s="3">
        <f t="shared" si="485"/>
        <v>0</v>
      </c>
      <c r="AK348" s="3">
        <f t="shared" si="486"/>
        <v>21064</v>
      </c>
      <c r="AL348" s="3">
        <f t="shared" si="487"/>
        <v>0</v>
      </c>
      <c r="AM348" s="4">
        <f t="shared" si="488"/>
        <v>21064</v>
      </c>
      <c r="AN348" s="4">
        <f t="shared" si="489"/>
        <v>0</v>
      </c>
      <c r="AO348" s="21">
        <f t="shared" si="490"/>
        <v>0</v>
      </c>
      <c r="AP348" s="4">
        <f>AM348+AO348</f>
        <v>21064</v>
      </c>
      <c r="AQ348" s="4">
        <v>0</v>
      </c>
      <c r="AR348" s="21">
        <v>0</v>
      </c>
      <c r="AS348" s="19">
        <v>21064</v>
      </c>
      <c r="AT348" s="4">
        <v>0</v>
      </c>
      <c r="AU348" s="21">
        <f t="shared" si="496"/>
        <v>0</v>
      </c>
      <c r="AV348" s="19">
        <f t="shared" si="497"/>
        <v>21064</v>
      </c>
      <c r="AW348" s="4">
        <f t="shared" si="498"/>
        <v>0</v>
      </c>
      <c r="AX348" s="4">
        <v>0</v>
      </c>
      <c r="AY348" s="4">
        <f t="shared" si="492"/>
        <v>21064</v>
      </c>
      <c r="AZ348" s="4">
        <f t="shared" si="493"/>
        <v>0</v>
      </c>
      <c r="BA348" s="22">
        <v>0</v>
      </c>
      <c r="BB348" s="4">
        <f t="shared" si="494"/>
        <v>21064</v>
      </c>
      <c r="BC348" s="4">
        <f t="shared" si="495"/>
        <v>0</v>
      </c>
      <c r="BF348" s="22">
        <v>0</v>
      </c>
      <c r="BG348" s="4">
        <f t="shared" si="499"/>
        <v>0</v>
      </c>
    </row>
    <row r="349" spans="1:59" x14ac:dyDescent="0.35">
      <c r="A349" s="3" t="s">
        <v>355</v>
      </c>
      <c r="B349" s="3" t="s">
        <v>356</v>
      </c>
      <c r="C349" s="4">
        <v>36534</v>
      </c>
      <c r="D349" s="4" t="s">
        <v>80</v>
      </c>
      <c r="E349" s="2">
        <v>7</v>
      </c>
      <c r="F349" s="4"/>
      <c r="G349" s="19"/>
      <c r="H349" s="19"/>
      <c r="I349" s="19"/>
      <c r="J349" s="4"/>
      <c r="K349" s="4"/>
      <c r="L349" s="4"/>
      <c r="M349" s="4"/>
      <c r="N349" s="4"/>
      <c r="O349" s="4">
        <f>M349+N349</f>
        <v>0</v>
      </c>
      <c r="P349" s="4"/>
      <c r="Q349" s="4"/>
      <c r="R349" s="4"/>
      <c r="S349" s="4">
        <f>Q349+R349</f>
        <v>0</v>
      </c>
      <c r="T349" s="4">
        <v>4871</v>
      </c>
      <c r="U349" s="4">
        <f>6202+4871</f>
        <v>11073</v>
      </c>
      <c r="V349" s="4">
        <v>7307</v>
      </c>
      <c r="W349" s="4">
        <f t="shared" si="475"/>
        <v>18380</v>
      </c>
      <c r="X349" s="4">
        <f>V349</f>
        <v>7307</v>
      </c>
      <c r="Y349" s="4">
        <f t="shared" si="476"/>
        <v>25687</v>
      </c>
      <c r="Z349" s="4">
        <f>X349</f>
        <v>7307</v>
      </c>
      <c r="AA349" s="4">
        <f>Y349+X349-18351</f>
        <v>14643</v>
      </c>
      <c r="AB349" s="4">
        <v>7307</v>
      </c>
      <c r="AC349" s="4">
        <f t="shared" si="479"/>
        <v>21950</v>
      </c>
      <c r="AD349" s="3">
        <v>7307</v>
      </c>
      <c r="AE349" s="4">
        <f>AC349+AD349</f>
        <v>29257</v>
      </c>
      <c r="AF349" s="3">
        <v>7307</v>
      </c>
      <c r="AG349" s="5">
        <f>AE349+AF349-30</f>
        <v>36534</v>
      </c>
      <c r="AH349" s="3">
        <v>0</v>
      </c>
      <c r="AI349" s="5">
        <f t="shared" si="484"/>
        <v>36534</v>
      </c>
      <c r="AJ349" s="3">
        <f t="shared" si="485"/>
        <v>0</v>
      </c>
      <c r="AK349" s="3">
        <f t="shared" si="486"/>
        <v>36534</v>
      </c>
      <c r="AL349" s="3">
        <f t="shared" si="487"/>
        <v>0</v>
      </c>
      <c r="AM349" s="4">
        <f t="shared" si="488"/>
        <v>36534</v>
      </c>
      <c r="AN349" s="4">
        <f t="shared" si="489"/>
        <v>0</v>
      </c>
      <c r="AO349" s="21">
        <f t="shared" si="490"/>
        <v>0</v>
      </c>
      <c r="AP349" s="4">
        <f>AM349+AO349</f>
        <v>36534</v>
      </c>
      <c r="AQ349" s="4">
        <v>0</v>
      </c>
      <c r="AR349" s="21">
        <v>0</v>
      </c>
      <c r="AS349" s="19">
        <v>36534</v>
      </c>
      <c r="AT349" s="4">
        <v>0</v>
      </c>
      <c r="AU349" s="21">
        <f t="shared" si="496"/>
        <v>0</v>
      </c>
      <c r="AV349" s="19">
        <f t="shared" si="497"/>
        <v>36534</v>
      </c>
      <c r="AW349" s="4">
        <f t="shared" si="498"/>
        <v>0</v>
      </c>
      <c r="AX349" s="4">
        <v>0</v>
      </c>
      <c r="AY349" s="4">
        <f t="shared" si="492"/>
        <v>36534</v>
      </c>
      <c r="AZ349" s="4">
        <f t="shared" si="493"/>
        <v>0</v>
      </c>
      <c r="BA349" s="22">
        <v>0</v>
      </c>
      <c r="BB349" s="4">
        <f t="shared" si="494"/>
        <v>36534</v>
      </c>
      <c r="BC349" s="4">
        <f t="shared" si="495"/>
        <v>0</v>
      </c>
      <c r="BF349" s="22">
        <v>0</v>
      </c>
      <c r="BG349" s="4">
        <f t="shared" si="499"/>
        <v>0</v>
      </c>
    </row>
    <row r="350" spans="1:59" x14ac:dyDescent="0.35">
      <c r="A350" s="3" t="s">
        <v>357</v>
      </c>
      <c r="B350" s="3" t="s">
        <v>358</v>
      </c>
      <c r="C350" s="4">
        <v>9200</v>
      </c>
      <c r="D350" s="4" t="s">
        <v>80</v>
      </c>
      <c r="E350" s="2">
        <v>7</v>
      </c>
      <c r="F350" s="4"/>
      <c r="G350" s="38"/>
      <c r="H350" s="38"/>
      <c r="I350" s="38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40"/>
      <c r="AE350" s="39"/>
      <c r="AF350" s="40"/>
      <c r="AG350" s="41"/>
      <c r="AH350" s="40"/>
      <c r="AI350" s="41"/>
      <c r="AJ350" s="40"/>
      <c r="AK350" s="40"/>
      <c r="AM350" s="4"/>
      <c r="AN350" s="4">
        <v>9200</v>
      </c>
      <c r="AO350" s="21">
        <f>9200/5/364*6</f>
        <v>30.329670329670328</v>
      </c>
      <c r="AP350" s="4">
        <v>25</v>
      </c>
      <c r="AQ350" s="4">
        <v>9169.670329670329</v>
      </c>
      <c r="AR350" s="21">
        <v>1840</v>
      </c>
      <c r="AS350" s="19">
        <v>1865</v>
      </c>
      <c r="AT350" s="4">
        <v>7329.670329670329</v>
      </c>
      <c r="AU350" s="21">
        <f>SUM(C350/E350)</f>
        <v>1314.2857142857142</v>
      </c>
      <c r="AV350" s="19">
        <f t="shared" si="497"/>
        <v>3179.2857142857142</v>
      </c>
      <c r="AW350" s="4">
        <f t="shared" si="498"/>
        <v>6020.7142857142862</v>
      </c>
      <c r="AX350" s="4">
        <f t="shared" ref="AX350" si="500">SUM(C350/E350)</f>
        <v>1314.2857142857142</v>
      </c>
      <c r="AY350" s="4">
        <f t="shared" si="492"/>
        <v>4493.5714285714284</v>
      </c>
      <c r="AZ350" s="4">
        <f t="shared" si="493"/>
        <v>4706.4285714285716</v>
      </c>
      <c r="BA350" s="22">
        <f t="shared" ref="BA350" si="501">SUM(C350/E350)</f>
        <v>1314.2857142857142</v>
      </c>
      <c r="BB350" s="4">
        <f t="shared" si="494"/>
        <v>5807.8571428571431</v>
      </c>
      <c r="BC350" s="4">
        <f t="shared" si="495"/>
        <v>3392.1428571428569</v>
      </c>
      <c r="BF350" s="22">
        <v>1314.2857142857142</v>
      </c>
      <c r="BG350" s="4">
        <f t="shared" si="499"/>
        <v>0</v>
      </c>
    </row>
    <row r="351" spans="1:59" x14ac:dyDescent="0.35">
      <c r="A351" s="3" t="s">
        <v>359</v>
      </c>
      <c r="B351" s="3" t="s">
        <v>360</v>
      </c>
      <c r="C351" s="4">
        <v>33439</v>
      </c>
      <c r="D351" s="4" t="s">
        <v>80</v>
      </c>
      <c r="E351" s="2">
        <v>7</v>
      </c>
      <c r="F351" s="4"/>
      <c r="G351" s="38"/>
      <c r="H351" s="38"/>
      <c r="I351" s="38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>
        <f>557+4213</f>
        <v>4770</v>
      </c>
      <c r="W351" s="39">
        <f>U351+V351</f>
        <v>4770</v>
      </c>
      <c r="X351" s="39">
        <v>6688</v>
      </c>
      <c r="Y351" s="39">
        <f>SUM(W351:X351)</f>
        <v>11458</v>
      </c>
      <c r="Z351" s="39">
        <f>X351</f>
        <v>6688</v>
      </c>
      <c r="AA351" s="39">
        <f>Y351+X351-4771</f>
        <v>13375</v>
      </c>
      <c r="AB351" s="39">
        <f>Z351</f>
        <v>6688</v>
      </c>
      <c r="AC351" s="39">
        <f>SUM(AA351:AB351)</f>
        <v>20063</v>
      </c>
      <c r="AD351" s="40">
        <f>AB351</f>
        <v>6688</v>
      </c>
      <c r="AE351" s="39">
        <f>AC351+AD351</f>
        <v>26751</v>
      </c>
      <c r="AF351" s="40">
        <v>6688</v>
      </c>
      <c r="AG351" s="41">
        <f>AE351+AF351</f>
        <v>33439</v>
      </c>
      <c r="AH351" s="40">
        <v>0</v>
      </c>
      <c r="AI351" s="41">
        <f t="shared" ref="AI351:AI357" si="502">AG351+AH351</f>
        <v>33439</v>
      </c>
      <c r="AJ351" s="40">
        <f>AH351</f>
        <v>0</v>
      </c>
      <c r="AK351" s="40">
        <f>SUM(AI351:AJ351)</f>
        <v>33439</v>
      </c>
      <c r="AL351" s="3">
        <f>AJ351</f>
        <v>0</v>
      </c>
      <c r="AM351" s="4">
        <f>SUM(AK351:AL351)</f>
        <v>33439</v>
      </c>
      <c r="AN351" s="4">
        <f t="shared" ref="AN351:AN363" si="503">C351-AM351</f>
        <v>0</v>
      </c>
      <c r="AO351" s="21">
        <f t="shared" ref="AO351:AO362" si="504">AL351</f>
        <v>0</v>
      </c>
      <c r="AP351" s="4">
        <f t="shared" ref="AP351:AP361" si="505">AM351+AO351</f>
        <v>33439</v>
      </c>
      <c r="AQ351" s="4">
        <v>0</v>
      </c>
      <c r="AR351" s="21">
        <v>0</v>
      </c>
      <c r="AS351" s="19">
        <v>33439</v>
      </c>
      <c r="AT351" s="4">
        <v>0</v>
      </c>
      <c r="AU351" s="21">
        <f t="shared" si="496"/>
        <v>0</v>
      </c>
      <c r="AV351" s="19">
        <f t="shared" si="497"/>
        <v>33439</v>
      </c>
      <c r="AW351" s="4">
        <f t="shared" si="498"/>
        <v>0</v>
      </c>
      <c r="AX351" s="4">
        <v>0</v>
      </c>
      <c r="AY351" s="4">
        <f t="shared" si="492"/>
        <v>33439</v>
      </c>
      <c r="AZ351" s="4">
        <f t="shared" si="493"/>
        <v>0</v>
      </c>
      <c r="BA351" s="22">
        <v>0</v>
      </c>
      <c r="BB351" s="4">
        <f t="shared" ref="BB351:BB368" si="506">SUM(AY351+BA351)</f>
        <v>33439</v>
      </c>
      <c r="BC351" s="4">
        <f t="shared" si="495"/>
        <v>0</v>
      </c>
      <c r="BF351" s="22">
        <v>0</v>
      </c>
      <c r="BG351" s="4">
        <f t="shared" si="499"/>
        <v>0</v>
      </c>
    </row>
    <row r="352" spans="1:59" x14ac:dyDescent="0.35">
      <c r="A352" s="3" t="s">
        <v>361</v>
      </c>
      <c r="B352" s="3" t="s">
        <v>362</v>
      </c>
      <c r="C352" s="4">
        <v>7430</v>
      </c>
      <c r="D352" s="4" t="s">
        <v>80</v>
      </c>
      <c r="E352" s="2">
        <v>7</v>
      </c>
      <c r="F352" s="4"/>
      <c r="G352" s="19"/>
      <c r="H352" s="19"/>
      <c r="I352" s="1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>
        <f>7430/5/12*2</f>
        <v>247.66666666666666</v>
      </c>
      <c r="Y352" s="4">
        <f>SUM(W352:X352)</f>
        <v>247.66666666666666</v>
      </c>
      <c r="Z352" s="3">
        <f>7430/5</f>
        <v>1486</v>
      </c>
      <c r="AA352" s="4">
        <f>SUM(Y352:Z352)</f>
        <v>1733.6666666666667</v>
      </c>
      <c r="AB352" s="4">
        <f>Z352</f>
        <v>1486</v>
      </c>
      <c r="AC352" s="4">
        <f>SUM(AA352:AB352)</f>
        <v>3219.666666666667</v>
      </c>
      <c r="AD352" s="3">
        <f>AB352</f>
        <v>1486</v>
      </c>
      <c r="AE352" s="4">
        <f>AC352+AD352</f>
        <v>4705.666666666667</v>
      </c>
      <c r="AF352" s="3">
        <f>AD352</f>
        <v>1486</v>
      </c>
      <c r="AG352" s="5">
        <f>AE352+AF352+30</f>
        <v>6221.666666666667</v>
      </c>
      <c r="AH352" s="3">
        <f>7430-6221.67</f>
        <v>1208.33</v>
      </c>
      <c r="AI352" s="5">
        <f t="shared" si="502"/>
        <v>7429.9966666666669</v>
      </c>
      <c r="AJ352" s="3">
        <v>0</v>
      </c>
      <c r="AK352" s="3">
        <v>7430</v>
      </c>
      <c r="AL352" s="3">
        <v>0</v>
      </c>
      <c r="AM352" s="4">
        <v>7430</v>
      </c>
      <c r="AN352" s="4">
        <f t="shared" si="503"/>
        <v>0</v>
      </c>
      <c r="AO352" s="21">
        <f t="shared" si="504"/>
        <v>0</v>
      </c>
      <c r="AP352" s="4">
        <f t="shared" si="505"/>
        <v>7430</v>
      </c>
      <c r="AQ352" s="4">
        <v>0</v>
      </c>
      <c r="AR352" s="21">
        <v>0</v>
      </c>
      <c r="AS352" s="19">
        <v>7430</v>
      </c>
      <c r="AT352" s="4">
        <v>0</v>
      </c>
      <c r="AU352" s="21">
        <f t="shared" si="496"/>
        <v>0</v>
      </c>
      <c r="AV352" s="19">
        <f t="shared" si="497"/>
        <v>7430</v>
      </c>
      <c r="AW352" s="4">
        <f t="shared" si="498"/>
        <v>0</v>
      </c>
      <c r="AX352" s="4">
        <v>0</v>
      </c>
      <c r="AY352" s="4">
        <f t="shared" si="492"/>
        <v>7430</v>
      </c>
      <c r="AZ352" s="4">
        <f t="shared" si="493"/>
        <v>0</v>
      </c>
      <c r="BA352" s="22">
        <v>0</v>
      </c>
      <c r="BB352" s="4">
        <f t="shared" si="506"/>
        <v>7430</v>
      </c>
      <c r="BC352" s="4">
        <f t="shared" si="495"/>
        <v>0</v>
      </c>
      <c r="BF352" s="22">
        <v>0</v>
      </c>
      <c r="BG352" s="4">
        <f t="shared" si="499"/>
        <v>0</v>
      </c>
    </row>
    <row r="353" spans="1:59" x14ac:dyDescent="0.35">
      <c r="A353" s="3" t="s">
        <v>363</v>
      </c>
      <c r="B353" s="3" t="s">
        <v>364</v>
      </c>
      <c r="C353" s="4">
        <v>5065</v>
      </c>
      <c r="D353" s="4" t="s">
        <v>80</v>
      </c>
      <c r="E353" s="2">
        <v>7</v>
      </c>
      <c r="F353" s="4"/>
      <c r="G353" s="19"/>
      <c r="H353" s="19"/>
      <c r="I353" s="19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3">
        <v>338</v>
      </c>
      <c r="AA353" s="4">
        <v>338</v>
      </c>
      <c r="AB353" s="4">
        <f>5065/5</f>
        <v>1013</v>
      </c>
      <c r="AC353" s="4">
        <f>SUM(AA353:AB353)</f>
        <v>1351</v>
      </c>
      <c r="AD353" s="3">
        <f>AB353</f>
        <v>1013</v>
      </c>
      <c r="AE353" s="4">
        <f>AC353+AD353</f>
        <v>2364</v>
      </c>
      <c r="AF353" s="3">
        <f>AD353</f>
        <v>1013</v>
      </c>
      <c r="AG353" s="5">
        <f>AE353+AF353</f>
        <v>3377</v>
      </c>
      <c r="AH353" s="3">
        <f>AF353</f>
        <v>1013</v>
      </c>
      <c r="AI353" s="5">
        <f t="shared" si="502"/>
        <v>4390</v>
      </c>
      <c r="AJ353" s="3">
        <f>5065-4390</f>
        <v>675</v>
      </c>
      <c r="AK353" s="3">
        <f t="shared" ref="AK353:AK359" si="507">SUM(AI353:AJ353)</f>
        <v>5065</v>
      </c>
      <c r="AL353" s="3">
        <v>0</v>
      </c>
      <c r="AM353" s="4">
        <f t="shared" ref="AM353:AM363" si="508">SUM(AK353:AL353)</f>
        <v>5065</v>
      </c>
      <c r="AN353" s="4">
        <f t="shared" si="503"/>
        <v>0</v>
      </c>
      <c r="AO353" s="21">
        <f t="shared" si="504"/>
        <v>0</v>
      </c>
      <c r="AP353" s="4">
        <f t="shared" si="505"/>
        <v>5065</v>
      </c>
      <c r="AQ353" s="4">
        <v>0</v>
      </c>
      <c r="AR353" s="21">
        <v>0</v>
      </c>
      <c r="AS353" s="19">
        <v>5065</v>
      </c>
      <c r="AT353" s="4">
        <v>0</v>
      </c>
      <c r="AU353" s="21">
        <f t="shared" si="496"/>
        <v>0</v>
      </c>
      <c r="AV353" s="19">
        <f t="shared" si="497"/>
        <v>5065</v>
      </c>
      <c r="AW353" s="4">
        <f t="shared" si="498"/>
        <v>0</v>
      </c>
      <c r="AX353" s="4">
        <v>0</v>
      </c>
      <c r="AY353" s="4">
        <f t="shared" si="492"/>
        <v>5065</v>
      </c>
      <c r="AZ353" s="4">
        <f t="shared" si="493"/>
        <v>0</v>
      </c>
      <c r="BA353" s="22">
        <v>0</v>
      </c>
      <c r="BB353" s="4">
        <f t="shared" si="506"/>
        <v>5065</v>
      </c>
      <c r="BC353" s="4">
        <f t="shared" si="495"/>
        <v>0</v>
      </c>
      <c r="BF353" s="22">
        <v>0</v>
      </c>
      <c r="BG353" s="4">
        <f t="shared" si="499"/>
        <v>0</v>
      </c>
    </row>
    <row r="354" spans="1:59" x14ac:dyDescent="0.35">
      <c r="A354" s="3" t="s">
        <v>365</v>
      </c>
      <c r="B354" s="3" t="s">
        <v>366</v>
      </c>
      <c r="C354" s="4">
        <v>7500</v>
      </c>
      <c r="D354" s="4" t="s">
        <v>80</v>
      </c>
      <c r="E354" s="2">
        <v>7</v>
      </c>
      <c r="F354" s="4"/>
      <c r="G354" s="19"/>
      <c r="H354" s="19"/>
      <c r="I354" s="19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3">
        <v>375</v>
      </c>
      <c r="AA354" s="4">
        <v>375</v>
      </c>
      <c r="AB354" s="4">
        <f>7500/5</f>
        <v>1500</v>
      </c>
      <c r="AC354" s="4">
        <f>SUM(AA354:AB354)</f>
        <v>1875</v>
      </c>
      <c r="AD354" s="3">
        <f>AB354</f>
        <v>1500</v>
      </c>
      <c r="AE354" s="4">
        <f>AC354+AD354</f>
        <v>3375</v>
      </c>
      <c r="AF354" s="3">
        <f>AD354</f>
        <v>1500</v>
      </c>
      <c r="AG354" s="5">
        <f>AE354+AF354</f>
        <v>4875</v>
      </c>
      <c r="AH354" s="3">
        <f>AF354</f>
        <v>1500</v>
      </c>
      <c r="AI354" s="5">
        <f t="shared" si="502"/>
        <v>6375</v>
      </c>
      <c r="AJ354" s="3">
        <f>7500-6375</f>
        <v>1125</v>
      </c>
      <c r="AK354" s="3">
        <f t="shared" si="507"/>
        <v>7500</v>
      </c>
      <c r="AL354" s="3">
        <v>0</v>
      </c>
      <c r="AM354" s="4">
        <f t="shared" si="508"/>
        <v>7500</v>
      </c>
      <c r="AN354" s="4">
        <f t="shared" si="503"/>
        <v>0</v>
      </c>
      <c r="AO354" s="21">
        <f t="shared" si="504"/>
        <v>0</v>
      </c>
      <c r="AP354" s="4">
        <f t="shared" si="505"/>
        <v>7500</v>
      </c>
      <c r="AQ354" s="4">
        <v>0</v>
      </c>
      <c r="AR354" s="21">
        <v>0</v>
      </c>
      <c r="AS354" s="19">
        <v>7500</v>
      </c>
      <c r="AT354" s="4">
        <v>0</v>
      </c>
      <c r="AU354" s="21">
        <f t="shared" si="496"/>
        <v>0</v>
      </c>
      <c r="AV354" s="19">
        <f t="shared" si="497"/>
        <v>7500</v>
      </c>
      <c r="AW354" s="4">
        <f t="shared" si="498"/>
        <v>0</v>
      </c>
      <c r="AX354" s="4">
        <v>0</v>
      </c>
      <c r="AY354" s="4">
        <f t="shared" si="492"/>
        <v>7500</v>
      </c>
      <c r="AZ354" s="4">
        <f t="shared" si="493"/>
        <v>0</v>
      </c>
      <c r="BA354" s="22">
        <v>0</v>
      </c>
      <c r="BB354" s="4">
        <f t="shared" si="506"/>
        <v>7500</v>
      </c>
      <c r="BC354" s="4">
        <f t="shared" si="495"/>
        <v>0</v>
      </c>
      <c r="BF354" s="22">
        <v>0</v>
      </c>
      <c r="BG354" s="4">
        <f t="shared" si="499"/>
        <v>0</v>
      </c>
    </row>
    <row r="355" spans="1:59" x14ac:dyDescent="0.35">
      <c r="A355" s="3" t="s">
        <v>367</v>
      </c>
      <c r="B355" s="3" t="s">
        <v>368</v>
      </c>
      <c r="C355" s="4">
        <v>10000</v>
      </c>
      <c r="D355" s="4" t="s">
        <v>369</v>
      </c>
      <c r="E355" s="2">
        <v>7</v>
      </c>
      <c r="F355" s="4"/>
      <c r="G355" s="19"/>
      <c r="H355" s="19"/>
      <c r="I355" s="19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AC355" s="4">
        <v>2500</v>
      </c>
      <c r="AD355" s="3">
        <f>10000/5</f>
        <v>2000</v>
      </c>
      <c r="AE355" s="4">
        <f>AC355+AD355</f>
        <v>4500</v>
      </c>
      <c r="AF355" s="3">
        <f>AD355</f>
        <v>2000</v>
      </c>
      <c r="AG355" s="5">
        <f>AE355+AF355</f>
        <v>6500</v>
      </c>
      <c r="AH355" s="3">
        <f>AF355</f>
        <v>2000</v>
      </c>
      <c r="AI355" s="5">
        <f t="shared" si="502"/>
        <v>8500</v>
      </c>
      <c r="AJ355" s="3">
        <v>1500</v>
      </c>
      <c r="AK355" s="3">
        <f t="shared" si="507"/>
        <v>10000</v>
      </c>
      <c r="AL355" s="3">
        <v>0</v>
      </c>
      <c r="AM355" s="4">
        <f t="shared" si="508"/>
        <v>10000</v>
      </c>
      <c r="AN355" s="4">
        <f t="shared" si="503"/>
        <v>0</v>
      </c>
      <c r="AO355" s="21">
        <f t="shared" si="504"/>
        <v>0</v>
      </c>
      <c r="AP355" s="4">
        <f t="shared" si="505"/>
        <v>10000</v>
      </c>
      <c r="AQ355" s="4">
        <v>0</v>
      </c>
      <c r="AR355" s="21">
        <v>0</v>
      </c>
      <c r="AS355" s="19">
        <v>10000</v>
      </c>
      <c r="AT355" s="4">
        <v>0</v>
      </c>
      <c r="AU355" s="21">
        <f t="shared" si="496"/>
        <v>0</v>
      </c>
      <c r="AV355" s="19">
        <f t="shared" si="497"/>
        <v>10000</v>
      </c>
      <c r="AW355" s="4">
        <f t="shared" si="498"/>
        <v>0</v>
      </c>
      <c r="AX355" s="4">
        <v>0</v>
      </c>
      <c r="AY355" s="4">
        <f t="shared" si="492"/>
        <v>10000</v>
      </c>
      <c r="AZ355" s="4">
        <f t="shared" si="493"/>
        <v>0</v>
      </c>
      <c r="BA355" s="22">
        <v>0</v>
      </c>
      <c r="BB355" s="4">
        <f t="shared" si="506"/>
        <v>10000</v>
      </c>
      <c r="BC355" s="4">
        <f t="shared" si="495"/>
        <v>0</v>
      </c>
      <c r="BF355" s="22">
        <v>0</v>
      </c>
      <c r="BG355" s="4">
        <f t="shared" si="499"/>
        <v>0</v>
      </c>
    </row>
    <row r="356" spans="1:59" x14ac:dyDescent="0.35">
      <c r="A356" s="1" t="s">
        <v>370</v>
      </c>
      <c r="B356" s="1" t="s">
        <v>371</v>
      </c>
      <c r="C356" s="19">
        <v>14900</v>
      </c>
      <c r="D356" s="19" t="s">
        <v>80</v>
      </c>
      <c r="E356" s="37">
        <v>7</v>
      </c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"/>
      <c r="AA356" s="1"/>
      <c r="AB356" s="1"/>
      <c r="AC356" s="19"/>
      <c r="AD356" s="1"/>
      <c r="AE356" s="19"/>
      <c r="AF356" s="1">
        <f>14900/5/12*4.5</f>
        <v>1117.5</v>
      </c>
      <c r="AG356" s="36">
        <f>AE356+AF356</f>
        <v>1117.5</v>
      </c>
      <c r="AH356" s="1">
        <f>14900/5</f>
        <v>2980</v>
      </c>
      <c r="AI356" s="36">
        <f t="shared" si="502"/>
        <v>4097.5</v>
      </c>
      <c r="AJ356" s="1">
        <f>AH356</f>
        <v>2980</v>
      </c>
      <c r="AK356" s="1">
        <f t="shared" si="507"/>
        <v>7077.5</v>
      </c>
      <c r="AL356" s="1">
        <f>AJ356</f>
        <v>2980</v>
      </c>
      <c r="AM356" s="19">
        <f t="shared" si="508"/>
        <v>10057.5</v>
      </c>
      <c r="AN356" s="19">
        <f t="shared" si="503"/>
        <v>4842.5</v>
      </c>
      <c r="AO356" s="25">
        <f t="shared" si="504"/>
        <v>2980</v>
      </c>
      <c r="AP356" s="19">
        <f t="shared" si="505"/>
        <v>13037.5</v>
      </c>
      <c r="AQ356" s="19">
        <v>1862.5</v>
      </c>
      <c r="AR356" s="25">
        <v>1863</v>
      </c>
      <c r="AS356" s="19">
        <v>14900.5</v>
      </c>
      <c r="AT356" s="19">
        <v>-0.5</v>
      </c>
      <c r="AU356" s="25">
        <v>-1</v>
      </c>
      <c r="AV356" s="19">
        <f t="shared" si="497"/>
        <v>14899.5</v>
      </c>
      <c r="AW356" s="43">
        <v>0</v>
      </c>
      <c r="AX356" s="4">
        <v>0</v>
      </c>
      <c r="AY356" s="4">
        <f t="shared" si="492"/>
        <v>14899.5</v>
      </c>
      <c r="AZ356" s="4">
        <f t="shared" si="493"/>
        <v>0.5</v>
      </c>
      <c r="BA356" s="22">
        <v>0</v>
      </c>
      <c r="BB356" s="4">
        <f t="shared" si="506"/>
        <v>14899.5</v>
      </c>
      <c r="BC356" s="4">
        <f t="shared" si="495"/>
        <v>0.5</v>
      </c>
      <c r="BF356" s="22">
        <v>0</v>
      </c>
      <c r="BG356" s="4">
        <f t="shared" si="499"/>
        <v>0</v>
      </c>
    </row>
    <row r="357" spans="1:59" x14ac:dyDescent="0.35">
      <c r="A357" s="3" t="s">
        <v>372</v>
      </c>
      <c r="B357" s="3" t="s">
        <v>373</v>
      </c>
      <c r="C357" s="4">
        <v>6990</v>
      </c>
      <c r="D357" s="4" t="s">
        <v>80</v>
      </c>
      <c r="E357" s="2">
        <v>7</v>
      </c>
      <c r="F357" s="4"/>
      <c r="G357" s="19"/>
      <c r="H357" s="19"/>
      <c r="I357" s="19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AC357" s="4"/>
      <c r="AE357" s="4"/>
      <c r="AF357" s="3">
        <v>425</v>
      </c>
      <c r="AG357" s="5">
        <v>425</v>
      </c>
      <c r="AH357" s="3">
        <f>6990/5</f>
        <v>1398</v>
      </c>
      <c r="AI357" s="5">
        <f t="shared" si="502"/>
        <v>1823</v>
      </c>
      <c r="AJ357" s="3">
        <f>AH357</f>
        <v>1398</v>
      </c>
      <c r="AK357" s="3">
        <f t="shared" si="507"/>
        <v>3221</v>
      </c>
      <c r="AL357" s="3">
        <f>AJ357</f>
        <v>1398</v>
      </c>
      <c r="AM357" s="4">
        <f t="shared" si="508"/>
        <v>4619</v>
      </c>
      <c r="AN357" s="4">
        <f t="shared" si="503"/>
        <v>2371</v>
      </c>
      <c r="AO357" s="21">
        <f t="shared" si="504"/>
        <v>1398</v>
      </c>
      <c r="AP357" s="4">
        <f t="shared" si="505"/>
        <v>6017</v>
      </c>
      <c r="AQ357" s="4">
        <v>973</v>
      </c>
      <c r="AR357" s="21">
        <v>973</v>
      </c>
      <c r="AS357" s="19">
        <v>6990</v>
      </c>
      <c r="AT357" s="4">
        <v>0</v>
      </c>
      <c r="AU357" s="21">
        <v>0</v>
      </c>
      <c r="AV357" s="19">
        <f t="shared" si="497"/>
        <v>6990</v>
      </c>
      <c r="AW357" s="4">
        <f t="shared" si="498"/>
        <v>0</v>
      </c>
      <c r="AX357" s="4">
        <v>0</v>
      </c>
      <c r="AY357" s="4">
        <f t="shared" si="492"/>
        <v>6990</v>
      </c>
      <c r="AZ357" s="4">
        <f t="shared" si="493"/>
        <v>0</v>
      </c>
      <c r="BA357" s="22">
        <v>0</v>
      </c>
      <c r="BB357" s="4">
        <f t="shared" si="506"/>
        <v>6990</v>
      </c>
      <c r="BC357" s="4">
        <f t="shared" si="495"/>
        <v>0</v>
      </c>
      <c r="BF357" s="22">
        <v>0</v>
      </c>
      <c r="BG357" s="4">
        <f t="shared" si="499"/>
        <v>0</v>
      </c>
    </row>
    <row r="358" spans="1:59" x14ac:dyDescent="0.35">
      <c r="A358" s="3" t="s">
        <v>367</v>
      </c>
      <c r="B358" s="3" t="s">
        <v>374</v>
      </c>
      <c r="C358" s="4">
        <v>18900</v>
      </c>
      <c r="D358" s="4" t="s">
        <v>80</v>
      </c>
      <c r="E358" s="2">
        <v>7</v>
      </c>
      <c r="F358" s="4"/>
      <c r="G358" s="19"/>
      <c r="H358" s="19"/>
      <c r="I358" s="19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AC358" s="4"/>
      <c r="AE358" s="4"/>
      <c r="AG358" s="5"/>
      <c r="AH358" s="3">
        <v>2992.93</v>
      </c>
      <c r="AI358" s="5">
        <v>2992.93</v>
      </c>
      <c r="AJ358" s="3">
        <f>18900/5</f>
        <v>3780</v>
      </c>
      <c r="AK358" s="3">
        <f t="shared" si="507"/>
        <v>6772.93</v>
      </c>
      <c r="AL358" s="3">
        <f>18900/5</f>
        <v>3780</v>
      </c>
      <c r="AM358" s="4">
        <f t="shared" si="508"/>
        <v>10552.93</v>
      </c>
      <c r="AN358" s="4">
        <f t="shared" si="503"/>
        <v>8347.07</v>
      </c>
      <c r="AO358" s="21">
        <f t="shared" si="504"/>
        <v>3780</v>
      </c>
      <c r="AP358" s="4">
        <f t="shared" si="505"/>
        <v>14332.93</v>
      </c>
      <c r="AQ358" s="4">
        <v>4567.07</v>
      </c>
      <c r="AR358" s="21">
        <v>3780</v>
      </c>
      <c r="AS358" s="19">
        <v>18112.93</v>
      </c>
      <c r="AT358" s="4">
        <v>787.06999999999971</v>
      </c>
      <c r="AU358" s="21">
        <v>787</v>
      </c>
      <c r="AV358" s="19">
        <f t="shared" si="497"/>
        <v>18899.93</v>
      </c>
      <c r="AW358" s="4">
        <f t="shared" si="498"/>
        <v>6.9999999999708962E-2</v>
      </c>
      <c r="AX358" s="4">
        <v>0</v>
      </c>
      <c r="AY358" s="4">
        <f t="shared" si="492"/>
        <v>18899.93</v>
      </c>
      <c r="AZ358" s="4">
        <f t="shared" si="493"/>
        <v>6.9999999999708962E-2</v>
      </c>
      <c r="BA358" s="22">
        <v>0</v>
      </c>
      <c r="BB358" s="4">
        <f t="shared" si="506"/>
        <v>18899.93</v>
      </c>
      <c r="BC358" s="4">
        <f t="shared" si="495"/>
        <v>6.9999999999708962E-2</v>
      </c>
      <c r="BF358" s="22">
        <v>0</v>
      </c>
      <c r="BG358" s="4">
        <f t="shared" si="499"/>
        <v>0</v>
      </c>
    </row>
    <row r="359" spans="1:59" x14ac:dyDescent="0.35">
      <c r="A359" s="3" t="s">
        <v>375</v>
      </c>
      <c r="B359" s="3" t="s">
        <v>376</v>
      </c>
      <c r="C359" s="4">
        <v>15500</v>
      </c>
      <c r="D359" s="4" t="s">
        <v>80</v>
      </c>
      <c r="E359" s="2">
        <v>7</v>
      </c>
      <c r="F359" s="4"/>
      <c r="G359" s="19"/>
      <c r="H359" s="19"/>
      <c r="I359" s="19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AC359" s="4"/>
      <c r="AE359" s="4"/>
      <c r="AG359" s="5"/>
      <c r="AH359" s="3">
        <v>76.44</v>
      </c>
      <c r="AI359" s="5">
        <v>76.44</v>
      </c>
      <c r="AJ359" s="3">
        <f>15500/5</f>
        <v>3100</v>
      </c>
      <c r="AK359" s="3">
        <f t="shared" si="507"/>
        <v>3176.44</v>
      </c>
      <c r="AL359" s="3">
        <f>15500/5</f>
        <v>3100</v>
      </c>
      <c r="AM359" s="4">
        <f t="shared" si="508"/>
        <v>6276.4400000000005</v>
      </c>
      <c r="AN359" s="4">
        <f t="shared" si="503"/>
        <v>9223.56</v>
      </c>
      <c r="AO359" s="21">
        <f t="shared" si="504"/>
        <v>3100</v>
      </c>
      <c r="AP359" s="4">
        <f t="shared" si="505"/>
        <v>9376.44</v>
      </c>
      <c r="AQ359" s="4">
        <v>6123.5599999999995</v>
      </c>
      <c r="AR359" s="21">
        <v>3100</v>
      </c>
      <c r="AS359" s="19">
        <v>12476.44</v>
      </c>
      <c r="AT359" s="4">
        <v>3023.5599999999995</v>
      </c>
      <c r="AU359" s="21">
        <f t="shared" ref="AU359:AU364" si="509">SUM(C359/E359)</f>
        <v>2214.2857142857142</v>
      </c>
      <c r="AV359" s="19">
        <f t="shared" si="497"/>
        <v>14690.725714285714</v>
      </c>
      <c r="AW359" s="4">
        <f t="shared" si="498"/>
        <v>809.27428571428572</v>
      </c>
      <c r="AX359" s="4">
        <v>809</v>
      </c>
      <c r="AY359" s="4">
        <f t="shared" ref="AY359:AY367" si="510">SUM(AV359+AX359)</f>
        <v>15499.725714285714</v>
      </c>
      <c r="AZ359" s="4">
        <f t="shared" ref="AZ359:AZ367" si="511">SUM(C359-AY359)</f>
        <v>0.27428571428572468</v>
      </c>
      <c r="BA359" s="22">
        <v>0</v>
      </c>
      <c r="BB359" s="4">
        <f t="shared" si="506"/>
        <v>15499.725714285714</v>
      </c>
      <c r="BC359" s="4">
        <f t="shared" si="495"/>
        <v>0.27428571428572468</v>
      </c>
      <c r="BF359" s="22">
        <v>0</v>
      </c>
      <c r="BG359" s="4">
        <f t="shared" si="499"/>
        <v>0</v>
      </c>
    </row>
    <row r="360" spans="1:59" x14ac:dyDescent="0.35">
      <c r="A360" s="3" t="s">
        <v>377</v>
      </c>
      <c r="B360" s="3" t="s">
        <v>378</v>
      </c>
      <c r="C360" s="4">
        <v>13000</v>
      </c>
      <c r="D360" s="4" t="s">
        <v>80</v>
      </c>
      <c r="E360" s="2">
        <v>7</v>
      </c>
      <c r="F360" s="4"/>
      <c r="G360" s="19"/>
      <c r="H360" s="19"/>
      <c r="I360" s="19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AC360" s="4"/>
      <c r="AE360" s="4"/>
      <c r="AG360" s="5"/>
      <c r="AI360" s="5"/>
      <c r="AJ360" s="3">
        <v>217</v>
      </c>
      <c r="AK360" s="3">
        <v>217</v>
      </c>
      <c r="AL360" s="3">
        <f>13000/5</f>
        <v>2600</v>
      </c>
      <c r="AM360" s="4">
        <f t="shared" si="508"/>
        <v>2817</v>
      </c>
      <c r="AN360" s="4">
        <f t="shared" si="503"/>
        <v>10183</v>
      </c>
      <c r="AO360" s="21">
        <f t="shared" si="504"/>
        <v>2600</v>
      </c>
      <c r="AP360" s="4">
        <f t="shared" si="505"/>
        <v>5417</v>
      </c>
      <c r="AQ360" s="4">
        <v>7222</v>
      </c>
      <c r="AR360" s="21">
        <v>2600</v>
      </c>
      <c r="AS360" s="19">
        <v>8017</v>
      </c>
      <c r="AT360" s="4">
        <v>4622</v>
      </c>
      <c r="AU360" s="21">
        <f t="shared" si="509"/>
        <v>1857.1428571428571</v>
      </c>
      <c r="AV360" s="19">
        <f t="shared" si="497"/>
        <v>9874.1428571428569</v>
      </c>
      <c r="AW360" s="4">
        <f t="shared" si="498"/>
        <v>3125.8571428571431</v>
      </c>
      <c r="AX360" s="4">
        <f t="shared" ref="AX360:AX367" si="512">SUM(C360/E360)</f>
        <v>1857.1428571428571</v>
      </c>
      <c r="AY360" s="4">
        <f t="shared" si="510"/>
        <v>11731.285714285714</v>
      </c>
      <c r="AZ360" s="4">
        <f t="shared" si="511"/>
        <v>1268.7142857142862</v>
      </c>
      <c r="BA360" s="22">
        <v>1269</v>
      </c>
      <c r="BB360" s="4">
        <f t="shared" si="506"/>
        <v>13000.285714285714</v>
      </c>
      <c r="BC360" s="4">
        <f t="shared" si="495"/>
        <v>-0.285714285713766</v>
      </c>
      <c r="BF360" s="22">
        <v>1269</v>
      </c>
      <c r="BG360" s="4">
        <f t="shared" si="499"/>
        <v>0</v>
      </c>
    </row>
    <row r="361" spans="1:59" x14ac:dyDescent="0.35">
      <c r="A361" s="3" t="s">
        <v>367</v>
      </c>
      <c r="B361" s="3" t="s">
        <v>379</v>
      </c>
      <c r="C361" s="4">
        <v>28356</v>
      </c>
      <c r="D361" s="4" t="s">
        <v>80</v>
      </c>
      <c r="E361" s="2">
        <v>7</v>
      </c>
      <c r="F361" s="4"/>
      <c r="G361" s="19"/>
      <c r="H361" s="19"/>
      <c r="I361" s="19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AC361" s="4"/>
      <c r="AE361" s="4"/>
      <c r="AG361" s="5"/>
      <c r="AI361" s="5"/>
      <c r="AJ361" s="3">
        <v>236</v>
      </c>
      <c r="AK361" s="3">
        <v>236</v>
      </c>
      <c r="AL361" s="3">
        <f>28356/5</f>
        <v>5671.2</v>
      </c>
      <c r="AM361" s="4">
        <f t="shared" si="508"/>
        <v>5907.2</v>
      </c>
      <c r="AN361" s="4">
        <f t="shared" si="503"/>
        <v>22448.799999999999</v>
      </c>
      <c r="AO361" s="21">
        <f t="shared" si="504"/>
        <v>5671.2</v>
      </c>
      <c r="AP361" s="4">
        <f t="shared" si="505"/>
        <v>11578.4</v>
      </c>
      <c r="AQ361" s="4">
        <v>16777.599999999999</v>
      </c>
      <c r="AR361" s="21">
        <v>5671.2</v>
      </c>
      <c r="AS361" s="19">
        <v>17249.599999999999</v>
      </c>
      <c r="AT361" s="4">
        <v>11106.399999999998</v>
      </c>
      <c r="AU361" s="21">
        <f t="shared" si="509"/>
        <v>4050.8571428571427</v>
      </c>
      <c r="AV361" s="19">
        <f t="shared" si="497"/>
        <v>21300.45714285714</v>
      </c>
      <c r="AW361" s="4">
        <f t="shared" si="498"/>
        <v>7055.5428571428602</v>
      </c>
      <c r="AX361" s="4">
        <f t="shared" si="512"/>
        <v>4050.8571428571427</v>
      </c>
      <c r="AY361" s="4">
        <f t="shared" si="510"/>
        <v>25351.314285714281</v>
      </c>
      <c r="AZ361" s="4">
        <f t="shared" si="511"/>
        <v>3004.6857142857189</v>
      </c>
      <c r="BA361" s="22">
        <v>3005</v>
      </c>
      <c r="BB361" s="4">
        <f t="shared" si="506"/>
        <v>28356.314285714281</v>
      </c>
      <c r="BC361" s="4">
        <f t="shared" si="495"/>
        <v>-0.31428571428114083</v>
      </c>
      <c r="BF361" s="22">
        <v>3005</v>
      </c>
      <c r="BG361" s="4">
        <f t="shared" si="499"/>
        <v>0</v>
      </c>
    </row>
    <row r="362" spans="1:59" x14ac:dyDescent="0.35">
      <c r="A362" s="3" t="s">
        <v>380</v>
      </c>
      <c r="B362" s="3" t="s">
        <v>381</v>
      </c>
      <c r="C362" s="4">
        <v>11000</v>
      </c>
      <c r="D362" s="4" t="s">
        <v>80</v>
      </c>
      <c r="E362" s="2">
        <v>7</v>
      </c>
      <c r="F362" s="4"/>
      <c r="G362" s="19"/>
      <c r="H362" s="19"/>
      <c r="I362" s="19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AC362" s="4"/>
      <c r="AE362" s="4"/>
      <c r="AG362" s="5"/>
      <c r="AI362" s="5"/>
      <c r="AL362" s="4">
        <f>SUM(C362/E362/12*10)</f>
        <v>1309.5238095238094</v>
      </c>
      <c r="AM362" s="4">
        <f t="shared" si="508"/>
        <v>1309.5238095238094</v>
      </c>
      <c r="AN362" s="4">
        <f t="shared" si="503"/>
        <v>9690.4761904761908</v>
      </c>
      <c r="AO362" s="21">
        <f t="shared" si="504"/>
        <v>1309.5238095238094</v>
      </c>
      <c r="AP362" s="4">
        <v>4033</v>
      </c>
      <c r="AQ362" s="4">
        <v>7333.3333333333321</v>
      </c>
      <c r="AR362" s="21">
        <v>1833.3333333333335</v>
      </c>
      <c r="AS362" s="19">
        <v>5866.3333333333339</v>
      </c>
      <c r="AT362" s="4">
        <v>5499.9999999999982</v>
      </c>
      <c r="AU362" s="21">
        <f t="shared" si="509"/>
        <v>1571.4285714285713</v>
      </c>
      <c r="AV362" s="19">
        <f t="shared" si="497"/>
        <v>7437.7619047619055</v>
      </c>
      <c r="AW362" s="4">
        <f t="shared" si="498"/>
        <v>3562.2380952380945</v>
      </c>
      <c r="AX362" s="4">
        <f t="shared" si="512"/>
        <v>1571.4285714285713</v>
      </c>
      <c r="AY362" s="4">
        <f t="shared" si="510"/>
        <v>9009.1904761904771</v>
      </c>
      <c r="AZ362" s="4">
        <f t="shared" si="511"/>
        <v>1990.8095238095229</v>
      </c>
      <c r="BA362" s="22">
        <f t="shared" ref="BA362:BA368" si="513">SUM(C362/E362)</f>
        <v>1571.4285714285713</v>
      </c>
      <c r="BB362" s="4">
        <f t="shared" si="506"/>
        <v>10580.619047619048</v>
      </c>
      <c r="BC362" s="4">
        <f t="shared" si="495"/>
        <v>419.38095238095229</v>
      </c>
      <c r="BF362" s="22">
        <v>1571.4285714285713</v>
      </c>
      <c r="BG362" s="4">
        <f t="shared" si="499"/>
        <v>0</v>
      </c>
    </row>
    <row r="363" spans="1:59" x14ac:dyDescent="0.35">
      <c r="A363" s="3" t="s">
        <v>357</v>
      </c>
      <c r="B363" s="3" t="s">
        <v>382</v>
      </c>
      <c r="C363" s="4">
        <v>18000</v>
      </c>
      <c r="D363" s="4" t="s">
        <v>80</v>
      </c>
      <c r="E363" s="2">
        <v>7</v>
      </c>
      <c r="F363" s="4"/>
      <c r="G363" s="19"/>
      <c r="H363" s="19"/>
      <c r="I363" s="19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AC363" s="4"/>
      <c r="AE363" s="4"/>
      <c r="AG363" s="5"/>
      <c r="AI363" s="5"/>
      <c r="AL363" s="3">
        <v>750</v>
      </c>
      <c r="AM363" s="4">
        <f t="shared" si="508"/>
        <v>750</v>
      </c>
      <c r="AN363" s="4">
        <f t="shared" si="503"/>
        <v>17250</v>
      </c>
      <c r="AO363" s="21">
        <f>18000/5</f>
        <v>3600</v>
      </c>
      <c r="AP363" s="4">
        <f>AM363+AO363</f>
        <v>4350</v>
      </c>
      <c r="AQ363" s="4">
        <v>13650</v>
      </c>
      <c r="AR363" s="21">
        <v>3600</v>
      </c>
      <c r="AS363" s="19">
        <v>7950</v>
      </c>
      <c r="AT363" s="4">
        <v>10050</v>
      </c>
      <c r="AU363" s="21">
        <f t="shared" si="509"/>
        <v>2571.4285714285716</v>
      </c>
      <c r="AV363" s="19">
        <f t="shared" si="497"/>
        <v>10521.428571428572</v>
      </c>
      <c r="AW363" s="4">
        <f t="shared" si="498"/>
        <v>7478.5714285714275</v>
      </c>
      <c r="AX363" s="4">
        <f t="shared" si="512"/>
        <v>2571.4285714285716</v>
      </c>
      <c r="AY363" s="4">
        <f t="shared" si="510"/>
        <v>13092.857142857145</v>
      </c>
      <c r="AZ363" s="4">
        <f t="shared" si="511"/>
        <v>4907.1428571428551</v>
      </c>
      <c r="BA363" s="22">
        <f t="shared" si="513"/>
        <v>2571.4285714285716</v>
      </c>
      <c r="BB363" s="4">
        <f t="shared" si="506"/>
        <v>15664.285714285717</v>
      </c>
      <c r="BC363" s="4">
        <f t="shared" si="495"/>
        <v>2335.7142857142826</v>
      </c>
      <c r="BF363" s="22">
        <v>2571.4285714285716</v>
      </c>
      <c r="BG363" s="4">
        <f t="shared" si="499"/>
        <v>0</v>
      </c>
    </row>
    <row r="364" spans="1:59" x14ac:dyDescent="0.35">
      <c r="A364" s="3" t="s">
        <v>383</v>
      </c>
      <c r="B364" s="3" t="s">
        <v>384</v>
      </c>
      <c r="C364" s="4">
        <v>12500</v>
      </c>
      <c r="D364" s="4" t="s">
        <v>80</v>
      </c>
      <c r="E364" s="2">
        <v>7</v>
      </c>
      <c r="F364" s="4"/>
      <c r="G364" s="19"/>
      <c r="H364" s="19"/>
      <c r="I364" s="19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E364" s="4"/>
      <c r="AG364" s="5"/>
      <c r="AI364" s="5"/>
      <c r="AM364" s="4"/>
      <c r="AN364" s="4"/>
      <c r="AO364" s="21"/>
      <c r="AP364" s="4"/>
      <c r="AQ364" s="4">
        <v>12500</v>
      </c>
      <c r="AR364" s="21">
        <v>2083.3333333333335</v>
      </c>
      <c r="AS364" s="19">
        <v>2083.3333333333335</v>
      </c>
      <c r="AT364" s="4">
        <v>10416.666666666666</v>
      </c>
      <c r="AU364" s="21">
        <f t="shared" si="509"/>
        <v>1785.7142857142858</v>
      </c>
      <c r="AV364" s="19">
        <f>AS364+AU364</f>
        <v>3869.0476190476193</v>
      </c>
      <c r="AW364" s="4">
        <f>C364-AV364</f>
        <v>8630.9523809523816</v>
      </c>
      <c r="AX364" s="4">
        <f t="shared" si="512"/>
        <v>1785.7142857142858</v>
      </c>
      <c r="AY364" s="4">
        <f t="shared" si="510"/>
        <v>5654.7619047619046</v>
      </c>
      <c r="AZ364" s="4">
        <f t="shared" si="511"/>
        <v>6845.2380952380954</v>
      </c>
      <c r="BA364" s="22">
        <f t="shared" si="513"/>
        <v>1785.7142857142858</v>
      </c>
      <c r="BB364" s="4">
        <f t="shared" si="506"/>
        <v>7440.4761904761908</v>
      </c>
      <c r="BC364" s="4">
        <f t="shared" si="495"/>
        <v>5059.5238095238092</v>
      </c>
      <c r="BF364" s="22">
        <v>1785.7142857142858</v>
      </c>
      <c r="BG364" s="4">
        <f t="shared" si="499"/>
        <v>0</v>
      </c>
    </row>
    <row r="365" spans="1:59" x14ac:dyDescent="0.35">
      <c r="A365" s="3" t="s">
        <v>372</v>
      </c>
      <c r="B365" s="42" t="s">
        <v>385</v>
      </c>
      <c r="C365" s="4">
        <v>3500</v>
      </c>
      <c r="D365" s="4" t="s">
        <v>80</v>
      </c>
      <c r="E365" s="2">
        <v>7</v>
      </c>
      <c r="F365" s="4"/>
      <c r="G365" s="19"/>
      <c r="H365" s="19"/>
      <c r="I365" s="19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E365" s="4"/>
      <c r="AG365" s="5"/>
      <c r="AI365" s="5"/>
      <c r="AM365" s="4"/>
      <c r="AN365" s="4"/>
      <c r="AO365" s="21"/>
      <c r="AP365" s="4"/>
      <c r="AQ365" s="4"/>
      <c r="AR365" s="21"/>
      <c r="AS365" s="19"/>
      <c r="AT365" s="4"/>
      <c r="AU365" s="21">
        <f>SUM(C365/E365/12*9)</f>
        <v>375</v>
      </c>
      <c r="AV365" s="19">
        <f t="shared" ref="AV365:AV367" si="514">AS365+AU365</f>
        <v>375</v>
      </c>
      <c r="AW365" s="4">
        <f t="shared" ref="AW365:AW367" si="515">C365-AV365</f>
        <v>3125</v>
      </c>
      <c r="AX365" s="4">
        <f t="shared" si="512"/>
        <v>500</v>
      </c>
      <c r="AY365" s="4">
        <f t="shared" si="510"/>
        <v>875</v>
      </c>
      <c r="AZ365" s="4">
        <f t="shared" si="511"/>
        <v>2625</v>
      </c>
      <c r="BA365" s="22">
        <f t="shared" si="513"/>
        <v>500</v>
      </c>
      <c r="BB365" s="4">
        <f t="shared" si="506"/>
        <v>1375</v>
      </c>
      <c r="BC365" s="4">
        <f t="shared" si="495"/>
        <v>2125</v>
      </c>
      <c r="BF365" s="22">
        <v>500</v>
      </c>
      <c r="BG365" s="4">
        <f t="shared" si="499"/>
        <v>0</v>
      </c>
    </row>
    <row r="366" spans="1:59" x14ac:dyDescent="0.35">
      <c r="A366" s="3" t="s">
        <v>386</v>
      </c>
      <c r="B366" s="42" t="s">
        <v>387</v>
      </c>
      <c r="C366" s="4">
        <v>29963</v>
      </c>
      <c r="D366" s="4" t="s">
        <v>80</v>
      </c>
      <c r="E366" s="2">
        <v>7</v>
      </c>
      <c r="F366" s="4"/>
      <c r="G366" s="19"/>
      <c r="H366" s="19"/>
      <c r="I366" s="19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E366" s="4"/>
      <c r="AG366" s="5"/>
      <c r="AI366" s="5"/>
      <c r="AM366" s="4"/>
      <c r="AN366" s="4"/>
      <c r="AO366" s="21"/>
      <c r="AP366" s="4"/>
      <c r="AQ366" s="4"/>
      <c r="AR366" s="21"/>
      <c r="AS366" s="19"/>
      <c r="AT366" s="4"/>
      <c r="AU366" s="21">
        <f>SUM(C366/E366/12*5)</f>
        <v>1783.5119047619048</v>
      </c>
      <c r="AV366" s="19">
        <f t="shared" si="514"/>
        <v>1783.5119047619048</v>
      </c>
      <c r="AW366" s="4">
        <f t="shared" si="515"/>
        <v>28179.488095238095</v>
      </c>
      <c r="AX366" s="4">
        <f t="shared" si="512"/>
        <v>4280.4285714285716</v>
      </c>
      <c r="AY366" s="4">
        <f t="shared" si="510"/>
        <v>6063.9404761904761</v>
      </c>
      <c r="AZ366" s="4">
        <f t="shared" si="511"/>
        <v>23899.059523809523</v>
      </c>
      <c r="BA366" s="22">
        <f t="shared" si="513"/>
        <v>4280.4285714285716</v>
      </c>
      <c r="BB366" s="4">
        <f t="shared" si="506"/>
        <v>10344.369047619048</v>
      </c>
      <c r="BC366" s="4">
        <f t="shared" si="495"/>
        <v>19618.630952380954</v>
      </c>
      <c r="BF366" s="22">
        <v>4280.4285714285716</v>
      </c>
      <c r="BG366" s="4">
        <f t="shared" si="499"/>
        <v>0</v>
      </c>
    </row>
    <row r="367" spans="1:59" x14ac:dyDescent="0.35">
      <c r="A367" s="3" t="s">
        <v>388</v>
      </c>
      <c r="B367" s="42" t="s">
        <v>389</v>
      </c>
      <c r="C367" s="4">
        <v>14450</v>
      </c>
      <c r="D367" s="4" t="s">
        <v>80</v>
      </c>
      <c r="E367" s="2">
        <v>7</v>
      </c>
      <c r="F367" s="4"/>
      <c r="G367" s="19"/>
      <c r="H367" s="19"/>
      <c r="I367" s="19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E367" s="4"/>
      <c r="AG367" s="5"/>
      <c r="AI367" s="5"/>
      <c r="AM367" s="4"/>
      <c r="AN367" s="4"/>
      <c r="AO367" s="21"/>
      <c r="AP367" s="4"/>
      <c r="AQ367" s="4"/>
      <c r="AR367" s="21"/>
      <c r="AS367" s="19"/>
      <c r="AT367" s="4"/>
      <c r="AU367" s="21">
        <f>SUM(C367/E367/12*2)</f>
        <v>344.04761904761904</v>
      </c>
      <c r="AV367" s="19">
        <f t="shared" si="514"/>
        <v>344.04761904761904</v>
      </c>
      <c r="AW367" s="4">
        <f t="shared" si="515"/>
        <v>14105.952380952382</v>
      </c>
      <c r="AX367" s="4">
        <f t="shared" si="512"/>
        <v>2064.2857142857142</v>
      </c>
      <c r="AY367" s="4">
        <f t="shared" si="510"/>
        <v>2408.333333333333</v>
      </c>
      <c r="AZ367" s="4">
        <f t="shared" si="511"/>
        <v>12041.666666666668</v>
      </c>
      <c r="BA367" s="22">
        <f t="shared" si="513"/>
        <v>2064.2857142857142</v>
      </c>
      <c r="BB367" s="4">
        <f t="shared" si="506"/>
        <v>4472.6190476190477</v>
      </c>
      <c r="BC367" s="4">
        <f t="shared" si="495"/>
        <v>9977.3809523809523</v>
      </c>
      <c r="BF367" s="22">
        <v>2064.2857142857142</v>
      </c>
      <c r="BG367" s="4">
        <f t="shared" si="499"/>
        <v>0</v>
      </c>
    </row>
    <row r="368" spans="1:59" x14ac:dyDescent="0.35">
      <c r="A368" s="3" t="s">
        <v>390</v>
      </c>
      <c r="B368" s="42" t="s">
        <v>391</v>
      </c>
      <c r="C368" s="4">
        <v>58431</v>
      </c>
      <c r="D368" s="4" t="s">
        <v>80</v>
      </c>
      <c r="E368" s="2">
        <v>7</v>
      </c>
      <c r="F368" s="4"/>
      <c r="G368" s="19"/>
      <c r="H368" s="19"/>
      <c r="I368" s="19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E368" s="4"/>
      <c r="AG368" s="5"/>
      <c r="AI368" s="5"/>
      <c r="AM368" s="4"/>
      <c r="AN368" s="4"/>
      <c r="AO368" s="21"/>
      <c r="AP368" s="4"/>
      <c r="AQ368" s="4"/>
      <c r="AR368" s="21"/>
      <c r="AS368" s="19"/>
      <c r="AT368" s="4"/>
      <c r="AU368" s="21"/>
      <c r="AV368" s="19"/>
      <c r="AW368" s="4"/>
      <c r="AX368" s="4">
        <f>SUM(C368/E368/2)</f>
        <v>4173.6428571428569</v>
      </c>
      <c r="AY368" s="4">
        <f t="shared" ref="AY368" si="516">SUM(AV368+AX368)</f>
        <v>4173.6428571428569</v>
      </c>
      <c r="AZ368" s="4">
        <f t="shared" ref="AZ368" si="517">SUM(C368-AY368)</f>
        <v>54257.357142857145</v>
      </c>
      <c r="BA368" s="22">
        <f t="shared" si="513"/>
        <v>8347.2857142857138</v>
      </c>
      <c r="BB368" s="4">
        <f t="shared" si="506"/>
        <v>12520.928571428571</v>
      </c>
      <c r="BC368" s="4">
        <f t="shared" si="495"/>
        <v>45910.071428571428</v>
      </c>
      <c r="BF368" s="22">
        <v>8347.2857142857138</v>
      </c>
      <c r="BG368" s="4">
        <f t="shared" si="499"/>
        <v>0</v>
      </c>
    </row>
    <row r="369" spans="1:59" x14ac:dyDescent="0.35">
      <c r="A369" s="6" t="s">
        <v>392</v>
      </c>
      <c r="B369" s="6">
        <v>2021</v>
      </c>
      <c r="C369" s="21">
        <f>SUM(-C347-C356)</f>
        <v>-23900</v>
      </c>
      <c r="D369" s="25"/>
      <c r="E369" s="44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8"/>
      <c r="AE369" s="25"/>
      <c r="AF369" s="28"/>
      <c r="AG369" s="45"/>
      <c r="AH369" s="28"/>
      <c r="AI369" s="45"/>
      <c r="AJ369" s="28"/>
      <c r="AK369" s="28"/>
      <c r="AL369" s="28"/>
      <c r="AM369" s="25"/>
      <c r="AN369" s="25"/>
      <c r="AO369" s="25"/>
      <c r="AP369" s="25"/>
      <c r="AQ369" s="25"/>
      <c r="AR369" s="25"/>
      <c r="AS369" s="25"/>
      <c r="AT369" s="25"/>
      <c r="AU369" s="28"/>
      <c r="AV369" s="25">
        <f>SUM(-AV347-AV356)</f>
        <v>-23899.5</v>
      </c>
      <c r="AY369" s="3">
        <v>-23900</v>
      </c>
      <c r="BA369" s="17"/>
      <c r="BB369" s="3">
        <v>-23900</v>
      </c>
      <c r="BF369" s="17"/>
      <c r="BG369" s="4">
        <f t="shared" si="499"/>
        <v>0</v>
      </c>
    </row>
    <row r="370" spans="1:59" x14ac:dyDescent="0.35">
      <c r="A370" s="28" t="s">
        <v>393</v>
      </c>
      <c r="B370" s="1" t="s">
        <v>394</v>
      </c>
      <c r="C370" s="25">
        <v>11525</v>
      </c>
      <c r="D370" s="19" t="s">
        <v>80</v>
      </c>
      <c r="E370" s="37">
        <v>7</v>
      </c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8"/>
      <c r="AE370" s="25"/>
      <c r="AF370" s="28"/>
      <c r="AG370" s="45"/>
      <c r="AH370" s="28"/>
      <c r="AI370" s="45"/>
      <c r="AJ370" s="28"/>
      <c r="AK370" s="28"/>
      <c r="AL370" s="28"/>
      <c r="AM370" s="25"/>
      <c r="AN370" s="25"/>
      <c r="AO370" s="25"/>
      <c r="AP370" s="25"/>
      <c r="AQ370" s="25"/>
      <c r="AR370" s="25"/>
      <c r="AS370" s="25"/>
      <c r="AT370" s="25"/>
      <c r="AU370" s="28"/>
      <c r="AV370" s="25"/>
      <c r="BA370" s="22">
        <f>SUM(C370/E370/2)</f>
        <v>823.21428571428567</v>
      </c>
      <c r="BB370" s="4">
        <f t="shared" ref="BB370:BB371" si="518">SUM(AY370+BA370)</f>
        <v>823.21428571428567</v>
      </c>
      <c r="BC370" s="4">
        <f t="shared" ref="BC370:BC371" si="519">SUM(C370-BB370)</f>
        <v>10701.785714285714</v>
      </c>
      <c r="BD370" s="3">
        <v>11525</v>
      </c>
      <c r="BF370" s="22">
        <v>823.21428571428567</v>
      </c>
      <c r="BG370" s="4">
        <f t="shared" si="499"/>
        <v>0</v>
      </c>
    </row>
    <row r="371" spans="1:59" x14ac:dyDescent="0.35">
      <c r="A371" s="28" t="s">
        <v>395</v>
      </c>
      <c r="B371" s="28" t="s">
        <v>396</v>
      </c>
      <c r="C371" s="25">
        <v>10250</v>
      </c>
      <c r="D371" s="19" t="s">
        <v>80</v>
      </c>
      <c r="E371" s="37">
        <v>7</v>
      </c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8"/>
      <c r="AE371" s="25"/>
      <c r="AF371" s="28"/>
      <c r="AG371" s="45"/>
      <c r="AH371" s="28"/>
      <c r="AI371" s="45"/>
      <c r="AJ371" s="28"/>
      <c r="AK371" s="28"/>
      <c r="AL371" s="28"/>
      <c r="AM371" s="25"/>
      <c r="AN371" s="25"/>
      <c r="AO371" s="25"/>
      <c r="AP371" s="25"/>
      <c r="AQ371" s="25"/>
      <c r="AR371" s="25"/>
      <c r="AS371" s="25"/>
      <c r="AT371" s="25"/>
      <c r="AU371" s="28"/>
      <c r="AV371" s="25"/>
      <c r="BA371" s="22">
        <f>SUM(C371/E371/2)</f>
        <v>732.14285714285711</v>
      </c>
      <c r="BB371" s="4">
        <f t="shared" si="518"/>
        <v>732.14285714285711</v>
      </c>
      <c r="BC371" s="4">
        <f t="shared" si="519"/>
        <v>9517.8571428571431</v>
      </c>
      <c r="BD371" s="3">
        <v>10250</v>
      </c>
      <c r="BF371" s="22">
        <v>732.14285714285711</v>
      </c>
      <c r="BG371" s="4">
        <f t="shared" si="499"/>
        <v>0</v>
      </c>
    </row>
    <row r="372" spans="1:59" x14ac:dyDescent="0.35">
      <c r="C372" s="4"/>
      <c r="D372" s="4"/>
      <c r="F372" s="4"/>
      <c r="G372" s="19"/>
      <c r="H372" s="19"/>
      <c r="I372" s="19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AC372" s="4"/>
      <c r="AE372" s="4"/>
      <c r="AG372" s="5"/>
      <c r="AI372" s="5"/>
      <c r="AM372" s="4"/>
      <c r="AN372" s="4"/>
      <c r="AO372" s="21">
        <f>AL372</f>
        <v>0</v>
      </c>
      <c r="AP372" s="4"/>
      <c r="AQ372" s="4"/>
      <c r="AR372" s="21"/>
      <c r="AS372" s="19"/>
      <c r="AT372" s="4"/>
      <c r="BA372" s="17"/>
      <c r="BF372" s="17"/>
      <c r="BG372" s="4">
        <f t="shared" si="499"/>
        <v>0</v>
      </c>
    </row>
    <row r="373" spans="1:59" x14ac:dyDescent="0.35">
      <c r="C373" s="19">
        <f>SUM(C343:C372)</f>
        <v>414736</v>
      </c>
      <c r="D373" s="4"/>
      <c r="F373" s="4"/>
      <c r="G373" s="19">
        <f>SUM(G341:G348)</f>
        <v>11600</v>
      </c>
      <c r="H373" s="19">
        <f>SUM(H341:H348)</f>
        <v>969</v>
      </c>
      <c r="I373" s="19">
        <f>SUM(I341:I348)</f>
        <v>12569</v>
      </c>
      <c r="J373" s="19">
        <f>SUM(J341:J348)</f>
        <v>2908</v>
      </c>
      <c r="K373" s="19">
        <f>SUM(K341:K348)</f>
        <v>15477</v>
      </c>
      <c r="L373" s="19">
        <f t="shared" ref="L373:Q373" si="520">SUM(L343:L349)</f>
        <v>4408</v>
      </c>
      <c r="M373" s="19">
        <f t="shared" si="520"/>
        <v>25597</v>
      </c>
      <c r="N373" s="19">
        <f t="shared" si="520"/>
        <v>10121</v>
      </c>
      <c r="O373" s="19">
        <f t="shared" si="520"/>
        <v>27293</v>
      </c>
      <c r="P373" s="19">
        <f t="shared" si="520"/>
        <v>6325.8571428571431</v>
      </c>
      <c r="Q373" s="19">
        <f t="shared" si="520"/>
        <v>33618.857142857145</v>
      </c>
      <c r="R373" s="19">
        <f>SUM(R341:R348)</f>
        <v>7090</v>
      </c>
      <c r="S373" s="19">
        <v>195940</v>
      </c>
      <c r="T373" s="19">
        <v>10567</v>
      </c>
      <c r="U373" s="19">
        <f>SUM(U343:U349)</f>
        <v>69873.571428571435</v>
      </c>
      <c r="V373" s="19">
        <f>SUM(V348:V352)</f>
        <v>12077</v>
      </c>
      <c r="W373" s="19">
        <f>SUM(W343:W351)</f>
        <v>81950.571428571435</v>
      </c>
      <c r="X373" s="19">
        <f>SUM(X343:X352)</f>
        <v>14242.666666666666</v>
      </c>
      <c r="Y373" s="19">
        <f>SUM(Y343:Y352)</f>
        <v>96193.238095238106</v>
      </c>
      <c r="Z373" s="19">
        <f>SUM(Z343:Z354)</f>
        <v>16194</v>
      </c>
      <c r="AA373" s="19">
        <f>SUM(AA343:AA354)</f>
        <v>89265.238095238106</v>
      </c>
      <c r="AB373" s="19">
        <f>SUM(AB343:AB354)</f>
        <v>17994</v>
      </c>
      <c r="AC373" s="19">
        <f>SUM(AC343:AC355)</f>
        <v>109759.23809523811</v>
      </c>
      <c r="AD373" s="3">
        <f>SUM(AD348:AD355)</f>
        <v>19994</v>
      </c>
      <c r="AE373" s="4">
        <f>AC373+AD373</f>
        <v>129753.23809523811</v>
      </c>
      <c r="AF373" s="3">
        <f>SUM(AF343:AF372)</f>
        <v>21536.5</v>
      </c>
      <c r="AG373" s="5">
        <f>SUM(AG343:AG372)</f>
        <v>151289.73809523811</v>
      </c>
      <c r="AH373" s="3">
        <f>SUM(AH343:AH372)</f>
        <v>13168.7</v>
      </c>
      <c r="AI373" s="5">
        <f>SUM(AI343:AI359)</f>
        <v>164458.43809523809</v>
      </c>
      <c r="AJ373" s="3">
        <f>SUM(AJ343:AJ361)</f>
        <v>15011</v>
      </c>
      <c r="AK373" s="3">
        <f>SUM(AK343:AK361)</f>
        <v>179469.44142857142</v>
      </c>
      <c r="AL373" s="19">
        <f>SUM(AL343:AL372)</f>
        <v>21588.72380952381</v>
      </c>
      <c r="AM373" s="19">
        <f>SUM(AM343:AM372)</f>
        <v>201058.16523809524</v>
      </c>
      <c r="AN373" s="19">
        <f>SUM(AN343:AN372)</f>
        <v>96958.834761904756</v>
      </c>
      <c r="AO373" s="25">
        <f>SUM(AO343:AO372)</f>
        <v>24469.053479853479</v>
      </c>
      <c r="AP373" s="19">
        <f>SUM(AP343:AP363)</f>
        <v>226935.84142857141</v>
      </c>
      <c r="AQ373" s="19">
        <v>80178.933663003656</v>
      </c>
      <c r="AR373" s="25">
        <v>27343.866666666665</v>
      </c>
      <c r="AS373" s="19">
        <v>257681.93666666668</v>
      </c>
      <c r="AT373" s="19">
        <v>52835.066996336987</v>
      </c>
      <c r="AU373" s="25">
        <f>SUM(AU343:AU372)</f>
        <v>18653.702380952378</v>
      </c>
      <c r="AV373" s="19">
        <f>SUM(AV343:AV372)</f>
        <v>252436.13904761907</v>
      </c>
      <c r="AW373" s="19">
        <f>SUM(AW343:AW372)</f>
        <v>82093.860952380957</v>
      </c>
      <c r="AX373" s="19">
        <f t="shared" ref="AX373:BC373" si="521">SUM(AX343:AX372)</f>
        <v>24978.214285714283</v>
      </c>
      <c r="AY373" s="19">
        <f t="shared" si="521"/>
        <v>277413.85333333327</v>
      </c>
      <c r="AZ373" s="19">
        <f t="shared" si="521"/>
        <v>115547.14666666667</v>
      </c>
      <c r="BA373" s="20">
        <f t="shared" si="521"/>
        <v>28264.214285714286</v>
      </c>
      <c r="BB373" s="19">
        <f t="shared" si="521"/>
        <v>305678.06761904765</v>
      </c>
      <c r="BC373" s="19">
        <f t="shared" si="521"/>
        <v>109057.93238095239</v>
      </c>
      <c r="BF373" s="20">
        <v>28264.214285714286</v>
      </c>
      <c r="BG373" s="4">
        <f t="shared" si="499"/>
        <v>0</v>
      </c>
    </row>
    <row r="374" spans="1:59" x14ac:dyDescent="0.35">
      <c r="A374" s="3" t="s">
        <v>397</v>
      </c>
      <c r="C374" s="4"/>
      <c r="D374" s="4"/>
      <c r="F374" s="4"/>
      <c r="G374" s="4"/>
      <c r="H374" s="4"/>
      <c r="I374" s="4"/>
      <c r="J374" s="4"/>
      <c r="K374" s="4"/>
      <c r="L374" s="4"/>
      <c r="M374" s="4">
        <f>K374+L374</f>
        <v>0</v>
      </c>
      <c r="N374" s="4"/>
      <c r="O374" s="4"/>
      <c r="P374" s="4"/>
      <c r="Q374" s="4"/>
      <c r="X374" s="4"/>
      <c r="Y374" s="4"/>
      <c r="AC374" s="4"/>
      <c r="AE374" s="4">
        <f>AC374+AD374</f>
        <v>0</v>
      </c>
      <c r="AG374" s="5"/>
      <c r="AM374" s="4"/>
      <c r="AN374" s="4"/>
      <c r="AO374" s="6"/>
      <c r="AR374" s="6"/>
      <c r="AS374" s="1"/>
      <c r="AT374" s="4"/>
      <c r="BA374" s="17"/>
      <c r="BF374" s="17"/>
      <c r="BG374" s="4">
        <f t="shared" si="499"/>
        <v>0</v>
      </c>
    </row>
    <row r="375" spans="1:59" x14ac:dyDescent="0.35">
      <c r="C375" s="4"/>
      <c r="D375" s="4"/>
      <c r="F375" s="4"/>
      <c r="G375" s="4"/>
      <c r="H375" s="4"/>
      <c r="I375" s="4"/>
      <c r="J375" s="4"/>
      <c r="K375" s="4"/>
      <c r="L375" s="4"/>
      <c r="M375" s="4">
        <f>K375+L375</f>
        <v>0</v>
      </c>
      <c r="N375" s="4"/>
      <c r="O375" s="4"/>
      <c r="P375" s="4"/>
      <c r="Q375" s="4"/>
      <c r="X375" s="4"/>
      <c r="Y375" s="4"/>
      <c r="AC375" s="4"/>
      <c r="AE375" s="4">
        <f>AC375+AD375</f>
        <v>0</v>
      </c>
      <c r="AG375" s="5"/>
      <c r="AM375" s="4"/>
      <c r="AN375" s="4"/>
      <c r="AO375" s="6"/>
      <c r="AR375" s="6"/>
      <c r="AS375" s="1"/>
      <c r="AT375" s="4"/>
      <c r="BA375" s="17"/>
      <c r="BF375" s="17"/>
      <c r="BG375" s="4">
        <f t="shared" si="499"/>
        <v>0</v>
      </c>
    </row>
    <row r="376" spans="1:59" x14ac:dyDescent="0.35">
      <c r="A376" s="3" t="s">
        <v>398</v>
      </c>
      <c r="B376" s="3" t="s">
        <v>399</v>
      </c>
      <c r="C376" s="4">
        <v>49552</v>
      </c>
      <c r="D376" s="4" t="s">
        <v>80</v>
      </c>
      <c r="E376" s="2">
        <v>17.5</v>
      </c>
      <c r="F376" s="4"/>
      <c r="G376" s="4">
        <v>49552</v>
      </c>
      <c r="H376" s="4">
        <v>0</v>
      </c>
      <c r="I376" s="4">
        <f>SUM(G376:H376)</f>
        <v>49552</v>
      </c>
      <c r="J376" s="4"/>
      <c r="K376" s="4">
        <f>I376+J376</f>
        <v>49552</v>
      </c>
      <c r="L376" s="4"/>
      <c r="M376" s="4">
        <f>K376+L376</f>
        <v>49552</v>
      </c>
      <c r="N376" s="4">
        <f>L376</f>
        <v>0</v>
      </c>
      <c r="O376" s="4">
        <f>M376+N376</f>
        <v>49552</v>
      </c>
      <c r="P376" s="4">
        <f>N376</f>
        <v>0</v>
      </c>
      <c r="Q376" s="4">
        <f>O376+P376</f>
        <v>49552</v>
      </c>
      <c r="R376" s="3">
        <v>0</v>
      </c>
      <c r="S376" s="4">
        <f>Q376+R376</f>
        <v>49552</v>
      </c>
      <c r="T376" s="4">
        <f>R376</f>
        <v>0</v>
      </c>
      <c r="U376" s="4">
        <f>S376+T376</f>
        <v>49552</v>
      </c>
      <c r="V376" s="4">
        <f>T376</f>
        <v>0</v>
      </c>
      <c r="W376" s="4">
        <f>U376+V376</f>
        <v>49552</v>
      </c>
      <c r="X376" s="4">
        <f>V376</f>
        <v>0</v>
      </c>
      <c r="Y376" s="4">
        <f>SUM(W376:X376)</f>
        <v>49552</v>
      </c>
      <c r="Z376" s="3">
        <v>0</v>
      </c>
      <c r="AA376" s="3">
        <v>49552</v>
      </c>
      <c r="AC376" s="4">
        <f>SUM(AA376:AB376)</f>
        <v>49552</v>
      </c>
      <c r="AD376" s="3">
        <f>AB376</f>
        <v>0</v>
      </c>
      <c r="AE376" s="4">
        <f>AC376+AD376</f>
        <v>49552</v>
      </c>
      <c r="AF376" s="3">
        <f>AD376</f>
        <v>0</v>
      </c>
      <c r="AG376" s="5">
        <f>AE376+AF376</f>
        <v>49552</v>
      </c>
      <c r="AH376" s="3">
        <f>AF376</f>
        <v>0</v>
      </c>
      <c r="AI376" s="5">
        <f>AG376+AH376</f>
        <v>49552</v>
      </c>
      <c r="AJ376" s="3">
        <v>0</v>
      </c>
      <c r="AK376" s="3">
        <v>49552</v>
      </c>
      <c r="AL376" s="3">
        <v>0</v>
      </c>
      <c r="AM376" s="4">
        <v>49552</v>
      </c>
      <c r="AN376" s="4">
        <f>C376-AM376</f>
        <v>0</v>
      </c>
      <c r="AO376" s="21">
        <f>AL376</f>
        <v>0</v>
      </c>
      <c r="AP376" s="4">
        <v>49552</v>
      </c>
      <c r="AQ376" s="4">
        <v>0</v>
      </c>
      <c r="AR376" s="21">
        <v>0</v>
      </c>
      <c r="AS376" s="19">
        <v>49552</v>
      </c>
      <c r="AT376" s="4">
        <v>0</v>
      </c>
      <c r="AU376" s="21">
        <f>AR376</f>
        <v>0</v>
      </c>
      <c r="AV376" s="19">
        <f>AS376+AU376</f>
        <v>49552</v>
      </c>
      <c r="AW376" s="4">
        <f>C376-AV376</f>
        <v>0</v>
      </c>
      <c r="AX376" s="4">
        <v>0</v>
      </c>
      <c r="AY376" s="4">
        <f t="shared" ref="AY376:AY403" si="522">SUM(AV376+AX376)</f>
        <v>49552</v>
      </c>
      <c r="AZ376" s="4">
        <f t="shared" ref="AZ376:AZ403" si="523">SUM(C376-AY376)</f>
        <v>0</v>
      </c>
      <c r="BA376" s="22">
        <v>0</v>
      </c>
      <c r="BB376" s="4">
        <f t="shared" ref="BB376:BB382" si="524">SUM(AY376+BA376)</f>
        <v>49552</v>
      </c>
      <c r="BC376" s="4">
        <f t="shared" ref="BC376:BC382" si="525">SUM(C376-BB376)</f>
        <v>0</v>
      </c>
      <c r="BF376" s="22">
        <v>0</v>
      </c>
      <c r="BG376" s="4">
        <f t="shared" si="499"/>
        <v>0</v>
      </c>
    </row>
    <row r="377" spans="1:59" x14ac:dyDescent="0.35">
      <c r="C377" s="4"/>
      <c r="D377" s="4"/>
      <c r="F377" s="4"/>
      <c r="G377" s="4"/>
      <c r="H377" s="4"/>
      <c r="I377" s="4"/>
      <c r="J377" s="4"/>
      <c r="K377" s="4"/>
      <c r="L377" s="4"/>
      <c r="M377" s="4">
        <f>K377+L377</f>
        <v>0</v>
      </c>
      <c r="N377" s="4">
        <f>L377</f>
        <v>0</v>
      </c>
      <c r="O377" s="4">
        <f>M377+N377</f>
        <v>0</v>
      </c>
      <c r="P377" s="4">
        <f>N377</f>
        <v>0</v>
      </c>
      <c r="Q377" s="4">
        <f>O377+P377</f>
        <v>0</v>
      </c>
      <c r="S377" s="4">
        <f>Q377+R377</f>
        <v>0</v>
      </c>
      <c r="T377" s="4">
        <f>R377</f>
        <v>0</v>
      </c>
      <c r="U377" s="4">
        <f>S377+T377</f>
        <v>0</v>
      </c>
      <c r="V377" s="4">
        <f>T377</f>
        <v>0</v>
      </c>
      <c r="W377" s="4">
        <f>U377+V377</f>
        <v>0</v>
      </c>
      <c r="X377" s="4">
        <f>V377</f>
        <v>0</v>
      </c>
      <c r="Y377" s="4">
        <f>W377+V377</f>
        <v>0</v>
      </c>
      <c r="AC377" s="4"/>
      <c r="AE377" s="4"/>
      <c r="AG377" s="5"/>
      <c r="AI377" s="5"/>
      <c r="AM377" s="4"/>
      <c r="AN377" s="4"/>
      <c r="AO377" s="6"/>
      <c r="AR377" s="6"/>
      <c r="AS377" s="1"/>
      <c r="AX377" s="4"/>
      <c r="AY377" s="4"/>
      <c r="AZ377" s="4"/>
      <c r="BA377" s="22"/>
      <c r="BB377" s="4"/>
      <c r="BC377" s="4"/>
      <c r="BF377" s="22"/>
      <c r="BG377" s="4">
        <f t="shared" si="499"/>
        <v>0</v>
      </c>
    </row>
    <row r="378" spans="1:59" x14ac:dyDescent="0.35">
      <c r="C378" s="19">
        <f>SUM(C376:C377)</f>
        <v>49552</v>
      </c>
      <c r="D378" s="4"/>
      <c r="F378" s="4"/>
      <c r="G378" s="19">
        <f t="shared" ref="G378:R378" si="526">SUM(G376:G377)</f>
        <v>49552</v>
      </c>
      <c r="H378" s="19">
        <f t="shared" si="526"/>
        <v>0</v>
      </c>
      <c r="I378" s="19">
        <f t="shared" si="526"/>
        <v>49552</v>
      </c>
      <c r="J378" s="19">
        <f t="shared" si="526"/>
        <v>0</v>
      </c>
      <c r="K378" s="19">
        <f t="shared" si="526"/>
        <v>49552</v>
      </c>
      <c r="L378" s="19">
        <f t="shared" si="526"/>
        <v>0</v>
      </c>
      <c r="M378" s="19">
        <f t="shared" si="526"/>
        <v>49552</v>
      </c>
      <c r="N378" s="19">
        <f t="shared" si="526"/>
        <v>0</v>
      </c>
      <c r="O378" s="19">
        <f t="shared" si="526"/>
        <v>49552</v>
      </c>
      <c r="P378" s="19">
        <f t="shared" si="526"/>
        <v>0</v>
      </c>
      <c r="Q378" s="19">
        <f t="shared" si="526"/>
        <v>49552</v>
      </c>
      <c r="R378" s="19">
        <f t="shared" si="526"/>
        <v>0</v>
      </c>
      <c r="S378" s="19">
        <f>Q378+R378</f>
        <v>49552</v>
      </c>
      <c r="T378" s="19">
        <f>SUM(T376:T377)</f>
        <v>0</v>
      </c>
      <c r="U378" s="19">
        <f>SUM(U376:U377)</f>
        <v>49552</v>
      </c>
      <c r="V378" s="19">
        <f>SUM(V376:V377)</f>
        <v>0</v>
      </c>
      <c r="W378" s="19">
        <f>SUM(W376:W377)</f>
        <v>49552</v>
      </c>
      <c r="X378" s="19">
        <v>60</v>
      </c>
      <c r="Y378" s="19">
        <f>SUM(Y376:Y376)</f>
        <v>49552</v>
      </c>
      <c r="AA378" s="1">
        <v>50272</v>
      </c>
      <c r="AC378" s="19">
        <f>SUM(AA378:AB378)</f>
        <v>50272</v>
      </c>
      <c r="AD378" s="3">
        <f>AB378</f>
        <v>0</v>
      </c>
      <c r="AE378" s="4">
        <f>AC378+AD378</f>
        <v>50272</v>
      </c>
      <c r="AF378" s="3">
        <f>AD378</f>
        <v>0</v>
      </c>
      <c r="AG378" s="5">
        <v>49552</v>
      </c>
      <c r="AH378" s="3">
        <f>AF378</f>
        <v>0</v>
      </c>
      <c r="AI378" s="5">
        <f>AG378+AH378</f>
        <v>49552</v>
      </c>
      <c r="AJ378" s="3">
        <v>0</v>
      </c>
      <c r="AK378" s="3">
        <v>49552</v>
      </c>
      <c r="AL378" s="3">
        <v>0</v>
      </c>
      <c r="AM378" s="4">
        <v>49552</v>
      </c>
      <c r="AN378" s="4">
        <f>C378-AM378</f>
        <v>0</v>
      </c>
      <c r="AO378" s="6"/>
      <c r="AP378" s="3">
        <v>49552</v>
      </c>
      <c r="AQ378" s="19">
        <v>0</v>
      </c>
      <c r="AR378" s="19">
        <v>0</v>
      </c>
      <c r="AS378" s="19">
        <v>49552</v>
      </c>
      <c r="AT378" s="19">
        <v>0</v>
      </c>
      <c r="AU378" s="19">
        <f>SUM(AU376:AU377)</f>
        <v>0</v>
      </c>
      <c r="AV378" s="19">
        <f>SUM(AV376:AV377)</f>
        <v>49552</v>
      </c>
      <c r="AW378" s="19">
        <f>SUM(AW376:AW377)</f>
        <v>0</v>
      </c>
      <c r="AX378" s="4">
        <v>0</v>
      </c>
      <c r="AY378" s="4">
        <f t="shared" si="522"/>
        <v>49552</v>
      </c>
      <c r="AZ378" s="4">
        <f t="shared" si="523"/>
        <v>0</v>
      </c>
      <c r="BA378" s="22">
        <v>0</v>
      </c>
      <c r="BB378" s="4">
        <f t="shared" si="524"/>
        <v>49552</v>
      </c>
      <c r="BC378" s="4">
        <f t="shared" si="525"/>
        <v>0</v>
      </c>
      <c r="BF378" s="22">
        <v>0</v>
      </c>
      <c r="BG378" s="4">
        <f t="shared" si="499"/>
        <v>0</v>
      </c>
    </row>
    <row r="379" spans="1:59" x14ac:dyDescent="0.35">
      <c r="A379" s="3" t="s">
        <v>400</v>
      </c>
      <c r="C379" s="19"/>
      <c r="D379" s="4"/>
      <c r="F379" s="4"/>
      <c r="G379" s="19"/>
      <c r="H379" s="19"/>
      <c r="I379" s="19"/>
      <c r="J379" s="19"/>
      <c r="K379" s="19"/>
      <c r="L379" s="4"/>
      <c r="M379" s="4">
        <f>K379+L379</f>
        <v>0</v>
      </c>
      <c r="N379" s="4"/>
      <c r="O379" s="4"/>
      <c r="P379" s="4"/>
      <c r="Q379" s="4"/>
      <c r="X379" s="4">
        <f>V379</f>
        <v>0</v>
      </c>
      <c r="Y379" s="4"/>
      <c r="AC379" s="4"/>
      <c r="AE379" s="4"/>
      <c r="AG379" s="5"/>
      <c r="AM379" s="4"/>
      <c r="AN379" s="4"/>
      <c r="AO379" s="6"/>
      <c r="AR379" s="6"/>
      <c r="AS379" s="1"/>
      <c r="AX379" s="4"/>
      <c r="AY379" s="4"/>
      <c r="AZ379" s="4"/>
      <c r="BA379" s="22"/>
      <c r="BB379" s="4"/>
      <c r="BC379" s="4"/>
      <c r="BF379" s="22"/>
      <c r="BG379" s="4">
        <f t="shared" si="499"/>
        <v>0</v>
      </c>
    </row>
    <row r="380" spans="1:59" x14ac:dyDescent="0.35">
      <c r="A380" s="3" t="s">
        <v>401</v>
      </c>
      <c r="B380" s="3" t="s">
        <v>99</v>
      </c>
      <c r="C380" s="4">
        <v>78000</v>
      </c>
      <c r="D380" s="4" t="s">
        <v>80</v>
      </c>
      <c r="E380" s="2">
        <v>17.5</v>
      </c>
      <c r="F380" s="4"/>
      <c r="G380" s="19"/>
      <c r="H380" s="19"/>
      <c r="I380" s="19"/>
      <c r="J380" s="4">
        <f>78000/10*0.5</f>
        <v>3900</v>
      </c>
      <c r="K380" s="4">
        <f>78000/10*0.5</f>
        <v>3900</v>
      </c>
      <c r="L380" s="4">
        <f>78000/10</f>
        <v>7800</v>
      </c>
      <c r="M380" s="4">
        <f>K380+L380</f>
        <v>11700</v>
      </c>
      <c r="N380" s="4">
        <v>7800</v>
      </c>
      <c r="O380" s="4">
        <f>11700+7800</f>
        <v>19500</v>
      </c>
      <c r="P380" s="4">
        <f>C380/E380</f>
        <v>4457.1428571428569</v>
      </c>
      <c r="Q380" s="4">
        <f>SUM(O380+P380)</f>
        <v>23957.142857142855</v>
      </c>
      <c r="R380" s="4">
        <f>SUM(C380/E380)</f>
        <v>4457.1428571428569</v>
      </c>
      <c r="S380" s="4">
        <f>Q380+R380</f>
        <v>28414.28571428571</v>
      </c>
      <c r="T380" s="4">
        <f>R380</f>
        <v>4457.1428571428569</v>
      </c>
      <c r="U380" s="4">
        <f>S380+T380</f>
        <v>32871.428571428565</v>
      </c>
      <c r="V380" s="4">
        <f>T380</f>
        <v>4457.1428571428569</v>
      </c>
      <c r="W380" s="4">
        <f>U380+V380</f>
        <v>37328.57142857142</v>
      </c>
      <c r="X380" s="4">
        <f>V380</f>
        <v>4457.1428571428569</v>
      </c>
      <c r="Y380" s="4">
        <f>W380+V380</f>
        <v>41785.714285714275</v>
      </c>
      <c r="Z380" s="3">
        <v>7800</v>
      </c>
      <c r="AA380" s="3">
        <f>SUM(Y380:Z380)-3900</f>
        <v>45685.714285714275</v>
      </c>
      <c r="AB380" s="3">
        <v>7800</v>
      </c>
      <c r="AC380" s="4">
        <f>SUM(AA380:AB380)</f>
        <v>53485.714285714275</v>
      </c>
      <c r="AD380" s="3">
        <f>AB380</f>
        <v>7800</v>
      </c>
      <c r="AE380" s="4">
        <f>AC380+AD380</f>
        <v>61285.714285714275</v>
      </c>
      <c r="AG380" s="5">
        <f>AE380+AF380</f>
        <v>61285.714285714275</v>
      </c>
      <c r="AH380" s="3">
        <v>0</v>
      </c>
      <c r="AI380" s="3">
        <v>78000</v>
      </c>
      <c r="AJ380" s="3">
        <v>0</v>
      </c>
      <c r="AK380" s="3">
        <v>78000</v>
      </c>
      <c r="AL380" s="3">
        <v>0</v>
      </c>
      <c r="AM380" s="4">
        <v>78000</v>
      </c>
      <c r="AN380" s="4">
        <f>C380-AM380</f>
        <v>0</v>
      </c>
      <c r="AO380" s="21">
        <f>AL380</f>
        <v>0</v>
      </c>
      <c r="AP380" s="4">
        <v>78000</v>
      </c>
      <c r="AQ380" s="4">
        <v>0</v>
      </c>
      <c r="AR380" s="6">
        <v>0</v>
      </c>
      <c r="AS380" s="1">
        <v>78000</v>
      </c>
      <c r="AT380" s="3">
        <v>0</v>
      </c>
      <c r="AU380" s="21">
        <f>AR380</f>
        <v>0</v>
      </c>
      <c r="AV380" s="19">
        <f>AS380+AU380</f>
        <v>78000</v>
      </c>
      <c r="AW380" s="4">
        <f>C380-AV380</f>
        <v>0</v>
      </c>
      <c r="AX380" s="4">
        <v>0</v>
      </c>
      <c r="AY380" s="4">
        <f t="shared" si="522"/>
        <v>78000</v>
      </c>
      <c r="AZ380" s="4">
        <f t="shared" si="523"/>
        <v>0</v>
      </c>
      <c r="BA380" s="22">
        <v>0</v>
      </c>
      <c r="BB380" s="4">
        <f t="shared" si="524"/>
        <v>78000</v>
      </c>
      <c r="BC380" s="4">
        <f t="shared" si="525"/>
        <v>0</v>
      </c>
      <c r="BF380" s="22">
        <v>0</v>
      </c>
      <c r="BG380" s="4">
        <f t="shared" si="499"/>
        <v>0</v>
      </c>
    </row>
    <row r="381" spans="1:59" x14ac:dyDescent="0.35">
      <c r="B381" s="46"/>
      <c r="C381" s="4"/>
      <c r="D381" s="4"/>
      <c r="F381" s="4"/>
      <c r="G381" s="19"/>
      <c r="H381" s="19"/>
      <c r="I381" s="19"/>
      <c r="J381" s="19"/>
      <c r="K381" s="19"/>
      <c r="L381" s="19"/>
      <c r="M381" s="19"/>
      <c r="N381" s="19"/>
      <c r="O381" s="4"/>
      <c r="P381" s="4">
        <f>SUM(C381/10*0.5)</f>
        <v>0</v>
      </c>
      <c r="Q381" s="4">
        <f>SUM(O381+P381)</f>
        <v>0</v>
      </c>
      <c r="S381" s="4">
        <f>Q381+R381</f>
        <v>0</v>
      </c>
      <c r="V381" s="4">
        <f>T381</f>
        <v>0</v>
      </c>
      <c r="W381" s="4"/>
      <c r="X381" s="4"/>
      <c r="Y381" s="4"/>
      <c r="AC381" s="4"/>
      <c r="AE381" s="4"/>
      <c r="AG381" s="5"/>
      <c r="AM381" s="4"/>
      <c r="AN381" s="4"/>
      <c r="AO381" s="6"/>
      <c r="AR381" s="6"/>
      <c r="AS381" s="1"/>
      <c r="AX381" s="4"/>
      <c r="AY381" s="4"/>
      <c r="AZ381" s="4"/>
      <c r="BA381" s="22"/>
      <c r="BB381" s="4"/>
      <c r="BC381" s="4"/>
      <c r="BF381" s="22"/>
      <c r="BG381" s="4">
        <f t="shared" si="499"/>
        <v>0</v>
      </c>
    </row>
    <row r="382" spans="1:59" x14ac:dyDescent="0.35">
      <c r="A382" s="1"/>
      <c r="B382" s="1"/>
      <c r="C382" s="19">
        <f>SUM(C380:C381)</f>
        <v>78000</v>
      </c>
      <c r="D382" s="19"/>
      <c r="F382" s="19"/>
      <c r="G382" s="19">
        <v>0</v>
      </c>
      <c r="H382" s="19">
        <v>0</v>
      </c>
      <c r="I382" s="19">
        <v>0</v>
      </c>
      <c r="J382" s="19">
        <f t="shared" ref="J382:R382" si="527">SUM(J380+J381)</f>
        <v>3900</v>
      </c>
      <c r="K382" s="19">
        <f t="shared" si="527"/>
        <v>3900</v>
      </c>
      <c r="L382" s="19">
        <f t="shared" si="527"/>
        <v>7800</v>
      </c>
      <c r="M382" s="19">
        <f t="shared" si="527"/>
        <v>11700</v>
      </c>
      <c r="N382" s="19">
        <f t="shared" si="527"/>
        <v>7800</v>
      </c>
      <c r="O382" s="19">
        <f t="shared" si="527"/>
        <v>19500</v>
      </c>
      <c r="P382" s="19">
        <f t="shared" si="527"/>
        <v>4457.1428571428569</v>
      </c>
      <c r="Q382" s="19">
        <f t="shared" si="527"/>
        <v>23957.142857142855</v>
      </c>
      <c r="R382" s="19">
        <f t="shared" si="527"/>
        <v>4457.1428571428569</v>
      </c>
      <c r="S382" s="19">
        <f>Q382+R382</f>
        <v>28414.28571428571</v>
      </c>
      <c r="T382" s="19">
        <f>SUM(T380+T381)</f>
        <v>4457.1428571428569</v>
      </c>
      <c r="U382" s="19">
        <f>S382+T382</f>
        <v>32871.428571428565</v>
      </c>
      <c r="V382" s="19">
        <f>SUM(V380:V381)</f>
        <v>4457.1428571428569</v>
      </c>
      <c r="W382" s="19">
        <f>SUM(W380:W381)</f>
        <v>37328.57142857142</v>
      </c>
      <c r="X382" s="19">
        <f>V382</f>
        <v>4457.1428571428569</v>
      </c>
      <c r="Y382" s="19">
        <f>W382+V382</f>
        <v>41785.714285714275</v>
      </c>
      <c r="Z382" s="1">
        <v>7800</v>
      </c>
      <c r="AA382" s="1">
        <f>66300-3900</f>
        <v>62400</v>
      </c>
      <c r="AB382" s="1">
        <v>7800</v>
      </c>
      <c r="AC382" s="19">
        <f>SUM(AA382:AB382)</f>
        <v>70200</v>
      </c>
      <c r="AD382" s="3">
        <f>AB382</f>
        <v>7800</v>
      </c>
      <c r="AE382" s="4">
        <f>AC382+AD382</f>
        <v>78000</v>
      </c>
      <c r="AG382" s="5"/>
      <c r="AM382" s="4"/>
      <c r="AN382" s="4">
        <f>C382-AM382</f>
        <v>78000</v>
      </c>
      <c r="AO382" s="6"/>
      <c r="AP382" s="4">
        <f>AP380</f>
        <v>78000</v>
      </c>
      <c r="AQ382" s="19">
        <v>0</v>
      </c>
      <c r="AR382" s="19">
        <v>0</v>
      </c>
      <c r="AS382" s="19">
        <v>78000</v>
      </c>
      <c r="AT382" s="19">
        <v>0</v>
      </c>
      <c r="AU382" s="19">
        <f>SUM(AU380:AU381)</f>
        <v>0</v>
      </c>
      <c r="AV382" s="19">
        <f>SUM(AV380:AV381)</f>
        <v>78000</v>
      </c>
      <c r="AW382" s="19">
        <f>SUM(AW380:AW381)</f>
        <v>0</v>
      </c>
      <c r="AX382" s="4">
        <v>0</v>
      </c>
      <c r="AY382" s="4">
        <f t="shared" si="522"/>
        <v>78000</v>
      </c>
      <c r="AZ382" s="4">
        <f t="shared" si="523"/>
        <v>0</v>
      </c>
      <c r="BA382" s="22">
        <v>0</v>
      </c>
      <c r="BB382" s="4">
        <f t="shared" si="524"/>
        <v>78000</v>
      </c>
      <c r="BC382" s="4">
        <f t="shared" si="525"/>
        <v>0</v>
      </c>
      <c r="BF382" s="22">
        <v>0</v>
      </c>
      <c r="BG382" s="4">
        <f t="shared" si="499"/>
        <v>0</v>
      </c>
    </row>
    <row r="383" spans="1:59" x14ac:dyDescent="0.35">
      <c r="A383" s="3" t="s">
        <v>402</v>
      </c>
      <c r="C383" s="4"/>
      <c r="D383" s="4"/>
      <c r="F383" s="4"/>
      <c r="G383" s="19"/>
      <c r="H383" s="19"/>
      <c r="I383" s="19"/>
      <c r="J383" s="4"/>
      <c r="K383" s="4"/>
      <c r="L383" s="4"/>
      <c r="M383" s="4"/>
      <c r="N383" s="4"/>
      <c r="O383" s="4"/>
      <c r="P383" s="4"/>
      <c r="Q383" s="4"/>
      <c r="X383" s="4"/>
      <c r="Y383" s="4"/>
      <c r="AC383" s="4"/>
      <c r="AE383" s="4"/>
      <c r="AG383" s="5"/>
      <c r="AM383" s="4"/>
      <c r="AN383" s="4"/>
      <c r="AO383" s="6"/>
      <c r="AR383" s="6"/>
      <c r="AS383" s="1"/>
      <c r="AX383" s="4"/>
      <c r="AY383" s="4"/>
      <c r="AZ383" s="4"/>
      <c r="BA383" s="17"/>
      <c r="BF383" s="17"/>
      <c r="BG383" s="4">
        <f t="shared" si="499"/>
        <v>0</v>
      </c>
    </row>
    <row r="384" spans="1:59" x14ac:dyDescent="0.35">
      <c r="C384" s="4"/>
      <c r="D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X384" s="4"/>
      <c r="Y384" s="4"/>
      <c r="AC384" s="4"/>
      <c r="AE384" s="4"/>
      <c r="AG384" s="5"/>
      <c r="AM384" s="4"/>
      <c r="AN384" s="4"/>
      <c r="AO384" s="6"/>
      <c r="AR384" s="6"/>
      <c r="AS384" s="1"/>
      <c r="AX384" s="4"/>
      <c r="AY384" s="4"/>
      <c r="AZ384" s="4"/>
      <c r="BA384" s="17"/>
      <c r="BF384" s="17"/>
      <c r="BG384" s="4">
        <f t="shared" si="499"/>
        <v>0</v>
      </c>
    </row>
    <row r="385" spans="1:59" x14ac:dyDescent="0.35">
      <c r="A385" s="3" t="s">
        <v>403</v>
      </c>
      <c r="B385" s="3" t="s">
        <v>404</v>
      </c>
      <c r="C385" s="4">
        <v>51672</v>
      </c>
      <c r="D385" s="4" t="s">
        <v>80</v>
      </c>
      <c r="E385" s="2">
        <v>12.5</v>
      </c>
      <c r="F385" s="4"/>
      <c r="G385" s="4">
        <v>3014</v>
      </c>
      <c r="H385" s="4">
        <v>5167</v>
      </c>
      <c r="I385" s="4">
        <f>SUM(G385:H385)</f>
        <v>8181</v>
      </c>
      <c r="J385" s="4">
        <v>5167</v>
      </c>
      <c r="K385" s="4">
        <f>I385+J385</f>
        <v>13348</v>
      </c>
      <c r="L385" s="4">
        <f>J385</f>
        <v>5167</v>
      </c>
      <c r="M385" s="4">
        <f>K385+L385</f>
        <v>18515</v>
      </c>
      <c r="N385" s="4">
        <f>L385</f>
        <v>5167</v>
      </c>
      <c r="O385" s="4">
        <f>M385+N385</f>
        <v>23682</v>
      </c>
      <c r="P385" s="4">
        <f>C385/E385</f>
        <v>4133.76</v>
      </c>
      <c r="Q385" s="4">
        <f>O385+P385</f>
        <v>27815.760000000002</v>
      </c>
      <c r="R385" s="4">
        <f>SUM(C385/E385)</f>
        <v>4133.76</v>
      </c>
      <c r="S385" s="4">
        <f>Q385+R385</f>
        <v>31949.520000000004</v>
      </c>
      <c r="T385" s="4">
        <f>R385</f>
        <v>4133.76</v>
      </c>
      <c r="U385" s="4">
        <f>S385+T385</f>
        <v>36083.280000000006</v>
      </c>
      <c r="V385" s="4">
        <f>T385</f>
        <v>4133.76</v>
      </c>
      <c r="W385" s="4">
        <f>U385+V385</f>
        <v>40217.040000000008</v>
      </c>
      <c r="X385" s="4">
        <f>V385</f>
        <v>4133.76</v>
      </c>
      <c r="Y385" s="4">
        <f>SUM(W385:X385)</f>
        <v>44350.80000000001</v>
      </c>
      <c r="Z385" s="4">
        <f>51672-49518</f>
        <v>2154</v>
      </c>
      <c r="AA385" s="4">
        <f>SUM(Y385:Z385)</f>
        <v>46504.80000000001</v>
      </c>
      <c r="AB385" s="3">
        <v>0</v>
      </c>
      <c r="AC385" s="4">
        <f>SUM(AA385:AB385)</f>
        <v>46504.80000000001</v>
      </c>
      <c r="AD385" s="3">
        <f>AB385</f>
        <v>0</v>
      </c>
      <c r="AE385" s="4">
        <f>AC385+AD385</f>
        <v>46504.80000000001</v>
      </c>
      <c r="AF385" s="3">
        <f>AD385</f>
        <v>0</v>
      </c>
      <c r="AG385" s="5">
        <f>AE385+AF385</f>
        <v>46504.80000000001</v>
      </c>
      <c r="AH385" s="3">
        <f>AF385</f>
        <v>0</v>
      </c>
      <c r="AI385" s="5">
        <f>AG385+AH385</f>
        <v>46504.80000000001</v>
      </c>
      <c r="AJ385" s="3">
        <f>AH385</f>
        <v>0</v>
      </c>
      <c r="AK385" s="3">
        <f>SUM(AI385:AJ385)</f>
        <v>46504.80000000001</v>
      </c>
      <c r="AL385" s="3">
        <f>AJ385</f>
        <v>0</v>
      </c>
      <c r="AM385" s="4">
        <f>SUM(AK385:AL385)</f>
        <v>46504.80000000001</v>
      </c>
      <c r="AN385" s="4">
        <f>C385-AM385</f>
        <v>5167.1999999999898</v>
      </c>
      <c r="AO385" s="21">
        <f>AL385</f>
        <v>0</v>
      </c>
      <c r="AP385" s="4">
        <f t="shared" ref="AP385:AP408" si="528">AM385+AO385</f>
        <v>46504.80000000001</v>
      </c>
      <c r="AQ385" s="4">
        <v>0</v>
      </c>
      <c r="AR385" s="21">
        <v>0</v>
      </c>
      <c r="AS385" s="19">
        <v>51671.999999999993</v>
      </c>
      <c r="AT385" s="4">
        <v>0</v>
      </c>
      <c r="AU385" s="3">
        <v>0</v>
      </c>
      <c r="AV385" s="19">
        <f>AS385+AU385</f>
        <v>51671.999999999993</v>
      </c>
      <c r="AW385" s="3">
        <v>0</v>
      </c>
      <c r="AX385" s="4">
        <v>0</v>
      </c>
      <c r="AY385" s="4">
        <f t="shared" si="522"/>
        <v>51671.999999999993</v>
      </c>
      <c r="AZ385" s="4">
        <f t="shared" si="523"/>
        <v>7.2759576141834259E-12</v>
      </c>
      <c r="BA385" s="22">
        <v>0</v>
      </c>
      <c r="BB385" s="4">
        <f t="shared" ref="BB385" si="529">SUM(AY385+BA385)</f>
        <v>51671.999999999993</v>
      </c>
      <c r="BC385" s="4">
        <f t="shared" ref="BC385" si="530">SUM(C385-BB385)</f>
        <v>7.2759576141834259E-12</v>
      </c>
      <c r="BF385" s="22">
        <v>0</v>
      </c>
      <c r="BG385" s="4">
        <f t="shared" si="499"/>
        <v>0</v>
      </c>
    </row>
    <row r="386" spans="1:59" x14ac:dyDescent="0.35">
      <c r="C386" s="4"/>
      <c r="D386" s="4"/>
      <c r="F386" s="4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40"/>
      <c r="S386" s="39"/>
      <c r="T386" s="39"/>
      <c r="U386" s="39"/>
      <c r="V386" s="39"/>
      <c r="W386" s="39"/>
      <c r="X386" s="39"/>
      <c r="Y386" s="39"/>
      <c r="Z386" s="39"/>
      <c r="AA386" s="39"/>
      <c r="AB386" s="40"/>
      <c r="AC386" s="39"/>
      <c r="AD386" s="40"/>
      <c r="AE386" s="39"/>
      <c r="AF386" s="40"/>
      <c r="AG386" s="41"/>
      <c r="AH386" s="40"/>
      <c r="AI386" s="41"/>
      <c r="AJ386" s="40"/>
      <c r="AK386" s="40"/>
      <c r="AL386" s="40"/>
      <c r="AM386" s="39"/>
      <c r="AN386" s="39"/>
      <c r="AO386" s="47"/>
      <c r="AP386" s="48">
        <f t="shared" si="528"/>
        <v>0</v>
      </c>
      <c r="AQ386" s="4"/>
      <c r="AR386" s="21"/>
      <c r="AS386" s="19"/>
      <c r="AT386" s="4"/>
      <c r="AX386" s="4"/>
      <c r="AY386" s="4"/>
      <c r="AZ386" s="4"/>
      <c r="BA386" s="17"/>
      <c r="BF386" s="17"/>
      <c r="BG386" s="4">
        <f t="shared" si="499"/>
        <v>0</v>
      </c>
    </row>
    <row r="387" spans="1:59" x14ac:dyDescent="0.35">
      <c r="C387" s="4"/>
      <c r="D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S387" s="4"/>
      <c r="T387" s="4"/>
      <c r="U387" s="4"/>
      <c r="V387" s="4"/>
      <c r="W387" s="4"/>
      <c r="X387" s="4"/>
      <c r="Y387" s="4"/>
      <c r="Z387" s="4"/>
      <c r="AA387" s="4"/>
      <c r="AC387" s="4"/>
      <c r="AE387" s="4"/>
      <c r="AG387" s="5"/>
      <c r="AI387" s="5"/>
      <c r="AM387" s="4"/>
      <c r="AN387" s="4"/>
      <c r="AO387" s="47"/>
      <c r="AP387" s="48">
        <f t="shared" si="528"/>
        <v>0</v>
      </c>
      <c r="AQ387" s="4"/>
      <c r="AR387" s="21"/>
      <c r="AS387" s="19"/>
      <c r="AT387" s="4"/>
      <c r="AX387" s="4"/>
      <c r="AY387" s="4"/>
      <c r="AZ387" s="4"/>
      <c r="BA387" s="17"/>
      <c r="BF387" s="17"/>
      <c r="BG387" s="4">
        <f t="shared" si="499"/>
        <v>0</v>
      </c>
    </row>
    <row r="388" spans="1:59" x14ac:dyDescent="0.35">
      <c r="A388" s="3" t="s">
        <v>405</v>
      </c>
      <c r="B388" s="3" t="s">
        <v>169</v>
      </c>
      <c r="C388" s="4">
        <v>2500</v>
      </c>
      <c r="D388" s="4" t="s">
        <v>80</v>
      </c>
      <c r="E388" s="2">
        <v>12.5</v>
      </c>
      <c r="F388" s="4"/>
      <c r="G388" s="39">
        <v>2438</v>
      </c>
      <c r="H388" s="39">
        <v>62</v>
      </c>
      <c r="I388" s="39">
        <f>SUM(G388:H388)</f>
        <v>2500</v>
      </c>
      <c r="J388" s="39"/>
      <c r="K388" s="39">
        <f>I388+J388</f>
        <v>2500</v>
      </c>
      <c r="L388" s="39">
        <f>J388</f>
        <v>0</v>
      </c>
      <c r="M388" s="39">
        <f>K388+L388</f>
        <v>2500</v>
      </c>
      <c r="N388" s="39">
        <f>L388</f>
        <v>0</v>
      </c>
      <c r="O388" s="39">
        <f>M388+N388</f>
        <v>2500</v>
      </c>
      <c r="P388" s="39">
        <f>N388</f>
        <v>0</v>
      </c>
      <c r="Q388" s="39">
        <f>O388+P388</f>
        <v>2500</v>
      </c>
      <c r="R388" s="40">
        <v>0</v>
      </c>
      <c r="S388" s="39">
        <f>Q388+R388</f>
        <v>2500</v>
      </c>
      <c r="T388" s="39">
        <f>R388</f>
        <v>0</v>
      </c>
      <c r="U388" s="39">
        <f>S388+T388</f>
        <v>2500</v>
      </c>
      <c r="V388" s="39">
        <f>T388</f>
        <v>0</v>
      </c>
      <c r="W388" s="39">
        <f>U388+V388</f>
        <v>2500</v>
      </c>
      <c r="X388" s="39">
        <f>V388</f>
        <v>0</v>
      </c>
      <c r="Y388" s="39">
        <f>SUM(W388:X388)</f>
        <v>2500</v>
      </c>
      <c r="Z388" s="39">
        <f>X388</f>
        <v>0</v>
      </c>
      <c r="AA388" s="39">
        <f>SUM(Y388:Z388)</f>
        <v>2500</v>
      </c>
      <c r="AB388" s="40">
        <v>0</v>
      </c>
      <c r="AC388" s="39">
        <f>SUM(AA388:AB388)</f>
        <v>2500</v>
      </c>
      <c r="AD388" s="40">
        <f>AB388</f>
        <v>0</v>
      </c>
      <c r="AE388" s="39">
        <f>AC388+AD388</f>
        <v>2500</v>
      </c>
      <c r="AF388" s="40">
        <f>AD388</f>
        <v>0</v>
      </c>
      <c r="AG388" s="41">
        <f>AE388+AF388</f>
        <v>2500</v>
      </c>
      <c r="AH388" s="40">
        <f>AF388</f>
        <v>0</v>
      </c>
      <c r="AI388" s="41">
        <f>AG388+AH388</f>
        <v>2500</v>
      </c>
      <c r="AJ388" s="40">
        <f>AH388</f>
        <v>0</v>
      </c>
      <c r="AK388" s="40">
        <f>SUM(AI388:AJ388)</f>
        <v>2500</v>
      </c>
      <c r="AL388" s="40">
        <f>AJ388</f>
        <v>0</v>
      </c>
      <c r="AM388" s="39">
        <f>SUM(AK388:AL388)</f>
        <v>2500</v>
      </c>
      <c r="AN388" s="39">
        <f>C388-AM388</f>
        <v>0</v>
      </c>
      <c r="AO388" s="21">
        <f t="shared" ref="AO388:AO395" si="531">AL388</f>
        <v>0</v>
      </c>
      <c r="AP388" s="4">
        <f t="shared" si="528"/>
        <v>2500</v>
      </c>
      <c r="AQ388" s="4">
        <v>0</v>
      </c>
      <c r="AR388" s="21">
        <v>0</v>
      </c>
      <c r="AS388" s="19">
        <v>2500</v>
      </c>
      <c r="AT388" s="4">
        <v>0</v>
      </c>
      <c r="AU388" s="21">
        <f t="shared" ref="AU388:AU399" si="532">AR388</f>
        <v>0</v>
      </c>
      <c r="AV388" s="19">
        <f t="shared" ref="AV388:AV408" si="533">AS388+AU388</f>
        <v>2500</v>
      </c>
      <c r="AW388" s="4">
        <f t="shared" ref="AW388:AW401" si="534">AT388-AU388</f>
        <v>0</v>
      </c>
      <c r="AX388" s="4">
        <v>0</v>
      </c>
      <c r="AY388" s="4">
        <f t="shared" si="522"/>
        <v>2500</v>
      </c>
      <c r="AZ388" s="4">
        <f t="shared" si="523"/>
        <v>0</v>
      </c>
      <c r="BA388" s="22">
        <v>0</v>
      </c>
      <c r="BB388" s="4">
        <f t="shared" ref="BB388" si="535">SUM(AY388+BA388)</f>
        <v>2500</v>
      </c>
      <c r="BC388" s="4">
        <f t="shared" ref="BC388" si="536">SUM(C388-BB388)</f>
        <v>0</v>
      </c>
      <c r="BF388" s="22">
        <v>0</v>
      </c>
      <c r="BG388" s="4">
        <f t="shared" si="499"/>
        <v>0</v>
      </c>
    </row>
    <row r="389" spans="1:59" x14ac:dyDescent="0.35">
      <c r="C389" s="4"/>
      <c r="D389" s="4"/>
      <c r="F389" s="4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40"/>
      <c r="S389" s="39"/>
      <c r="T389" s="39"/>
      <c r="U389" s="39"/>
      <c r="V389" s="39"/>
      <c r="W389" s="39"/>
      <c r="X389" s="39"/>
      <c r="Y389" s="39"/>
      <c r="Z389" s="39"/>
      <c r="AA389" s="39"/>
      <c r="AB389" s="40"/>
      <c r="AC389" s="39"/>
      <c r="AD389" s="40"/>
      <c r="AE389" s="39"/>
      <c r="AF389" s="40"/>
      <c r="AG389" s="41"/>
      <c r="AH389" s="40"/>
      <c r="AI389" s="41"/>
      <c r="AJ389" s="40"/>
      <c r="AK389" s="40"/>
      <c r="AL389" s="40"/>
      <c r="AM389" s="39"/>
      <c r="AN389" s="39"/>
      <c r="AO389" s="47">
        <f t="shared" si="531"/>
        <v>0</v>
      </c>
      <c r="AP389" s="48">
        <f t="shared" si="528"/>
        <v>0</v>
      </c>
      <c r="AQ389" s="4"/>
      <c r="AR389" s="21"/>
      <c r="AS389" s="19"/>
      <c r="AT389" s="4"/>
      <c r="AU389" s="21">
        <f t="shared" si="532"/>
        <v>0</v>
      </c>
      <c r="AV389" s="19"/>
      <c r="AW389" s="4"/>
      <c r="AX389" s="4"/>
      <c r="AY389" s="4"/>
      <c r="AZ389" s="4"/>
      <c r="BA389" s="17"/>
      <c r="BF389" s="17"/>
      <c r="BG389" s="4">
        <f t="shared" si="499"/>
        <v>0</v>
      </c>
    </row>
    <row r="390" spans="1:59" x14ac:dyDescent="0.35">
      <c r="A390" s="3" t="s">
        <v>405</v>
      </c>
      <c r="B390" s="3" t="s">
        <v>197</v>
      </c>
      <c r="C390" s="4">
        <v>8500</v>
      </c>
      <c r="D390" s="4" t="s">
        <v>80</v>
      </c>
      <c r="E390" s="2">
        <v>12.5</v>
      </c>
      <c r="F390" s="4"/>
      <c r="G390" s="39">
        <v>7154</v>
      </c>
      <c r="H390" s="39">
        <v>850</v>
      </c>
      <c r="I390" s="39">
        <f>SUM(G390:H390)</f>
        <v>8004</v>
      </c>
      <c r="J390" s="39">
        <f>8500-8004</f>
        <v>496</v>
      </c>
      <c r="K390" s="39">
        <f>I390+J390</f>
        <v>8500</v>
      </c>
      <c r="L390" s="39">
        <v>0</v>
      </c>
      <c r="M390" s="39">
        <f>K390+L390</f>
        <v>8500</v>
      </c>
      <c r="N390" s="39">
        <f>L390</f>
        <v>0</v>
      </c>
      <c r="O390" s="39">
        <f t="shared" ref="O390:O395" si="537">M390+N390</f>
        <v>8500</v>
      </c>
      <c r="P390" s="39">
        <f>N390</f>
        <v>0</v>
      </c>
      <c r="Q390" s="39">
        <f>O390+P390</f>
        <v>8500</v>
      </c>
      <c r="R390" s="40">
        <v>0</v>
      </c>
      <c r="S390" s="39">
        <f>Q390+R390</f>
        <v>8500</v>
      </c>
      <c r="T390" s="39">
        <f t="shared" ref="T390:T395" si="538">R390</f>
        <v>0</v>
      </c>
      <c r="U390" s="39">
        <f>S390+T390</f>
        <v>8500</v>
      </c>
      <c r="V390" s="39">
        <f>T390</f>
        <v>0</v>
      </c>
      <c r="W390" s="39">
        <f>U390+V390</f>
        <v>8500</v>
      </c>
      <c r="X390" s="39">
        <f>V390</f>
        <v>0</v>
      </c>
      <c r="Y390" s="39">
        <f t="shared" ref="Y390:Y402" si="539">SUM(W390:X390)</f>
        <v>8500</v>
      </c>
      <c r="Z390" s="39">
        <f t="shared" ref="Z390:Z400" si="540">X390</f>
        <v>0</v>
      </c>
      <c r="AA390" s="39">
        <f t="shared" ref="AA390:AA399" si="541">SUM(Y390:Z390)</f>
        <v>8500</v>
      </c>
      <c r="AB390" s="40">
        <v>0</v>
      </c>
      <c r="AC390" s="39">
        <f t="shared" ref="AC390:AC404" si="542">SUM(AA390:AB390)</f>
        <v>8500</v>
      </c>
      <c r="AD390" s="40">
        <f>AB390</f>
        <v>0</v>
      </c>
      <c r="AE390" s="39">
        <f t="shared" ref="AE390:AE404" si="543">AC390+AD390</f>
        <v>8500</v>
      </c>
      <c r="AF390" s="40">
        <f>AD390</f>
        <v>0</v>
      </c>
      <c r="AG390" s="41">
        <f t="shared" ref="AG390:AG395" si="544">AE390+AF390</f>
        <v>8500</v>
      </c>
      <c r="AH390" s="40">
        <f>AF390</f>
        <v>0</v>
      </c>
      <c r="AI390" s="41">
        <f t="shared" ref="AI390:AI404" si="545">AG390+AH390</f>
        <v>8500</v>
      </c>
      <c r="AJ390" s="40">
        <f>AH390</f>
        <v>0</v>
      </c>
      <c r="AK390" s="40">
        <f t="shared" ref="AK390:AK398" si="546">SUM(AI390:AJ390)</f>
        <v>8500</v>
      </c>
      <c r="AL390" s="40">
        <f>AJ390</f>
        <v>0</v>
      </c>
      <c r="AM390" s="39">
        <f t="shared" ref="AM390:AM405" si="547">SUM(AK390:AL390)</f>
        <v>8500</v>
      </c>
      <c r="AN390" s="39">
        <f t="shared" ref="AN390:AN405" si="548">C390-AM390</f>
        <v>0</v>
      </c>
      <c r="AO390" s="21">
        <f t="shared" si="531"/>
        <v>0</v>
      </c>
      <c r="AP390" s="4">
        <f t="shared" si="528"/>
        <v>8500</v>
      </c>
      <c r="AQ390" s="4">
        <v>0</v>
      </c>
      <c r="AR390" s="21">
        <v>0</v>
      </c>
      <c r="AS390" s="19">
        <v>8500</v>
      </c>
      <c r="AT390" s="4">
        <v>0</v>
      </c>
      <c r="AU390" s="21">
        <f t="shared" si="532"/>
        <v>0</v>
      </c>
      <c r="AV390" s="19">
        <f t="shared" si="533"/>
        <v>8500</v>
      </c>
      <c r="AW390" s="4">
        <f t="shared" si="534"/>
        <v>0</v>
      </c>
      <c r="AX390" s="4">
        <v>0</v>
      </c>
      <c r="AY390" s="4">
        <f t="shared" si="522"/>
        <v>8500</v>
      </c>
      <c r="AZ390" s="4">
        <f t="shared" si="523"/>
        <v>0</v>
      </c>
      <c r="BA390" s="22">
        <v>0</v>
      </c>
      <c r="BB390" s="4">
        <f t="shared" ref="BB390:BB407" si="549">SUM(AY390+BA390)</f>
        <v>8500</v>
      </c>
      <c r="BC390" s="4">
        <f t="shared" ref="BC390:BC407" si="550">SUM(C390-BB390)</f>
        <v>0</v>
      </c>
      <c r="BF390" s="22">
        <v>0</v>
      </c>
      <c r="BG390" s="4">
        <f t="shared" si="499"/>
        <v>0</v>
      </c>
    </row>
    <row r="391" spans="1:59" x14ac:dyDescent="0.35">
      <c r="A391" s="3" t="s">
        <v>406</v>
      </c>
      <c r="B391" s="3" t="s">
        <v>48</v>
      </c>
      <c r="C391" s="4">
        <v>18000</v>
      </c>
      <c r="D391" s="4" t="s">
        <v>80</v>
      </c>
      <c r="E391" s="2">
        <v>12.5</v>
      </c>
      <c r="F391" s="4"/>
      <c r="G391" s="4">
        <v>15300</v>
      </c>
      <c r="H391" s="4">
        <v>1800</v>
      </c>
      <c r="I391" s="4">
        <f>SUM(G391:H391)</f>
        <v>17100</v>
      </c>
      <c r="J391" s="4">
        <v>900</v>
      </c>
      <c r="K391" s="4">
        <f>I391+J391</f>
        <v>18000</v>
      </c>
      <c r="L391" s="4">
        <v>0</v>
      </c>
      <c r="M391" s="4">
        <f>K391+L391</f>
        <v>18000</v>
      </c>
      <c r="N391" s="4">
        <f>L391</f>
        <v>0</v>
      </c>
      <c r="O391" s="4">
        <f t="shared" si="537"/>
        <v>18000</v>
      </c>
      <c r="P391" s="4">
        <f>N391</f>
        <v>0</v>
      </c>
      <c r="Q391" s="4">
        <f>O391+P391</f>
        <v>18000</v>
      </c>
      <c r="R391" s="3">
        <v>0</v>
      </c>
      <c r="S391" s="4">
        <f>Q391+R391</f>
        <v>18000</v>
      </c>
      <c r="T391" s="4">
        <f t="shared" si="538"/>
        <v>0</v>
      </c>
      <c r="U391" s="4">
        <f>S391+T391</f>
        <v>18000</v>
      </c>
      <c r="V391" s="4">
        <f>T391</f>
        <v>0</v>
      </c>
      <c r="W391" s="4">
        <f>U391+V391</f>
        <v>18000</v>
      </c>
      <c r="X391" s="4">
        <f>V391</f>
        <v>0</v>
      </c>
      <c r="Y391" s="4">
        <f t="shared" si="539"/>
        <v>18000</v>
      </c>
      <c r="Z391" s="4">
        <f t="shared" si="540"/>
        <v>0</v>
      </c>
      <c r="AA391" s="4">
        <f t="shared" si="541"/>
        <v>18000</v>
      </c>
      <c r="AB391" s="3">
        <v>0</v>
      </c>
      <c r="AC391" s="4">
        <f t="shared" si="542"/>
        <v>18000</v>
      </c>
      <c r="AD391" s="3">
        <f>AB391</f>
        <v>0</v>
      </c>
      <c r="AE391" s="4">
        <f t="shared" si="543"/>
        <v>18000</v>
      </c>
      <c r="AF391" s="3">
        <f>AD391</f>
        <v>0</v>
      </c>
      <c r="AG391" s="5">
        <f t="shared" si="544"/>
        <v>18000</v>
      </c>
      <c r="AH391" s="3">
        <f>AF391</f>
        <v>0</v>
      </c>
      <c r="AI391" s="5">
        <f t="shared" si="545"/>
        <v>18000</v>
      </c>
      <c r="AJ391" s="3">
        <f>AH391</f>
        <v>0</v>
      </c>
      <c r="AK391" s="3">
        <f t="shared" si="546"/>
        <v>18000</v>
      </c>
      <c r="AL391" s="3">
        <f>AJ391</f>
        <v>0</v>
      </c>
      <c r="AM391" s="4">
        <f t="shared" si="547"/>
        <v>18000</v>
      </c>
      <c r="AN391" s="4">
        <f t="shared" si="548"/>
        <v>0</v>
      </c>
      <c r="AO391" s="21">
        <f t="shared" si="531"/>
        <v>0</v>
      </c>
      <c r="AP391" s="4">
        <f t="shared" si="528"/>
        <v>18000</v>
      </c>
      <c r="AQ391" s="4">
        <v>0</v>
      </c>
      <c r="AR391" s="21">
        <v>0</v>
      </c>
      <c r="AS391" s="19">
        <v>18000</v>
      </c>
      <c r="AT391" s="4">
        <v>0</v>
      </c>
      <c r="AU391" s="21">
        <f t="shared" si="532"/>
        <v>0</v>
      </c>
      <c r="AV391" s="19">
        <f t="shared" si="533"/>
        <v>18000</v>
      </c>
      <c r="AW391" s="4">
        <f t="shared" si="534"/>
        <v>0</v>
      </c>
      <c r="AX391" s="4">
        <v>0</v>
      </c>
      <c r="AY391" s="4">
        <f t="shared" si="522"/>
        <v>18000</v>
      </c>
      <c r="AZ391" s="4">
        <f t="shared" si="523"/>
        <v>0</v>
      </c>
      <c r="BA391" s="22">
        <v>0</v>
      </c>
      <c r="BB391" s="4">
        <f t="shared" si="549"/>
        <v>18000</v>
      </c>
      <c r="BC391" s="4">
        <f t="shared" si="550"/>
        <v>0</v>
      </c>
      <c r="BF391" s="22">
        <v>0</v>
      </c>
      <c r="BG391" s="4">
        <f t="shared" si="499"/>
        <v>0</v>
      </c>
    </row>
    <row r="392" spans="1:59" x14ac:dyDescent="0.35">
      <c r="A392" s="3" t="s">
        <v>407</v>
      </c>
      <c r="B392" s="3" t="s">
        <v>408</v>
      </c>
      <c r="C392" s="4">
        <v>72713</v>
      </c>
      <c r="D392" s="4" t="s">
        <v>80</v>
      </c>
      <c r="E392" s="2">
        <v>12.5</v>
      </c>
      <c r="F392" s="4"/>
      <c r="G392" s="4">
        <v>19995</v>
      </c>
      <c r="H392" s="4">
        <v>7271</v>
      </c>
      <c r="I392" s="4">
        <f>SUM(G392:H392)</f>
        <v>27266</v>
      </c>
      <c r="J392" s="4">
        <v>7271</v>
      </c>
      <c r="K392" s="4">
        <f>I392+J392</f>
        <v>34537</v>
      </c>
      <c r="L392" s="4">
        <f>J392</f>
        <v>7271</v>
      </c>
      <c r="M392" s="4">
        <f>K392+L392</f>
        <v>41808</v>
      </c>
      <c r="N392" s="4">
        <f>L392</f>
        <v>7271</v>
      </c>
      <c r="O392" s="4">
        <f t="shared" si="537"/>
        <v>49079</v>
      </c>
      <c r="P392" s="4">
        <f>C392/E392</f>
        <v>5817.04</v>
      </c>
      <c r="Q392" s="4">
        <f>O392+P392</f>
        <v>54896.04</v>
      </c>
      <c r="R392" s="4">
        <f>SUM(C392/E392)</f>
        <v>5817.04</v>
      </c>
      <c r="S392" s="4">
        <f>Q392+R392</f>
        <v>60713.08</v>
      </c>
      <c r="T392" s="4">
        <f t="shared" si="538"/>
        <v>5817.04</v>
      </c>
      <c r="U392" s="4">
        <f>S392+T392</f>
        <v>66530.12</v>
      </c>
      <c r="V392" s="4">
        <v>1820</v>
      </c>
      <c r="W392" s="4">
        <f>U392+V392</f>
        <v>68350.12</v>
      </c>
      <c r="X392" s="4">
        <v>0</v>
      </c>
      <c r="Y392" s="4">
        <f t="shared" si="539"/>
        <v>68350.12</v>
      </c>
      <c r="Z392" s="4">
        <f t="shared" si="540"/>
        <v>0</v>
      </c>
      <c r="AA392" s="4">
        <f t="shared" si="541"/>
        <v>68350.12</v>
      </c>
      <c r="AB392" s="3">
        <v>0</v>
      </c>
      <c r="AC392" s="4">
        <f t="shared" si="542"/>
        <v>68350.12</v>
      </c>
      <c r="AD392" s="3">
        <f>AB392</f>
        <v>0</v>
      </c>
      <c r="AE392" s="4">
        <f t="shared" si="543"/>
        <v>68350.12</v>
      </c>
      <c r="AF392" s="3">
        <f>AD392</f>
        <v>0</v>
      </c>
      <c r="AG392" s="5">
        <f t="shared" si="544"/>
        <v>68350.12</v>
      </c>
      <c r="AH392" s="3">
        <f>AF392</f>
        <v>0</v>
      </c>
      <c r="AI392" s="5">
        <f t="shared" si="545"/>
        <v>68350.12</v>
      </c>
      <c r="AJ392" s="3">
        <f>AH392</f>
        <v>0</v>
      </c>
      <c r="AK392" s="3">
        <f t="shared" si="546"/>
        <v>68350.12</v>
      </c>
      <c r="AL392" s="3">
        <f>AJ392</f>
        <v>0</v>
      </c>
      <c r="AM392" s="4">
        <f t="shared" si="547"/>
        <v>68350.12</v>
      </c>
      <c r="AN392" s="4">
        <f t="shared" si="548"/>
        <v>4362.8800000000047</v>
      </c>
      <c r="AO392" s="21">
        <f t="shared" si="531"/>
        <v>0</v>
      </c>
      <c r="AP392" s="4">
        <f t="shared" si="528"/>
        <v>68350.12</v>
      </c>
      <c r="AQ392" s="4">
        <v>9.9999999991268851E-2</v>
      </c>
      <c r="AR392" s="21">
        <v>0</v>
      </c>
      <c r="AS392" s="19">
        <v>72712.900000000009</v>
      </c>
      <c r="AT392" s="4">
        <v>9.9999999991268851E-2</v>
      </c>
      <c r="AU392" s="21">
        <f t="shared" si="532"/>
        <v>0</v>
      </c>
      <c r="AV392" s="19">
        <f t="shared" si="533"/>
        <v>72712.900000000009</v>
      </c>
      <c r="AW392" s="4">
        <f t="shared" si="534"/>
        <v>9.9999999991268851E-2</v>
      </c>
      <c r="AX392" s="4">
        <v>0</v>
      </c>
      <c r="AY392" s="4">
        <f t="shared" si="522"/>
        <v>72712.900000000009</v>
      </c>
      <c r="AZ392" s="4">
        <f t="shared" si="523"/>
        <v>9.9999999991268851E-2</v>
      </c>
      <c r="BA392" s="22">
        <v>0</v>
      </c>
      <c r="BB392" s="4">
        <f t="shared" si="549"/>
        <v>72712.900000000009</v>
      </c>
      <c r="BC392" s="4">
        <f t="shared" si="550"/>
        <v>9.9999999991268851E-2</v>
      </c>
      <c r="BF392" s="22">
        <v>0</v>
      </c>
      <c r="BG392" s="4">
        <f t="shared" si="499"/>
        <v>0</v>
      </c>
    </row>
    <row r="393" spans="1:59" x14ac:dyDescent="0.35">
      <c r="A393" s="3" t="s">
        <v>409</v>
      </c>
      <c r="B393" s="3" t="s">
        <v>410</v>
      </c>
      <c r="C393" s="4">
        <v>1012</v>
      </c>
      <c r="D393" s="4" t="s">
        <v>80</v>
      </c>
      <c r="E393" s="2">
        <v>12.5</v>
      </c>
      <c r="F393" s="4"/>
      <c r="G393" s="4"/>
      <c r="H393" s="4">
        <v>51</v>
      </c>
      <c r="I393" s="4">
        <f>SUM(G393:H393)</f>
        <v>51</v>
      </c>
      <c r="J393" s="4">
        <v>101</v>
      </c>
      <c r="K393" s="4">
        <f>I393+J393</f>
        <v>152</v>
      </c>
      <c r="L393" s="4">
        <f>J393</f>
        <v>101</v>
      </c>
      <c r="M393" s="4">
        <f>K393+L393</f>
        <v>253</v>
      </c>
      <c r="N393" s="4">
        <f>L393</f>
        <v>101</v>
      </c>
      <c r="O393" s="4">
        <f t="shared" si="537"/>
        <v>354</v>
      </c>
      <c r="P393" s="4">
        <f>C393/E393</f>
        <v>80.959999999999994</v>
      </c>
      <c r="Q393" s="4">
        <f>O393+P393</f>
        <v>434.96</v>
      </c>
      <c r="R393" s="4">
        <f>SUM(C393/E393)</f>
        <v>80.959999999999994</v>
      </c>
      <c r="S393" s="4">
        <f>Q393+R393</f>
        <v>515.91999999999996</v>
      </c>
      <c r="T393" s="4">
        <f t="shared" si="538"/>
        <v>80.959999999999994</v>
      </c>
      <c r="U393" s="4">
        <f>S393+T393</f>
        <v>596.88</v>
      </c>
      <c r="V393" s="4">
        <f t="shared" ref="V393:V399" si="551">T393</f>
        <v>80.959999999999994</v>
      </c>
      <c r="W393" s="4">
        <f>U393+V393</f>
        <v>677.84</v>
      </c>
      <c r="X393" s="4">
        <f t="shared" ref="X393:X400" si="552">V393</f>
        <v>80.959999999999994</v>
      </c>
      <c r="Y393" s="4">
        <f t="shared" si="539"/>
        <v>758.80000000000007</v>
      </c>
      <c r="Z393" s="4">
        <f t="shared" si="540"/>
        <v>80.959999999999994</v>
      </c>
      <c r="AA393" s="4">
        <f t="shared" si="541"/>
        <v>839.7600000000001</v>
      </c>
      <c r="AB393" s="3">
        <f>1012-961</f>
        <v>51</v>
      </c>
      <c r="AC393" s="4">
        <f t="shared" si="542"/>
        <v>890.7600000000001</v>
      </c>
      <c r="AE393" s="4">
        <f t="shared" si="543"/>
        <v>890.7600000000001</v>
      </c>
      <c r="AF393" s="3">
        <f>AD393</f>
        <v>0</v>
      </c>
      <c r="AG393" s="5">
        <f t="shared" si="544"/>
        <v>890.7600000000001</v>
      </c>
      <c r="AH393" s="3">
        <f>AF393</f>
        <v>0</v>
      </c>
      <c r="AI393" s="5">
        <f t="shared" si="545"/>
        <v>890.7600000000001</v>
      </c>
      <c r="AJ393" s="3">
        <f>AH393</f>
        <v>0</v>
      </c>
      <c r="AK393" s="3">
        <f t="shared" si="546"/>
        <v>890.7600000000001</v>
      </c>
      <c r="AL393" s="3">
        <f>AJ393</f>
        <v>0</v>
      </c>
      <c r="AM393" s="4">
        <f t="shared" si="547"/>
        <v>890.7600000000001</v>
      </c>
      <c r="AN393" s="4">
        <f t="shared" si="548"/>
        <v>121.2399999999999</v>
      </c>
      <c r="AO393" s="21">
        <f t="shared" si="531"/>
        <v>0</v>
      </c>
      <c r="AP393" s="4">
        <f t="shared" si="528"/>
        <v>890.7600000000001</v>
      </c>
      <c r="AQ393" s="4">
        <v>-0.20000000000015916</v>
      </c>
      <c r="AR393" s="21">
        <v>0</v>
      </c>
      <c r="AS393" s="19">
        <v>1012.2000000000002</v>
      </c>
      <c r="AT393" s="4">
        <v>-0.20000000000015916</v>
      </c>
      <c r="AU393" s="21">
        <f t="shared" si="532"/>
        <v>0</v>
      </c>
      <c r="AV393" s="19">
        <f t="shared" si="533"/>
        <v>1012.2000000000002</v>
      </c>
      <c r="AW393" s="4">
        <f t="shared" si="534"/>
        <v>-0.20000000000015916</v>
      </c>
      <c r="AX393" s="4">
        <v>0</v>
      </c>
      <c r="AY393" s="4">
        <f t="shared" si="522"/>
        <v>1012.2000000000002</v>
      </c>
      <c r="AZ393" s="4">
        <f t="shared" si="523"/>
        <v>-0.20000000000015916</v>
      </c>
      <c r="BA393" s="22">
        <v>0</v>
      </c>
      <c r="BB393" s="4">
        <f t="shared" si="549"/>
        <v>1012.2000000000002</v>
      </c>
      <c r="BC393" s="4">
        <f t="shared" si="550"/>
        <v>-0.20000000000015916</v>
      </c>
      <c r="BF393" s="22">
        <v>0</v>
      </c>
      <c r="BG393" s="4">
        <f t="shared" si="499"/>
        <v>0</v>
      </c>
    </row>
    <row r="394" spans="1:59" x14ac:dyDescent="0.35">
      <c r="A394" s="3" t="s">
        <v>411</v>
      </c>
      <c r="B394" s="3" t="s">
        <v>330</v>
      </c>
      <c r="C394" s="4">
        <v>300</v>
      </c>
      <c r="D394" s="4" t="s">
        <v>80</v>
      </c>
      <c r="E394" s="2">
        <v>12.5</v>
      </c>
      <c r="F394" s="4"/>
      <c r="G394" s="4"/>
      <c r="H394" s="4"/>
      <c r="I394" s="4"/>
      <c r="J394" s="4">
        <f>300/10/12*6</f>
        <v>15</v>
      </c>
      <c r="K394" s="4">
        <v>15</v>
      </c>
      <c r="L394" s="4">
        <f>300/10</f>
        <v>30</v>
      </c>
      <c r="M394" s="4">
        <f>K394+L394</f>
        <v>45</v>
      </c>
      <c r="N394" s="4">
        <f>L394</f>
        <v>30</v>
      </c>
      <c r="O394" s="4">
        <f t="shared" si="537"/>
        <v>75</v>
      </c>
      <c r="P394" s="4">
        <f>C394/E394</f>
        <v>24</v>
      </c>
      <c r="Q394" s="4">
        <f>O394+P394</f>
        <v>99</v>
      </c>
      <c r="R394" s="4">
        <f>SUM(C394/E394)</f>
        <v>24</v>
      </c>
      <c r="S394" s="4">
        <f>Q394+R394</f>
        <v>123</v>
      </c>
      <c r="T394" s="4">
        <f t="shared" si="538"/>
        <v>24</v>
      </c>
      <c r="U394" s="4">
        <f>S394+T394</f>
        <v>147</v>
      </c>
      <c r="V394" s="4">
        <f t="shared" si="551"/>
        <v>24</v>
      </c>
      <c r="W394" s="4">
        <f>U394+V394</f>
        <v>171</v>
      </c>
      <c r="X394" s="4">
        <f t="shared" si="552"/>
        <v>24</v>
      </c>
      <c r="Y394" s="4">
        <f t="shared" si="539"/>
        <v>195</v>
      </c>
      <c r="Z394" s="4">
        <f t="shared" si="540"/>
        <v>24</v>
      </c>
      <c r="AA394" s="4">
        <f t="shared" si="541"/>
        <v>219</v>
      </c>
      <c r="AB394" s="3">
        <v>30</v>
      </c>
      <c r="AC394" s="4">
        <f t="shared" si="542"/>
        <v>249</v>
      </c>
      <c r="AD394" s="3">
        <v>15</v>
      </c>
      <c r="AE394" s="4">
        <f t="shared" si="543"/>
        <v>264</v>
      </c>
      <c r="AF394" s="3">
        <v>0</v>
      </c>
      <c r="AG394" s="5">
        <f t="shared" si="544"/>
        <v>264</v>
      </c>
      <c r="AH394" s="3">
        <f>AF394</f>
        <v>0</v>
      </c>
      <c r="AI394" s="5">
        <f t="shared" si="545"/>
        <v>264</v>
      </c>
      <c r="AJ394" s="3">
        <f>AH394</f>
        <v>0</v>
      </c>
      <c r="AK394" s="3">
        <f t="shared" si="546"/>
        <v>264</v>
      </c>
      <c r="AL394" s="3">
        <f>AJ394</f>
        <v>0</v>
      </c>
      <c r="AM394" s="4">
        <f t="shared" si="547"/>
        <v>264</v>
      </c>
      <c r="AN394" s="4">
        <f t="shared" si="548"/>
        <v>36</v>
      </c>
      <c r="AO394" s="21">
        <f t="shared" si="531"/>
        <v>0</v>
      </c>
      <c r="AP394" s="4">
        <f t="shared" si="528"/>
        <v>264</v>
      </c>
      <c r="AQ394" s="4">
        <v>0</v>
      </c>
      <c r="AR394" s="21">
        <v>0</v>
      </c>
      <c r="AS394" s="19">
        <v>300</v>
      </c>
      <c r="AT394" s="4">
        <v>0</v>
      </c>
      <c r="AU394" s="21">
        <f t="shared" si="532"/>
        <v>0</v>
      </c>
      <c r="AV394" s="19">
        <f t="shared" si="533"/>
        <v>300</v>
      </c>
      <c r="AW394" s="4">
        <f t="shared" si="534"/>
        <v>0</v>
      </c>
      <c r="AX394" s="4">
        <v>0</v>
      </c>
      <c r="AY394" s="4">
        <f t="shared" si="522"/>
        <v>300</v>
      </c>
      <c r="AZ394" s="4">
        <f t="shared" si="523"/>
        <v>0</v>
      </c>
      <c r="BA394" s="22">
        <v>0</v>
      </c>
      <c r="BB394" s="4">
        <f t="shared" si="549"/>
        <v>300</v>
      </c>
      <c r="BC394" s="4">
        <f t="shared" si="550"/>
        <v>0</v>
      </c>
      <c r="BF394" s="22">
        <v>0</v>
      </c>
      <c r="BG394" s="4">
        <f t="shared" si="499"/>
        <v>0</v>
      </c>
    </row>
    <row r="395" spans="1:59" x14ac:dyDescent="0.35">
      <c r="A395" s="3" t="s">
        <v>412</v>
      </c>
      <c r="B395" s="3" t="s">
        <v>413</v>
      </c>
      <c r="C395" s="4">
        <v>19747</v>
      </c>
      <c r="D395" s="4" t="s">
        <v>80</v>
      </c>
      <c r="E395" s="2">
        <v>12.5</v>
      </c>
      <c r="F395" s="4"/>
      <c r="G395" s="4"/>
      <c r="H395" s="4"/>
      <c r="I395" s="4"/>
      <c r="J395" s="4"/>
      <c r="K395" s="4"/>
      <c r="L395" s="4">
        <f>19747/10*0.5</f>
        <v>987.35</v>
      </c>
      <c r="M395" s="4">
        <v>1506</v>
      </c>
      <c r="N395" s="4">
        <f>19747/10</f>
        <v>1974.7</v>
      </c>
      <c r="O395" s="4">
        <f t="shared" si="537"/>
        <v>3480.7</v>
      </c>
      <c r="P395" s="4">
        <f>C395/E395</f>
        <v>1579.76</v>
      </c>
      <c r="Q395" s="4">
        <v>4937</v>
      </c>
      <c r="R395" s="4">
        <f>SUM(C395/E395)</f>
        <v>1579.76</v>
      </c>
      <c r="S395" s="4">
        <v>6911</v>
      </c>
      <c r="T395" s="4">
        <f t="shared" si="538"/>
        <v>1579.76</v>
      </c>
      <c r="U395" s="4">
        <v>8886</v>
      </c>
      <c r="V395" s="4">
        <f t="shared" si="551"/>
        <v>1579.76</v>
      </c>
      <c r="W395" s="4">
        <v>10861</v>
      </c>
      <c r="X395" s="4">
        <f t="shared" si="552"/>
        <v>1579.76</v>
      </c>
      <c r="Y395" s="4">
        <f t="shared" si="539"/>
        <v>12440.76</v>
      </c>
      <c r="Z395" s="4">
        <f t="shared" si="540"/>
        <v>1579.76</v>
      </c>
      <c r="AA395" s="4">
        <f t="shared" si="541"/>
        <v>14020.52</v>
      </c>
      <c r="AB395" s="4">
        <f t="shared" ref="AB395:AB403" si="553">Z395</f>
        <v>1579.76</v>
      </c>
      <c r="AC395" s="4">
        <f t="shared" si="542"/>
        <v>15600.28</v>
      </c>
      <c r="AD395" s="3">
        <f t="shared" ref="AD395:AD404" si="554">AB395</f>
        <v>1579.76</v>
      </c>
      <c r="AE395" s="4">
        <f t="shared" si="543"/>
        <v>17180.04</v>
      </c>
      <c r="AF395" s="3">
        <f>19747-18760</f>
        <v>987</v>
      </c>
      <c r="AG395" s="5">
        <f t="shared" si="544"/>
        <v>18167.04</v>
      </c>
      <c r="AH395" s="3">
        <v>0.2</v>
      </c>
      <c r="AI395" s="5">
        <f t="shared" si="545"/>
        <v>18167.240000000002</v>
      </c>
      <c r="AJ395" s="3">
        <v>0</v>
      </c>
      <c r="AK395" s="3">
        <f t="shared" si="546"/>
        <v>18167.240000000002</v>
      </c>
      <c r="AL395" s="3">
        <v>0</v>
      </c>
      <c r="AM395" s="4">
        <f t="shared" si="547"/>
        <v>18167.240000000002</v>
      </c>
      <c r="AN395" s="4">
        <f t="shared" si="548"/>
        <v>1579.7599999999984</v>
      </c>
      <c r="AO395" s="21">
        <f t="shared" si="531"/>
        <v>0</v>
      </c>
      <c r="AP395" s="4">
        <f t="shared" si="528"/>
        <v>18167.240000000002</v>
      </c>
      <c r="AQ395" s="4">
        <v>0</v>
      </c>
      <c r="AR395" s="21">
        <v>0</v>
      </c>
      <c r="AS395" s="19">
        <v>19747.000000000004</v>
      </c>
      <c r="AT395" s="4">
        <v>0</v>
      </c>
      <c r="AU395" s="21">
        <f t="shared" si="532"/>
        <v>0</v>
      </c>
      <c r="AV395" s="19">
        <f t="shared" si="533"/>
        <v>19747.000000000004</v>
      </c>
      <c r="AW395" s="4">
        <f t="shared" si="534"/>
        <v>0</v>
      </c>
      <c r="AX395" s="4">
        <v>0</v>
      </c>
      <c r="AY395" s="4">
        <f t="shared" si="522"/>
        <v>19747.000000000004</v>
      </c>
      <c r="AZ395" s="4">
        <f t="shared" si="523"/>
        <v>-3.637978807091713E-12</v>
      </c>
      <c r="BA395" s="22">
        <v>0</v>
      </c>
      <c r="BB395" s="4">
        <f t="shared" si="549"/>
        <v>19747.000000000004</v>
      </c>
      <c r="BC395" s="4">
        <f t="shared" si="550"/>
        <v>-3.637978807091713E-12</v>
      </c>
      <c r="BF395" s="22">
        <v>0</v>
      </c>
      <c r="BG395" s="4">
        <f t="shared" si="499"/>
        <v>0</v>
      </c>
    </row>
    <row r="396" spans="1:59" x14ac:dyDescent="0.35">
      <c r="A396" s="28" t="s">
        <v>414</v>
      </c>
      <c r="B396" s="28" t="s">
        <v>415</v>
      </c>
      <c r="C396" s="25">
        <v>19500</v>
      </c>
      <c r="D396" s="25" t="s">
        <v>80</v>
      </c>
      <c r="E396" s="44">
        <v>12.5</v>
      </c>
      <c r="F396" s="25"/>
      <c r="G396" s="25"/>
      <c r="H396" s="25"/>
      <c r="I396" s="25"/>
      <c r="J396" s="25"/>
      <c r="K396" s="25"/>
      <c r="L396" s="25"/>
      <c r="M396" s="25">
        <v>1950</v>
      </c>
      <c r="N396" s="25">
        <v>1950</v>
      </c>
      <c r="O396" s="25">
        <v>0</v>
      </c>
      <c r="P396" s="25">
        <v>1950</v>
      </c>
      <c r="Q396" s="25">
        <v>0</v>
      </c>
      <c r="R396" s="25">
        <v>1051</v>
      </c>
      <c r="S396" s="25">
        <v>1051</v>
      </c>
      <c r="T396" s="25">
        <v>1950</v>
      </c>
      <c r="U396" s="25">
        <v>3001</v>
      </c>
      <c r="V396" s="25">
        <f t="shared" si="551"/>
        <v>1950</v>
      </c>
      <c r="W396" s="25">
        <v>4951</v>
      </c>
      <c r="X396" s="25">
        <f t="shared" si="552"/>
        <v>1950</v>
      </c>
      <c r="Y396" s="25">
        <f t="shared" si="539"/>
        <v>6901</v>
      </c>
      <c r="Z396" s="25">
        <f t="shared" si="540"/>
        <v>1950</v>
      </c>
      <c r="AA396" s="25">
        <f t="shared" si="541"/>
        <v>8851</v>
      </c>
      <c r="AB396" s="25">
        <f t="shared" si="553"/>
        <v>1950</v>
      </c>
      <c r="AC396" s="25">
        <f t="shared" si="542"/>
        <v>10801</v>
      </c>
      <c r="AD396" s="28">
        <f t="shared" si="554"/>
        <v>1950</v>
      </c>
      <c r="AE396" s="25">
        <f t="shared" si="543"/>
        <v>12751</v>
      </c>
      <c r="AF396" s="28">
        <f t="shared" ref="AF396:AF404" si="555">AD396</f>
        <v>1950</v>
      </c>
      <c r="AG396" s="45">
        <f>AE396+AF396-30</f>
        <v>14671</v>
      </c>
      <c r="AH396" s="28">
        <f>AF396</f>
        <v>1950</v>
      </c>
      <c r="AI396" s="45">
        <f t="shared" si="545"/>
        <v>16621</v>
      </c>
      <c r="AJ396" s="28">
        <f>AH396</f>
        <v>1950</v>
      </c>
      <c r="AK396" s="28">
        <f t="shared" si="546"/>
        <v>18571</v>
      </c>
      <c r="AL396" s="28">
        <f>19500-18571</f>
        <v>929</v>
      </c>
      <c r="AM396" s="25">
        <f t="shared" si="547"/>
        <v>19500</v>
      </c>
      <c r="AN396" s="25">
        <f t="shared" si="548"/>
        <v>0</v>
      </c>
      <c r="AO396" s="25">
        <v>0</v>
      </c>
      <c r="AP396" s="25">
        <f t="shared" si="528"/>
        <v>19500</v>
      </c>
      <c r="AQ396" s="25">
        <v>0</v>
      </c>
      <c r="AR396" s="25">
        <v>0</v>
      </c>
      <c r="AS396" s="25">
        <v>19500</v>
      </c>
      <c r="AT396" s="25">
        <v>0</v>
      </c>
      <c r="AU396" s="25">
        <f t="shared" si="532"/>
        <v>0</v>
      </c>
      <c r="AV396" s="25">
        <f t="shared" si="533"/>
        <v>19500</v>
      </c>
      <c r="AW396" s="25">
        <f t="shared" si="534"/>
        <v>0</v>
      </c>
      <c r="AX396" s="25">
        <v>0</v>
      </c>
      <c r="AY396" s="25">
        <f t="shared" si="522"/>
        <v>19500</v>
      </c>
      <c r="AZ396" s="25">
        <f t="shared" si="523"/>
        <v>0</v>
      </c>
      <c r="BA396" s="22">
        <v>0</v>
      </c>
      <c r="BB396" s="4">
        <f t="shared" si="549"/>
        <v>19500</v>
      </c>
      <c r="BC396" s="4">
        <f t="shared" si="550"/>
        <v>0</v>
      </c>
      <c r="BF396" s="22">
        <v>0</v>
      </c>
      <c r="BG396" s="4">
        <f t="shared" si="499"/>
        <v>0</v>
      </c>
    </row>
    <row r="397" spans="1:59" x14ac:dyDescent="0.35">
      <c r="A397" s="3" t="s">
        <v>416</v>
      </c>
      <c r="B397" s="3" t="s">
        <v>417</v>
      </c>
      <c r="C397" s="4">
        <v>54115</v>
      </c>
      <c r="D397" s="4" t="s">
        <v>80</v>
      </c>
      <c r="E397" s="2">
        <v>12.5</v>
      </c>
      <c r="F397" s="4"/>
      <c r="G397" s="4"/>
      <c r="H397" s="4"/>
      <c r="I397" s="4"/>
      <c r="J397" s="4"/>
      <c r="K397" s="4"/>
      <c r="L397" s="4"/>
      <c r="M397" s="4"/>
      <c r="N397" s="4">
        <v>0</v>
      </c>
      <c r="O397" s="4">
        <v>1804</v>
      </c>
      <c r="P397" s="4">
        <f>C397/E397</f>
        <v>4329.2</v>
      </c>
      <c r="Q397" s="4">
        <v>7215</v>
      </c>
      <c r="R397" s="4">
        <f>SUM(C397/E397)</f>
        <v>4329.2</v>
      </c>
      <c r="S397" s="4">
        <v>12627</v>
      </c>
      <c r="T397" s="4">
        <f>R397</f>
        <v>4329.2</v>
      </c>
      <c r="U397" s="4">
        <v>18038</v>
      </c>
      <c r="V397" s="4">
        <f t="shared" si="551"/>
        <v>4329.2</v>
      </c>
      <c r="W397" s="4">
        <v>23450</v>
      </c>
      <c r="X397" s="4">
        <f t="shared" si="552"/>
        <v>4329.2</v>
      </c>
      <c r="Y397" s="4">
        <f t="shared" si="539"/>
        <v>27779.200000000001</v>
      </c>
      <c r="Z397" s="4">
        <f t="shared" si="540"/>
        <v>4329.2</v>
      </c>
      <c r="AA397" s="4">
        <f t="shared" si="541"/>
        <v>32108.400000000001</v>
      </c>
      <c r="AB397" s="4">
        <f t="shared" si="553"/>
        <v>4329.2</v>
      </c>
      <c r="AC397" s="4">
        <f t="shared" si="542"/>
        <v>36437.599999999999</v>
      </c>
      <c r="AD397" s="3">
        <f t="shared" si="554"/>
        <v>4329.2</v>
      </c>
      <c r="AE397" s="4">
        <f t="shared" si="543"/>
        <v>40766.799999999996</v>
      </c>
      <c r="AF397" s="3">
        <f t="shared" si="555"/>
        <v>4329.2</v>
      </c>
      <c r="AG397" s="5">
        <f>AE397+AF397-347.3</f>
        <v>44748.69999999999</v>
      </c>
      <c r="AH397" s="3">
        <f>54115-50507.5</f>
        <v>3607.5</v>
      </c>
      <c r="AI397" s="5">
        <f t="shared" si="545"/>
        <v>48356.19999999999</v>
      </c>
      <c r="AJ397" s="3">
        <f>54115-53767.7</f>
        <v>347.30000000000291</v>
      </c>
      <c r="AK397" s="3">
        <f t="shared" si="546"/>
        <v>48703.499999999993</v>
      </c>
      <c r="AL397" s="3">
        <v>0</v>
      </c>
      <c r="AM397" s="4">
        <f t="shared" si="547"/>
        <v>48703.499999999993</v>
      </c>
      <c r="AN397" s="4">
        <f t="shared" si="548"/>
        <v>5411.5000000000073</v>
      </c>
      <c r="AO397" s="21">
        <f>AL397</f>
        <v>0</v>
      </c>
      <c r="AP397" s="4">
        <f t="shared" si="528"/>
        <v>48703.499999999993</v>
      </c>
      <c r="AQ397" s="4">
        <v>0</v>
      </c>
      <c r="AR397" s="21">
        <v>0</v>
      </c>
      <c r="AS397" s="19">
        <v>54115</v>
      </c>
      <c r="AT397" s="4">
        <v>0</v>
      </c>
      <c r="AU397" s="21">
        <f t="shared" si="532"/>
        <v>0</v>
      </c>
      <c r="AV397" s="19">
        <f t="shared" si="533"/>
        <v>54115</v>
      </c>
      <c r="AW397" s="4">
        <f t="shared" si="534"/>
        <v>0</v>
      </c>
      <c r="AX397" s="4">
        <v>0</v>
      </c>
      <c r="AY397" s="4">
        <f t="shared" si="522"/>
        <v>54115</v>
      </c>
      <c r="AZ397" s="4">
        <f t="shared" si="523"/>
        <v>0</v>
      </c>
      <c r="BA397" s="22">
        <v>0</v>
      </c>
      <c r="BB397" s="4">
        <f t="shared" si="549"/>
        <v>54115</v>
      </c>
      <c r="BC397" s="4">
        <f t="shared" si="550"/>
        <v>0</v>
      </c>
      <c r="BF397" s="22">
        <v>0</v>
      </c>
      <c r="BG397" s="4">
        <f t="shared" si="499"/>
        <v>0</v>
      </c>
    </row>
    <row r="398" spans="1:59" x14ac:dyDescent="0.35">
      <c r="A398" s="3" t="s">
        <v>418</v>
      </c>
      <c r="B398" s="3" t="s">
        <v>419</v>
      </c>
      <c r="C398" s="4">
        <v>6900</v>
      </c>
      <c r="D398" s="4" t="s">
        <v>80</v>
      </c>
      <c r="E398" s="2">
        <v>12.5</v>
      </c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>
        <f>SUM(C398/10*0.5)</f>
        <v>345</v>
      </c>
      <c r="Q398" s="4">
        <f>O398+P398</f>
        <v>345</v>
      </c>
      <c r="R398" s="4">
        <f>SUM(C398/E398)</f>
        <v>552</v>
      </c>
      <c r="S398" s="4">
        <f>Q398+R398</f>
        <v>897</v>
      </c>
      <c r="T398" s="4">
        <f>R398</f>
        <v>552</v>
      </c>
      <c r="U398" s="4">
        <f>S398+T398</f>
        <v>1449</v>
      </c>
      <c r="V398" s="4">
        <f t="shared" si="551"/>
        <v>552</v>
      </c>
      <c r="W398" s="4">
        <f>U398+V398</f>
        <v>2001</v>
      </c>
      <c r="X398" s="4">
        <f t="shared" si="552"/>
        <v>552</v>
      </c>
      <c r="Y398" s="4">
        <f t="shared" si="539"/>
        <v>2553</v>
      </c>
      <c r="Z398" s="4">
        <f t="shared" si="540"/>
        <v>552</v>
      </c>
      <c r="AA398" s="4">
        <f t="shared" si="541"/>
        <v>3105</v>
      </c>
      <c r="AB398" s="4">
        <f t="shared" si="553"/>
        <v>552</v>
      </c>
      <c r="AC398" s="4">
        <f t="shared" si="542"/>
        <v>3657</v>
      </c>
      <c r="AD398" s="3">
        <f t="shared" si="554"/>
        <v>552</v>
      </c>
      <c r="AE398" s="4">
        <f t="shared" si="543"/>
        <v>4209</v>
      </c>
      <c r="AF398" s="3">
        <f t="shared" si="555"/>
        <v>552</v>
      </c>
      <c r="AG398" s="5">
        <f t="shared" ref="AG398:AG404" si="556">AE398+AF398</f>
        <v>4761</v>
      </c>
      <c r="AH398" s="3">
        <f t="shared" ref="AH398:AH404" si="557">AF398</f>
        <v>552</v>
      </c>
      <c r="AI398" s="5">
        <f t="shared" si="545"/>
        <v>5313</v>
      </c>
      <c r="AJ398" s="3">
        <f>6900-6555</f>
        <v>345</v>
      </c>
      <c r="AK398" s="3">
        <f t="shared" si="546"/>
        <v>5658</v>
      </c>
      <c r="AL398" s="3">
        <v>0</v>
      </c>
      <c r="AM398" s="4">
        <f t="shared" si="547"/>
        <v>5658</v>
      </c>
      <c r="AN398" s="4">
        <f t="shared" si="548"/>
        <v>1242</v>
      </c>
      <c r="AO398" s="21">
        <f>AL398</f>
        <v>0</v>
      </c>
      <c r="AP398" s="4">
        <f t="shared" si="528"/>
        <v>5658</v>
      </c>
      <c r="AQ398" s="4">
        <v>0</v>
      </c>
      <c r="AR398" s="21">
        <v>0</v>
      </c>
      <c r="AS398" s="19">
        <v>6900</v>
      </c>
      <c r="AT398" s="4">
        <v>0</v>
      </c>
      <c r="AU398" s="21">
        <f t="shared" si="532"/>
        <v>0</v>
      </c>
      <c r="AV398" s="19">
        <f t="shared" si="533"/>
        <v>6900</v>
      </c>
      <c r="AW398" s="4">
        <f t="shared" si="534"/>
        <v>0</v>
      </c>
      <c r="AX398" s="4">
        <v>0</v>
      </c>
      <c r="AY398" s="4">
        <f t="shared" si="522"/>
        <v>6900</v>
      </c>
      <c r="AZ398" s="4">
        <f t="shared" si="523"/>
        <v>0</v>
      </c>
      <c r="BA398" s="22">
        <v>0</v>
      </c>
      <c r="BB398" s="4">
        <f t="shared" si="549"/>
        <v>6900</v>
      </c>
      <c r="BC398" s="4">
        <f t="shared" si="550"/>
        <v>0</v>
      </c>
      <c r="BF398" s="22">
        <v>0</v>
      </c>
      <c r="BG398" s="4">
        <f t="shared" si="499"/>
        <v>0</v>
      </c>
    </row>
    <row r="399" spans="1:59" x14ac:dyDescent="0.35">
      <c r="A399" s="3" t="s">
        <v>420</v>
      </c>
      <c r="B399" s="3" t="s">
        <v>421</v>
      </c>
      <c r="C399" s="4">
        <v>4250</v>
      </c>
      <c r="D399" s="4" t="s">
        <v>80</v>
      </c>
      <c r="E399" s="2">
        <v>12.5</v>
      </c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>
        <f>4250/10/12</f>
        <v>35.416666666666664</v>
      </c>
      <c r="S399" s="4">
        <f>Q399+R399</f>
        <v>35.416666666666664</v>
      </c>
      <c r="T399" s="4">
        <v>425</v>
      </c>
      <c r="U399" s="4">
        <f>S399+T399</f>
        <v>460.41666666666669</v>
      </c>
      <c r="V399" s="4">
        <f t="shared" si="551"/>
        <v>425</v>
      </c>
      <c r="W399" s="4">
        <f>U399+V399</f>
        <v>885.41666666666674</v>
      </c>
      <c r="X399" s="4">
        <f t="shared" si="552"/>
        <v>425</v>
      </c>
      <c r="Y399" s="4">
        <f t="shared" si="539"/>
        <v>1310.4166666666667</v>
      </c>
      <c r="Z399" s="4">
        <f t="shared" si="540"/>
        <v>425</v>
      </c>
      <c r="AA399" s="4">
        <f t="shared" si="541"/>
        <v>1735.4166666666667</v>
      </c>
      <c r="AB399" s="4">
        <f t="shared" si="553"/>
        <v>425</v>
      </c>
      <c r="AC399" s="4">
        <f t="shared" si="542"/>
        <v>2160.416666666667</v>
      </c>
      <c r="AD399" s="3">
        <f t="shared" si="554"/>
        <v>425</v>
      </c>
      <c r="AE399" s="4">
        <f t="shared" si="543"/>
        <v>2585.416666666667</v>
      </c>
      <c r="AF399" s="3">
        <f t="shared" si="555"/>
        <v>425</v>
      </c>
      <c r="AG399" s="5">
        <f t="shared" si="556"/>
        <v>3010.416666666667</v>
      </c>
      <c r="AH399" s="3">
        <f t="shared" si="557"/>
        <v>425</v>
      </c>
      <c r="AI399" s="5">
        <f t="shared" si="545"/>
        <v>3435.416666666667</v>
      </c>
      <c r="AJ399" s="3">
        <f>AH399</f>
        <v>425</v>
      </c>
      <c r="AK399" s="3">
        <f>3435.42+425</f>
        <v>3860.42</v>
      </c>
      <c r="AL399" s="3">
        <f>4250-3860.42</f>
        <v>389.57999999999993</v>
      </c>
      <c r="AM399" s="4">
        <f t="shared" si="547"/>
        <v>4250</v>
      </c>
      <c r="AN399" s="4">
        <f t="shared" si="548"/>
        <v>0</v>
      </c>
      <c r="AO399" s="21">
        <v>0</v>
      </c>
      <c r="AP399" s="4">
        <f t="shared" si="528"/>
        <v>4250</v>
      </c>
      <c r="AQ399" s="4">
        <v>0</v>
      </c>
      <c r="AR399" s="21">
        <v>0</v>
      </c>
      <c r="AS399" s="19">
        <v>4250</v>
      </c>
      <c r="AT399" s="4">
        <v>0</v>
      </c>
      <c r="AU399" s="21">
        <f t="shared" si="532"/>
        <v>0</v>
      </c>
      <c r="AV399" s="19">
        <f t="shared" si="533"/>
        <v>4250</v>
      </c>
      <c r="AW399" s="4">
        <f t="shared" si="534"/>
        <v>0</v>
      </c>
      <c r="AX399" s="4">
        <v>0</v>
      </c>
      <c r="AY399" s="4">
        <f t="shared" si="522"/>
        <v>4250</v>
      </c>
      <c r="AZ399" s="4">
        <f t="shared" si="523"/>
        <v>0</v>
      </c>
      <c r="BA399" s="22">
        <v>0</v>
      </c>
      <c r="BB399" s="4">
        <f t="shared" si="549"/>
        <v>4250</v>
      </c>
      <c r="BC399" s="4">
        <f t="shared" si="550"/>
        <v>0</v>
      </c>
      <c r="BF399" s="22">
        <v>0</v>
      </c>
      <c r="BG399" s="4">
        <f t="shared" si="499"/>
        <v>0</v>
      </c>
    </row>
    <row r="400" spans="1:59" x14ac:dyDescent="0.35">
      <c r="A400" s="3" t="s">
        <v>422</v>
      </c>
      <c r="B400" s="3" t="s">
        <v>423</v>
      </c>
      <c r="C400" s="4">
        <v>128075</v>
      </c>
      <c r="D400" s="4" t="s">
        <v>80</v>
      </c>
      <c r="E400" s="2">
        <v>12.5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>
        <v>1067</v>
      </c>
      <c r="U400" s="4">
        <f>S400+T400</f>
        <v>1067</v>
      </c>
      <c r="V400" s="4">
        <f>128075/10</f>
        <v>12807.5</v>
      </c>
      <c r="W400" s="4">
        <f>U400+V400</f>
        <v>13874.5</v>
      </c>
      <c r="X400" s="4">
        <f t="shared" si="552"/>
        <v>12807.5</v>
      </c>
      <c r="Y400" s="4">
        <f t="shared" si="539"/>
        <v>26682</v>
      </c>
      <c r="Z400" s="4">
        <f t="shared" si="540"/>
        <v>12807.5</v>
      </c>
      <c r="AA400" s="4">
        <f>SUM(Y400:Z400)+5196+3900+18381</f>
        <v>66966.5</v>
      </c>
      <c r="AB400" s="4">
        <f t="shared" si="553"/>
        <v>12807.5</v>
      </c>
      <c r="AC400" s="4">
        <f t="shared" si="542"/>
        <v>79774</v>
      </c>
      <c r="AD400" s="3">
        <f t="shared" si="554"/>
        <v>12807.5</v>
      </c>
      <c r="AE400" s="4">
        <f t="shared" si="543"/>
        <v>92581.5</v>
      </c>
      <c r="AF400" s="3">
        <f t="shared" si="555"/>
        <v>12807.5</v>
      </c>
      <c r="AG400" s="5">
        <f t="shared" si="556"/>
        <v>105389</v>
      </c>
      <c r="AH400" s="3">
        <f t="shared" si="557"/>
        <v>12807.5</v>
      </c>
      <c r="AI400" s="5">
        <f t="shared" si="545"/>
        <v>118196.5</v>
      </c>
      <c r="AJ400" s="3">
        <f>128075-118196.5</f>
        <v>9878.5</v>
      </c>
      <c r="AK400" s="3">
        <f t="shared" ref="AK400:AK405" si="558">SUM(AI400:AJ400)</f>
        <v>128075</v>
      </c>
      <c r="AL400" s="3">
        <v>0</v>
      </c>
      <c r="AM400" s="4">
        <f t="shared" si="547"/>
        <v>128075</v>
      </c>
      <c r="AN400" s="4">
        <f t="shared" si="548"/>
        <v>0</v>
      </c>
      <c r="AO400" s="21">
        <f>AL400</f>
        <v>0</v>
      </c>
      <c r="AP400" s="4">
        <f t="shared" si="528"/>
        <v>128075</v>
      </c>
      <c r="AQ400" s="4">
        <v>0</v>
      </c>
      <c r="AR400" s="21">
        <v>0</v>
      </c>
      <c r="AS400" s="19">
        <v>128075</v>
      </c>
      <c r="AT400" s="4">
        <v>0</v>
      </c>
      <c r="AU400" s="21">
        <v>0</v>
      </c>
      <c r="AV400" s="19">
        <f t="shared" si="533"/>
        <v>128075</v>
      </c>
      <c r="AW400" s="4">
        <f t="shared" si="534"/>
        <v>0</v>
      </c>
      <c r="AX400" s="4">
        <v>0</v>
      </c>
      <c r="AY400" s="4">
        <f t="shared" si="522"/>
        <v>128075</v>
      </c>
      <c r="AZ400" s="4">
        <f t="shared" si="523"/>
        <v>0</v>
      </c>
      <c r="BA400" s="22">
        <v>0</v>
      </c>
      <c r="BB400" s="4">
        <f t="shared" si="549"/>
        <v>128075</v>
      </c>
      <c r="BC400" s="4">
        <f t="shared" si="550"/>
        <v>0</v>
      </c>
      <c r="BF400" s="22">
        <v>0</v>
      </c>
      <c r="BG400" s="4">
        <f t="shared" si="499"/>
        <v>0</v>
      </c>
    </row>
    <row r="401" spans="1:59" x14ac:dyDescent="0.35">
      <c r="A401" s="3" t="s">
        <v>424</v>
      </c>
      <c r="B401" s="3" t="s">
        <v>425</v>
      </c>
      <c r="C401" s="4">
        <v>5000</v>
      </c>
      <c r="D401" s="4" t="s">
        <v>80</v>
      </c>
      <c r="E401" s="2">
        <v>12.5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>
        <f>10000/10/12*7</f>
        <v>583.33333333333326</v>
      </c>
      <c r="W401" s="4">
        <f>U401+V401</f>
        <v>583.33333333333326</v>
      </c>
      <c r="X401" s="4">
        <v>500</v>
      </c>
      <c r="Y401" s="4">
        <f t="shared" si="539"/>
        <v>1083.3333333333333</v>
      </c>
      <c r="Z401" s="4">
        <v>500</v>
      </c>
      <c r="AA401" s="4">
        <f>SUM(Y401:Z401)</f>
        <v>1583.3333333333333</v>
      </c>
      <c r="AB401" s="4">
        <f t="shared" si="553"/>
        <v>500</v>
      </c>
      <c r="AC401" s="4">
        <f t="shared" si="542"/>
        <v>2083.333333333333</v>
      </c>
      <c r="AD401" s="3">
        <f t="shared" si="554"/>
        <v>500</v>
      </c>
      <c r="AE401" s="4">
        <f t="shared" si="543"/>
        <v>2583.333333333333</v>
      </c>
      <c r="AF401" s="3">
        <f t="shared" si="555"/>
        <v>500</v>
      </c>
      <c r="AG401" s="5">
        <f t="shared" si="556"/>
        <v>3083.333333333333</v>
      </c>
      <c r="AH401" s="3">
        <f t="shared" si="557"/>
        <v>500</v>
      </c>
      <c r="AI401" s="5">
        <f t="shared" si="545"/>
        <v>3583.333333333333</v>
      </c>
      <c r="AJ401" s="3">
        <f>AH401</f>
        <v>500</v>
      </c>
      <c r="AK401" s="35">
        <f t="shared" si="558"/>
        <v>4083.333333333333</v>
      </c>
      <c r="AL401" s="3">
        <f>AJ401</f>
        <v>500</v>
      </c>
      <c r="AM401" s="4">
        <f t="shared" si="547"/>
        <v>4583.333333333333</v>
      </c>
      <c r="AN401" s="4">
        <f t="shared" si="548"/>
        <v>416.66666666666697</v>
      </c>
      <c r="AO401" s="21">
        <v>417</v>
      </c>
      <c r="AP401" s="4">
        <f t="shared" si="528"/>
        <v>5000.333333333333</v>
      </c>
      <c r="AQ401" s="4">
        <v>-0.33333333333303017</v>
      </c>
      <c r="AR401" s="21">
        <v>0</v>
      </c>
      <c r="AS401" s="19">
        <v>5000.333333333333</v>
      </c>
      <c r="AT401" s="4">
        <v>-0.33333333333303017</v>
      </c>
      <c r="AU401" s="21">
        <v>0</v>
      </c>
      <c r="AV401" s="19">
        <f t="shared" si="533"/>
        <v>5000.333333333333</v>
      </c>
      <c r="AW401" s="4">
        <f t="shared" si="534"/>
        <v>-0.33333333333303017</v>
      </c>
      <c r="AX401" s="4">
        <v>0</v>
      </c>
      <c r="AY401" s="4">
        <f t="shared" si="522"/>
        <v>5000.333333333333</v>
      </c>
      <c r="AZ401" s="4">
        <f t="shared" si="523"/>
        <v>-0.33333333333303017</v>
      </c>
      <c r="BA401" s="22">
        <v>0</v>
      </c>
      <c r="BB401" s="4">
        <f t="shared" si="549"/>
        <v>5000.333333333333</v>
      </c>
      <c r="BC401" s="4">
        <f t="shared" si="550"/>
        <v>-0.33333333333303017</v>
      </c>
      <c r="BF401" s="22">
        <v>0</v>
      </c>
      <c r="BG401" s="4">
        <f t="shared" si="499"/>
        <v>0</v>
      </c>
    </row>
    <row r="402" spans="1:59" x14ac:dyDescent="0.35">
      <c r="A402" s="3" t="s">
        <v>426</v>
      </c>
      <c r="B402" s="3" t="s">
        <v>427</v>
      </c>
      <c r="C402" s="4">
        <v>18750</v>
      </c>
      <c r="D402" s="4" t="s">
        <v>80</v>
      </c>
      <c r="E402" s="2">
        <v>12.5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>
        <f>18750/10/2</f>
        <v>937.5</v>
      </c>
      <c r="W402" s="4">
        <f>U402+V402</f>
        <v>937.5</v>
      </c>
      <c r="X402" s="4">
        <f>18750/10</f>
        <v>1875</v>
      </c>
      <c r="Y402" s="4">
        <f t="shared" si="539"/>
        <v>2812.5</v>
      </c>
      <c r="Z402" s="4">
        <f>X402</f>
        <v>1875</v>
      </c>
      <c r="AA402" s="4">
        <f>SUM(Y402:Z402)</f>
        <v>4687.5</v>
      </c>
      <c r="AB402" s="4">
        <f t="shared" si="553"/>
        <v>1875</v>
      </c>
      <c r="AC402" s="4">
        <f t="shared" si="542"/>
        <v>6562.5</v>
      </c>
      <c r="AD402" s="3">
        <f t="shared" si="554"/>
        <v>1875</v>
      </c>
      <c r="AE402" s="4">
        <f t="shared" si="543"/>
        <v>8437.5</v>
      </c>
      <c r="AF402" s="3">
        <f t="shared" si="555"/>
        <v>1875</v>
      </c>
      <c r="AG402" s="5">
        <f t="shared" si="556"/>
        <v>10312.5</v>
      </c>
      <c r="AH402" s="3">
        <f t="shared" si="557"/>
        <v>1875</v>
      </c>
      <c r="AI402" s="5">
        <f t="shared" si="545"/>
        <v>12187.5</v>
      </c>
      <c r="AJ402" s="3">
        <f>AH402</f>
        <v>1875</v>
      </c>
      <c r="AK402" s="3">
        <f t="shared" si="558"/>
        <v>14062.5</v>
      </c>
      <c r="AL402" s="3">
        <f>AJ402</f>
        <v>1875</v>
      </c>
      <c r="AM402" s="4">
        <f t="shared" si="547"/>
        <v>15937.5</v>
      </c>
      <c r="AN402" s="4">
        <f t="shared" si="548"/>
        <v>2812.5</v>
      </c>
      <c r="AO402" s="21">
        <f t="shared" ref="AO402:AO407" si="559">AL402</f>
        <v>1875</v>
      </c>
      <c r="AP402" s="4">
        <f t="shared" si="528"/>
        <v>17812.5</v>
      </c>
      <c r="AQ402" s="4">
        <v>937.5</v>
      </c>
      <c r="AR402" s="21">
        <v>938</v>
      </c>
      <c r="AS402" s="19">
        <v>18750.5</v>
      </c>
      <c r="AT402" s="4">
        <v>0</v>
      </c>
      <c r="AU402" s="21">
        <f t="shared" ref="AU402:AU407" si="560">SUM(C402/E402)</f>
        <v>1500</v>
      </c>
      <c r="AV402" s="19">
        <f t="shared" si="533"/>
        <v>20250.5</v>
      </c>
      <c r="AW402" s="4">
        <f t="shared" ref="AW402:AW406" si="561">C402-AV402</f>
        <v>-1500.5</v>
      </c>
      <c r="AX402" s="4">
        <v>0</v>
      </c>
      <c r="AY402" s="4">
        <f t="shared" si="522"/>
        <v>20250.5</v>
      </c>
      <c r="AZ402" s="4">
        <f t="shared" si="523"/>
        <v>-1500.5</v>
      </c>
      <c r="BA402" s="22">
        <v>0</v>
      </c>
      <c r="BB402" s="4">
        <f t="shared" si="549"/>
        <v>20250.5</v>
      </c>
      <c r="BC402" s="4">
        <f t="shared" si="550"/>
        <v>-1500.5</v>
      </c>
      <c r="BF402" s="22">
        <v>0</v>
      </c>
      <c r="BG402" s="4">
        <f t="shared" si="499"/>
        <v>0</v>
      </c>
    </row>
    <row r="403" spans="1:59" x14ac:dyDescent="0.35">
      <c r="A403" s="3" t="s">
        <v>428</v>
      </c>
      <c r="B403" s="3" t="s">
        <v>429</v>
      </c>
      <c r="C403" s="4">
        <v>38463</v>
      </c>
      <c r="D403" s="4" t="s">
        <v>80</v>
      </c>
      <c r="E403" s="2">
        <v>12.5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X403" s="4">
        <v>284</v>
      </c>
      <c r="Y403" s="4">
        <v>284</v>
      </c>
      <c r="Z403" s="4">
        <v>3846</v>
      </c>
      <c r="AA403" s="4">
        <f>SUM(Y403:Z403)</f>
        <v>4130</v>
      </c>
      <c r="AB403" s="4">
        <f t="shared" si="553"/>
        <v>3846</v>
      </c>
      <c r="AC403" s="4">
        <f t="shared" si="542"/>
        <v>7976</v>
      </c>
      <c r="AD403" s="3">
        <f t="shared" si="554"/>
        <v>3846</v>
      </c>
      <c r="AE403" s="4">
        <f t="shared" si="543"/>
        <v>11822</v>
      </c>
      <c r="AF403" s="3">
        <f t="shared" si="555"/>
        <v>3846</v>
      </c>
      <c r="AG403" s="5">
        <f t="shared" si="556"/>
        <v>15668</v>
      </c>
      <c r="AH403" s="3">
        <f t="shared" si="557"/>
        <v>3846</v>
      </c>
      <c r="AI403" s="5">
        <f t="shared" si="545"/>
        <v>19514</v>
      </c>
      <c r="AJ403" s="3">
        <f>AH403</f>
        <v>3846</v>
      </c>
      <c r="AK403" s="3">
        <f t="shared" si="558"/>
        <v>23360</v>
      </c>
      <c r="AL403" s="3">
        <f>AJ403</f>
        <v>3846</v>
      </c>
      <c r="AM403" s="4">
        <f t="shared" si="547"/>
        <v>27206</v>
      </c>
      <c r="AN403" s="4">
        <f t="shared" si="548"/>
        <v>11257</v>
      </c>
      <c r="AO403" s="21">
        <f t="shared" si="559"/>
        <v>3846</v>
      </c>
      <c r="AP403" s="4">
        <f t="shared" si="528"/>
        <v>31052</v>
      </c>
      <c r="AQ403" s="4">
        <v>7411</v>
      </c>
      <c r="AR403" s="21">
        <v>3846</v>
      </c>
      <c r="AS403" s="19">
        <v>34898</v>
      </c>
      <c r="AT403" s="4">
        <v>3565</v>
      </c>
      <c r="AU403" s="21">
        <f t="shared" si="560"/>
        <v>3077.04</v>
      </c>
      <c r="AV403" s="19">
        <f t="shared" si="533"/>
        <v>37975.040000000001</v>
      </c>
      <c r="AW403" s="4">
        <f t="shared" si="561"/>
        <v>487.95999999999913</v>
      </c>
      <c r="AX403" s="4">
        <v>488</v>
      </c>
      <c r="AY403" s="4">
        <f t="shared" si="522"/>
        <v>38463.040000000001</v>
      </c>
      <c r="AZ403" s="4">
        <f t="shared" si="523"/>
        <v>-4.0000000000873115E-2</v>
      </c>
      <c r="BA403" s="22">
        <v>0</v>
      </c>
      <c r="BB403" s="4">
        <f t="shared" si="549"/>
        <v>38463.040000000001</v>
      </c>
      <c r="BC403" s="4">
        <f t="shared" si="550"/>
        <v>-4.0000000000873115E-2</v>
      </c>
      <c r="BF403" s="22">
        <v>0</v>
      </c>
      <c r="BG403" s="4">
        <f t="shared" si="499"/>
        <v>0</v>
      </c>
    </row>
    <row r="404" spans="1:59" x14ac:dyDescent="0.35">
      <c r="A404" s="3" t="s">
        <v>430</v>
      </c>
      <c r="B404" s="3" t="s">
        <v>431</v>
      </c>
      <c r="C404" s="4">
        <v>13500</v>
      </c>
      <c r="D404" s="4" t="s">
        <v>80</v>
      </c>
      <c r="E404" s="2">
        <v>12.5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X404" s="4"/>
      <c r="Y404" s="4"/>
      <c r="Z404" s="4">
        <v>56</v>
      </c>
      <c r="AA404" s="4">
        <v>56</v>
      </c>
      <c r="AB404" s="4">
        <f>13500/10</f>
        <v>1350</v>
      </c>
      <c r="AC404" s="4">
        <f t="shared" si="542"/>
        <v>1406</v>
      </c>
      <c r="AD404" s="3">
        <f t="shared" si="554"/>
        <v>1350</v>
      </c>
      <c r="AE404" s="4">
        <f t="shared" si="543"/>
        <v>2756</v>
      </c>
      <c r="AF404" s="3">
        <f t="shared" si="555"/>
        <v>1350</v>
      </c>
      <c r="AG404" s="5">
        <f t="shared" si="556"/>
        <v>4106</v>
      </c>
      <c r="AH404" s="3">
        <f t="shared" si="557"/>
        <v>1350</v>
      </c>
      <c r="AI404" s="5">
        <f t="shared" si="545"/>
        <v>5456</v>
      </c>
      <c r="AJ404" s="3">
        <f>AH404</f>
        <v>1350</v>
      </c>
      <c r="AK404" s="3">
        <f t="shared" si="558"/>
        <v>6806</v>
      </c>
      <c r="AL404" s="3">
        <f>AJ404</f>
        <v>1350</v>
      </c>
      <c r="AM404" s="4">
        <f t="shared" si="547"/>
        <v>8156</v>
      </c>
      <c r="AN404" s="4">
        <f t="shared" si="548"/>
        <v>5344</v>
      </c>
      <c r="AO404" s="21">
        <f t="shared" si="559"/>
        <v>1350</v>
      </c>
      <c r="AP404" s="4">
        <f t="shared" si="528"/>
        <v>9506</v>
      </c>
      <c r="AQ404" s="4">
        <v>3994</v>
      </c>
      <c r="AR404" s="21">
        <v>1350</v>
      </c>
      <c r="AS404" s="19">
        <v>10856</v>
      </c>
      <c r="AT404" s="4">
        <v>2644</v>
      </c>
      <c r="AU404" s="21">
        <f t="shared" si="560"/>
        <v>1080</v>
      </c>
      <c r="AV404" s="19">
        <f t="shared" si="533"/>
        <v>11936</v>
      </c>
      <c r="AW404" s="4">
        <f t="shared" si="561"/>
        <v>1564</v>
      </c>
      <c r="AX404" s="4">
        <f t="shared" ref="AX404:AX407" si="562">SUM(C404/E404)</f>
        <v>1080</v>
      </c>
      <c r="AY404" s="4">
        <f t="shared" ref="AY404:AY407" si="563">SUM(AV404+AX404)</f>
        <v>13016</v>
      </c>
      <c r="AZ404" s="4">
        <f t="shared" ref="AZ404:AZ407" si="564">SUM(C404-AY404)</f>
        <v>484</v>
      </c>
      <c r="BA404" s="22">
        <v>484</v>
      </c>
      <c r="BB404" s="4">
        <f t="shared" si="549"/>
        <v>13500</v>
      </c>
      <c r="BC404" s="4">
        <f t="shared" si="550"/>
        <v>0</v>
      </c>
      <c r="BF404" s="22">
        <v>484</v>
      </c>
      <c r="BG404" s="4">
        <f t="shared" si="499"/>
        <v>0</v>
      </c>
    </row>
    <row r="405" spans="1:59" x14ac:dyDescent="0.35">
      <c r="A405" s="3" t="s">
        <v>432</v>
      </c>
      <c r="B405" s="3" t="s">
        <v>433</v>
      </c>
      <c r="C405" s="4">
        <v>3000</v>
      </c>
      <c r="D405" s="4" t="s">
        <v>80</v>
      </c>
      <c r="E405" s="2">
        <v>12.5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X405" s="4"/>
      <c r="Y405" s="4"/>
      <c r="Z405" s="4"/>
      <c r="AA405" s="4"/>
      <c r="AB405" s="4"/>
      <c r="AC405" s="4"/>
      <c r="AE405" s="4"/>
      <c r="AG405" s="5"/>
      <c r="AH405" s="3">
        <v>221.1</v>
      </c>
      <c r="AI405" s="5">
        <v>221.1</v>
      </c>
      <c r="AJ405" s="3">
        <f>3000/10</f>
        <v>300</v>
      </c>
      <c r="AK405" s="3">
        <f t="shared" si="558"/>
        <v>521.1</v>
      </c>
      <c r="AL405" s="3">
        <f>3000/10</f>
        <v>300</v>
      </c>
      <c r="AM405" s="4">
        <f t="shared" si="547"/>
        <v>821.1</v>
      </c>
      <c r="AN405" s="4">
        <f t="shared" si="548"/>
        <v>2178.9</v>
      </c>
      <c r="AO405" s="21">
        <f t="shared" si="559"/>
        <v>300</v>
      </c>
      <c r="AP405" s="4">
        <f t="shared" si="528"/>
        <v>1121.0999999999999</v>
      </c>
      <c r="AQ405" s="4">
        <v>1878.9</v>
      </c>
      <c r="AR405" s="21">
        <v>300</v>
      </c>
      <c r="AS405" s="19">
        <v>1421.1</v>
      </c>
      <c r="AT405" s="4">
        <v>1578.9</v>
      </c>
      <c r="AU405" s="21">
        <f t="shared" si="560"/>
        <v>240</v>
      </c>
      <c r="AV405" s="19">
        <f t="shared" si="533"/>
        <v>1661.1</v>
      </c>
      <c r="AW405" s="4">
        <f t="shared" si="561"/>
        <v>1338.9</v>
      </c>
      <c r="AX405" s="4">
        <f t="shared" si="562"/>
        <v>240</v>
      </c>
      <c r="AY405" s="4">
        <f t="shared" si="563"/>
        <v>1901.1</v>
      </c>
      <c r="AZ405" s="4">
        <f t="shared" si="564"/>
        <v>1098.9000000000001</v>
      </c>
      <c r="BA405" s="22">
        <f t="shared" ref="BA405:BA407" si="565">SUM(C405/E405)</f>
        <v>240</v>
      </c>
      <c r="BB405" s="4">
        <f t="shared" si="549"/>
        <v>2141.1</v>
      </c>
      <c r="BC405" s="4">
        <f t="shared" si="550"/>
        <v>858.90000000000009</v>
      </c>
      <c r="BF405" s="22">
        <v>240</v>
      </c>
      <c r="BG405" s="4">
        <f t="shared" si="499"/>
        <v>0</v>
      </c>
    </row>
    <row r="406" spans="1:59" x14ac:dyDescent="0.35">
      <c r="A406" s="3" t="s">
        <v>434</v>
      </c>
      <c r="B406" s="3" t="s">
        <v>435</v>
      </c>
      <c r="C406" s="4">
        <v>24000</v>
      </c>
      <c r="D406" s="4" t="s">
        <v>80</v>
      </c>
      <c r="E406" s="2">
        <v>12.5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X406" s="4"/>
      <c r="Y406" s="4"/>
      <c r="Z406" s="4"/>
      <c r="AA406" s="4"/>
      <c r="AB406" s="4"/>
      <c r="AC406" s="4"/>
      <c r="AE406" s="4"/>
      <c r="AG406" s="5"/>
      <c r="AI406" s="5"/>
      <c r="AL406" s="4">
        <f>SUM(-AL385-AL386-AL388-AL391)</f>
        <v>0</v>
      </c>
      <c r="AM406" s="4"/>
      <c r="AN406" s="4">
        <f>SUM(-AN385-AN386-AN388-AN391)</f>
        <v>-5167.1999999999898</v>
      </c>
      <c r="AO406" s="21">
        <f t="shared" si="559"/>
        <v>0</v>
      </c>
      <c r="AP406" s="4">
        <f t="shared" si="528"/>
        <v>0</v>
      </c>
      <c r="AQ406" s="4">
        <v>24000</v>
      </c>
      <c r="AR406" s="21">
        <v>800</v>
      </c>
      <c r="AS406" s="19">
        <v>800</v>
      </c>
      <c r="AT406" s="4">
        <v>23200</v>
      </c>
      <c r="AU406" s="21">
        <f t="shared" si="560"/>
        <v>1920</v>
      </c>
      <c r="AV406" s="19">
        <f t="shared" si="533"/>
        <v>2720</v>
      </c>
      <c r="AW406" s="4">
        <f t="shared" si="561"/>
        <v>21280</v>
      </c>
      <c r="AX406" s="4">
        <f t="shared" si="562"/>
        <v>1920</v>
      </c>
      <c r="AY406" s="4">
        <f t="shared" si="563"/>
        <v>4640</v>
      </c>
      <c r="AZ406" s="4">
        <f t="shared" si="564"/>
        <v>19360</v>
      </c>
      <c r="BA406" s="22">
        <f t="shared" si="565"/>
        <v>1920</v>
      </c>
      <c r="BB406" s="4">
        <f t="shared" si="549"/>
        <v>6560</v>
      </c>
      <c r="BC406" s="4">
        <f t="shared" si="550"/>
        <v>17440</v>
      </c>
      <c r="BF406" s="22">
        <v>1920</v>
      </c>
      <c r="BG406" s="4">
        <f t="shared" si="499"/>
        <v>0</v>
      </c>
    </row>
    <row r="407" spans="1:59" x14ac:dyDescent="0.35">
      <c r="A407" s="3" t="s">
        <v>436</v>
      </c>
      <c r="B407" s="3" t="s">
        <v>437</v>
      </c>
      <c r="C407" s="4">
        <v>59960</v>
      </c>
      <c r="D407" s="4" t="s">
        <v>80</v>
      </c>
      <c r="E407" s="2">
        <v>12.5</v>
      </c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X407" s="4"/>
      <c r="Y407" s="4"/>
      <c r="Z407" s="4"/>
      <c r="AA407" s="4"/>
      <c r="AB407" s="4"/>
      <c r="AC407" s="4"/>
      <c r="AE407" s="4"/>
      <c r="AG407" s="5"/>
      <c r="AI407" s="5"/>
      <c r="AL407" s="4">
        <f>SUM(-AL386-AL387-AL389-AL392)</f>
        <v>0</v>
      </c>
      <c r="AM407" s="4"/>
      <c r="AN407" s="4">
        <f>SUM(-AN386-AN387-AN389-AN392)</f>
        <v>-4362.8800000000047</v>
      </c>
      <c r="AO407" s="21">
        <f t="shared" si="559"/>
        <v>0</v>
      </c>
      <c r="AP407" s="4">
        <f t="shared" si="528"/>
        <v>0</v>
      </c>
      <c r="AQ407" s="4">
        <v>59960</v>
      </c>
      <c r="AR407" s="21">
        <v>1249.1666666666667</v>
      </c>
      <c r="AS407" s="19">
        <v>1249.1666666666667</v>
      </c>
      <c r="AT407" s="4">
        <v>58710.833333333336</v>
      </c>
      <c r="AU407" s="21">
        <f t="shared" si="560"/>
        <v>4796.8</v>
      </c>
      <c r="AV407" s="19">
        <f t="shared" si="533"/>
        <v>6045.9666666666672</v>
      </c>
      <c r="AW407" s="4">
        <f>C407-AV407</f>
        <v>53914.033333333333</v>
      </c>
      <c r="AX407" s="4">
        <f t="shared" si="562"/>
        <v>4796.8</v>
      </c>
      <c r="AY407" s="4">
        <f t="shared" si="563"/>
        <v>10842.766666666666</v>
      </c>
      <c r="AZ407" s="4">
        <f t="shared" si="564"/>
        <v>49117.233333333337</v>
      </c>
      <c r="BA407" s="22">
        <f t="shared" si="565"/>
        <v>4796.8</v>
      </c>
      <c r="BB407" s="4">
        <f t="shared" si="549"/>
        <v>15639.566666666666</v>
      </c>
      <c r="BC407" s="4">
        <f t="shared" si="550"/>
        <v>44320.433333333334</v>
      </c>
      <c r="BF407" s="22">
        <v>4796.8</v>
      </c>
      <c r="BG407" s="4">
        <f t="shared" si="499"/>
        <v>0</v>
      </c>
    </row>
    <row r="408" spans="1:59" x14ac:dyDescent="0.35">
      <c r="A408" s="28" t="s">
        <v>414</v>
      </c>
      <c r="B408" s="28" t="s">
        <v>415</v>
      </c>
      <c r="C408" s="25">
        <v>-19500</v>
      </c>
      <c r="D408" s="25" t="s">
        <v>80</v>
      </c>
      <c r="E408" s="44">
        <v>12.5</v>
      </c>
      <c r="F408" s="25"/>
      <c r="G408" s="25"/>
      <c r="H408" s="25"/>
      <c r="I408" s="25"/>
      <c r="J408" s="25"/>
      <c r="K408" s="25"/>
      <c r="L408" s="25"/>
      <c r="M408" s="25">
        <v>1950</v>
      </c>
      <c r="N408" s="25">
        <v>1950</v>
      </c>
      <c r="O408" s="25">
        <v>0</v>
      </c>
      <c r="P408" s="25">
        <v>1950</v>
      </c>
      <c r="Q408" s="25">
        <v>0</v>
      </c>
      <c r="R408" s="25">
        <v>1051</v>
      </c>
      <c r="S408" s="25">
        <v>1051</v>
      </c>
      <c r="T408" s="25">
        <v>1950</v>
      </c>
      <c r="U408" s="25">
        <v>3001</v>
      </c>
      <c r="V408" s="25">
        <f t="shared" ref="V408" si="566">T408</f>
        <v>1950</v>
      </c>
      <c r="W408" s="25">
        <v>4951</v>
      </c>
      <c r="X408" s="25">
        <f t="shared" ref="X408" si="567">V408</f>
        <v>1950</v>
      </c>
      <c r="Y408" s="25">
        <f t="shared" ref="Y408" si="568">SUM(W408:X408)</f>
        <v>6901</v>
      </c>
      <c r="Z408" s="25">
        <f t="shared" ref="Z408" si="569">X408</f>
        <v>1950</v>
      </c>
      <c r="AA408" s="25">
        <f t="shared" ref="AA408" si="570">SUM(Y408:Z408)</f>
        <v>8851</v>
      </c>
      <c r="AB408" s="25">
        <f t="shared" ref="AB408" si="571">Z408</f>
        <v>1950</v>
      </c>
      <c r="AC408" s="25">
        <f t="shared" ref="AC408" si="572">SUM(AA408:AB408)</f>
        <v>10801</v>
      </c>
      <c r="AD408" s="28">
        <f t="shared" ref="AD408" si="573">AB408</f>
        <v>1950</v>
      </c>
      <c r="AE408" s="25">
        <f t="shared" ref="AE408" si="574">AC408+AD408</f>
        <v>12751</v>
      </c>
      <c r="AF408" s="28">
        <f t="shared" ref="AF408" si="575">AD408</f>
        <v>1950</v>
      </c>
      <c r="AG408" s="45">
        <f>AE408+AF408-30</f>
        <v>14671</v>
      </c>
      <c r="AH408" s="28">
        <f>AF408</f>
        <v>1950</v>
      </c>
      <c r="AI408" s="45">
        <f t="shared" ref="AI408" si="576">AG408+AH408</f>
        <v>16621</v>
      </c>
      <c r="AJ408" s="28">
        <f>AH408</f>
        <v>1950</v>
      </c>
      <c r="AK408" s="28">
        <f t="shared" ref="AK408" si="577">SUM(AI408:AJ408)</f>
        <v>18571</v>
      </c>
      <c r="AL408" s="28">
        <f>19500-18571</f>
        <v>929</v>
      </c>
      <c r="AM408" s="25">
        <f t="shared" ref="AM408" si="578">SUM(AK408:AL408)</f>
        <v>19500</v>
      </c>
      <c r="AN408" s="25">
        <f t="shared" ref="AN408" si="579">C408-AM408</f>
        <v>-39000</v>
      </c>
      <c r="AO408" s="25">
        <v>0</v>
      </c>
      <c r="AP408" s="25">
        <f t="shared" si="528"/>
        <v>19500</v>
      </c>
      <c r="AQ408" s="25">
        <v>0</v>
      </c>
      <c r="AR408" s="25">
        <v>0</v>
      </c>
      <c r="AS408" s="25">
        <v>19500</v>
      </c>
      <c r="AT408" s="25">
        <v>0</v>
      </c>
      <c r="AU408" s="25">
        <f t="shared" ref="AU408" si="580">AR408</f>
        <v>0</v>
      </c>
      <c r="AV408" s="25">
        <f t="shared" si="533"/>
        <v>19500</v>
      </c>
      <c r="AW408" s="25">
        <f t="shared" ref="AW408" si="581">AT408-AU408</f>
        <v>0</v>
      </c>
      <c r="AX408" s="25">
        <v>0</v>
      </c>
      <c r="AY408" s="25"/>
      <c r="AZ408" s="25">
        <f t="shared" ref="AZ408" si="582">SUM(C408-AY408)</f>
        <v>-19500</v>
      </c>
      <c r="BA408" s="22">
        <v>0</v>
      </c>
      <c r="BB408" s="4">
        <v>-19500</v>
      </c>
      <c r="BC408" s="4">
        <f t="shared" ref="BC408" si="583">SUM(C408-BB408)</f>
        <v>0</v>
      </c>
      <c r="BD408" s="3">
        <v>-19500</v>
      </c>
      <c r="BF408" s="22">
        <v>0</v>
      </c>
      <c r="BG408" s="4">
        <f t="shared" si="499"/>
        <v>0</v>
      </c>
    </row>
    <row r="409" spans="1:59" x14ac:dyDescent="0.35">
      <c r="C409" s="4"/>
      <c r="D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X409" s="4"/>
      <c r="Y409" s="4"/>
      <c r="Z409" s="4"/>
      <c r="AA409" s="4"/>
      <c r="AB409" s="4"/>
      <c r="AC409" s="4"/>
      <c r="AE409" s="4"/>
      <c r="AG409" s="5"/>
      <c r="AI409" s="5"/>
      <c r="AM409" s="4"/>
      <c r="AN409" s="4"/>
      <c r="AO409" s="6"/>
      <c r="AR409" s="21"/>
      <c r="AS409" s="19"/>
      <c r="AT409" s="4"/>
      <c r="AU409" s="21"/>
      <c r="AV409" s="19"/>
      <c r="AW409" s="4"/>
      <c r="BA409" s="17"/>
      <c r="BF409" s="17"/>
      <c r="BG409" s="4">
        <f t="shared" si="499"/>
        <v>0</v>
      </c>
    </row>
    <row r="410" spans="1:59" x14ac:dyDescent="0.35">
      <c r="C410" s="19">
        <f>SUM(C385:C409)</f>
        <v>530457</v>
      </c>
      <c r="D410" s="4"/>
      <c r="F410" s="4"/>
      <c r="G410" s="19">
        <f t="shared" ref="G410:Q410" si="584">SUM(G385:G399)</f>
        <v>47901</v>
      </c>
      <c r="H410" s="19">
        <f t="shared" si="584"/>
        <v>15201</v>
      </c>
      <c r="I410" s="19">
        <f t="shared" si="584"/>
        <v>63102</v>
      </c>
      <c r="J410" s="19">
        <f t="shared" si="584"/>
        <v>13950</v>
      </c>
      <c r="K410" s="19">
        <f t="shared" si="584"/>
        <v>77052</v>
      </c>
      <c r="L410" s="19">
        <f t="shared" si="584"/>
        <v>13556.35</v>
      </c>
      <c r="M410" s="19">
        <f t="shared" si="584"/>
        <v>93077</v>
      </c>
      <c r="N410" s="19">
        <f t="shared" si="584"/>
        <v>16493.7</v>
      </c>
      <c r="O410" s="19">
        <f t="shared" si="584"/>
        <v>107474.7</v>
      </c>
      <c r="P410" s="19">
        <f t="shared" si="584"/>
        <v>18259.719999999998</v>
      </c>
      <c r="Q410" s="19">
        <f t="shared" si="584"/>
        <v>124742.76000000001</v>
      </c>
      <c r="R410" s="19">
        <f>SUM(R385:R400)</f>
        <v>17603.136666666665</v>
      </c>
      <c r="S410" s="19">
        <f>Q410+R410</f>
        <v>142345.89666666667</v>
      </c>
      <c r="T410" s="19">
        <f>SUM(T385:T401)</f>
        <v>19958.719999999998</v>
      </c>
      <c r="U410" s="19">
        <f>SUM(U385:U401)</f>
        <v>165258.69666666666</v>
      </c>
      <c r="V410" s="19">
        <f>SUM(V385:V404)</f>
        <v>29223.013333333332</v>
      </c>
      <c r="W410" s="19">
        <f>SUM(W385:W404)</f>
        <v>195959.75</v>
      </c>
      <c r="X410" s="19">
        <f>SUM(X385:X403)</f>
        <v>28541.18</v>
      </c>
      <c r="Y410" s="19">
        <f>SUM(Y385:Y403)</f>
        <v>224500.93000000002</v>
      </c>
      <c r="Z410" s="19">
        <v>32104</v>
      </c>
      <c r="AA410" s="19">
        <f>SUM(AA385:AA405)</f>
        <v>282157.34999999998</v>
      </c>
      <c r="AB410" s="1">
        <f>SUM(AB385:AB404)</f>
        <v>29295.46</v>
      </c>
      <c r="AC410" s="19">
        <f>SUM(AA410:AB410)</f>
        <v>311452.81</v>
      </c>
      <c r="AD410" s="3">
        <f>SUM(AD385:AD405)</f>
        <v>29229.46</v>
      </c>
      <c r="AE410" s="4">
        <f>AC410+AD410</f>
        <v>340682.27</v>
      </c>
      <c r="AF410" s="3">
        <f>AD410</f>
        <v>29229.46</v>
      </c>
      <c r="AG410" s="5">
        <f>SUM(AG385:AG405)</f>
        <v>368926.67</v>
      </c>
      <c r="AH410" s="3">
        <f>SUM(AH385:AH406)</f>
        <v>27134.3</v>
      </c>
      <c r="AI410" s="5">
        <f>SUM(AI385:AI406)</f>
        <v>396060.96999999991</v>
      </c>
      <c r="AJ410" s="19">
        <f t="shared" ref="AJ410:AP410" si="585">SUM(AJ385:AJ407)</f>
        <v>20816.800000000003</v>
      </c>
      <c r="AK410" s="19">
        <f t="shared" si="585"/>
        <v>416877.77333333332</v>
      </c>
      <c r="AL410" s="19">
        <f t="shared" si="585"/>
        <v>9189.58</v>
      </c>
      <c r="AM410" s="19">
        <f t="shared" si="585"/>
        <v>426067.35333333333</v>
      </c>
      <c r="AN410" s="19">
        <f t="shared" si="585"/>
        <v>30399.56666666668</v>
      </c>
      <c r="AO410" s="21">
        <f t="shared" si="585"/>
        <v>7788</v>
      </c>
      <c r="AP410" s="4">
        <f t="shared" si="585"/>
        <v>433855.35333333333</v>
      </c>
      <c r="AQ410" s="4">
        <v>98180.96666666666</v>
      </c>
      <c r="AR410" s="21">
        <v>8483.1666666666661</v>
      </c>
      <c r="AS410" s="19">
        <v>460259.2</v>
      </c>
      <c r="AT410" s="4">
        <v>89698.733333333337</v>
      </c>
      <c r="AU410" s="21">
        <f>SUM(AU385:AU409)</f>
        <v>12613.84</v>
      </c>
      <c r="AV410" s="19">
        <f>SUM(AV385:AV407)</f>
        <v>472873.04</v>
      </c>
      <c r="AW410" s="19">
        <f>SUM(AW402:AW409)</f>
        <v>77084.393333333341</v>
      </c>
      <c r="AX410" s="25">
        <f t="shared" ref="AX410:BC410" si="586">SUM(AX385:AX409)</f>
        <v>8524.7999999999993</v>
      </c>
      <c r="AY410" s="19">
        <f t="shared" si="586"/>
        <v>481397.83999999997</v>
      </c>
      <c r="AZ410" s="19">
        <f t="shared" si="586"/>
        <v>49059.16</v>
      </c>
      <c r="BA410" s="20">
        <f t="shared" si="586"/>
        <v>7440.8</v>
      </c>
      <c r="BB410" s="19">
        <f t="shared" si="586"/>
        <v>469338.63999999996</v>
      </c>
      <c r="BC410" s="19">
        <f t="shared" si="586"/>
        <v>61118.359999999993</v>
      </c>
      <c r="BF410" s="20">
        <v>7440.8</v>
      </c>
      <c r="BG410" s="4">
        <f t="shared" si="499"/>
        <v>0</v>
      </c>
    </row>
    <row r="411" spans="1:59" x14ac:dyDescent="0.35">
      <c r="C411" s="4"/>
      <c r="D411" s="4"/>
      <c r="F411" s="4"/>
      <c r="G411" s="19"/>
      <c r="H411" s="19"/>
      <c r="I411" s="19"/>
      <c r="J411" s="4"/>
      <c r="K411" s="4"/>
      <c r="L411" s="4"/>
      <c r="M411" s="4">
        <f>K411+L411</f>
        <v>0</v>
      </c>
      <c r="N411" s="4"/>
      <c r="O411" s="4"/>
      <c r="P411" s="4"/>
      <c r="Q411" s="4"/>
      <c r="X411" s="4"/>
      <c r="Y411" s="4"/>
      <c r="AC411" s="4"/>
      <c r="AE411" s="4"/>
      <c r="AG411" s="5"/>
      <c r="AM411" s="4"/>
      <c r="AN411" s="4"/>
      <c r="AO411" s="6"/>
      <c r="AR411" s="6"/>
      <c r="AS411" s="1"/>
      <c r="AT411" s="49"/>
      <c r="BA411" s="17"/>
      <c r="BF411" s="17"/>
      <c r="BG411" s="4">
        <f t="shared" ref="BG411:BG421" si="587">BA411-BF411</f>
        <v>0</v>
      </c>
    </row>
    <row r="412" spans="1:59" x14ac:dyDescent="0.35">
      <c r="A412" s="3" t="s">
        <v>438</v>
      </c>
      <c r="B412" s="3" t="s">
        <v>439</v>
      </c>
      <c r="C412" s="4">
        <v>84888</v>
      </c>
      <c r="D412" s="4" t="s">
        <v>80</v>
      </c>
      <c r="E412" s="2">
        <v>10</v>
      </c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">
        <v>4067</v>
      </c>
      <c r="S412" s="19">
        <f>Q412+R412</f>
        <v>4067</v>
      </c>
      <c r="T412" s="1">
        <v>4244</v>
      </c>
      <c r="U412" s="19">
        <f>S412+T412</f>
        <v>8311</v>
      </c>
      <c r="V412" s="19">
        <f>T412</f>
        <v>4244</v>
      </c>
      <c r="W412" s="19">
        <f>U412+V412</f>
        <v>12555</v>
      </c>
      <c r="X412" s="19">
        <f>V412</f>
        <v>4244</v>
      </c>
      <c r="Y412" s="19">
        <f>W412+V412</f>
        <v>16799</v>
      </c>
      <c r="Z412" s="19">
        <f>X412</f>
        <v>4244</v>
      </c>
      <c r="AA412" s="19">
        <f>Y412+X412</f>
        <v>21043</v>
      </c>
      <c r="AB412" s="1">
        <v>4244</v>
      </c>
      <c r="AC412" s="19">
        <f>SUM(AA412:AB412)</f>
        <v>25287</v>
      </c>
      <c r="AD412" s="1">
        <f>AB412</f>
        <v>4244</v>
      </c>
      <c r="AE412" s="19">
        <f>AC412+AD412</f>
        <v>29531</v>
      </c>
      <c r="AF412" s="1">
        <f>AD412</f>
        <v>4244</v>
      </c>
      <c r="AG412" s="36">
        <f>AE412+AF412</f>
        <v>33775</v>
      </c>
      <c r="AH412" s="1">
        <v>4244</v>
      </c>
      <c r="AI412" s="1">
        <f>SUM(AG412:AH412)</f>
        <v>38019</v>
      </c>
      <c r="AJ412" s="1">
        <f>SUM(AH412)</f>
        <v>4244</v>
      </c>
      <c r="AK412" s="1">
        <f>SUM(AI412:AJ412)</f>
        <v>42263</v>
      </c>
      <c r="AL412" s="1">
        <f>SUM(AJ412)</f>
        <v>4244</v>
      </c>
      <c r="AM412" s="19">
        <f>SUM(AK412:AL412)</f>
        <v>46507</v>
      </c>
      <c r="AN412" s="19">
        <f>C412-AM412</f>
        <v>38381</v>
      </c>
      <c r="AO412" s="25">
        <f>AL412</f>
        <v>4244</v>
      </c>
      <c r="AP412" s="19">
        <f>AM412+AO412</f>
        <v>50751</v>
      </c>
      <c r="AQ412" s="19">
        <v>34137</v>
      </c>
      <c r="AR412" s="25">
        <v>4244</v>
      </c>
      <c r="AS412" s="19">
        <v>54995</v>
      </c>
      <c r="AT412" s="19">
        <v>29893</v>
      </c>
      <c r="AU412" s="21">
        <f>SUM(C412/E412)</f>
        <v>8488.7999999999993</v>
      </c>
      <c r="AV412" s="19">
        <f>AS412+AU412</f>
        <v>63483.8</v>
      </c>
      <c r="AW412" s="4">
        <f>AT412-AU412</f>
        <v>21404.2</v>
      </c>
      <c r="AX412" s="4">
        <f t="shared" ref="AX412" si="588">SUM(C412/E412)</f>
        <v>8488.7999999999993</v>
      </c>
      <c r="AY412" s="4">
        <f t="shared" ref="AY412" si="589">SUM(AV412+AX412)</f>
        <v>71972.600000000006</v>
      </c>
      <c r="AZ412" s="4">
        <f t="shared" ref="AZ412" si="590">SUM(C412-AY412)</f>
        <v>12915.399999999994</v>
      </c>
      <c r="BA412" s="22">
        <f t="shared" ref="BA412:BA414" si="591">SUM(C412/E412)</f>
        <v>8488.7999999999993</v>
      </c>
      <c r="BB412" s="4">
        <f t="shared" ref="BB412:BB414" si="592">SUM(AY412+BA412)</f>
        <v>80461.400000000009</v>
      </c>
      <c r="BC412" s="4">
        <f t="shared" ref="BC412:BC414" si="593">SUM(C412-BB412)</f>
        <v>4426.5999999999913</v>
      </c>
      <c r="BF412" s="22">
        <v>4850.7428571428572</v>
      </c>
      <c r="BG412" s="4">
        <f t="shared" si="587"/>
        <v>3638.057142857142</v>
      </c>
    </row>
    <row r="413" spans="1:59" x14ac:dyDescent="0.35">
      <c r="A413" s="3" t="s">
        <v>438</v>
      </c>
      <c r="B413" s="3" t="s">
        <v>440</v>
      </c>
      <c r="C413" s="19">
        <v>11000</v>
      </c>
      <c r="D413" s="19" t="s">
        <v>80</v>
      </c>
      <c r="E413" s="2">
        <v>10</v>
      </c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"/>
      <c r="S413" s="19"/>
      <c r="T413" s="1"/>
      <c r="U413" s="19"/>
      <c r="V413" s="19"/>
      <c r="W413" s="19"/>
      <c r="X413" s="19"/>
      <c r="Y413" s="19"/>
      <c r="Z413" s="19"/>
      <c r="AA413" s="19"/>
      <c r="AB413" s="1"/>
      <c r="AC413" s="19"/>
      <c r="AD413" s="1"/>
      <c r="AE413" s="19"/>
      <c r="AF413" s="1"/>
      <c r="AG413" s="36"/>
      <c r="AH413" s="1"/>
      <c r="AI413" s="1"/>
      <c r="AJ413" s="1"/>
      <c r="AK413" s="1"/>
      <c r="AL413" s="1"/>
      <c r="AM413" s="19"/>
      <c r="AN413" s="19"/>
      <c r="AO413" s="25"/>
      <c r="AP413" s="19"/>
      <c r="AQ413" s="19"/>
      <c r="AR413" s="25"/>
      <c r="AS413" s="19"/>
      <c r="AT413" s="19"/>
      <c r="AU413" s="21"/>
      <c r="AV413" s="19"/>
      <c r="AW413" s="4"/>
      <c r="AX413" s="4">
        <f>SUM(C413/E413/2)</f>
        <v>550</v>
      </c>
      <c r="AY413" s="4">
        <f t="shared" ref="AY413:AY414" si="594">SUM(AV413+AX413)</f>
        <v>550</v>
      </c>
      <c r="AZ413" s="4">
        <f t="shared" ref="AZ413:AZ414" si="595">SUM(C413-AY413)</f>
        <v>10450</v>
      </c>
      <c r="BA413" s="22">
        <f t="shared" si="591"/>
        <v>1100</v>
      </c>
      <c r="BB413" s="4">
        <f t="shared" si="592"/>
        <v>1650</v>
      </c>
      <c r="BC413" s="4">
        <f t="shared" si="593"/>
        <v>9350</v>
      </c>
      <c r="BF413" s="22">
        <v>628.57142857142856</v>
      </c>
      <c r="BG413" s="4">
        <f t="shared" si="587"/>
        <v>471.42857142857144</v>
      </c>
    </row>
    <row r="414" spans="1:59" x14ac:dyDescent="0.35">
      <c r="A414" s="3" t="s">
        <v>438</v>
      </c>
      <c r="B414" s="3" t="s">
        <v>441</v>
      </c>
      <c r="C414" s="19">
        <v>14900</v>
      </c>
      <c r="D414" s="19" t="s">
        <v>80</v>
      </c>
      <c r="E414" s="2">
        <v>10</v>
      </c>
      <c r="F414" s="4"/>
      <c r="G414" s="19"/>
      <c r="H414" s="19"/>
      <c r="I414" s="19"/>
      <c r="J414" s="4"/>
      <c r="K414" s="4"/>
      <c r="L414" s="4"/>
      <c r="M414" s="4"/>
      <c r="N414" s="4"/>
      <c r="O414" s="4"/>
      <c r="P414" s="4"/>
      <c r="Q414" s="4"/>
      <c r="X414" s="4"/>
      <c r="Y414" s="4"/>
      <c r="AC414" s="4"/>
      <c r="AE414" s="4"/>
      <c r="AG414" s="5"/>
      <c r="AM414" s="4"/>
      <c r="AN414" s="4"/>
      <c r="AO414" s="6"/>
      <c r="AR414" s="6"/>
      <c r="AS414" s="1"/>
      <c r="AT414" s="49"/>
      <c r="AX414" s="4">
        <f>SUM(C414/E414/2)</f>
        <v>745</v>
      </c>
      <c r="AY414" s="4">
        <f t="shared" si="594"/>
        <v>745</v>
      </c>
      <c r="AZ414" s="4">
        <f t="shared" si="595"/>
        <v>14155</v>
      </c>
      <c r="BA414" s="22">
        <f t="shared" si="591"/>
        <v>1490</v>
      </c>
      <c r="BB414" s="4">
        <f t="shared" si="592"/>
        <v>2235</v>
      </c>
      <c r="BC414" s="4">
        <f t="shared" si="593"/>
        <v>12665</v>
      </c>
      <c r="BF414" s="22">
        <v>851.42857142857144</v>
      </c>
      <c r="BG414" s="4">
        <f t="shared" si="587"/>
        <v>638.57142857142856</v>
      </c>
    </row>
    <row r="415" spans="1:59" x14ac:dyDescent="0.35">
      <c r="C415" s="4"/>
      <c r="D415" s="4"/>
      <c r="E415" s="2">
        <v>17.5</v>
      </c>
      <c r="F415" s="4"/>
      <c r="G415" s="19"/>
      <c r="H415" s="19"/>
      <c r="I415" s="19"/>
      <c r="J415" s="4"/>
      <c r="K415" s="4"/>
      <c r="L415" s="4"/>
      <c r="M415" s="4"/>
      <c r="N415" s="4"/>
      <c r="O415" s="4"/>
      <c r="P415" s="4"/>
      <c r="Q415" s="4"/>
      <c r="X415" s="4"/>
      <c r="Y415" s="4"/>
      <c r="AC415" s="4"/>
      <c r="AE415" s="4"/>
      <c r="AG415" s="5"/>
      <c r="AM415" s="4"/>
      <c r="AN415" s="4"/>
      <c r="AO415" s="6"/>
      <c r="AR415" s="6"/>
      <c r="AS415" s="1"/>
      <c r="BA415" s="17"/>
      <c r="BF415" s="17"/>
      <c r="BG415" s="4">
        <f t="shared" si="587"/>
        <v>0</v>
      </c>
    </row>
    <row r="416" spans="1:59" x14ac:dyDescent="0.35">
      <c r="C416" s="4">
        <f>SUM(C412:C415)</f>
        <v>110788</v>
      </c>
      <c r="AQ416" s="4">
        <f t="shared" ref="AQ416:BC416" si="596">SUM(AQ412:AQ415)</f>
        <v>34137</v>
      </c>
      <c r="AR416" s="4">
        <f t="shared" si="596"/>
        <v>4244</v>
      </c>
      <c r="AS416" s="4">
        <f t="shared" si="596"/>
        <v>54995</v>
      </c>
      <c r="AT416" s="4">
        <f t="shared" si="596"/>
        <v>29893</v>
      </c>
      <c r="AU416" s="4">
        <f t="shared" si="596"/>
        <v>8488.7999999999993</v>
      </c>
      <c r="AV416" s="4">
        <f t="shared" si="596"/>
        <v>63483.8</v>
      </c>
      <c r="AW416" s="4">
        <f t="shared" si="596"/>
        <v>21404.2</v>
      </c>
      <c r="AX416" s="4">
        <f t="shared" si="596"/>
        <v>9783.7999999999993</v>
      </c>
      <c r="AY416" s="4">
        <f t="shared" si="596"/>
        <v>73267.600000000006</v>
      </c>
      <c r="AZ416" s="4">
        <f t="shared" si="596"/>
        <v>37520.399999999994</v>
      </c>
      <c r="BA416" s="22">
        <f t="shared" si="596"/>
        <v>11078.8</v>
      </c>
      <c r="BB416" s="4">
        <f t="shared" si="596"/>
        <v>84346.400000000009</v>
      </c>
      <c r="BC416" s="4">
        <f t="shared" si="596"/>
        <v>26441.599999999991</v>
      </c>
      <c r="BF416" s="22">
        <v>6330.7428571428572</v>
      </c>
      <c r="BG416" s="4">
        <f t="shared" si="587"/>
        <v>4748.057142857142</v>
      </c>
    </row>
    <row r="417" spans="1:60" x14ac:dyDescent="0.35">
      <c r="C417" s="4"/>
      <c r="D417" s="4"/>
      <c r="F417" s="4"/>
      <c r="G417" s="4"/>
      <c r="H417" s="4"/>
      <c r="I417" s="4"/>
      <c r="J417" s="4"/>
      <c r="K417" s="4"/>
      <c r="L417" s="4"/>
      <c r="M417" s="4">
        <f>K417+L417</f>
        <v>0</v>
      </c>
      <c r="N417" s="4"/>
      <c r="O417" s="4"/>
      <c r="P417" s="4"/>
      <c r="Q417" s="4"/>
      <c r="X417" s="4"/>
      <c r="Y417" s="4"/>
      <c r="AC417" s="4"/>
      <c r="AE417" s="4"/>
      <c r="AG417" s="5"/>
      <c r="AM417" s="4"/>
      <c r="AN417" s="4">
        <f>C417-AM417</f>
        <v>0</v>
      </c>
      <c r="AO417" s="6"/>
      <c r="AR417" s="6"/>
      <c r="AS417" s="1"/>
      <c r="BA417" s="17"/>
      <c r="BF417" s="17"/>
      <c r="BG417" s="4">
        <f t="shared" si="587"/>
        <v>0</v>
      </c>
    </row>
    <row r="418" spans="1:60" x14ac:dyDescent="0.35">
      <c r="A418" s="3" t="s">
        <v>442</v>
      </c>
      <c r="C418" s="4"/>
      <c r="D418" s="4"/>
      <c r="F418" s="4"/>
      <c r="G418" s="19"/>
      <c r="H418" s="19"/>
      <c r="I418" s="19"/>
      <c r="J418" s="4"/>
      <c r="K418" s="4"/>
      <c r="L418" s="4"/>
      <c r="M418" s="4">
        <f>K418+L418</f>
        <v>0</v>
      </c>
      <c r="N418" s="4"/>
      <c r="O418" s="4"/>
      <c r="P418" s="4"/>
      <c r="Q418" s="4"/>
      <c r="X418" s="4"/>
      <c r="Y418" s="4"/>
      <c r="AC418" s="4"/>
      <c r="AE418" s="4"/>
      <c r="AG418" s="5"/>
      <c r="AM418" s="4"/>
      <c r="AN418" s="4">
        <f>C418-AM418</f>
        <v>0</v>
      </c>
      <c r="AO418" s="6"/>
      <c r="AR418" s="6"/>
      <c r="AS418" s="1"/>
      <c r="BA418" s="17"/>
      <c r="BF418" s="17"/>
      <c r="BG418" s="4">
        <f t="shared" si="587"/>
        <v>0</v>
      </c>
    </row>
    <row r="419" spans="1:60" x14ac:dyDescent="0.35">
      <c r="C419" s="19"/>
      <c r="D419" s="4"/>
      <c r="F419" s="4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E419" s="4"/>
      <c r="AG419" s="5"/>
      <c r="AI419" s="5"/>
      <c r="AM419" s="4"/>
      <c r="AN419" s="4"/>
      <c r="AO419" s="21"/>
      <c r="AP419" s="4"/>
      <c r="AQ419" s="4"/>
      <c r="AR419" s="21"/>
      <c r="AS419" s="19"/>
      <c r="AT419" s="4"/>
      <c r="BA419" s="17"/>
      <c r="BF419" s="17"/>
      <c r="BG419" s="4">
        <f t="shared" si="587"/>
        <v>0</v>
      </c>
    </row>
    <row r="420" spans="1:60" x14ac:dyDescent="0.35">
      <c r="C420" s="4"/>
      <c r="D420" s="4"/>
      <c r="F420" s="4"/>
      <c r="G420" s="4"/>
      <c r="H420" s="4"/>
      <c r="I420" s="4"/>
      <c r="J420" s="4"/>
      <c r="K420" s="4"/>
      <c r="L420" s="4"/>
      <c r="M420" s="4">
        <f>K420+L420</f>
        <v>0</v>
      </c>
      <c r="N420" s="4"/>
      <c r="O420" s="4"/>
      <c r="P420" s="4"/>
      <c r="Q420" s="4">
        <f>O420+P420</f>
        <v>0</v>
      </c>
      <c r="R420" s="4"/>
      <c r="X420" s="4">
        <f>V420</f>
        <v>0</v>
      </c>
      <c r="Y420" s="4">
        <f>W420+V420</f>
        <v>0</v>
      </c>
      <c r="AC420" s="4"/>
      <c r="AE420" s="4">
        <f>AC420+AD420</f>
        <v>0</v>
      </c>
      <c r="AG420" s="5"/>
      <c r="AM420" s="4"/>
      <c r="AN420" s="4">
        <f>C420-AM420</f>
        <v>0</v>
      </c>
      <c r="AO420" s="21">
        <f>AL420</f>
        <v>0</v>
      </c>
      <c r="AP420" s="4"/>
      <c r="AQ420" s="4"/>
      <c r="AR420" s="6"/>
      <c r="AS420" s="1"/>
      <c r="BA420" s="17"/>
      <c r="BF420" s="17"/>
      <c r="BG420" s="4">
        <f t="shared" si="587"/>
        <v>0</v>
      </c>
    </row>
    <row r="421" spans="1:60" x14ac:dyDescent="0.35">
      <c r="A421" s="50" t="s">
        <v>443</v>
      </c>
      <c r="B421" s="50"/>
      <c r="C421" s="51">
        <f>C416+C410+C382+C378+C373+C338+C307+C295+C256+C223+C184+C125+C94+C91+C73+C71+C67+C65+C59+C22+C108</f>
        <v>47946900.480000004</v>
      </c>
      <c r="D421" s="52"/>
      <c r="F421" s="52"/>
      <c r="G421" s="52">
        <f t="shared" ref="G421:L421" si="597">G22+G59+G65+G67+G71+G91+G108+G125+G184+G223+G248+G295+G307+G338+G373+G378+G382+G410+G419</f>
        <v>4105662</v>
      </c>
      <c r="H421" s="52">
        <f t="shared" si="597"/>
        <v>284746</v>
      </c>
      <c r="I421" s="52">
        <f t="shared" si="597"/>
        <v>4390408</v>
      </c>
      <c r="J421" s="52">
        <f t="shared" si="597"/>
        <v>427385.71555555554</v>
      </c>
      <c r="K421" s="52">
        <f t="shared" si="597"/>
        <v>4817793.2155555552</v>
      </c>
      <c r="L421" s="52">
        <f t="shared" si="597"/>
        <v>586273.41366666672</v>
      </c>
      <c r="M421" s="52">
        <f t="shared" ref="M421:U421" si="598">M22+M59+M65+M67+M71+M91+M108+M125+M184+M223+M248+M295+M307+M338+M373+M378+M382+M410+M419+M412</f>
        <v>5412247.279222222</v>
      </c>
      <c r="N421" s="52">
        <f t="shared" si="598"/>
        <v>619607.31158333342</v>
      </c>
      <c r="O421" s="52">
        <f t="shared" si="598"/>
        <v>6021333.3220555549</v>
      </c>
      <c r="P421" s="52">
        <f t="shared" si="598"/>
        <v>595646.24478787859</v>
      </c>
      <c r="Q421" s="52">
        <f t="shared" si="598"/>
        <v>6615987.9068434341</v>
      </c>
      <c r="R421" s="52">
        <f t="shared" si="598"/>
        <v>606570.2898919353</v>
      </c>
      <c r="S421" s="52">
        <f t="shared" si="598"/>
        <v>7377789.3395925118</v>
      </c>
      <c r="T421" s="52">
        <f t="shared" si="598"/>
        <v>615897.94853391033</v>
      </c>
      <c r="U421" s="52">
        <f t="shared" si="598"/>
        <v>7860007.9395549949</v>
      </c>
      <c r="V421" s="52">
        <f t="shared" ref="V421:AD421" si="599">V22+V59+V65+V73+V71+V91+V94+V108+V125+V184+V223+V248+V295+V307+V338+V373+V378+V382+V410+V419+V412</f>
        <v>749730.1335339105</v>
      </c>
      <c r="W421" s="52">
        <f t="shared" si="599"/>
        <v>8988330.1492555682</v>
      </c>
      <c r="X421" s="52">
        <f t="shared" si="599"/>
        <v>833136.4118672437</v>
      </c>
      <c r="Y421" s="52">
        <f t="shared" si="599"/>
        <v>9550751.6971228179</v>
      </c>
      <c r="Z421" s="52">
        <f t="shared" si="599"/>
        <v>852108.82012121205</v>
      </c>
      <c r="AA421" s="52">
        <f t="shared" si="599"/>
        <v>10427853.81462498</v>
      </c>
      <c r="AB421" s="52">
        <f t="shared" si="599"/>
        <v>860775.04845454544</v>
      </c>
      <c r="AC421" s="52">
        <f t="shared" si="599"/>
        <v>11380652.396412862</v>
      </c>
      <c r="AD421" s="52">
        <f t="shared" si="599"/>
        <v>907524.22595454531</v>
      </c>
      <c r="AE421" s="4">
        <f>AC421+AD421</f>
        <v>12288176.622367408</v>
      </c>
      <c r="AF421" s="52">
        <f>AF22+AF59+AF65+AF73+AF71+AF91+AF94+AF108+AF125+AF184+AF223+AF248+AF295+AF307+AF338+AF373+AF378+AF382+AF410+AF419+AF412</f>
        <v>943036.039010101</v>
      </c>
      <c r="AG421" s="52">
        <f>AG22+AG59+AG65+AG73+AG71+AG91+AG94+AG108+AG125+AG184+AG223+AG248+AG295+AG307+AG338+AG373+AG378+AG382+AG410+AG419+AG412+AG380</f>
        <v>13212793.31566322</v>
      </c>
      <c r="AH421" s="52">
        <f>AH22+AH59+AH65+AH73+AH71+AH91+AH94+AH108+AH125+AH184+AH223+AH248+AH295+AH307+AH338+AH373+AH378+AH382+AH410+AH419+AH412+AH380</f>
        <v>924669.26456565654</v>
      </c>
      <c r="AI421" s="5">
        <f>AG421+AH421</f>
        <v>14137462.580228876</v>
      </c>
      <c r="AJ421" s="52">
        <f>AJ22+AJ59+AJ65+AJ73+AJ71+AJ91+AJ94+AJ108+AJ125+AJ184+AJ223+AJ251+AJ295+AJ307+AJ338+AJ373+AJ378+AJ382+AJ410+AJ419+AJ412+AJ380</f>
        <v>919923.96623232332</v>
      </c>
      <c r="AK421" s="51">
        <f>AK22+AK59+AK65+AK73+AK71+AK91+AK94+AK108+AK125+AK184+AK223+AK251+AK295+AK307+AK338+AK373+AK378+AK382+AK410+AK419+AK412+AK380</f>
        <v>15109327.702484125</v>
      </c>
      <c r="AL421" s="51">
        <f>AL22+AL59+AL65+AL73+AL71+AL91+AL94+AL108+AL125+AL184+AL223+AL256+AL295+AL307+AL338+AL373+AL378+AL382+AL410+AL419+AL412+AL380</f>
        <v>939517.20837518037</v>
      </c>
      <c r="AM421" s="52">
        <f>AM412+AM410+AM382+AM378+AM373+AM338+AM307+AM295+AM256+AM223+AM184+AM125+AM94+AM91+AM73+AM71+AM67+AM65+AM59+AM22+AM108</f>
        <v>15985602.652525973</v>
      </c>
      <c r="AN421" s="51">
        <f>AN22+AN59+AN65+AN73+AN71+AN91+AN94+AN108+AN125+AN184+AN223+AN256+AN295+AN307+AN338+AN373+AN378+AN382+AN410+AN419+AN412+AN380</f>
        <v>26014025.747474026</v>
      </c>
      <c r="AO421" s="53">
        <f>AO412+AO410+AO382+AO378+AO373+AO338+AO307+AO295+AO256+AO223+AO184+AO125+AO94+AO91+AO73+AO71+AO67+AO65+AO59+AO22+AO108</f>
        <v>1009168.3222121767</v>
      </c>
      <c r="AP421" s="51">
        <f>AP412+AP410+AP382+AP378+AP373+AP338+AP307+AP295+AP256+AP223+AP184+AP125+AP94+AP91+AP73+AP71+AP67+AP65+AP59+AP22+AP108</f>
        <v>17075314.10161544</v>
      </c>
      <c r="AQ421" s="51">
        <v>26173271.998663004</v>
      </c>
      <c r="AR421" s="51">
        <v>1092600.875</v>
      </c>
      <c r="AS421" s="53">
        <v>19052337.864166666</v>
      </c>
      <c r="AT421" s="51">
        <v>25079612.552829672</v>
      </c>
      <c r="AU421" s="53">
        <f>AU22+AU59+AU65+AU73+AU71+AU91+AU94+AU108+AU125+AU184+AU223+AU256+AU295+AU307+AU338+AU373+AU378+AU382+AU410+AU419+AU416</f>
        <v>1034518.1944354981</v>
      </c>
      <c r="AV421" s="53">
        <f>AV22+AV59+AV65+AV73+AV71+AV91+AV94+AV108+AV125+AV184+AV223+AV256+AV295+AV307+AV338+AV373+AV378+AV382+AV410+AV419+AV416</f>
        <v>19619400.008602157</v>
      </c>
      <c r="AW421" s="51">
        <f>AW416+AW410+AW382+AW378+AW373+AW338+AW307+AW295+AW256+AW223+AW184+AW125+AW94+AW91+AW73+AW71+AW67+AW65+AW59+AW22+AW108</f>
        <v>26004959.254731175</v>
      </c>
      <c r="AX421" s="53">
        <f>AX22+AX59+AX65+AX73+AX71+AX91+AX94+AX108+AX125+AX184+AX223+AX256+AX295+AX307+AX338+AX373+AX378+AX382+AX410+AX419+AX416</f>
        <v>1034174.8296735932</v>
      </c>
      <c r="AY421" s="53">
        <f>AY22+AY59+AY65+AY73+AY71+AY91+AY94+AY108+AY125+AY184+AY223+AY256+AY295+AY307+AY338+AY373+AY378+AY382+AY410+AY419+AY416</f>
        <v>19978473.988275759</v>
      </c>
      <c r="AZ421" s="53">
        <f>AZ22+AZ59+AZ65+AZ73+AZ71+AZ91+AZ94+AZ108+AZ125+AZ184+AZ223+AZ256+AZ295+AZ307+AZ338+AZ373+AZ378+AZ382+AZ410+AZ419+AZ416</f>
        <v>27090688.491724238</v>
      </c>
      <c r="BA421" s="54">
        <f>BA416+BA410+BA382+BA378+BA373+BA338+BA307+BA295+BA256+BA223+BA184+BA125+BA94+BA91+BA73+BA71+BA67+BA65+BA59+BA22+BA108</f>
        <v>1067018.1772847043</v>
      </c>
      <c r="BB421" s="51">
        <f>BB416+BB410+BB382+BB378+BB373+BB338+BB307+BB295+BB256+BB223+BB184+BB125+BB94+BB91+BB73+BB71+BB67+BB65+BB59+BB22+BB108</f>
        <v>21025992.165560454</v>
      </c>
      <c r="BC421" s="51">
        <f t="shared" ref="BC421" si="600">BC22+BC59+BC65+BC73+BC71+BC91+BC94+BC108+BC125+BC184+BC223+BC256+BC295+BC307+BC338+BC373+BC378+BC382+BC410+BC419+BC416+BC380</f>
        <v>26909548.314439546</v>
      </c>
      <c r="BD421" s="3">
        <f>SUM(BD7:BD416)</f>
        <v>846878</v>
      </c>
      <c r="BF421" s="54">
        <v>1088577.1644751804</v>
      </c>
      <c r="BG421" s="55">
        <f t="shared" si="587"/>
        <v>-21558.987190476153</v>
      </c>
      <c r="BH421" s="49">
        <f>SUM(BF421:BG421)</f>
        <v>1067018.1772847043</v>
      </c>
    </row>
    <row r="422" spans="1:60" x14ac:dyDescent="0.35">
      <c r="X422" s="4"/>
      <c r="AC422" s="4"/>
      <c r="AG422" s="5"/>
      <c r="AM422" s="4"/>
      <c r="AO422" s="6"/>
      <c r="AR422" s="6"/>
      <c r="AS422" s="1"/>
      <c r="AT422" s="49"/>
      <c r="BA422" s="56"/>
      <c r="BG422" s="49"/>
    </row>
    <row r="423" spans="1:60" x14ac:dyDescent="0.35">
      <c r="X423" s="4"/>
      <c r="AC423" s="4"/>
      <c r="AG423" s="5"/>
      <c r="AM423" s="4"/>
      <c r="AO423" s="6"/>
      <c r="AR423" s="6"/>
      <c r="AS423" s="1"/>
      <c r="AT423" s="49"/>
    </row>
    <row r="424" spans="1:60" x14ac:dyDescent="0.35">
      <c r="M424" s="3" t="s">
        <v>444</v>
      </c>
      <c r="X424" s="4"/>
      <c r="AC424" s="4"/>
      <c r="AG424" s="5"/>
      <c r="AM424" s="4"/>
      <c r="AO424" s="6"/>
      <c r="AR424" s="6"/>
      <c r="AS424" s="1"/>
    </row>
    <row r="425" spans="1:60" x14ac:dyDescent="0.35">
      <c r="A425" s="3" t="s">
        <v>445</v>
      </c>
      <c r="B425" s="3" t="s">
        <v>127</v>
      </c>
      <c r="C425" s="4">
        <v>215344</v>
      </c>
      <c r="D425" s="4" t="s">
        <v>80</v>
      </c>
      <c r="F425" s="4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G425" s="5"/>
      <c r="AJ425" s="4"/>
      <c r="AK425" s="4"/>
      <c r="AL425" s="4">
        <v>0</v>
      </c>
      <c r="AM425" s="4">
        <f>SUM(AK425:AL425)</f>
        <v>0</v>
      </c>
      <c r="AN425" s="4">
        <f>C425-AM425</f>
        <v>215344</v>
      </c>
      <c r="AO425" s="6">
        <f>215344/5</f>
        <v>43068.800000000003</v>
      </c>
      <c r="AQ425" s="4">
        <v>172275.20000000001</v>
      </c>
      <c r="AR425" s="21">
        <v>43068.800000000003</v>
      </c>
      <c r="AS425" s="19">
        <f>SUM(C425-AQ425+AR425)</f>
        <v>86137.599999999991</v>
      </c>
      <c r="AT425" s="4">
        <v>129206.40000000001</v>
      </c>
      <c r="AU425" s="21">
        <f>AR425</f>
        <v>43068.800000000003</v>
      </c>
      <c r="AV425" s="19">
        <f>SUM(AS425+AU425)</f>
        <v>129206.39999999999</v>
      </c>
      <c r="AW425" s="4"/>
      <c r="AX425" s="21">
        <f>AU425</f>
        <v>43068.800000000003</v>
      </c>
      <c r="AY425" s="19">
        <v>183042</v>
      </c>
      <c r="AZ425" s="4">
        <v>32302</v>
      </c>
      <c r="BA425" s="58">
        <v>32302</v>
      </c>
      <c r="BB425" s="4">
        <f t="shared" ref="BB425" si="601">SUM(AY425+BA425)</f>
        <v>215344</v>
      </c>
      <c r="BC425" s="4">
        <f t="shared" ref="BC425" si="602">SUM(C425-BB425)</f>
        <v>0</v>
      </c>
    </row>
    <row r="426" spans="1:60" x14ac:dyDescent="0.35">
      <c r="A426" s="3" t="s">
        <v>446</v>
      </c>
      <c r="B426" s="3" t="s">
        <v>447</v>
      </c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</row>
    <row r="427" spans="1:60" x14ac:dyDescent="0.35">
      <c r="B427" s="1"/>
      <c r="C427" s="1"/>
      <c r="D427" s="1"/>
      <c r="F427" s="1"/>
      <c r="G427" s="1"/>
      <c r="AC427" s="4"/>
      <c r="AG427" s="5"/>
      <c r="AM427" s="4"/>
      <c r="AO427" s="6"/>
      <c r="AR427" s="6"/>
      <c r="AS427" s="1"/>
    </row>
    <row r="428" spans="1:60" x14ac:dyDescent="0.35">
      <c r="AC428" s="4"/>
      <c r="AG428" s="5"/>
      <c r="AM428" s="4"/>
      <c r="AO428" s="6"/>
      <c r="AQ428" s="7"/>
      <c r="AR428" s="8"/>
      <c r="AS428" s="9"/>
      <c r="AT428" s="7"/>
      <c r="AU428" s="8"/>
      <c r="AV428" s="9"/>
      <c r="AW428" s="7"/>
      <c r="AX428" s="8"/>
      <c r="AY428" s="9"/>
      <c r="AZ428" s="7"/>
    </row>
    <row r="429" spans="1:60" x14ac:dyDescent="0.35">
      <c r="B429" s="7"/>
      <c r="C429" s="7"/>
      <c r="D429" s="7"/>
      <c r="F429" s="7"/>
      <c r="G429" s="12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13"/>
      <c r="AD429" s="7"/>
      <c r="AE429" s="7"/>
      <c r="AF429" s="7"/>
      <c r="AG429" s="14"/>
      <c r="AH429" s="7"/>
      <c r="AI429" s="7"/>
      <c r="AJ429" s="7"/>
      <c r="AK429" s="7"/>
      <c r="AL429" s="7"/>
      <c r="AM429" s="13"/>
      <c r="AN429" s="7"/>
      <c r="AO429" s="8"/>
      <c r="AP429" s="7"/>
      <c r="AQ429" s="7"/>
      <c r="AR429" s="8"/>
      <c r="AS429" s="9"/>
      <c r="AT429" s="7"/>
      <c r="AU429" s="8"/>
      <c r="AV429" s="9"/>
      <c r="AW429" s="7"/>
      <c r="AX429" s="8"/>
      <c r="AY429" s="9"/>
      <c r="AZ429" s="7"/>
    </row>
    <row r="430" spans="1:60" x14ac:dyDescent="0.35">
      <c r="C430" s="51"/>
    </row>
  </sheetData>
  <mergeCells count="2">
    <mergeCell ref="BH21:BK21"/>
    <mergeCell ref="BH75:BK75"/>
  </mergeCells>
  <printOptions horizontalCentered="1"/>
  <pageMargins left="0.25" right="0.25" top="0.75" bottom="0.75" header="0.3" footer="0.3"/>
  <pageSetup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Water</vt:lpstr>
      <vt:lpstr>Water!Print_Area</vt:lpstr>
      <vt:lpstr>Water!Print_Titles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Wuetcher</dc:creator>
  <cp:lastModifiedBy>Gerald Wuetcher</cp:lastModifiedBy>
  <cp:lastPrinted>2025-05-16T12:26:10Z</cp:lastPrinted>
  <dcterms:created xsi:type="dcterms:W3CDTF">2025-05-15T20:00:46Z</dcterms:created>
  <dcterms:modified xsi:type="dcterms:W3CDTF">2025-05-16T12:28:25Z</dcterms:modified>
</cp:coreProperties>
</file>