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4" documentId="8_{9CD9DA8E-DAB2-4706-99CF-469D15A2AD9C}" xr6:coauthVersionLast="47" xr6:coauthVersionMax="47" xr10:uidLastSave="{CDBC276A-1C1F-405B-8329-2EF801D8AE6D}"/>
  <bookViews>
    <workbookView xWindow="-110" yWindow="-110" windowWidth="19420" windowHeight="11500" xr2:uid="{8B4AB62A-6874-4C3D-915F-743CC8DEDFEE}"/>
  </bookViews>
  <sheets>
    <sheet name="ExBAs" sheetId="1" r:id="rId1"/>
    <sheet name="PRBAs" sheetId="2" r:id="rId2"/>
  </sheets>
  <externalReferences>
    <externalReference r:id="rId3"/>
  </externalReference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J65" i="2"/>
  <c r="I65" i="2"/>
  <c r="F65" i="2"/>
  <c r="E65" i="2"/>
  <c r="D65" i="2"/>
  <c r="C65" i="2"/>
  <c r="O63" i="2"/>
  <c r="N60" i="2"/>
  <c r="M60" i="2"/>
  <c r="M65" i="2" s="1"/>
  <c r="L60" i="2"/>
  <c r="L65" i="2" s="1"/>
  <c r="K60" i="2"/>
  <c r="K65" i="2" s="1"/>
  <c r="J60" i="2"/>
  <c r="I60" i="2"/>
  <c r="H60" i="2"/>
  <c r="G60" i="2"/>
  <c r="N59" i="2"/>
  <c r="M59" i="2"/>
  <c r="L59" i="2"/>
  <c r="K59" i="2"/>
  <c r="J59" i="2"/>
  <c r="I59" i="2"/>
  <c r="H59" i="2"/>
  <c r="O59" i="2" s="1"/>
  <c r="C20" i="2" s="1"/>
  <c r="E20" i="2" s="1"/>
  <c r="G59" i="2"/>
  <c r="N58" i="2"/>
  <c r="N65" i="2" s="1"/>
  <c r="M58" i="2"/>
  <c r="L58" i="2"/>
  <c r="K58" i="2"/>
  <c r="J58" i="2"/>
  <c r="I58" i="2"/>
  <c r="H58" i="2"/>
  <c r="H65" i="2" s="1"/>
  <c r="G58" i="2"/>
  <c r="G65" i="2" s="1"/>
  <c r="N55" i="2"/>
  <c r="F55" i="2"/>
  <c r="E55" i="2"/>
  <c r="D55" i="2"/>
  <c r="C55" i="2"/>
  <c r="O54" i="2"/>
  <c r="D35" i="2" s="1"/>
  <c r="F35" i="2" s="1"/>
  <c r="F36" i="2" s="1"/>
  <c r="D41" i="2" s="1"/>
  <c r="O53" i="2"/>
  <c r="N50" i="2"/>
  <c r="M50" i="2"/>
  <c r="L50" i="2"/>
  <c r="K50" i="2"/>
  <c r="J50" i="2"/>
  <c r="I50" i="2"/>
  <c r="H50" i="2"/>
  <c r="G50" i="2"/>
  <c r="O50" i="2" s="1"/>
  <c r="D21" i="2" s="1"/>
  <c r="N49" i="2"/>
  <c r="O49" i="2" s="1"/>
  <c r="D20" i="2" s="1"/>
  <c r="M49" i="2"/>
  <c r="L49" i="2"/>
  <c r="K49" i="2"/>
  <c r="J49" i="2"/>
  <c r="J55" i="2" s="1"/>
  <c r="I49" i="2"/>
  <c r="I55" i="2" s="1"/>
  <c r="H49" i="2"/>
  <c r="G49" i="2"/>
  <c r="N48" i="2"/>
  <c r="M48" i="2"/>
  <c r="M55" i="2" s="1"/>
  <c r="L48" i="2"/>
  <c r="L55" i="2" s="1"/>
  <c r="K48" i="2"/>
  <c r="O48" i="2" s="1"/>
  <c r="D19" i="2" s="1"/>
  <c r="J48" i="2"/>
  <c r="I48" i="2"/>
  <c r="H48" i="2"/>
  <c r="H55" i="2" s="1"/>
  <c r="G48" i="2"/>
  <c r="G55" i="2" s="1"/>
  <c r="E41" i="2"/>
  <c r="B41" i="2"/>
  <c r="E40" i="2"/>
  <c r="B40" i="2"/>
  <c r="C36" i="2"/>
  <c r="D8" i="2" s="1"/>
  <c r="E35" i="2"/>
  <c r="D34" i="2"/>
  <c r="C34" i="2"/>
  <c r="F33" i="2"/>
  <c r="E33" i="2"/>
  <c r="E28" i="2"/>
  <c r="B28" i="2"/>
  <c r="E27" i="2"/>
  <c r="B27" i="2"/>
  <c r="E26" i="2"/>
  <c r="B26" i="2"/>
  <c r="G18" i="2"/>
  <c r="F18" i="2"/>
  <c r="E18" i="2"/>
  <c r="F74" i="1"/>
  <c r="E74" i="1"/>
  <c r="I65" i="1"/>
  <c r="F65" i="1"/>
  <c r="E65" i="1"/>
  <c r="D65" i="1"/>
  <c r="C65" i="1"/>
  <c r="O63" i="1"/>
  <c r="N60" i="1"/>
  <c r="N65" i="1" s="1"/>
  <c r="M60" i="1"/>
  <c r="L60" i="1"/>
  <c r="K60" i="1"/>
  <c r="J60" i="1"/>
  <c r="I60" i="1"/>
  <c r="H60" i="1"/>
  <c r="G60" i="1"/>
  <c r="O60" i="1" s="1"/>
  <c r="C21" i="1" s="1"/>
  <c r="N59" i="1"/>
  <c r="M59" i="1"/>
  <c r="L59" i="1"/>
  <c r="K59" i="1"/>
  <c r="K65" i="1" s="1"/>
  <c r="J59" i="1"/>
  <c r="J65" i="1" s="1"/>
  <c r="I59" i="1"/>
  <c r="H59" i="1"/>
  <c r="H65" i="1" s="1"/>
  <c r="G59" i="1"/>
  <c r="G65" i="1" s="1"/>
  <c r="N58" i="1"/>
  <c r="M58" i="1"/>
  <c r="M65" i="1" s="1"/>
  <c r="L58" i="1"/>
  <c r="L65" i="1" s="1"/>
  <c r="K58" i="1"/>
  <c r="J58" i="1"/>
  <c r="I58" i="1"/>
  <c r="H58" i="1"/>
  <c r="G58" i="1"/>
  <c r="O58" i="1" s="1"/>
  <c r="M55" i="1"/>
  <c r="F55" i="1"/>
  <c r="E55" i="1"/>
  <c r="D55" i="1"/>
  <c r="C55" i="1"/>
  <c r="O54" i="1"/>
  <c r="D35" i="1" s="1"/>
  <c r="O53" i="1"/>
  <c r="N50" i="1"/>
  <c r="M50" i="1"/>
  <c r="L50" i="1"/>
  <c r="K50" i="1"/>
  <c r="J50" i="1"/>
  <c r="I50" i="1"/>
  <c r="H50" i="1"/>
  <c r="H55" i="1" s="1"/>
  <c r="G50" i="1"/>
  <c r="O50" i="1" s="1"/>
  <c r="D21" i="1" s="1"/>
  <c r="N49" i="1"/>
  <c r="O49" i="1" s="1"/>
  <c r="D20" i="1" s="1"/>
  <c r="M49" i="1"/>
  <c r="L49" i="1"/>
  <c r="K49" i="1"/>
  <c r="J49" i="1"/>
  <c r="J55" i="1" s="1"/>
  <c r="I49" i="1"/>
  <c r="I55" i="1" s="1"/>
  <c r="H49" i="1"/>
  <c r="G49" i="1"/>
  <c r="N48" i="1"/>
  <c r="M48" i="1"/>
  <c r="L48" i="1"/>
  <c r="L55" i="1" s="1"/>
  <c r="K48" i="1"/>
  <c r="O48" i="1" s="1"/>
  <c r="J48" i="1"/>
  <c r="I48" i="1"/>
  <c r="H48" i="1"/>
  <c r="G48" i="1"/>
  <c r="G55" i="1" s="1"/>
  <c r="B41" i="1"/>
  <c r="B40" i="1"/>
  <c r="E35" i="1"/>
  <c r="E34" i="1"/>
  <c r="G34" i="1" s="1"/>
  <c r="D34" i="1"/>
  <c r="C34" i="1"/>
  <c r="C36" i="1" s="1"/>
  <c r="F33" i="1"/>
  <c r="E33" i="1"/>
  <c r="B28" i="1"/>
  <c r="B27" i="1"/>
  <c r="B26" i="1"/>
  <c r="G18" i="1"/>
  <c r="F18" i="1"/>
  <c r="E18" i="1"/>
  <c r="F10" i="1"/>
  <c r="G41" i="2" l="1"/>
  <c r="C40" i="1"/>
  <c r="G40" i="1" s="1"/>
  <c r="G42" i="1" s="1"/>
  <c r="F8" i="1" s="1"/>
  <c r="D8" i="1"/>
  <c r="C74" i="1"/>
  <c r="E21" i="1"/>
  <c r="F21" i="1"/>
  <c r="F20" i="2"/>
  <c r="D36" i="1"/>
  <c r="F35" i="1"/>
  <c r="F36" i="1" s="1"/>
  <c r="D41" i="1" s="1"/>
  <c r="G41" i="1" s="1"/>
  <c r="H20" i="2"/>
  <c r="D19" i="1"/>
  <c r="P54" i="1"/>
  <c r="D36" i="2"/>
  <c r="E8" i="2" s="1"/>
  <c r="P64" i="1"/>
  <c r="C19" i="1"/>
  <c r="O65" i="2"/>
  <c r="O65" i="1"/>
  <c r="F20" i="1"/>
  <c r="F22" i="1" s="1"/>
  <c r="D22" i="2"/>
  <c r="E19" i="2"/>
  <c r="G21" i="1"/>
  <c r="G22" i="1" s="1"/>
  <c r="G35" i="2"/>
  <c r="O60" i="2"/>
  <c r="C21" i="2" s="1"/>
  <c r="E36" i="1"/>
  <c r="D40" i="1" s="1"/>
  <c r="D42" i="1" s="1"/>
  <c r="O59" i="1"/>
  <c r="C20" i="1" s="1"/>
  <c r="E20" i="1" s="1"/>
  <c r="K55" i="2"/>
  <c r="O55" i="2" s="1"/>
  <c r="K55" i="1"/>
  <c r="O55" i="1" s="1"/>
  <c r="E34" i="2"/>
  <c r="C40" i="2"/>
  <c r="G40" i="2" s="1"/>
  <c r="O58" i="2"/>
  <c r="C19" i="2" s="1"/>
  <c r="N55" i="1"/>
  <c r="G42" i="2" l="1"/>
  <c r="F8" i="2" s="1"/>
  <c r="G73" i="1"/>
  <c r="G75" i="1" s="1"/>
  <c r="D28" i="1"/>
  <c r="G28" i="1" s="1"/>
  <c r="E19" i="1"/>
  <c r="D22" i="1"/>
  <c r="D73" i="1" s="1"/>
  <c r="F21" i="2"/>
  <c r="F22" i="2" s="1"/>
  <c r="D27" i="2" s="1"/>
  <c r="G27" i="2" s="1"/>
  <c r="E21" i="2"/>
  <c r="E22" i="2"/>
  <c r="D26" i="2" s="1"/>
  <c r="H19" i="2"/>
  <c r="E8" i="1"/>
  <c r="L8" i="1" s="1"/>
  <c r="D74" i="1"/>
  <c r="G74" i="1" s="1"/>
  <c r="H74" i="1" s="1"/>
  <c r="E36" i="2"/>
  <c r="D40" i="2" s="1"/>
  <c r="D42" i="2" s="1"/>
  <c r="G34" i="2"/>
  <c r="G36" i="2" s="1"/>
  <c r="G35" i="1"/>
  <c r="G36" i="1" s="1"/>
  <c r="C22" i="2"/>
  <c r="C26" i="2" s="1"/>
  <c r="D27" i="1"/>
  <c r="G27" i="1" s="1"/>
  <c r="F73" i="1"/>
  <c r="F75" i="1" s="1"/>
  <c r="H20" i="1"/>
  <c r="C22" i="1"/>
  <c r="H21" i="1"/>
  <c r="C73" i="1" l="1"/>
  <c r="C75" i="1" s="1"/>
  <c r="C26" i="1"/>
  <c r="G21" i="2"/>
  <c r="G22" i="2" s="1"/>
  <c r="D28" i="2" s="1"/>
  <c r="G28" i="2" s="1"/>
  <c r="D75" i="1"/>
  <c r="G26" i="2"/>
  <c r="C29" i="2"/>
  <c r="D7" i="2" s="1"/>
  <c r="D9" i="2" s="1"/>
  <c r="E22" i="1"/>
  <c r="H19" i="1"/>
  <c r="H22" i="1" s="1"/>
  <c r="E73" i="1" l="1"/>
  <c r="D26" i="1"/>
  <c r="D29" i="1" s="1"/>
  <c r="E7" i="1" s="1"/>
  <c r="G29" i="2"/>
  <c r="F7" i="2" s="1"/>
  <c r="F9" i="2" s="1"/>
  <c r="F11" i="2" s="1"/>
  <c r="H21" i="2"/>
  <c r="H22" i="2" s="1"/>
  <c r="D29" i="2"/>
  <c r="E7" i="2" s="1"/>
  <c r="E9" i="2" s="1"/>
  <c r="C29" i="1"/>
  <c r="D7" i="1" s="1"/>
  <c r="D9" i="1" s="1"/>
  <c r="G26" i="1"/>
  <c r="G29" i="1" s="1"/>
  <c r="F7" i="1" s="1"/>
  <c r="F9" i="1" s="1"/>
  <c r="F11" i="1" s="1"/>
  <c r="E75" i="1" l="1"/>
  <c r="H75" i="1" s="1"/>
  <c r="H73" i="1"/>
  <c r="L7" i="1"/>
  <c r="E9" i="1"/>
</calcChain>
</file>

<file path=xl/sharedStrings.xml><?xml version="1.0" encoding="utf-8"?>
<sst xmlns="http://schemas.openxmlformats.org/spreadsheetml/2006/main" count="210" uniqueCount="51">
  <si>
    <t>CURRENT BILLING ANALYSIS - 2023 USAGE &amp; EXISTING RATES</t>
  </si>
  <si>
    <t>Sewer Division</t>
  </si>
  <si>
    <t xml:space="preserve">  SUMMARY  </t>
  </si>
  <si>
    <t>Average Monthly</t>
  </si>
  <si>
    <t>No. of Bills</t>
  </si>
  <si>
    <t>Gallons Sold</t>
  </si>
  <si>
    <t>Revenue</t>
  </si>
  <si>
    <t>Usage</t>
  </si>
  <si>
    <t>Retail Customers</t>
  </si>
  <si>
    <t>Federal Correctonal Facility</t>
  </si>
  <si>
    <t>Totals</t>
  </si>
  <si>
    <t>2023 Sales</t>
  </si>
  <si>
    <t>Total Sewer Sales Revenue</t>
  </si>
  <si>
    <t>CONSUMPTION BY RATE INCREMENT</t>
  </si>
  <si>
    <t>First</t>
  </si>
  <si>
    <t>Next</t>
  </si>
  <si>
    <t>Over</t>
  </si>
  <si>
    <t>USAGE</t>
  </si>
  <si>
    <t>BILLS</t>
  </si>
  <si>
    <t>GALLONS</t>
  </si>
  <si>
    <t>Total</t>
  </si>
  <si>
    <t>REVENUE BY RATE INCREMENT</t>
  </si>
  <si>
    <t>RATE</t>
  </si>
  <si>
    <t>REVENUE</t>
  </si>
  <si>
    <t>per month</t>
  </si>
  <si>
    <t>per gallon</t>
  </si>
  <si>
    <t>CONSUMPTION BY RATE INCREMENT- Federal Correctional Facility</t>
  </si>
  <si>
    <t>*Sewer rates effective 9/30/24</t>
  </si>
  <si>
    <t>FA,YA,Yb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</si>
  <si>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</si>
  <si>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</si>
  <si>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</si>
  <si>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</si>
  <si>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</si>
  <si>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</si>
  <si>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</si>
  <si>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</si>
  <si>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</si>
  <si>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</si>
  <si>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</si>
  <si>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</si>
  <si>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</si>
  <si>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WP</t>
  </si>
  <si>
    <t>Average Usage</t>
  </si>
  <si>
    <t>Bills</t>
  </si>
  <si>
    <t>All Sewer Sales</t>
  </si>
  <si>
    <t>Retail</t>
  </si>
  <si>
    <t>Fed Correc</t>
  </si>
  <si>
    <t>BILLING ANALYSIS - 2023 USAGE &amp; PROPOSED RATES</t>
  </si>
  <si>
    <t>Revenue Requirement from Sewer Sales</t>
  </si>
  <si>
    <t>SAOs Cell G59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</si>
</sst>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  <numFmt numFmtId="167" formatCode="&quot;$&quot;#,##0.00000"/>
  </numFmts>
  <fonts count="6" x14ac:knownFonts="1">
    <font>
      <sz val="12"/>
      <name val="Arial"/>
    </font>
    <font>
      <u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164" fontId="0" fillId="0" borderId="0" xfId="1" applyNumberFormat="1" applyFont="1"/>
    <xf numFmtId="164" fontId="0" fillId="0" borderId="6" xfId="0" applyNumberFormat="1" applyBorder="1"/>
    <xf numFmtId="165" fontId="3" fillId="0" borderId="0" xfId="2" applyNumberFormat="1" applyFont="1" applyBorder="1" applyAlignment="1">
      <alignment horizontal="right"/>
    </xf>
    <xf numFmtId="165" fontId="0" fillId="0" borderId="6" xfId="0" applyNumberFormat="1" applyBorder="1"/>
    <xf numFmtId="165" fontId="4" fillId="0" borderId="0" xfId="2" applyNumberFormat="1" applyFont="1" applyBorder="1" applyAlignment="1">
      <alignment horizontal="right"/>
    </xf>
    <xf numFmtId="3" fontId="0" fillId="0" borderId="0" xfId="0" applyNumberFormat="1"/>
    <xf numFmtId="49" fontId="0" fillId="0" borderId="0" xfId="0" applyNumberFormat="1"/>
    <xf numFmtId="44" fontId="0" fillId="0" borderId="0" xfId="0" applyNumberFormat="1"/>
    <xf numFmtId="164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44" fontId="0" fillId="0" borderId="0" xfId="0" applyNumberFormat="1" applyAlignment="1">
      <alignment horizontal="center"/>
    </xf>
    <xf numFmtId="166" fontId="0" fillId="0" borderId="0" xfId="0" applyNumberFormat="1"/>
    <xf numFmtId="167" fontId="0" fillId="0" borderId="0" xfId="0" applyNumberFormat="1"/>
    <xf numFmtId="0" fontId="0" fillId="0" borderId="6" xfId="0" applyBorder="1"/>
    <xf numFmtId="167" fontId="0" fillId="0" borderId="6" xfId="0" applyNumberFormat="1" applyBorder="1"/>
    <xf numFmtId="166" fontId="0" fillId="0" borderId="6" xfId="0" applyNumberFormat="1" applyBorder="1"/>
    <xf numFmtId="164" fontId="0" fillId="0" borderId="0" xfId="1" applyNumberFormat="1" applyFont="1" applyBorder="1"/>
    <xf numFmtId="43" fontId="0" fillId="0" borderId="5" xfId="0" applyNumberFormat="1" applyBorder="1"/>
    <xf numFmtId="37" fontId="0" fillId="0" borderId="0" xfId="0" applyNumberFormat="1"/>
    <xf numFmtId="0" fontId="0" fillId="0" borderId="8" xfId="0" applyBorder="1"/>
    <xf numFmtId="0" fontId="0" fillId="0" borderId="7" xfId="0" applyBorder="1"/>
    <xf numFmtId="0" fontId="2" fillId="2" borderId="0" xfId="0" applyFont="1" applyFill="1"/>
    <xf numFmtId="0" fontId="2" fillId="0" borderId="0" xfId="0" applyFont="1"/>
    <xf numFmtId="3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2" fillId="0" borderId="0" xfId="1" applyNumberFormat="1" applyFont="1"/>
    <xf numFmtId="164" fontId="0" fillId="0" borderId="0" xfId="1" applyNumberFormat="1" applyFont="1" applyFill="1"/>
    <xf numFmtId="164" fontId="0" fillId="0" borderId="6" xfId="1" applyNumberFormat="1" applyFont="1" applyBorder="1"/>
    <xf numFmtId="0" fontId="2" fillId="0" borderId="0" xfId="0" applyFont="1" applyAlignment="1">
      <alignment horizontal="right"/>
    </xf>
    <xf numFmtId="164" fontId="4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Currency 2" xfId="2" xr:uid="{59A289D1-6990-4BF4-8AD0-70EA13F4A3C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kofirm-my.sharepoint.com/personal/gerald_wuetcher_skofirm_com/Documents/McCrearyCountyWaterDistrict_2025RateApplication/Application_Sewer/002_RateStudy.xlsx" TargetMode="External"/><Relationship Id="rId1" Type="http://schemas.openxmlformats.org/officeDocument/2006/relationships/externalLinkPath" Target="/personal/gerald_wuetcher_skofirm_com/Documents/McCrearyCountyWaterDistrict_2025RateApplication/Application_Sewer/002_RateStu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Ow"/>
      <sheetName val="SAOs"/>
      <sheetName val="References"/>
      <sheetName val="Adj"/>
      <sheetName val="Depr"/>
      <sheetName val="Debt Serv"/>
      <sheetName val="Wages"/>
      <sheetName val="Medical"/>
      <sheetName val="Rates"/>
      <sheetName val="Notice"/>
      <sheetName val="Bills"/>
      <sheetName val="ExBAw"/>
      <sheetName val="PrBAw phase 1"/>
      <sheetName val="PrBAw phase 2"/>
      <sheetName val="ExBAs"/>
      <sheetName val="PRBAs"/>
    </sheetNames>
    <sheetDataSet>
      <sheetData sheetId="0"/>
      <sheetData sheetId="1">
        <row r="7">
          <cell r="D7">
            <v>503275.52000000002</v>
          </cell>
        </row>
        <row r="8">
          <cell r="D8">
            <v>233424.64000000001</v>
          </cell>
        </row>
        <row r="9">
          <cell r="D9">
            <v>75604.45</v>
          </cell>
        </row>
        <row r="10">
          <cell r="D10">
            <v>1197642.6399999999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L14">
            <v>30.97</v>
          </cell>
        </row>
        <row r="15">
          <cell r="L15">
            <v>1.081E-2</v>
          </cell>
        </row>
        <row r="16">
          <cell r="L16">
            <v>9.5999999999999992E-3</v>
          </cell>
        </row>
        <row r="19">
          <cell r="L19">
            <v>12420.57</v>
          </cell>
        </row>
        <row r="20">
          <cell r="L20">
            <v>1.081E-2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8CA4-779B-4C75-AA1A-20937C1FB099}">
  <sheetPr>
    <tabColor rgb="FF92D050"/>
  </sheetPr>
  <dimension ref="A1:P75"/>
  <sheetViews>
    <sheetView tabSelected="1" topLeftCell="C1" workbookViewId="0">
      <selection sqref="A1:H42"/>
    </sheetView>
  </sheetViews>
  <sheetFormatPr defaultRowHeight="15.5" x14ac:dyDescent="0.35"/>
  <cols>
    <col min="2" max="2" width="10.61328125" customWidth="1"/>
    <col min="3" max="3" width="12.69140625" bestFit="1" customWidth="1"/>
    <col min="4" max="4" width="12.921875" customWidth="1"/>
    <col min="5" max="5" width="12.53515625" customWidth="1"/>
    <col min="6" max="6" width="12.23046875" customWidth="1"/>
    <col min="7" max="7" width="13.23046875" customWidth="1"/>
    <col min="8" max="8" width="12.3828125" customWidth="1"/>
    <col min="9" max="9" width="12.07421875" customWidth="1"/>
    <col min="10" max="10" width="12.15234375" customWidth="1"/>
    <col min="11" max="11" width="11.61328125" customWidth="1"/>
    <col min="12" max="12" width="14.69140625" bestFit="1" customWidth="1"/>
    <col min="13" max="13" width="11.765625" customWidth="1"/>
    <col min="14" max="14" width="11.921875" customWidth="1"/>
    <col min="15" max="15" width="13" customWidth="1"/>
    <col min="16" max="16" width="13.07421875" customWidth="1"/>
  </cols>
  <sheetData>
    <row r="1" spans="1:12" x14ac:dyDescent="0.35">
      <c r="A1" s="44" t="s">
        <v>0</v>
      </c>
      <c r="B1" s="45"/>
      <c r="C1" s="45"/>
      <c r="D1" s="45"/>
      <c r="E1" s="45"/>
      <c r="F1" s="45"/>
      <c r="G1" s="45"/>
      <c r="H1" s="46"/>
      <c r="I1" s="1"/>
    </row>
    <row r="2" spans="1:12" x14ac:dyDescent="0.35">
      <c r="A2" s="47"/>
      <c r="B2" s="48"/>
      <c r="C2" s="48"/>
      <c r="D2" s="48"/>
      <c r="E2" s="48"/>
      <c r="F2" s="48"/>
      <c r="G2" s="48"/>
      <c r="H2" s="49"/>
      <c r="I2" s="1"/>
    </row>
    <row r="3" spans="1:12" x14ac:dyDescent="0.35">
      <c r="A3" s="50" t="s">
        <v>1</v>
      </c>
      <c r="B3" s="51"/>
      <c r="C3" s="51"/>
      <c r="D3" s="51"/>
      <c r="E3" s="51"/>
      <c r="F3" s="51"/>
      <c r="G3" s="51"/>
      <c r="H3" s="52"/>
      <c r="I3" s="1"/>
    </row>
    <row r="4" spans="1:12" x14ac:dyDescent="0.35">
      <c r="A4" s="4"/>
      <c r="H4" s="5"/>
      <c r="I4" s="1"/>
    </row>
    <row r="5" spans="1:12" x14ac:dyDescent="0.35">
      <c r="A5" s="4"/>
      <c r="B5" s="6" t="s">
        <v>2</v>
      </c>
      <c r="H5" s="5"/>
      <c r="I5" s="1"/>
      <c r="L5" s="7" t="s">
        <v>3</v>
      </c>
    </row>
    <row r="6" spans="1:12" x14ac:dyDescent="0.35">
      <c r="A6" s="4"/>
      <c r="D6" t="s">
        <v>4</v>
      </c>
      <c r="E6" t="s">
        <v>5</v>
      </c>
      <c r="F6" t="s">
        <v>6</v>
      </c>
      <c r="H6" s="5"/>
      <c r="I6" s="1"/>
      <c r="L6" s="8" t="s">
        <v>7</v>
      </c>
    </row>
    <row r="7" spans="1:12" x14ac:dyDescent="0.35">
      <c r="A7" s="4" t="s">
        <v>8</v>
      </c>
      <c r="D7" s="1">
        <f>C29</f>
        <v>15719</v>
      </c>
      <c r="E7" s="1">
        <f>D29</f>
        <v>83320000</v>
      </c>
      <c r="F7" s="9">
        <f>G29</f>
        <v>1052506</v>
      </c>
      <c r="H7" s="5"/>
      <c r="I7" s="1"/>
      <c r="L7" s="10">
        <f>E7/D7</f>
        <v>5300.5916406896113</v>
      </c>
    </row>
    <row r="8" spans="1:12" x14ac:dyDescent="0.35">
      <c r="A8" s="4" t="s">
        <v>9</v>
      </c>
      <c r="D8" s="11">
        <f>C36</f>
        <v>12</v>
      </c>
      <c r="E8" s="11">
        <f>D36</f>
        <v>115366900</v>
      </c>
      <c r="F8" s="11">
        <f>G42</f>
        <v>1190088.24</v>
      </c>
      <c r="H8" s="5"/>
      <c r="I8" s="1"/>
      <c r="L8" s="10">
        <f>E8/D8</f>
        <v>9613908.333333334</v>
      </c>
    </row>
    <row r="9" spans="1:12" x14ac:dyDescent="0.35">
      <c r="A9" s="4" t="s">
        <v>10</v>
      </c>
      <c r="D9" s="1">
        <f>SUM(D5:D8)</f>
        <v>15731</v>
      </c>
      <c r="E9" s="1">
        <f>SUM(E5:E8)</f>
        <v>198686900</v>
      </c>
      <c r="F9" s="9">
        <f>SUM(F5:F8)</f>
        <v>2242594.2400000002</v>
      </c>
      <c r="H9" s="5"/>
      <c r="I9" s="1"/>
    </row>
    <row r="10" spans="1:12" x14ac:dyDescent="0.35">
      <c r="A10" s="4"/>
      <c r="E10" s="12" t="s">
        <v>11</v>
      </c>
      <c r="F10" s="13">
        <f>SUM([1]SAOs!D7:D10)</f>
        <v>2009947.25</v>
      </c>
      <c r="H10" s="5"/>
      <c r="I10" s="1"/>
    </row>
    <row r="11" spans="1:12" x14ac:dyDescent="0.35">
      <c r="A11" s="4"/>
      <c r="E11" s="14"/>
      <c r="F11" s="9">
        <f>F9-F10</f>
        <v>232646.99000000022</v>
      </c>
      <c r="H11" s="5"/>
      <c r="I11" s="1"/>
    </row>
    <row r="12" spans="1:12" x14ac:dyDescent="0.35">
      <c r="A12" s="4"/>
      <c r="F12" s="9"/>
      <c r="H12" s="5"/>
      <c r="I12" s="1"/>
    </row>
    <row r="13" spans="1:12" x14ac:dyDescent="0.35">
      <c r="A13" s="4"/>
      <c r="E13" s="15"/>
      <c r="F13" s="1"/>
      <c r="H13" s="5"/>
      <c r="I13" s="1"/>
    </row>
    <row r="14" spans="1:12" x14ac:dyDescent="0.35">
      <c r="A14" s="4"/>
      <c r="E14" s="15"/>
      <c r="F14" s="1"/>
      <c r="H14" s="5"/>
      <c r="I14" s="1"/>
    </row>
    <row r="15" spans="1:12" x14ac:dyDescent="0.35">
      <c r="A15" s="4"/>
      <c r="E15" s="9" t="s">
        <v>12</v>
      </c>
      <c r="F15" s="9"/>
      <c r="H15" s="5"/>
      <c r="I15" s="1"/>
    </row>
    <row r="16" spans="1:12" x14ac:dyDescent="0.35">
      <c r="A16" s="4" t="s">
        <v>13</v>
      </c>
      <c r="B16" s="1"/>
      <c r="C16" s="15"/>
      <c r="D16" s="16"/>
      <c r="E16" s="16"/>
      <c r="F16" s="1"/>
      <c r="G16" s="17"/>
      <c r="H16" s="5"/>
      <c r="I16" s="1"/>
    </row>
    <row r="17" spans="1:9" x14ac:dyDescent="0.35">
      <c r="A17" s="4"/>
      <c r="B17" s="1"/>
      <c r="C17" s="15"/>
      <c r="E17" s="2" t="s">
        <v>14</v>
      </c>
      <c r="F17" s="2" t="s">
        <v>15</v>
      </c>
      <c r="G17" s="2" t="s">
        <v>16</v>
      </c>
      <c r="H17" s="5"/>
      <c r="I17" s="1"/>
    </row>
    <row r="18" spans="1:9" x14ac:dyDescent="0.35">
      <c r="A18" s="4"/>
      <c r="B18" s="18" t="s">
        <v>17</v>
      </c>
      <c r="C18" s="19" t="s">
        <v>18</v>
      </c>
      <c r="D18" s="19" t="s">
        <v>19</v>
      </c>
      <c r="E18" s="18">
        <f>B19</f>
        <v>2000</v>
      </c>
      <c r="F18" s="18">
        <f>B20</f>
        <v>18000</v>
      </c>
      <c r="G18" s="18">
        <f>B21</f>
        <v>20000</v>
      </c>
      <c r="H18" s="3" t="s">
        <v>20</v>
      </c>
      <c r="I18" s="1"/>
    </row>
    <row r="19" spans="1:9" x14ac:dyDescent="0.35">
      <c r="A19" s="4" t="s">
        <v>14</v>
      </c>
      <c r="B19" s="1">
        <v>2000</v>
      </c>
      <c r="C19" s="1">
        <f>O58</f>
        <v>6471</v>
      </c>
      <c r="D19" s="1">
        <f>O48</f>
        <v>6352100</v>
      </c>
      <c r="E19" s="1">
        <f>D19</f>
        <v>6352100</v>
      </c>
      <c r="F19" s="1"/>
      <c r="G19" s="1"/>
      <c r="H19" s="20">
        <f>SUM(E19:G19)</f>
        <v>6352100</v>
      </c>
      <c r="I19" s="1"/>
    </row>
    <row r="20" spans="1:9" x14ac:dyDescent="0.35">
      <c r="A20" s="4" t="s">
        <v>15</v>
      </c>
      <c r="B20" s="1">
        <v>18000</v>
      </c>
      <c r="C20" s="1">
        <f t="shared" ref="C20:C21" si="0">O59</f>
        <v>8827</v>
      </c>
      <c r="D20" s="1">
        <f>O49</f>
        <v>40922800</v>
      </c>
      <c r="E20" s="1">
        <f>C20*E18</f>
        <v>17654000</v>
      </c>
      <c r="F20" s="1">
        <f>D20-E20</f>
        <v>23268800</v>
      </c>
      <c r="G20" s="1"/>
      <c r="H20" s="20">
        <f>SUM(E20:G20)</f>
        <v>40922800</v>
      </c>
      <c r="I20" s="1"/>
    </row>
    <row r="21" spans="1:9" x14ac:dyDescent="0.35">
      <c r="A21" s="4" t="s">
        <v>16</v>
      </c>
      <c r="B21" s="1">
        <v>20000</v>
      </c>
      <c r="C21" s="11">
        <f t="shared" si="0"/>
        <v>421</v>
      </c>
      <c r="D21" s="11">
        <f>O50</f>
        <v>36045100</v>
      </c>
      <c r="E21" s="11">
        <f>C21*E18</f>
        <v>842000</v>
      </c>
      <c r="F21" s="11">
        <f>C21*F18</f>
        <v>7578000</v>
      </c>
      <c r="G21" s="11">
        <f>D21-E21-F21</f>
        <v>27625100</v>
      </c>
      <c r="H21" s="21">
        <f>SUM(E21:G21)</f>
        <v>36045100</v>
      </c>
      <c r="I21" s="1"/>
    </row>
    <row r="22" spans="1:9" x14ac:dyDescent="0.35">
      <c r="A22" s="4"/>
      <c r="B22" s="1"/>
      <c r="C22" s="1">
        <f>SUM(C19:C21)</f>
        <v>15719</v>
      </c>
      <c r="D22" s="1">
        <f>SUM(D19:D21)</f>
        <v>83320000</v>
      </c>
      <c r="E22" s="1">
        <f t="shared" ref="E22:H22" si="1">SUM(E19:E21)</f>
        <v>24848100</v>
      </c>
      <c r="F22" s="1">
        <f t="shared" si="1"/>
        <v>30846800</v>
      </c>
      <c r="G22" s="1">
        <f t="shared" si="1"/>
        <v>27625100</v>
      </c>
      <c r="H22" s="20">
        <f t="shared" si="1"/>
        <v>83320000</v>
      </c>
      <c r="I22" s="1"/>
    </row>
    <row r="23" spans="1:9" x14ac:dyDescent="0.35">
      <c r="A23" s="4"/>
      <c r="B23" s="1"/>
      <c r="G23" s="17"/>
      <c r="H23" s="5"/>
      <c r="I23" s="1"/>
    </row>
    <row r="24" spans="1:9" x14ac:dyDescent="0.35">
      <c r="A24" s="50" t="s">
        <v>21</v>
      </c>
      <c r="B24" s="51"/>
      <c r="C24" s="51"/>
      <c r="D24" s="51"/>
      <c r="E24" s="51"/>
      <c r="F24" s="51"/>
      <c r="G24" s="51"/>
      <c r="H24" s="5"/>
      <c r="I24" s="1"/>
    </row>
    <row r="25" spans="1:9" x14ac:dyDescent="0.35">
      <c r="A25" s="4"/>
      <c r="B25" s="18" t="s">
        <v>17</v>
      </c>
      <c r="C25" s="19" t="s">
        <v>18</v>
      </c>
      <c r="D25" s="19" t="s">
        <v>19</v>
      </c>
      <c r="E25" s="19" t="s">
        <v>22</v>
      </c>
      <c r="F25" s="19"/>
      <c r="G25" s="22" t="s">
        <v>23</v>
      </c>
      <c r="H25" s="5"/>
      <c r="I25" s="1"/>
    </row>
    <row r="26" spans="1:9" x14ac:dyDescent="0.35">
      <c r="A26" s="4" t="s">
        <v>14</v>
      </c>
      <c r="B26" s="1">
        <f>B19</f>
        <v>2000</v>
      </c>
      <c r="C26" s="1">
        <f>C22</f>
        <v>15719</v>
      </c>
      <c r="D26" s="1">
        <f>E22</f>
        <v>24848100</v>
      </c>
      <c r="E26" s="23">
        <v>30.03</v>
      </c>
      <c r="F26" s="23" t="s">
        <v>24</v>
      </c>
      <c r="G26" s="9">
        <f>ROUND(C26*E26,0)</f>
        <v>472042</v>
      </c>
      <c r="H26" s="5"/>
      <c r="I26" s="1"/>
    </row>
    <row r="27" spans="1:9" x14ac:dyDescent="0.35">
      <c r="A27" s="4" t="s">
        <v>15</v>
      </c>
      <c r="B27" s="1">
        <f t="shared" ref="B27:B28" si="2">B20</f>
        <v>18000</v>
      </c>
      <c r="D27" s="1">
        <f>F22</f>
        <v>30846800</v>
      </c>
      <c r="E27" s="24">
        <v>1.048E-2</v>
      </c>
      <c r="F27" s="23" t="s">
        <v>25</v>
      </c>
      <c r="G27" s="9">
        <f t="shared" ref="G27" si="3">ROUND(D27*E27,0)</f>
        <v>323274</v>
      </c>
      <c r="H27" s="5"/>
      <c r="I27" s="1"/>
    </row>
    <row r="28" spans="1:9" x14ac:dyDescent="0.35">
      <c r="A28" s="4" t="s">
        <v>16</v>
      </c>
      <c r="B28" s="1">
        <f t="shared" si="2"/>
        <v>20000</v>
      </c>
      <c r="C28" s="25"/>
      <c r="D28" s="11">
        <f>G22</f>
        <v>27625100</v>
      </c>
      <c r="E28" s="26">
        <v>9.3100000000000006E-3</v>
      </c>
      <c r="F28" s="27" t="s">
        <v>25</v>
      </c>
      <c r="G28" s="13">
        <f>ROUND(D28*E28,0)</f>
        <v>257190</v>
      </c>
      <c r="H28" s="5"/>
      <c r="I28" s="1"/>
    </row>
    <row r="29" spans="1:9" x14ac:dyDescent="0.35">
      <c r="A29" s="4"/>
      <c r="B29" s="1"/>
      <c r="C29" s="28">
        <f>SUM(C26:C28)</f>
        <v>15719</v>
      </c>
      <c r="D29" s="1">
        <f>SUM(D26:D28)</f>
        <v>83320000</v>
      </c>
      <c r="G29" s="9">
        <f>SUM(G26:G28)</f>
        <v>1052506</v>
      </c>
      <c r="H29" s="5"/>
      <c r="I29" s="1"/>
    </row>
    <row r="30" spans="1:9" x14ac:dyDescent="0.35">
      <c r="A30" s="4"/>
      <c r="B30" s="1"/>
      <c r="C30" s="9"/>
      <c r="D30" s="1"/>
      <c r="G30" s="9"/>
      <c r="H30" s="5"/>
      <c r="I30" s="1"/>
    </row>
    <row r="31" spans="1:9" x14ac:dyDescent="0.35">
      <c r="A31" s="4" t="s">
        <v>26</v>
      </c>
      <c r="B31" s="1"/>
      <c r="C31" s="15"/>
      <c r="F31" s="1"/>
      <c r="G31" s="17"/>
      <c r="H31" s="5"/>
      <c r="I31" s="1"/>
    </row>
    <row r="32" spans="1:9" x14ac:dyDescent="0.35">
      <c r="A32" s="4"/>
      <c r="B32" s="1"/>
      <c r="C32" s="15"/>
      <c r="E32" s="2" t="s">
        <v>14</v>
      </c>
      <c r="F32" s="2" t="s">
        <v>16</v>
      </c>
      <c r="H32" s="29"/>
      <c r="I32" s="1"/>
    </row>
    <row r="33" spans="1:15" x14ac:dyDescent="0.35">
      <c r="A33" s="4"/>
      <c r="B33" s="1" t="s">
        <v>17</v>
      </c>
      <c r="C33" s="30" t="s">
        <v>18</v>
      </c>
      <c r="D33" s="30" t="s">
        <v>19</v>
      </c>
      <c r="E33" s="1">
        <f>B34</f>
        <v>1300000</v>
      </c>
      <c r="F33" s="1">
        <f>B35</f>
        <v>1300000</v>
      </c>
      <c r="G33" t="s">
        <v>20</v>
      </c>
      <c r="H33" s="29"/>
      <c r="I33" s="1"/>
    </row>
    <row r="34" spans="1:15" x14ac:dyDescent="0.35">
      <c r="A34" s="4" t="s">
        <v>14</v>
      </c>
      <c r="B34" s="1">
        <v>1300000</v>
      </c>
      <c r="C34" s="1">
        <f>O63</f>
        <v>12</v>
      </c>
      <c r="D34" s="1">
        <f>O53</f>
        <v>15600000</v>
      </c>
      <c r="E34" s="1">
        <f>D34</f>
        <v>15600000</v>
      </c>
      <c r="F34" s="1"/>
      <c r="G34" s="1">
        <f>SUM(E34:F34)</f>
        <v>15600000</v>
      </c>
      <c r="H34" s="29"/>
      <c r="I34" s="1"/>
    </row>
    <row r="35" spans="1:15" x14ac:dyDescent="0.35">
      <c r="A35" s="4" t="s">
        <v>16</v>
      </c>
      <c r="B35" s="1">
        <v>1300000</v>
      </c>
      <c r="C35" s="11"/>
      <c r="D35" s="11">
        <f>O54</f>
        <v>99766900</v>
      </c>
      <c r="E35" s="11">
        <f>C35*E33</f>
        <v>0</v>
      </c>
      <c r="F35" s="11">
        <f>D35-E35</f>
        <v>99766900</v>
      </c>
      <c r="G35" s="11">
        <f>SUM(E35:F35)</f>
        <v>99766900</v>
      </c>
      <c r="H35" s="29"/>
      <c r="I35" s="1"/>
    </row>
    <row r="36" spans="1:15" x14ac:dyDescent="0.35">
      <c r="A36" s="4"/>
      <c r="B36" s="1"/>
      <c r="C36" s="1">
        <f>SUM(C34:C35)</f>
        <v>12</v>
      </c>
      <c r="D36" s="1">
        <f>SUM(D34:D35)</f>
        <v>115366900</v>
      </c>
      <c r="E36" s="1">
        <f>SUM(E34:E35)</f>
        <v>15600000</v>
      </c>
      <c r="F36" s="1">
        <f>SUM(F34:F35)</f>
        <v>99766900</v>
      </c>
      <c r="G36" s="1">
        <f>SUM(G34:G35)</f>
        <v>115366900</v>
      </c>
      <c r="H36" s="29"/>
      <c r="I36" s="1"/>
    </row>
    <row r="37" spans="1:15" x14ac:dyDescent="0.35">
      <c r="A37" s="4"/>
      <c r="B37" s="1"/>
      <c r="G37" s="17"/>
      <c r="H37" s="5"/>
      <c r="I37" s="1"/>
    </row>
    <row r="38" spans="1:15" x14ac:dyDescent="0.35">
      <c r="A38" s="50" t="s">
        <v>21</v>
      </c>
      <c r="B38" s="51"/>
      <c r="C38" s="51"/>
      <c r="D38" s="51"/>
      <c r="E38" s="51"/>
      <c r="F38" s="51"/>
      <c r="G38" s="51"/>
      <c r="H38" s="5"/>
      <c r="I38" s="1"/>
    </row>
    <row r="39" spans="1:15" x14ac:dyDescent="0.35">
      <c r="A39" s="4"/>
      <c r="B39" s="18" t="s">
        <v>17</v>
      </c>
      <c r="C39" s="19" t="s">
        <v>18</v>
      </c>
      <c r="D39" s="19" t="s">
        <v>19</v>
      </c>
      <c r="E39" s="19" t="s">
        <v>22</v>
      </c>
      <c r="F39" s="19"/>
      <c r="G39" s="22" t="s">
        <v>23</v>
      </c>
      <c r="H39" s="5"/>
      <c r="I39" s="1"/>
    </row>
    <row r="40" spans="1:15" x14ac:dyDescent="0.35">
      <c r="A40" s="4" t="s">
        <v>14</v>
      </c>
      <c r="B40" s="1">
        <f>B34</f>
        <v>1300000</v>
      </c>
      <c r="C40" s="1">
        <f>C36</f>
        <v>12</v>
      </c>
      <c r="D40" s="1">
        <f>E36</f>
        <v>15600000</v>
      </c>
      <c r="E40" s="23">
        <v>12044.27</v>
      </c>
      <c r="F40" s="23" t="s">
        <v>24</v>
      </c>
      <c r="G40" s="9">
        <f>C40*E40</f>
        <v>144531.24</v>
      </c>
      <c r="H40" s="5"/>
      <c r="I40" s="1"/>
    </row>
    <row r="41" spans="1:15" x14ac:dyDescent="0.35">
      <c r="A41" s="4" t="s">
        <v>16</v>
      </c>
      <c r="B41" s="1">
        <f>B35</f>
        <v>1300000</v>
      </c>
      <c r="C41" s="25"/>
      <c r="D41" s="11">
        <f>F36</f>
        <v>99766900</v>
      </c>
      <c r="E41" s="26">
        <v>1.048E-2</v>
      </c>
      <c r="F41" s="27" t="s">
        <v>25</v>
      </c>
      <c r="G41" s="13">
        <f t="shared" ref="G41" si="4">ROUND(D41*E41,0)</f>
        <v>1045557</v>
      </c>
      <c r="H41" s="5"/>
    </row>
    <row r="42" spans="1:15" x14ac:dyDescent="0.35">
      <c r="A42" s="31"/>
      <c r="B42" s="11"/>
      <c r="C42" s="13"/>
      <c r="D42" s="11">
        <f>SUM(D40:D41)</f>
        <v>115366900</v>
      </c>
      <c r="E42" s="25"/>
      <c r="F42" s="25"/>
      <c r="G42" s="13">
        <f>SUM(G40:G41)</f>
        <v>1190088.24</v>
      </c>
      <c r="H42" s="32"/>
    </row>
    <row r="44" spans="1:15" x14ac:dyDescent="0.35">
      <c r="A44" s="33" t="s">
        <v>27</v>
      </c>
    </row>
    <row r="46" spans="1:15" x14ac:dyDescent="0.35">
      <c r="C46" s="34" t="s">
        <v>7</v>
      </c>
      <c r="D46" s="34"/>
      <c r="E46" s="1"/>
    </row>
    <row r="47" spans="1:15" x14ac:dyDescent="0.35">
      <c r="B47" s="35" t="s">
        <v>28</v>
      </c>
      <c r="C47" s="36" t="s">
        <v>29</v>
      </c>
      <c r="D47" s="36" t="s">
        <v>30</v>
      </c>
      <c r="E47" s="36" t="s">
        <v>31</v>
      </c>
      <c r="F47" s="36" t="s">
        <v>32</v>
      </c>
      <c r="G47" s="36" t="s">
        <v>33</v>
      </c>
      <c r="H47" s="36" t="s">
        <v>34</v>
      </c>
      <c r="I47" s="36" t="s">
        <v>35</v>
      </c>
      <c r="J47" s="36" t="s">
        <v>36</v>
      </c>
      <c r="K47" s="36" t="s">
        <v>37</v>
      </c>
      <c r="L47" s="36" t="s">
        <v>38</v>
      </c>
      <c r="M47" s="36" t="s">
        <v>39</v>
      </c>
      <c r="N47" s="36" t="s">
        <v>40</v>
      </c>
      <c r="O47" s="37" t="s">
        <v>41</v>
      </c>
    </row>
    <row r="48" spans="1:15" x14ac:dyDescent="0.35">
      <c r="A48" s="34" t="s">
        <v>14</v>
      </c>
      <c r="B48" s="10">
        <v>2000</v>
      </c>
      <c r="C48" s="10">
        <v>487100</v>
      </c>
      <c r="D48" s="10">
        <v>517400</v>
      </c>
      <c r="E48" s="10">
        <v>564700</v>
      </c>
      <c r="F48" s="10">
        <v>575600</v>
      </c>
      <c r="G48" s="10">
        <f>568100+68400</f>
        <v>636500</v>
      </c>
      <c r="H48" s="10">
        <f>391900+59800</f>
        <v>451700</v>
      </c>
      <c r="I48" s="10">
        <f>570700+69600</f>
        <v>640300</v>
      </c>
      <c r="J48" s="10">
        <f>380700+56900</f>
        <v>437600</v>
      </c>
      <c r="K48" s="10">
        <f>441700+64400</f>
        <v>506100</v>
      </c>
      <c r="L48" s="10">
        <f>459200+63100</f>
        <v>522300</v>
      </c>
      <c r="M48" s="10">
        <f>440300+68500+100</f>
        <v>508900</v>
      </c>
      <c r="N48" s="10">
        <f>442900+61000+0</f>
        <v>503900</v>
      </c>
      <c r="O48" s="10">
        <f>SUM(C48:N48)</f>
        <v>6352100</v>
      </c>
    </row>
    <row r="49" spans="1:16" x14ac:dyDescent="0.35">
      <c r="A49" s="34" t="s">
        <v>15</v>
      </c>
      <c r="B49" s="10">
        <v>18000</v>
      </c>
      <c r="C49" s="10">
        <v>3605600</v>
      </c>
      <c r="D49" s="10">
        <v>3325700</v>
      </c>
      <c r="E49" s="10">
        <v>2857300</v>
      </c>
      <c r="F49" s="10">
        <v>3010600</v>
      </c>
      <c r="G49" s="10">
        <f>2163000+488700+9900</f>
        <v>2661600</v>
      </c>
      <c r="H49" s="10">
        <f>3671800+596900+19000</f>
        <v>4287700</v>
      </c>
      <c r="I49" s="10">
        <f>2446800+547100+5200</f>
        <v>2999100</v>
      </c>
      <c r="J49" s="10">
        <f>3636000+591700+9300</f>
        <v>4237000</v>
      </c>
      <c r="K49" s="10">
        <f>2866300+531400+35500</f>
        <v>3433200</v>
      </c>
      <c r="L49" s="10">
        <f>2919400+562600+24400</f>
        <v>3506400</v>
      </c>
      <c r="M49" s="10">
        <f>2955300+560400+13500</f>
        <v>3529200</v>
      </c>
      <c r="N49" s="10">
        <f>2897800+558500+13100</f>
        <v>3469400</v>
      </c>
      <c r="O49" s="10">
        <f t="shared" ref="O49:O50" si="5">SUM(C49:N49)</f>
        <v>40922800</v>
      </c>
    </row>
    <row r="50" spans="1:16" x14ac:dyDescent="0.35">
      <c r="A50" s="34" t="s">
        <v>16</v>
      </c>
      <c r="B50" s="10">
        <v>20000</v>
      </c>
      <c r="C50" s="10">
        <v>3745100</v>
      </c>
      <c r="D50" s="10">
        <v>3894900</v>
      </c>
      <c r="E50" s="10">
        <v>3413500</v>
      </c>
      <c r="F50" s="10">
        <v>2749400</v>
      </c>
      <c r="G50" s="10">
        <f>610300+1164300+441000</f>
        <v>2215600</v>
      </c>
      <c r="H50" s="10">
        <f>1171400+2304900+565800</f>
        <v>4042100</v>
      </c>
      <c r="I50" s="10">
        <f>346200+1172200+338400</f>
        <v>1856800</v>
      </c>
      <c r="J50" s="10">
        <f>572700+1865800+443100</f>
        <v>2881600</v>
      </c>
      <c r="K50" s="10">
        <f>839600+1631700+319000</f>
        <v>2790300</v>
      </c>
      <c r="L50" s="10">
        <f>917300+1495900+389000</f>
        <v>2802200</v>
      </c>
      <c r="M50" s="10">
        <f>703800+1927700+401000</f>
        <v>3032500</v>
      </c>
      <c r="N50" s="10">
        <f>513200+1772900+335000</f>
        <v>2621100</v>
      </c>
      <c r="O50" s="10">
        <f t="shared" si="5"/>
        <v>36045100</v>
      </c>
    </row>
    <row r="51" spans="1:16" x14ac:dyDescent="0.3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6" x14ac:dyDescent="0.35">
      <c r="B52" s="38" t="s">
        <v>42</v>
      </c>
      <c r="C52" s="10"/>
      <c r="D52" s="34" t="s">
        <v>43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6" x14ac:dyDescent="0.35">
      <c r="A53" s="34" t="s">
        <v>14</v>
      </c>
      <c r="B53" s="38">
        <v>1300000</v>
      </c>
      <c r="C53" s="10">
        <v>1300000</v>
      </c>
      <c r="D53" s="10">
        <v>1300000</v>
      </c>
      <c r="E53" s="10">
        <v>1300000</v>
      </c>
      <c r="F53" s="10">
        <v>1300000</v>
      </c>
      <c r="G53" s="39">
        <v>1300000</v>
      </c>
      <c r="H53" s="39">
        <v>1300000</v>
      </c>
      <c r="I53" s="39">
        <v>1300000</v>
      </c>
      <c r="J53" s="39">
        <v>1300000</v>
      </c>
      <c r="K53" s="39">
        <v>1300000</v>
      </c>
      <c r="L53" s="39">
        <v>1300000</v>
      </c>
      <c r="M53" s="39">
        <v>1300000</v>
      </c>
      <c r="N53" s="39">
        <v>1300000</v>
      </c>
      <c r="O53" s="10">
        <f t="shared" ref="O53:O54" si="6">SUM(C53:N53)</f>
        <v>15600000</v>
      </c>
    </row>
    <row r="54" spans="1:16" x14ac:dyDescent="0.35">
      <c r="A54" s="34" t="s">
        <v>16</v>
      </c>
      <c r="B54" s="38">
        <v>1300000</v>
      </c>
      <c r="C54" s="40">
        <v>6558800</v>
      </c>
      <c r="D54" s="40">
        <v>7092700</v>
      </c>
      <c r="E54" s="40">
        <v>5509100</v>
      </c>
      <c r="F54" s="40">
        <v>5929800</v>
      </c>
      <c r="G54" s="40">
        <v>8069600</v>
      </c>
      <c r="H54" s="40">
        <v>11410400</v>
      </c>
      <c r="I54" s="40">
        <v>6424800</v>
      </c>
      <c r="J54" s="40">
        <v>8763900</v>
      </c>
      <c r="K54" s="40">
        <v>7936700</v>
      </c>
      <c r="L54" s="40">
        <v>9731500</v>
      </c>
      <c r="M54" s="40">
        <v>11948700</v>
      </c>
      <c r="N54" s="40">
        <v>10390900</v>
      </c>
      <c r="O54" s="40">
        <f t="shared" si="6"/>
        <v>99766900</v>
      </c>
      <c r="P54" s="1">
        <f>SUM(O48:O54)</f>
        <v>198686900</v>
      </c>
    </row>
    <row r="55" spans="1:16" x14ac:dyDescent="0.35">
      <c r="B55" s="41" t="s">
        <v>20</v>
      </c>
      <c r="C55" s="10">
        <f>SUM(C48:C54)</f>
        <v>15696600</v>
      </c>
      <c r="D55" s="10">
        <f t="shared" ref="D55:N55" si="7">SUM(D48:D54)</f>
        <v>16130700</v>
      </c>
      <c r="E55" s="10">
        <f t="shared" si="7"/>
        <v>13644600</v>
      </c>
      <c r="F55" s="10">
        <f t="shared" si="7"/>
        <v>13565400</v>
      </c>
      <c r="G55" s="39">
        <f t="shared" si="7"/>
        <v>14883300</v>
      </c>
      <c r="H55" s="39">
        <f t="shared" si="7"/>
        <v>21491900</v>
      </c>
      <c r="I55" s="39">
        <f t="shared" si="7"/>
        <v>13221000</v>
      </c>
      <c r="J55" s="39">
        <f t="shared" si="7"/>
        <v>17620100</v>
      </c>
      <c r="K55" s="39">
        <f t="shared" si="7"/>
        <v>15966300</v>
      </c>
      <c r="L55" s="39">
        <f t="shared" si="7"/>
        <v>17862400</v>
      </c>
      <c r="M55" s="39">
        <f t="shared" si="7"/>
        <v>20319300</v>
      </c>
      <c r="N55" s="39">
        <f t="shared" si="7"/>
        <v>18285300</v>
      </c>
      <c r="O55" s="10">
        <f>SUM(C55:N55)</f>
        <v>198686900</v>
      </c>
    </row>
    <row r="56" spans="1:16" x14ac:dyDescent="0.35">
      <c r="B56" s="34" t="s">
        <v>44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6" x14ac:dyDescent="0.35">
      <c r="B57" s="35" t="s">
        <v>28</v>
      </c>
      <c r="C57" s="42" t="s">
        <v>29</v>
      </c>
      <c r="D57" s="42" t="s">
        <v>30</v>
      </c>
      <c r="E57" s="42" t="s">
        <v>31</v>
      </c>
      <c r="F57" s="42" t="s">
        <v>32</v>
      </c>
      <c r="G57" s="42" t="s">
        <v>33</v>
      </c>
      <c r="H57" s="42" t="s">
        <v>34</v>
      </c>
      <c r="I57" s="42" t="s">
        <v>35</v>
      </c>
      <c r="J57" s="42" t="s">
        <v>36</v>
      </c>
      <c r="K57" s="42" t="s">
        <v>37</v>
      </c>
      <c r="L57" s="42" t="s">
        <v>38</v>
      </c>
      <c r="M57" s="42" t="s">
        <v>39</v>
      </c>
      <c r="N57" s="42" t="s">
        <v>40</v>
      </c>
      <c r="O57" s="43" t="s">
        <v>41</v>
      </c>
    </row>
    <row r="58" spans="1:16" x14ac:dyDescent="0.35">
      <c r="A58" s="34" t="s">
        <v>14</v>
      </c>
      <c r="B58" s="10">
        <v>2000</v>
      </c>
      <c r="C58" s="10">
        <v>522</v>
      </c>
      <c r="D58" s="10">
        <v>536</v>
      </c>
      <c r="E58" s="10">
        <v>585</v>
      </c>
      <c r="F58" s="10">
        <v>575</v>
      </c>
      <c r="G58" s="39">
        <f>540+92+2</f>
        <v>634</v>
      </c>
      <c r="H58" s="39">
        <f>374+75</f>
        <v>449</v>
      </c>
      <c r="I58" s="39">
        <f>541+98</f>
        <v>639</v>
      </c>
      <c r="J58" s="39">
        <f>371+75+0</f>
        <v>446</v>
      </c>
      <c r="K58" s="39">
        <f>444+88</f>
        <v>532</v>
      </c>
      <c r="L58" s="39">
        <f>438+89</f>
        <v>527</v>
      </c>
      <c r="M58" s="39">
        <f>428+86+1</f>
        <v>515</v>
      </c>
      <c r="N58" s="39">
        <f>429+81+1</f>
        <v>511</v>
      </c>
      <c r="O58" s="10">
        <f t="shared" ref="O58:O60" si="8">SUM(C58:N58)</f>
        <v>6471</v>
      </c>
    </row>
    <row r="59" spans="1:16" x14ac:dyDescent="0.35">
      <c r="A59" s="34" t="s">
        <v>15</v>
      </c>
      <c r="B59" s="10">
        <v>18000</v>
      </c>
      <c r="C59" s="10">
        <v>749</v>
      </c>
      <c r="D59" s="10">
        <v>725</v>
      </c>
      <c r="E59" s="10">
        <v>691</v>
      </c>
      <c r="F59" s="10">
        <v>700</v>
      </c>
      <c r="G59" s="10">
        <f>561+82+2</f>
        <v>645</v>
      </c>
      <c r="H59" s="10">
        <f>725+91+2</f>
        <v>818</v>
      </c>
      <c r="I59" s="10">
        <f>573+74+2</f>
        <v>649</v>
      </c>
      <c r="J59" s="10">
        <f>740+88+2</f>
        <v>830</v>
      </c>
      <c r="K59" s="10">
        <f>665+78+3</f>
        <v>746</v>
      </c>
      <c r="L59" s="10">
        <f>670+81+3</f>
        <v>754</v>
      </c>
      <c r="M59" s="10">
        <f>681+77+2</f>
        <v>760</v>
      </c>
      <c r="N59" s="10">
        <f>676+82+2</f>
        <v>760</v>
      </c>
      <c r="O59" s="10">
        <f t="shared" si="8"/>
        <v>8827</v>
      </c>
    </row>
    <row r="60" spans="1:16" x14ac:dyDescent="0.35">
      <c r="A60" s="34" t="s">
        <v>16</v>
      </c>
      <c r="B60" s="10">
        <v>20000</v>
      </c>
      <c r="C60" s="10">
        <v>37</v>
      </c>
      <c r="D60" s="10">
        <v>51</v>
      </c>
      <c r="E60" s="10">
        <v>28</v>
      </c>
      <c r="F60" s="10">
        <v>30</v>
      </c>
      <c r="G60" s="10">
        <f>9+17+2</f>
        <v>28</v>
      </c>
      <c r="H60" s="10">
        <f>20+25+3</f>
        <v>48</v>
      </c>
      <c r="I60" s="10">
        <f>7+17+3</f>
        <v>27</v>
      </c>
      <c r="J60" s="10">
        <f>9+27+3</f>
        <v>39</v>
      </c>
      <c r="K60" s="10">
        <f>9+23+2</f>
        <v>34</v>
      </c>
      <c r="L60" s="10">
        <f>10+20+2</f>
        <v>32</v>
      </c>
      <c r="M60" s="10">
        <f>8+24+2</f>
        <v>34</v>
      </c>
      <c r="N60" s="10">
        <f>8+23+2</f>
        <v>33</v>
      </c>
      <c r="O60" s="10">
        <f t="shared" si="8"/>
        <v>421</v>
      </c>
    </row>
    <row r="61" spans="1:16" x14ac:dyDescent="0.3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6" x14ac:dyDescent="0.35">
      <c r="B62" s="38" t="s">
        <v>42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6" x14ac:dyDescent="0.35">
      <c r="A63" s="34" t="s">
        <v>14</v>
      </c>
      <c r="B63" s="38">
        <v>1300000</v>
      </c>
      <c r="C63" s="10">
        <v>1</v>
      </c>
      <c r="D63" s="10">
        <v>1</v>
      </c>
      <c r="E63" s="10">
        <v>1</v>
      </c>
      <c r="F63" s="10">
        <v>1</v>
      </c>
      <c r="G63" s="10">
        <v>1</v>
      </c>
      <c r="H63" s="38">
        <v>1</v>
      </c>
      <c r="I63" s="10">
        <v>1</v>
      </c>
      <c r="J63" s="10">
        <v>1</v>
      </c>
      <c r="K63" s="10">
        <v>1</v>
      </c>
      <c r="L63" s="10">
        <v>1</v>
      </c>
      <c r="M63" s="10">
        <v>1</v>
      </c>
      <c r="N63" s="10">
        <v>1</v>
      </c>
      <c r="O63" s="10">
        <f>SUM(C63:N63)</f>
        <v>12</v>
      </c>
    </row>
    <row r="64" spans="1:16" x14ac:dyDescent="0.35">
      <c r="A64" s="34" t="s">
        <v>16</v>
      </c>
      <c r="B64" s="38">
        <v>1300000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1">
        <f>SUM(O58:O64)</f>
        <v>15731</v>
      </c>
    </row>
    <row r="65" spans="1:15" x14ac:dyDescent="0.35">
      <c r="B65" s="41" t="s">
        <v>20</v>
      </c>
      <c r="C65" s="1">
        <f>SUM(C58:C64)</f>
        <v>1309</v>
      </c>
      <c r="D65" s="1">
        <f t="shared" ref="D65:N65" si="9">SUM(D58:D64)</f>
        <v>1313</v>
      </c>
      <c r="E65" s="1">
        <f t="shared" si="9"/>
        <v>1305</v>
      </c>
      <c r="F65" s="1">
        <f t="shared" si="9"/>
        <v>1306</v>
      </c>
      <c r="G65" s="1">
        <f t="shared" si="9"/>
        <v>1308</v>
      </c>
      <c r="H65" s="1">
        <f t="shared" si="9"/>
        <v>1316</v>
      </c>
      <c r="I65" s="1">
        <f t="shared" si="9"/>
        <v>1316</v>
      </c>
      <c r="J65" s="1">
        <f t="shared" si="9"/>
        <v>1316</v>
      </c>
      <c r="K65" s="1">
        <f t="shared" si="9"/>
        <v>1313</v>
      </c>
      <c r="L65" s="1">
        <f t="shared" si="9"/>
        <v>1314</v>
      </c>
      <c r="M65" s="1">
        <f t="shared" si="9"/>
        <v>1310</v>
      </c>
      <c r="N65" s="1">
        <f t="shared" si="9"/>
        <v>1305</v>
      </c>
      <c r="O65" s="1">
        <f>SUM(C65:N65)</f>
        <v>15731</v>
      </c>
    </row>
    <row r="70" spans="1:15" x14ac:dyDescent="0.35">
      <c r="B70" t="s">
        <v>45</v>
      </c>
    </row>
    <row r="71" spans="1:15" x14ac:dyDescent="0.35">
      <c r="B71" s="1"/>
      <c r="C71" s="15"/>
      <c r="E71" s="2" t="s">
        <v>14</v>
      </c>
      <c r="F71" s="2" t="s">
        <v>15</v>
      </c>
      <c r="G71" s="2" t="s">
        <v>16</v>
      </c>
    </row>
    <row r="72" spans="1:15" x14ac:dyDescent="0.35">
      <c r="B72" s="18" t="s">
        <v>17</v>
      </c>
      <c r="C72" s="19" t="s">
        <v>18</v>
      </c>
      <c r="D72" s="19" t="s">
        <v>19</v>
      </c>
      <c r="E72" s="18">
        <v>2000</v>
      </c>
      <c r="F72" s="18">
        <v>18000</v>
      </c>
      <c r="G72" s="18">
        <v>20000</v>
      </c>
      <c r="H72" s="2" t="s">
        <v>20</v>
      </c>
    </row>
    <row r="73" spans="1:15" x14ac:dyDescent="0.35">
      <c r="A73" t="s">
        <v>46</v>
      </c>
      <c r="C73" s="1">
        <f>C22</f>
        <v>15719</v>
      </c>
      <c r="D73" s="1">
        <f>D22</f>
        <v>83320000</v>
      </c>
      <c r="E73" s="1">
        <f t="shared" ref="E73:G73" si="10">E22</f>
        <v>24848100</v>
      </c>
      <c r="F73" s="1">
        <f t="shared" si="10"/>
        <v>30846800</v>
      </c>
      <c r="G73" s="1">
        <f t="shared" si="10"/>
        <v>27625100</v>
      </c>
      <c r="H73" s="1">
        <f>SUM(E73:G73)</f>
        <v>83320000</v>
      </c>
    </row>
    <row r="74" spans="1:15" x14ac:dyDescent="0.35">
      <c r="A74" t="s">
        <v>47</v>
      </c>
      <c r="C74" s="11">
        <f>C36</f>
        <v>12</v>
      </c>
      <c r="D74" s="11">
        <f>D36</f>
        <v>115366900</v>
      </c>
      <c r="E74" s="40">
        <f>12*2000</f>
        <v>24000</v>
      </c>
      <c r="F74" s="40">
        <f>12*18000</f>
        <v>216000</v>
      </c>
      <c r="G74" s="11">
        <f>D74-(E74+F74)</f>
        <v>115126900</v>
      </c>
      <c r="H74" s="11">
        <f t="shared" ref="H74:H75" si="11">SUM(E74:G74)</f>
        <v>115366900</v>
      </c>
    </row>
    <row r="75" spans="1:15" x14ac:dyDescent="0.35">
      <c r="C75" s="1">
        <f>SUM(C73:C74)</f>
        <v>15731</v>
      </c>
      <c r="D75" s="1">
        <f t="shared" ref="D75:G75" si="12">SUM(D73:D74)</f>
        <v>198686900</v>
      </c>
      <c r="E75" s="1">
        <f t="shared" si="12"/>
        <v>24872100</v>
      </c>
      <c r="F75" s="1">
        <f t="shared" si="12"/>
        <v>31062800</v>
      </c>
      <c r="G75" s="1">
        <f t="shared" si="12"/>
        <v>142752000</v>
      </c>
      <c r="H75" s="1">
        <f t="shared" si="11"/>
        <v>198686900</v>
      </c>
    </row>
  </sheetData>
  <mergeCells count="5">
    <mergeCell ref="A1:H1"/>
    <mergeCell ref="A2:H2"/>
    <mergeCell ref="A3:H3"/>
    <mergeCell ref="A24:G24"/>
    <mergeCell ref="A38:G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99E2D-2287-4F0F-B35B-093A7FA609CA}">
  <sheetPr>
    <tabColor rgb="FF92D050"/>
  </sheetPr>
  <dimension ref="A1:O65"/>
  <sheetViews>
    <sheetView topLeftCell="A49" workbookViewId="0">
      <selection activeCell="J10" sqref="J10"/>
    </sheetView>
  </sheetViews>
  <sheetFormatPr defaultRowHeight="15.5" x14ac:dyDescent="0.35"/>
  <cols>
    <col min="2" max="2" width="10.3046875" customWidth="1"/>
    <col min="3" max="3" width="11.765625" customWidth="1"/>
    <col min="4" max="4" width="13.15234375" customWidth="1"/>
    <col min="5" max="5" width="14.23046875" customWidth="1"/>
    <col min="6" max="6" width="12.84375" customWidth="1"/>
    <col min="7" max="7" width="12.69140625" customWidth="1"/>
    <col min="8" max="8" width="13.84375" customWidth="1"/>
    <col min="9" max="14" width="11.15234375" bestFit="1" customWidth="1"/>
    <col min="15" max="15" width="12.15234375" bestFit="1" customWidth="1"/>
  </cols>
  <sheetData>
    <row r="1" spans="1:10" x14ac:dyDescent="0.35">
      <c r="A1" s="53" t="s">
        <v>48</v>
      </c>
      <c r="B1" s="45"/>
      <c r="C1" s="45"/>
      <c r="D1" s="45"/>
      <c r="E1" s="45"/>
      <c r="F1" s="45"/>
      <c r="G1" s="45"/>
      <c r="H1" s="46"/>
    </row>
    <row r="2" spans="1:10" x14ac:dyDescent="0.35">
      <c r="A2" s="47"/>
      <c r="B2" s="48"/>
      <c r="C2" s="48"/>
      <c r="D2" s="48"/>
      <c r="E2" s="48"/>
      <c r="F2" s="48"/>
      <c r="G2" s="48"/>
      <c r="H2" s="49"/>
    </row>
    <row r="3" spans="1:10" x14ac:dyDescent="0.35">
      <c r="A3" s="50" t="s">
        <v>1</v>
      </c>
      <c r="B3" s="51"/>
      <c r="C3" s="51"/>
      <c r="D3" s="51"/>
      <c r="E3" s="51"/>
      <c r="F3" s="51"/>
      <c r="G3" s="51"/>
      <c r="H3" s="52"/>
    </row>
    <row r="4" spans="1:10" x14ac:dyDescent="0.35">
      <c r="A4" s="4"/>
      <c r="H4" s="5"/>
    </row>
    <row r="5" spans="1:10" x14ac:dyDescent="0.35">
      <c r="A5" s="54" t="s">
        <v>2</v>
      </c>
      <c r="B5" s="55"/>
      <c r="C5" s="55"/>
      <c r="D5" s="55"/>
      <c r="E5" s="55"/>
      <c r="F5" s="55"/>
      <c r="H5" s="5"/>
      <c r="I5" s="1"/>
    </row>
    <row r="6" spans="1:10" x14ac:dyDescent="0.35">
      <c r="A6" s="4"/>
      <c r="D6" t="s">
        <v>4</v>
      </c>
      <c r="E6" t="s">
        <v>5</v>
      </c>
      <c r="F6" t="s">
        <v>6</v>
      </c>
      <c r="H6" s="5"/>
      <c r="I6" s="1"/>
    </row>
    <row r="7" spans="1:10" x14ac:dyDescent="0.35">
      <c r="A7" s="4" t="s">
        <v>8</v>
      </c>
      <c r="D7" s="1">
        <f>C29</f>
        <v>15719</v>
      </c>
      <c r="E7" s="1">
        <f>D29</f>
        <v>83320000</v>
      </c>
      <c r="F7" s="9">
        <f>G29</f>
        <v>1085472</v>
      </c>
      <c r="H7" s="5"/>
      <c r="I7" s="1"/>
    </row>
    <row r="8" spans="1:10" x14ac:dyDescent="0.35">
      <c r="A8" s="4" t="s">
        <v>9</v>
      </c>
      <c r="D8" s="11">
        <f>C36</f>
        <v>12</v>
      </c>
      <c r="E8" s="11">
        <f>D36</f>
        <v>115366900</v>
      </c>
      <c r="F8" s="11">
        <f>G42</f>
        <v>1227526.8400000001</v>
      </c>
      <c r="H8" s="5"/>
      <c r="I8" s="1"/>
    </row>
    <row r="9" spans="1:10" x14ac:dyDescent="0.35">
      <c r="A9" s="4" t="s">
        <v>10</v>
      </c>
      <c r="D9" s="1">
        <f>SUM(D5:D8)</f>
        <v>15731</v>
      </c>
      <c r="E9" s="1">
        <f>SUM(E5:E8)</f>
        <v>198686900</v>
      </c>
      <c r="F9" s="9">
        <f>SUM(F5:F8)</f>
        <v>2312998.84</v>
      </c>
      <c r="H9" s="5"/>
      <c r="I9" s="1"/>
    </row>
    <row r="10" spans="1:10" x14ac:dyDescent="0.35">
      <c r="A10" s="4"/>
      <c r="E10" s="12" t="s">
        <v>49</v>
      </c>
      <c r="F10" s="13">
        <f>2312660</f>
        <v>2312660</v>
      </c>
      <c r="H10" s="5"/>
      <c r="I10" s="1"/>
      <c r="J10" s="34" t="s">
        <v>50</v>
      </c>
    </row>
    <row r="11" spans="1:10" x14ac:dyDescent="0.35">
      <c r="A11" s="4"/>
      <c r="E11" s="14"/>
      <c r="F11" s="9">
        <f>F9-F10</f>
        <v>338.83999999985099</v>
      </c>
      <c r="H11" s="5"/>
      <c r="I11" s="1"/>
    </row>
    <row r="12" spans="1:10" x14ac:dyDescent="0.35">
      <c r="A12" s="4"/>
      <c r="F12" s="9"/>
      <c r="H12" s="5"/>
      <c r="I12" s="1"/>
    </row>
    <row r="13" spans="1:10" x14ac:dyDescent="0.35">
      <c r="A13" s="4"/>
      <c r="E13" s="15"/>
      <c r="F13" s="1"/>
      <c r="H13" s="5"/>
      <c r="I13" s="1"/>
    </row>
    <row r="14" spans="1:10" x14ac:dyDescent="0.35">
      <c r="A14" s="4"/>
      <c r="E14" s="15"/>
      <c r="F14" s="1"/>
      <c r="H14" s="5"/>
      <c r="I14" s="1"/>
    </row>
    <row r="15" spans="1:10" x14ac:dyDescent="0.35">
      <c r="A15" s="4"/>
      <c r="E15" s="9" t="s">
        <v>12</v>
      </c>
      <c r="F15" s="9"/>
      <c r="H15" s="5"/>
      <c r="I15" s="1"/>
    </row>
    <row r="16" spans="1:10" x14ac:dyDescent="0.35">
      <c r="A16" s="4" t="s">
        <v>13</v>
      </c>
      <c r="B16" s="1"/>
      <c r="C16" s="15"/>
      <c r="D16" s="16"/>
      <c r="E16" s="16"/>
      <c r="F16" s="1"/>
      <c r="G16" s="17"/>
      <c r="H16" s="5"/>
      <c r="I16" s="1"/>
    </row>
    <row r="17" spans="1:9" x14ac:dyDescent="0.35">
      <c r="A17" s="4"/>
      <c r="B17" s="1"/>
      <c r="C17" s="15"/>
      <c r="E17" s="2" t="s">
        <v>14</v>
      </c>
      <c r="F17" s="2" t="s">
        <v>15</v>
      </c>
      <c r="G17" s="2" t="s">
        <v>16</v>
      </c>
      <c r="H17" s="5"/>
      <c r="I17" s="1"/>
    </row>
    <row r="18" spans="1:9" x14ac:dyDescent="0.35">
      <c r="A18" s="4"/>
      <c r="B18" s="18" t="s">
        <v>17</v>
      </c>
      <c r="C18" s="19" t="s">
        <v>18</v>
      </c>
      <c r="D18" s="19" t="s">
        <v>19</v>
      </c>
      <c r="E18" s="18">
        <f>B19</f>
        <v>2000</v>
      </c>
      <c r="F18" s="18">
        <f>B20</f>
        <v>18000</v>
      </c>
      <c r="G18" s="18">
        <f>B21</f>
        <v>20000</v>
      </c>
      <c r="H18" s="3" t="s">
        <v>20</v>
      </c>
      <c r="I18" s="1"/>
    </row>
    <row r="19" spans="1:9" x14ac:dyDescent="0.35">
      <c r="A19" s="4" t="s">
        <v>14</v>
      </c>
      <c r="B19" s="1">
        <v>2000</v>
      </c>
      <c r="C19" s="1">
        <f>O58</f>
        <v>6471</v>
      </c>
      <c r="D19" s="1">
        <f>O48</f>
        <v>6352100</v>
      </c>
      <c r="E19" s="1">
        <f>D19</f>
        <v>6352100</v>
      </c>
      <c r="F19" s="1"/>
      <c r="G19" s="1"/>
      <c r="H19" s="20">
        <f>SUM(E19:G19)</f>
        <v>6352100</v>
      </c>
      <c r="I19" s="1"/>
    </row>
    <row r="20" spans="1:9" x14ac:dyDescent="0.35">
      <c r="A20" s="4" t="s">
        <v>15</v>
      </c>
      <c r="B20" s="1">
        <v>18000</v>
      </c>
      <c r="C20" s="1">
        <f t="shared" ref="C20:C21" si="0">O59</f>
        <v>8827</v>
      </c>
      <c r="D20" s="1">
        <f>O49</f>
        <v>40922800</v>
      </c>
      <c r="E20" s="1">
        <f>C20*E18</f>
        <v>17654000</v>
      </c>
      <c r="F20" s="1">
        <f>D20-E20</f>
        <v>23268800</v>
      </c>
      <c r="G20" s="1"/>
      <c r="H20" s="20">
        <f>SUM(E20:G20)</f>
        <v>40922800</v>
      </c>
      <c r="I20" s="1"/>
    </row>
    <row r="21" spans="1:9" x14ac:dyDescent="0.35">
      <c r="A21" s="4" t="s">
        <v>16</v>
      </c>
      <c r="B21" s="1">
        <v>20000</v>
      </c>
      <c r="C21" s="11">
        <f t="shared" si="0"/>
        <v>421</v>
      </c>
      <c r="D21" s="11">
        <f>O50</f>
        <v>36045100</v>
      </c>
      <c r="E21" s="11">
        <f>C21*E18</f>
        <v>842000</v>
      </c>
      <c r="F21" s="11">
        <f>C21*F18</f>
        <v>7578000</v>
      </c>
      <c r="G21" s="11">
        <f>D21-E21-F21</f>
        <v>27625100</v>
      </c>
      <c r="H21" s="21">
        <f>SUM(E21:G21)</f>
        <v>36045100</v>
      </c>
      <c r="I21" s="1"/>
    </row>
    <row r="22" spans="1:9" x14ac:dyDescent="0.35">
      <c r="A22" s="4"/>
      <c r="B22" s="1"/>
      <c r="C22" s="1">
        <f>SUM(C19:C21)</f>
        <v>15719</v>
      </c>
      <c r="D22" s="1">
        <f>SUM(D19:D21)</f>
        <v>83320000</v>
      </c>
      <c r="E22" s="1">
        <f t="shared" ref="E22:H22" si="1">SUM(E19:E21)</f>
        <v>24848100</v>
      </c>
      <c r="F22" s="1">
        <f t="shared" si="1"/>
        <v>30846800</v>
      </c>
      <c r="G22" s="1">
        <f t="shared" si="1"/>
        <v>27625100</v>
      </c>
      <c r="H22" s="20">
        <f t="shared" si="1"/>
        <v>83320000</v>
      </c>
      <c r="I22" s="1"/>
    </row>
    <row r="23" spans="1:9" x14ac:dyDescent="0.35">
      <c r="A23" s="4"/>
      <c r="B23" s="1"/>
      <c r="G23" s="17"/>
      <c r="H23" s="5"/>
      <c r="I23" s="1"/>
    </row>
    <row r="24" spans="1:9" x14ac:dyDescent="0.35">
      <c r="A24" s="50" t="s">
        <v>21</v>
      </c>
      <c r="B24" s="51"/>
      <c r="C24" s="51"/>
      <c r="D24" s="51"/>
      <c r="E24" s="51"/>
      <c r="F24" s="51"/>
      <c r="G24" s="51"/>
      <c r="H24" s="5"/>
      <c r="I24" s="1"/>
    </row>
    <row r="25" spans="1:9" x14ac:dyDescent="0.35">
      <c r="A25" s="4"/>
      <c r="B25" s="18" t="s">
        <v>17</v>
      </c>
      <c r="C25" s="19" t="s">
        <v>18</v>
      </c>
      <c r="D25" s="19" t="s">
        <v>19</v>
      </c>
      <c r="E25" s="19" t="s">
        <v>22</v>
      </c>
      <c r="F25" s="19"/>
      <c r="G25" s="22" t="s">
        <v>23</v>
      </c>
      <c r="H25" s="5"/>
      <c r="I25" s="1"/>
    </row>
    <row r="26" spans="1:9" x14ac:dyDescent="0.35">
      <c r="A26" s="4" t="s">
        <v>14</v>
      </c>
      <c r="B26" s="1">
        <f>B19</f>
        <v>2000</v>
      </c>
      <c r="C26" s="1">
        <f>C22</f>
        <v>15719</v>
      </c>
      <c r="D26" s="1">
        <f>E22</f>
        <v>24848100</v>
      </c>
      <c r="E26" s="23">
        <f>[1]Rates!L14</f>
        <v>30.97</v>
      </c>
      <c r="F26" s="23" t="s">
        <v>24</v>
      </c>
      <c r="G26" s="9">
        <f>ROUND(C26*E26,0)</f>
        <v>486817</v>
      </c>
      <c r="H26" s="5"/>
      <c r="I26" s="1"/>
    </row>
    <row r="27" spans="1:9" x14ac:dyDescent="0.35">
      <c r="A27" s="4" t="s">
        <v>15</v>
      </c>
      <c r="B27" s="1">
        <f t="shared" ref="B27:B28" si="2">B20</f>
        <v>18000</v>
      </c>
      <c r="D27" s="1">
        <f>F22</f>
        <v>30846800</v>
      </c>
      <c r="E27" s="24">
        <f>[1]Rates!L15</f>
        <v>1.081E-2</v>
      </c>
      <c r="F27" s="23" t="s">
        <v>25</v>
      </c>
      <c r="G27" s="9">
        <f t="shared" ref="G27" si="3">ROUND(D27*E27,0)</f>
        <v>333454</v>
      </c>
      <c r="H27" s="5"/>
      <c r="I27" s="1"/>
    </row>
    <row r="28" spans="1:9" x14ac:dyDescent="0.35">
      <c r="A28" s="4" t="s">
        <v>16</v>
      </c>
      <c r="B28" s="1">
        <f t="shared" si="2"/>
        <v>20000</v>
      </c>
      <c r="C28" s="25"/>
      <c r="D28" s="11">
        <f>G22</f>
        <v>27625100</v>
      </c>
      <c r="E28" s="24">
        <f>[1]Rates!L16</f>
        <v>9.5999999999999992E-3</v>
      </c>
      <c r="F28" s="27" t="s">
        <v>25</v>
      </c>
      <c r="G28" s="13">
        <f>ROUND(D28*E28,0)</f>
        <v>265201</v>
      </c>
      <c r="H28" s="5"/>
      <c r="I28" s="1"/>
    </row>
    <row r="29" spans="1:9" x14ac:dyDescent="0.35">
      <c r="A29" s="4"/>
      <c r="B29" s="1"/>
      <c r="C29" s="28">
        <f>SUM(C26:C28)</f>
        <v>15719</v>
      </c>
      <c r="D29" s="1">
        <f>SUM(D26:D28)</f>
        <v>83320000</v>
      </c>
      <c r="G29" s="9">
        <f>SUM(G26:G28)</f>
        <v>1085472</v>
      </c>
      <c r="H29" s="5"/>
      <c r="I29" s="1"/>
    </row>
    <row r="30" spans="1:9" x14ac:dyDescent="0.35">
      <c r="A30" s="4"/>
      <c r="B30" s="1"/>
      <c r="C30" s="9"/>
      <c r="D30" s="1"/>
      <c r="G30" s="9"/>
      <c r="H30" s="5"/>
      <c r="I30" s="1"/>
    </row>
    <row r="31" spans="1:9" x14ac:dyDescent="0.35">
      <c r="A31" s="4" t="s">
        <v>26</v>
      </c>
      <c r="B31" s="1"/>
      <c r="C31" s="15"/>
      <c r="F31" s="1"/>
      <c r="G31" s="17"/>
      <c r="H31" s="5"/>
      <c r="I31" s="1"/>
    </row>
    <row r="32" spans="1:9" x14ac:dyDescent="0.35">
      <c r="A32" s="4"/>
      <c r="B32" s="1"/>
      <c r="C32" s="15"/>
      <c r="E32" s="2" t="s">
        <v>14</v>
      </c>
      <c r="F32" s="2" t="s">
        <v>16</v>
      </c>
      <c r="H32" s="29"/>
      <c r="I32" s="1"/>
    </row>
    <row r="33" spans="1:15" x14ac:dyDescent="0.35">
      <c r="A33" s="4"/>
      <c r="B33" s="1" t="s">
        <v>17</v>
      </c>
      <c r="C33" s="30" t="s">
        <v>18</v>
      </c>
      <c r="D33" s="30" t="s">
        <v>19</v>
      </c>
      <c r="E33" s="1">
        <f>B34</f>
        <v>1300000</v>
      </c>
      <c r="F33" s="1">
        <f>B35</f>
        <v>1300000</v>
      </c>
      <c r="G33" t="s">
        <v>20</v>
      </c>
      <c r="H33" s="29"/>
      <c r="I33" s="1"/>
    </row>
    <row r="34" spans="1:15" x14ac:dyDescent="0.35">
      <c r="A34" s="4" t="s">
        <v>14</v>
      </c>
      <c r="B34" s="1">
        <v>1300000</v>
      </c>
      <c r="C34" s="1">
        <f>O63</f>
        <v>12</v>
      </c>
      <c r="D34" s="1">
        <f>O53</f>
        <v>15600000</v>
      </c>
      <c r="E34" s="1">
        <f>D34</f>
        <v>15600000</v>
      </c>
      <c r="F34" s="1"/>
      <c r="G34" s="1">
        <f>SUM(E34:F34)</f>
        <v>15600000</v>
      </c>
      <c r="H34" s="29"/>
      <c r="I34" s="1"/>
    </row>
    <row r="35" spans="1:15" x14ac:dyDescent="0.35">
      <c r="A35" s="4" t="s">
        <v>16</v>
      </c>
      <c r="B35" s="1">
        <v>1300000</v>
      </c>
      <c r="C35" s="11"/>
      <c r="D35" s="11">
        <f>O54</f>
        <v>99766900</v>
      </c>
      <c r="E35" s="11">
        <f>C35*E33</f>
        <v>0</v>
      </c>
      <c r="F35" s="11">
        <f>D35-E35</f>
        <v>99766900</v>
      </c>
      <c r="G35" s="11">
        <f>SUM(E35:F35)</f>
        <v>99766900</v>
      </c>
      <c r="H35" s="29"/>
      <c r="I35" s="1"/>
    </row>
    <row r="36" spans="1:15" x14ac:dyDescent="0.35">
      <c r="A36" s="4"/>
      <c r="B36" s="1"/>
      <c r="C36" s="1">
        <f>SUM(C34:C35)</f>
        <v>12</v>
      </c>
      <c r="D36" s="1">
        <f>SUM(D34:D35)</f>
        <v>115366900</v>
      </c>
      <c r="E36" s="1">
        <f>SUM(E34:E35)</f>
        <v>15600000</v>
      </c>
      <c r="F36" s="1">
        <f>SUM(F34:F35)</f>
        <v>99766900</v>
      </c>
      <c r="G36" s="1">
        <f>SUM(G34:G35)</f>
        <v>115366900</v>
      </c>
      <c r="H36" s="29"/>
      <c r="I36" s="1"/>
    </row>
    <row r="37" spans="1:15" x14ac:dyDescent="0.35">
      <c r="A37" s="4"/>
      <c r="B37" s="1"/>
      <c r="G37" s="17"/>
      <c r="H37" s="5"/>
      <c r="I37" s="1"/>
    </row>
    <row r="38" spans="1:15" x14ac:dyDescent="0.35">
      <c r="A38" s="50" t="s">
        <v>21</v>
      </c>
      <c r="B38" s="51"/>
      <c r="C38" s="51"/>
      <c r="D38" s="51"/>
      <c r="E38" s="51"/>
      <c r="F38" s="51"/>
      <c r="G38" s="51"/>
      <c r="H38" s="5"/>
      <c r="I38" s="1"/>
    </row>
    <row r="39" spans="1:15" x14ac:dyDescent="0.35">
      <c r="A39" s="4"/>
      <c r="B39" s="18" t="s">
        <v>17</v>
      </c>
      <c r="C39" s="19" t="s">
        <v>18</v>
      </c>
      <c r="D39" s="19" t="s">
        <v>19</v>
      </c>
      <c r="E39" s="19" t="s">
        <v>22</v>
      </c>
      <c r="F39" s="19"/>
      <c r="G39" s="22" t="s">
        <v>23</v>
      </c>
      <c r="H39" s="5"/>
      <c r="I39" s="1"/>
    </row>
    <row r="40" spans="1:15" x14ac:dyDescent="0.35">
      <c r="A40" s="4" t="s">
        <v>14</v>
      </c>
      <c r="B40" s="1">
        <f>B34</f>
        <v>1300000</v>
      </c>
      <c r="C40" s="1">
        <f>C36</f>
        <v>12</v>
      </c>
      <c r="D40" s="1">
        <f>E36</f>
        <v>15600000</v>
      </c>
      <c r="E40" s="23">
        <f>[1]Rates!L19</f>
        <v>12420.57</v>
      </c>
      <c r="F40" s="23" t="s">
        <v>24</v>
      </c>
      <c r="G40" s="9">
        <f>C40*E40</f>
        <v>149046.84</v>
      </c>
      <c r="H40" s="5"/>
      <c r="I40" s="1"/>
    </row>
    <row r="41" spans="1:15" x14ac:dyDescent="0.35">
      <c r="A41" s="4" t="s">
        <v>16</v>
      </c>
      <c r="B41" s="1">
        <f>B35</f>
        <v>1300000</v>
      </c>
      <c r="C41" s="25"/>
      <c r="D41" s="11">
        <f>F36</f>
        <v>99766900</v>
      </c>
      <c r="E41" s="24">
        <f>[1]Rates!L20</f>
        <v>1.081E-2</v>
      </c>
      <c r="F41" s="27" t="s">
        <v>25</v>
      </c>
      <c r="G41" s="13">
        <f t="shared" ref="G41" si="4">ROUND(D41*E41,0)</f>
        <v>1078480</v>
      </c>
      <c r="H41" s="5"/>
    </row>
    <row r="42" spans="1:15" x14ac:dyDescent="0.35">
      <c r="A42" s="31"/>
      <c r="B42" s="11"/>
      <c r="C42" s="13"/>
      <c r="D42" s="11">
        <f>SUM(D40:D41)</f>
        <v>115366900</v>
      </c>
      <c r="E42" s="25"/>
      <c r="F42" s="25"/>
      <c r="G42" s="13">
        <f>SUM(G40:G41)</f>
        <v>1227526.8400000001</v>
      </c>
      <c r="H42" s="32"/>
    </row>
    <row r="44" spans="1:15" x14ac:dyDescent="0.35">
      <c r="A44" s="33" t="s">
        <v>27</v>
      </c>
    </row>
    <row r="46" spans="1:15" x14ac:dyDescent="0.35">
      <c r="C46" s="34" t="s">
        <v>7</v>
      </c>
    </row>
    <row r="47" spans="1:15" x14ac:dyDescent="0.35">
      <c r="B47" s="35" t="s">
        <v>28</v>
      </c>
      <c r="C47" s="36" t="s">
        <v>29</v>
      </c>
      <c r="D47" s="36" t="s">
        <v>30</v>
      </c>
      <c r="E47" s="36" t="s">
        <v>31</v>
      </c>
      <c r="F47" s="36" t="s">
        <v>32</v>
      </c>
      <c r="G47" s="36" t="s">
        <v>33</v>
      </c>
      <c r="H47" s="36" t="s">
        <v>34</v>
      </c>
      <c r="I47" s="36" t="s">
        <v>35</v>
      </c>
      <c r="J47" s="36" t="s">
        <v>36</v>
      </c>
      <c r="K47" s="36" t="s">
        <v>37</v>
      </c>
      <c r="L47" s="36" t="s">
        <v>38</v>
      </c>
      <c r="M47" s="36" t="s">
        <v>39</v>
      </c>
      <c r="N47" s="36" t="s">
        <v>40</v>
      </c>
      <c r="O47" s="37" t="s">
        <v>41</v>
      </c>
    </row>
    <row r="48" spans="1:15" x14ac:dyDescent="0.35">
      <c r="A48" s="34" t="s">
        <v>14</v>
      </c>
      <c r="B48" s="10">
        <v>2000</v>
      </c>
      <c r="C48" s="10">
        <v>487100</v>
      </c>
      <c r="D48" s="10">
        <v>517400</v>
      </c>
      <c r="E48" s="10">
        <v>564700</v>
      </c>
      <c r="F48" s="10">
        <v>575600</v>
      </c>
      <c r="G48" s="10">
        <f>568100+68400</f>
        <v>636500</v>
      </c>
      <c r="H48" s="10">
        <f>391900+59800</f>
        <v>451700</v>
      </c>
      <c r="I48" s="10">
        <f>570700+69600</f>
        <v>640300</v>
      </c>
      <c r="J48" s="10">
        <f>380700+56900</f>
        <v>437600</v>
      </c>
      <c r="K48" s="10">
        <f>441700+64400</f>
        <v>506100</v>
      </c>
      <c r="L48" s="10">
        <f>459200+63100</f>
        <v>522300</v>
      </c>
      <c r="M48" s="10">
        <f>440300+68500+100</f>
        <v>508900</v>
      </c>
      <c r="N48" s="10">
        <f>442900+61000+0</f>
        <v>503900</v>
      </c>
      <c r="O48" s="10">
        <f>SUM(C48:N48)</f>
        <v>6352100</v>
      </c>
    </row>
    <row r="49" spans="1:15" x14ac:dyDescent="0.35">
      <c r="A49" s="34" t="s">
        <v>15</v>
      </c>
      <c r="B49" s="10">
        <v>18000</v>
      </c>
      <c r="C49" s="10">
        <v>3605600</v>
      </c>
      <c r="D49" s="10">
        <v>3325700</v>
      </c>
      <c r="E49" s="10">
        <v>2857300</v>
      </c>
      <c r="F49" s="10">
        <v>3010600</v>
      </c>
      <c r="G49" s="10">
        <f>2163000+488700+9900</f>
        <v>2661600</v>
      </c>
      <c r="H49" s="10">
        <f>3671800+596900+19000</f>
        <v>4287700</v>
      </c>
      <c r="I49" s="10">
        <f>2446800+547100+5200</f>
        <v>2999100</v>
      </c>
      <c r="J49" s="10">
        <f>3636000+591700+9300</f>
        <v>4237000</v>
      </c>
      <c r="K49" s="10">
        <f>2866300+531400+35500</f>
        <v>3433200</v>
      </c>
      <c r="L49" s="10">
        <f>2919400+562600+24400</f>
        <v>3506400</v>
      </c>
      <c r="M49" s="10">
        <f>2955300+560400+13500</f>
        <v>3529200</v>
      </c>
      <c r="N49" s="10">
        <f>2897800+558500+13100</f>
        <v>3469400</v>
      </c>
      <c r="O49" s="10">
        <f t="shared" ref="O49:O50" si="5">SUM(C49:N49)</f>
        <v>40922800</v>
      </c>
    </row>
    <row r="50" spans="1:15" x14ac:dyDescent="0.35">
      <c r="A50" s="34" t="s">
        <v>16</v>
      </c>
      <c r="B50" s="10">
        <v>20000</v>
      </c>
      <c r="C50" s="10">
        <v>3745100</v>
      </c>
      <c r="D50" s="10">
        <v>3894900</v>
      </c>
      <c r="E50" s="10">
        <v>3413500</v>
      </c>
      <c r="F50" s="10">
        <v>2749400</v>
      </c>
      <c r="G50" s="10">
        <f>610300+1164300+441000</f>
        <v>2215600</v>
      </c>
      <c r="H50" s="10">
        <f>1171400+2304900+565800</f>
        <v>4042100</v>
      </c>
      <c r="I50" s="10">
        <f>346200+1172200+338400</f>
        <v>1856800</v>
      </c>
      <c r="J50" s="10">
        <f>572700+1865800+443100</f>
        <v>2881600</v>
      </c>
      <c r="K50" s="10">
        <f>839600+1631700+319000</f>
        <v>2790300</v>
      </c>
      <c r="L50" s="10">
        <f>917300+1495900+389000</f>
        <v>2802200</v>
      </c>
      <c r="M50" s="10">
        <f>703800+1927700+401000</f>
        <v>3032500</v>
      </c>
      <c r="N50" s="10">
        <f>513200+1772900+335000</f>
        <v>2621100</v>
      </c>
      <c r="O50" s="10">
        <f t="shared" si="5"/>
        <v>36045100</v>
      </c>
    </row>
    <row r="51" spans="1:15" x14ac:dyDescent="0.3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x14ac:dyDescent="0.35">
      <c r="B52" s="38" t="s">
        <v>42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x14ac:dyDescent="0.35">
      <c r="A53" s="34" t="s">
        <v>14</v>
      </c>
      <c r="B53" s="38">
        <v>1300000</v>
      </c>
      <c r="C53" s="10">
        <v>1300000</v>
      </c>
      <c r="D53" s="10">
        <v>1300000</v>
      </c>
      <c r="E53" s="10">
        <v>1300000</v>
      </c>
      <c r="F53" s="10">
        <v>1300000</v>
      </c>
      <c r="G53" s="39">
        <v>1300000</v>
      </c>
      <c r="H53" s="39">
        <v>1300000</v>
      </c>
      <c r="I53" s="39">
        <v>1300000</v>
      </c>
      <c r="J53" s="39">
        <v>1300000</v>
      </c>
      <c r="K53" s="39">
        <v>1300000</v>
      </c>
      <c r="L53" s="39">
        <v>1300000</v>
      </c>
      <c r="M53" s="39">
        <v>1300000</v>
      </c>
      <c r="N53" s="39">
        <v>1300000</v>
      </c>
      <c r="O53" s="10">
        <f t="shared" ref="O53:O54" si="6">SUM(C53:N53)</f>
        <v>15600000</v>
      </c>
    </row>
    <row r="54" spans="1:15" x14ac:dyDescent="0.35">
      <c r="A54" s="34" t="s">
        <v>16</v>
      </c>
      <c r="B54" s="38">
        <v>1300000</v>
      </c>
      <c r="C54" s="40">
        <v>6558800</v>
      </c>
      <c r="D54" s="40">
        <v>7092700</v>
      </c>
      <c r="E54" s="40">
        <v>5509100</v>
      </c>
      <c r="F54" s="40">
        <v>5929800</v>
      </c>
      <c r="G54" s="40">
        <v>8069600</v>
      </c>
      <c r="H54" s="40">
        <v>11410400</v>
      </c>
      <c r="I54" s="40">
        <v>6424800</v>
      </c>
      <c r="J54" s="40">
        <v>8763900</v>
      </c>
      <c r="K54" s="40">
        <v>7936700</v>
      </c>
      <c r="L54" s="40">
        <v>9731500</v>
      </c>
      <c r="M54" s="40">
        <v>11948700</v>
      </c>
      <c r="N54" s="40">
        <v>10390900</v>
      </c>
      <c r="O54" s="40">
        <f t="shared" si="6"/>
        <v>99766900</v>
      </c>
    </row>
    <row r="55" spans="1:15" x14ac:dyDescent="0.35">
      <c r="B55" s="41" t="s">
        <v>20</v>
      </c>
      <c r="C55" s="10">
        <f>SUM(C48:C54)</f>
        <v>15696600</v>
      </c>
      <c r="D55" s="10">
        <f t="shared" ref="D55:N55" si="7">SUM(D48:D54)</f>
        <v>16130700</v>
      </c>
      <c r="E55" s="10">
        <f t="shared" si="7"/>
        <v>13644600</v>
      </c>
      <c r="F55" s="10">
        <f t="shared" si="7"/>
        <v>13565400</v>
      </c>
      <c r="G55" s="39">
        <f t="shared" si="7"/>
        <v>14883300</v>
      </c>
      <c r="H55" s="39">
        <f t="shared" si="7"/>
        <v>21491900</v>
      </c>
      <c r="I55" s="39">
        <f t="shared" si="7"/>
        <v>13221000</v>
      </c>
      <c r="J55" s="39">
        <f t="shared" si="7"/>
        <v>17620100</v>
      </c>
      <c r="K55" s="39">
        <f t="shared" si="7"/>
        <v>15966300</v>
      </c>
      <c r="L55" s="39">
        <f t="shared" si="7"/>
        <v>17862400</v>
      </c>
      <c r="M55" s="39">
        <f t="shared" si="7"/>
        <v>20319300</v>
      </c>
      <c r="N55" s="39">
        <f t="shared" si="7"/>
        <v>18285300</v>
      </c>
      <c r="O55" s="10">
        <f>SUM(C55:N55)</f>
        <v>198686900</v>
      </c>
    </row>
    <row r="56" spans="1:15" x14ac:dyDescent="0.35">
      <c r="B56" s="34" t="s">
        <v>44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x14ac:dyDescent="0.35">
      <c r="B57" s="35" t="s">
        <v>28</v>
      </c>
      <c r="C57" s="42" t="s">
        <v>29</v>
      </c>
      <c r="D57" s="42" t="s">
        <v>30</v>
      </c>
      <c r="E57" s="42" t="s">
        <v>31</v>
      </c>
      <c r="F57" s="42" t="s">
        <v>32</v>
      </c>
      <c r="G57" s="42" t="s">
        <v>33</v>
      </c>
      <c r="H57" s="42" t="s">
        <v>34</v>
      </c>
      <c r="I57" s="42" t="s">
        <v>35</v>
      </c>
      <c r="J57" s="42" t="s">
        <v>36</v>
      </c>
      <c r="K57" s="42" t="s">
        <v>37</v>
      </c>
      <c r="L57" s="42" t="s">
        <v>38</v>
      </c>
      <c r="M57" s="42" t="s">
        <v>39</v>
      </c>
      <c r="N57" s="42" t="s">
        <v>40</v>
      </c>
      <c r="O57" s="43" t="s">
        <v>41</v>
      </c>
    </row>
    <row r="58" spans="1:15" x14ac:dyDescent="0.35">
      <c r="A58" s="34" t="s">
        <v>14</v>
      </c>
      <c r="B58" s="10">
        <v>2000</v>
      </c>
      <c r="C58" s="10">
        <v>522</v>
      </c>
      <c r="D58" s="10">
        <v>536</v>
      </c>
      <c r="E58" s="10">
        <v>585</v>
      </c>
      <c r="F58" s="10">
        <v>575</v>
      </c>
      <c r="G58" s="39">
        <f>540+92+2</f>
        <v>634</v>
      </c>
      <c r="H58" s="39">
        <f>374+75</f>
        <v>449</v>
      </c>
      <c r="I58" s="39">
        <f>541+98</f>
        <v>639</v>
      </c>
      <c r="J58" s="39">
        <f>371+75+0</f>
        <v>446</v>
      </c>
      <c r="K58" s="39">
        <f>444+88</f>
        <v>532</v>
      </c>
      <c r="L58" s="39">
        <f>438+89</f>
        <v>527</v>
      </c>
      <c r="M58" s="39">
        <f>428+86+1</f>
        <v>515</v>
      </c>
      <c r="N58" s="39">
        <f>429+81+1</f>
        <v>511</v>
      </c>
      <c r="O58" s="10">
        <f t="shared" ref="O58:O60" si="8">SUM(C58:N58)</f>
        <v>6471</v>
      </c>
    </row>
    <row r="59" spans="1:15" x14ac:dyDescent="0.35">
      <c r="A59" s="34" t="s">
        <v>15</v>
      </c>
      <c r="B59" s="10">
        <v>18000</v>
      </c>
      <c r="C59" s="10">
        <v>749</v>
      </c>
      <c r="D59" s="10">
        <v>725</v>
      </c>
      <c r="E59" s="10">
        <v>691</v>
      </c>
      <c r="F59" s="10">
        <v>700</v>
      </c>
      <c r="G59" s="10">
        <f>561+82+2</f>
        <v>645</v>
      </c>
      <c r="H59" s="10">
        <f>725+91+2</f>
        <v>818</v>
      </c>
      <c r="I59" s="10">
        <f>573+74+2</f>
        <v>649</v>
      </c>
      <c r="J59" s="10">
        <f>740+88+2</f>
        <v>830</v>
      </c>
      <c r="K59" s="10">
        <f>665+78+3</f>
        <v>746</v>
      </c>
      <c r="L59" s="10">
        <f>670+81+3</f>
        <v>754</v>
      </c>
      <c r="M59" s="10">
        <f>681+77+2</f>
        <v>760</v>
      </c>
      <c r="N59" s="10">
        <f>676+82+2</f>
        <v>760</v>
      </c>
      <c r="O59" s="10">
        <f t="shared" si="8"/>
        <v>8827</v>
      </c>
    </row>
    <row r="60" spans="1:15" x14ac:dyDescent="0.35">
      <c r="A60" s="34" t="s">
        <v>16</v>
      </c>
      <c r="B60" s="10">
        <v>20000</v>
      </c>
      <c r="C60" s="10">
        <v>37</v>
      </c>
      <c r="D60" s="10">
        <v>51</v>
      </c>
      <c r="E60" s="10">
        <v>28</v>
      </c>
      <c r="F60" s="10">
        <v>30</v>
      </c>
      <c r="G60" s="10">
        <f>9+17+2</f>
        <v>28</v>
      </c>
      <c r="H60" s="10">
        <f>20+25+3</f>
        <v>48</v>
      </c>
      <c r="I60" s="10">
        <f>7+17+3</f>
        <v>27</v>
      </c>
      <c r="J60" s="10">
        <f>9+27+3</f>
        <v>39</v>
      </c>
      <c r="K60" s="10">
        <f>9+23+2</f>
        <v>34</v>
      </c>
      <c r="L60" s="10">
        <f>10+20+2</f>
        <v>32</v>
      </c>
      <c r="M60" s="10">
        <f>8+24+2</f>
        <v>34</v>
      </c>
      <c r="N60" s="10">
        <f>8+23+2</f>
        <v>33</v>
      </c>
      <c r="O60" s="10">
        <f t="shared" si="8"/>
        <v>421</v>
      </c>
    </row>
    <row r="61" spans="1:15" x14ac:dyDescent="0.3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x14ac:dyDescent="0.35">
      <c r="B62" s="38" t="s">
        <v>42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x14ac:dyDescent="0.35">
      <c r="A63" s="34" t="s">
        <v>14</v>
      </c>
      <c r="B63" s="38">
        <v>1300000</v>
      </c>
      <c r="C63" s="10">
        <v>1</v>
      </c>
      <c r="D63" s="10">
        <v>1</v>
      </c>
      <c r="E63" s="10">
        <v>1</v>
      </c>
      <c r="F63" s="10">
        <v>1</v>
      </c>
      <c r="G63" s="10">
        <v>1</v>
      </c>
      <c r="H63" s="38">
        <v>1</v>
      </c>
      <c r="I63" s="10">
        <v>1</v>
      </c>
      <c r="J63" s="10">
        <v>1</v>
      </c>
      <c r="K63" s="10">
        <v>1</v>
      </c>
      <c r="L63" s="10">
        <v>1</v>
      </c>
      <c r="M63" s="10">
        <v>1</v>
      </c>
      <c r="N63" s="10">
        <v>1</v>
      </c>
      <c r="O63" s="10">
        <f>SUM(C63:N63)</f>
        <v>12</v>
      </c>
    </row>
    <row r="64" spans="1:15" x14ac:dyDescent="0.35">
      <c r="A64" s="34" t="s">
        <v>16</v>
      </c>
      <c r="B64" s="38">
        <v>1300000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spans="2:15" x14ac:dyDescent="0.35">
      <c r="B65" s="41" t="s">
        <v>20</v>
      </c>
      <c r="C65" s="1">
        <f>SUM(C58:C64)</f>
        <v>1309</v>
      </c>
      <c r="D65" s="1">
        <f t="shared" ref="D65:N65" si="9">SUM(D58:D64)</f>
        <v>1313</v>
      </c>
      <c r="E65" s="1">
        <f t="shared" si="9"/>
        <v>1305</v>
      </c>
      <c r="F65" s="1">
        <f t="shared" si="9"/>
        <v>1306</v>
      </c>
      <c r="G65" s="1">
        <f t="shared" si="9"/>
        <v>1308</v>
      </c>
      <c r="H65" s="1">
        <f t="shared" si="9"/>
        <v>1316</v>
      </c>
      <c r="I65" s="1">
        <f t="shared" si="9"/>
        <v>1316</v>
      </c>
      <c r="J65" s="1">
        <f t="shared" si="9"/>
        <v>1316</v>
      </c>
      <c r="K65" s="1">
        <f t="shared" si="9"/>
        <v>1313</v>
      </c>
      <c r="L65" s="1">
        <f t="shared" si="9"/>
        <v>1314</v>
      </c>
      <c r="M65" s="1">
        <f t="shared" si="9"/>
        <v>1310</v>
      </c>
      <c r="N65" s="1">
        <f t="shared" si="9"/>
        <v>1305</v>
      </c>
      <c r="O65" s="1">
        <f>SUM(C65:N65)</f>
        <v>15731</v>
      </c>
    </row>
  </sheetData>
  <mergeCells count="6">
    <mergeCell ref="A38:G38"/>
    <mergeCell ref="A1:H1"/>
    <mergeCell ref="A2:H2"/>
    <mergeCell ref="A3:H3"/>
    <mergeCell ref="A5:F5"/>
    <mergeCell ref="A24:G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ExBAs</vt:lpstr>
      <vt:lpstr>PRBAs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2025-07-14T00:46:06Z</dcterms:created>
  <dcterms:modified xsi:type="dcterms:W3CDTF">2025-07-14T00:53:02Z</dcterms:modified>
</cp:coreProperties>
</file>