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skofirm-my.sharepoint.com/personal/gerald_wuetcher_skofirm_com/Documents/McCrearyCountyWaterDistrict_2025RateApplication/Application_Sewer/FinalDocuments/"/>
    </mc:Choice>
  </mc:AlternateContent>
  <xr:revisionPtr revIDLastSave="0" documentId="8_{E29634F9-41B3-4159-914F-C266E726921C}" xr6:coauthVersionLast="47" xr6:coauthVersionMax="47" xr10:uidLastSave="{00000000-0000-0000-0000-000000000000}"/>
  <bookViews>
    <workbookView xWindow="-110" yWindow="-110" windowWidth="19420" windowHeight="11500" tabRatio="655" activeTab="2" xr2:uid="{81BC2775-36FB-4C36-9409-D1FA02229A9F}"/>
  </bookViews>
  <sheets>
    <sheet name="SAOw" sheetId="6" r:id="rId1"/>
    <sheet name="SAOs" sheetId="44" r:id="rId2"/>
    <sheet name="References" sheetId="50" r:id="rId3"/>
    <sheet name="Adj" sheetId="31" r:id="rId4"/>
    <sheet name="Depr" sheetId="32" r:id="rId5"/>
    <sheet name="Debt Serv" sheetId="49" r:id="rId6"/>
    <sheet name="Wages" sheetId="45" r:id="rId7"/>
    <sheet name="Medical" sheetId="46" r:id="rId8"/>
    <sheet name="Rates" sheetId="2" r:id="rId9"/>
    <sheet name="Notice" sheetId="36" r:id="rId10"/>
    <sheet name="Bills" sheetId="41" r:id="rId11"/>
    <sheet name="ExBAw" sheetId="10" r:id="rId12"/>
    <sheet name="PrBAw phase 1" sheetId="51" r:id="rId13"/>
    <sheet name="PrBAw phase 2" sheetId="35" r:id="rId14"/>
    <sheet name="ExBAs" sheetId="47" r:id="rId15"/>
    <sheet name="PRBAs" sheetId="48" r:id="rId16"/>
  </sheets>
  <definedNames>
    <definedName name="_xlnm.Print_Area" localSheetId="10">Bills!$B$5:$H$38</definedName>
    <definedName name="_xlnm.Print_Area" localSheetId="4">Depr!$B$2:$K$45</definedName>
    <definedName name="_xlnm.Print_Area" localSheetId="11">ExBAw!$A$2:$H$5</definedName>
    <definedName name="_xlnm.Print_Area" localSheetId="12">'PrBAw phase 1'!#REF!</definedName>
    <definedName name="_xlnm.Print_Area" localSheetId="13">'PrBAw phase 2'!#REF!</definedName>
    <definedName name="_xlnm.Print_Area" localSheetId="8">Rates!$B$2:$K$19</definedName>
    <definedName name="_xlnm.Print_Area" localSheetId="0">SAOw!$B$2:$J$69</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2" i="2" l="1"/>
  <c r="AB41" i="2"/>
  <c r="AB39" i="2"/>
  <c r="G14" i="51"/>
  <c r="T21" i="31"/>
  <c r="E65" i="51" l="1"/>
  <c r="E56" i="51"/>
  <c r="E55" i="51"/>
  <c r="E43" i="51"/>
  <c r="E42" i="51"/>
  <c r="F42" i="51" s="1"/>
  <c r="E28" i="51"/>
  <c r="E27" i="51"/>
  <c r="N126" i="51"/>
  <c r="O123" i="51"/>
  <c r="N123" i="51"/>
  <c r="M123" i="51"/>
  <c r="L123" i="51"/>
  <c r="K123" i="51"/>
  <c r="J123" i="51"/>
  <c r="I123" i="51"/>
  <c r="H123" i="51"/>
  <c r="G123" i="51"/>
  <c r="F123" i="51"/>
  <c r="P123" i="51" s="1"/>
  <c r="J8" i="51" s="1"/>
  <c r="E123" i="51"/>
  <c r="D123" i="51"/>
  <c r="P120" i="51"/>
  <c r="P118" i="51"/>
  <c r="C65" i="51" s="1"/>
  <c r="C70" i="51" s="1"/>
  <c r="E10" i="51" s="1"/>
  <c r="P115" i="51"/>
  <c r="C49" i="51" s="1"/>
  <c r="C51" i="51" s="1"/>
  <c r="C55" i="51" s="1"/>
  <c r="P113" i="51"/>
  <c r="P111" i="51"/>
  <c r="P110" i="51"/>
  <c r="P108" i="51"/>
  <c r="P107" i="51"/>
  <c r="P105" i="51"/>
  <c r="P104" i="51"/>
  <c r="P102" i="51"/>
  <c r="C22" i="51" s="1"/>
  <c r="E22" i="51" s="1"/>
  <c r="P101" i="51"/>
  <c r="K99" i="51"/>
  <c r="O97" i="51"/>
  <c r="N97" i="51"/>
  <c r="M97" i="51"/>
  <c r="L97" i="51"/>
  <c r="K97" i="51"/>
  <c r="J97" i="51"/>
  <c r="I97" i="51"/>
  <c r="H97" i="51"/>
  <c r="G97" i="51"/>
  <c r="F97" i="51"/>
  <c r="E97" i="51"/>
  <c r="P95" i="51"/>
  <c r="P94" i="51"/>
  <c r="D36" i="51" s="1"/>
  <c r="P92" i="51"/>
  <c r="D65" i="51" s="1"/>
  <c r="D70" i="51" s="1"/>
  <c r="F10" i="51" s="1"/>
  <c r="P90" i="51"/>
  <c r="D50" i="51" s="1"/>
  <c r="P89" i="51"/>
  <c r="P87" i="51"/>
  <c r="P85" i="51"/>
  <c r="P84" i="51"/>
  <c r="P82" i="51"/>
  <c r="P81" i="51"/>
  <c r="P79" i="51"/>
  <c r="P78" i="51"/>
  <c r="D76" i="51"/>
  <c r="P76" i="51" s="1"/>
  <c r="D22" i="51" s="1"/>
  <c r="F22" i="51" s="1"/>
  <c r="F23" i="51" s="1"/>
  <c r="D28" i="51" s="1"/>
  <c r="F28" i="51" s="1"/>
  <c r="D75" i="51"/>
  <c r="P75" i="51" s="1"/>
  <c r="D21" i="51" s="1"/>
  <c r="D66" i="51"/>
  <c r="C66" i="51"/>
  <c r="E68" i="51"/>
  <c r="B56" i="51"/>
  <c r="B55" i="51"/>
  <c r="E49" i="51"/>
  <c r="E51" i="51" s="1"/>
  <c r="D55" i="51" s="1"/>
  <c r="D49" i="51"/>
  <c r="F48" i="51"/>
  <c r="E48" i="51"/>
  <c r="B43" i="51"/>
  <c r="C42" i="51"/>
  <c r="C44" i="51" s="1"/>
  <c r="B42" i="51"/>
  <c r="C38" i="51"/>
  <c r="D37" i="51"/>
  <c r="F37" i="51" s="1"/>
  <c r="C36" i="51"/>
  <c r="F35" i="51"/>
  <c r="E35" i="51"/>
  <c r="B28" i="51"/>
  <c r="B27" i="51"/>
  <c r="C21" i="51"/>
  <c r="C23" i="51" s="1"/>
  <c r="F20" i="51"/>
  <c r="E20" i="51"/>
  <c r="G12" i="51"/>
  <c r="E8" i="51"/>
  <c r="O13" i="36"/>
  <c r="O11" i="36"/>
  <c r="E155" i="41"/>
  <c r="E153" i="41"/>
  <c r="E150" i="41"/>
  <c r="E148" i="41"/>
  <c r="E147" i="41"/>
  <c r="F132" i="41"/>
  <c r="E166" i="41" s="1"/>
  <c r="F128" i="41"/>
  <c r="E162" i="41" s="1"/>
  <c r="F124" i="41"/>
  <c r="E158" i="41" s="1"/>
  <c r="E124" i="41"/>
  <c r="E25" i="41"/>
  <c r="N11" i="36" s="1"/>
  <c r="P11" i="36" s="1"/>
  <c r="Q11" i="36" s="1"/>
  <c r="F121" i="41"/>
  <c r="F120" i="41"/>
  <c r="E154" i="41" s="1"/>
  <c r="F119" i="41"/>
  <c r="F118" i="41"/>
  <c r="E152" i="41" s="1"/>
  <c r="F117" i="41"/>
  <c r="E151" i="41" s="1"/>
  <c r="F116" i="41"/>
  <c r="F115" i="41"/>
  <c r="E149" i="41" s="1"/>
  <c r="F114" i="41"/>
  <c r="F113" i="41"/>
  <c r="E97" i="41"/>
  <c r="E93" i="41"/>
  <c r="E92" i="41"/>
  <c r="E91" i="41"/>
  <c r="E90" i="41"/>
  <c r="E89" i="41"/>
  <c r="E88" i="41"/>
  <c r="E87" i="41"/>
  <c r="E86" i="41"/>
  <c r="E85" i="41"/>
  <c r="H62" i="36"/>
  <c r="F99" i="36" s="1"/>
  <c r="H61" i="36"/>
  <c r="I61" i="36" s="1"/>
  <c r="J61" i="36" s="1"/>
  <c r="H60" i="36"/>
  <c r="F97" i="36" s="1"/>
  <c r="H59" i="36"/>
  <c r="F96" i="36" s="1"/>
  <c r="H58" i="36"/>
  <c r="I58" i="36" s="1"/>
  <c r="J58" i="36" s="1"/>
  <c r="H55" i="36"/>
  <c r="F92" i="36" s="1"/>
  <c r="H54" i="36"/>
  <c r="F91" i="36" s="1"/>
  <c r="H51" i="36"/>
  <c r="I51" i="36" s="1"/>
  <c r="J51" i="36" s="1"/>
  <c r="H50" i="36"/>
  <c r="I50" i="36" s="1"/>
  <c r="J50" i="36" s="1"/>
  <c r="H47" i="36"/>
  <c r="F84" i="36" s="1"/>
  <c r="H46" i="36"/>
  <c r="I46" i="36" s="1"/>
  <c r="J46" i="36" s="1"/>
  <c r="I62" i="36"/>
  <c r="J62" i="36" s="1"/>
  <c r="I60" i="36"/>
  <c r="J60" i="36" s="1"/>
  <c r="I55" i="36"/>
  <c r="J55" i="36" s="1"/>
  <c r="I47" i="36"/>
  <c r="J47" i="36" s="1"/>
  <c r="F115" i="2"/>
  <c r="F114" i="2"/>
  <c r="F113" i="2"/>
  <c r="F112" i="2"/>
  <c r="F111" i="2"/>
  <c r="F108" i="2"/>
  <c r="F107" i="2"/>
  <c r="F104" i="2"/>
  <c r="F103" i="2"/>
  <c r="F100" i="2"/>
  <c r="F99" i="2"/>
  <c r="L73" i="2"/>
  <c r="O73" i="2" s="1"/>
  <c r="L74" i="2"/>
  <c r="Q74" i="2" s="1"/>
  <c r="L77" i="2"/>
  <c r="L78" i="2"/>
  <c r="L81" i="2"/>
  <c r="L82" i="2"/>
  <c r="Q82" i="2" s="1"/>
  <c r="L83" i="2"/>
  <c r="L84" i="2"/>
  <c r="L85" i="2"/>
  <c r="Q78" i="2"/>
  <c r="Q77" i="2"/>
  <c r="C92" i="2"/>
  <c r="I115" i="2"/>
  <c r="I114" i="2"/>
  <c r="I113" i="2"/>
  <c r="I112" i="2"/>
  <c r="I111" i="2"/>
  <c r="J108" i="2"/>
  <c r="J107" i="2"/>
  <c r="I106" i="2"/>
  <c r="J104" i="2"/>
  <c r="J103" i="2"/>
  <c r="I102" i="2"/>
  <c r="J100" i="2"/>
  <c r="J99" i="2"/>
  <c r="Q85" i="2"/>
  <c r="Q84" i="2"/>
  <c r="O81" i="2"/>
  <c r="L70" i="2"/>
  <c r="O70" i="2" s="1"/>
  <c r="L69" i="2"/>
  <c r="C62" i="2"/>
  <c r="I85" i="2"/>
  <c r="I84" i="2"/>
  <c r="Q83" i="2"/>
  <c r="O83" i="2"/>
  <c r="I83" i="2"/>
  <c r="I82" i="2"/>
  <c r="I81" i="2"/>
  <c r="J78" i="2"/>
  <c r="J77" i="2"/>
  <c r="I76" i="2"/>
  <c r="J74" i="2"/>
  <c r="J73" i="2"/>
  <c r="I72" i="2"/>
  <c r="J70" i="2"/>
  <c r="Q69" i="2"/>
  <c r="J69" i="2"/>
  <c r="E22" i="41"/>
  <c r="E121" i="41" s="1"/>
  <c r="E21" i="41"/>
  <c r="E120" i="41" s="1"/>
  <c r="E20" i="41"/>
  <c r="E119" i="41" s="1"/>
  <c r="E19" i="41"/>
  <c r="E118" i="41" s="1"/>
  <c r="E18" i="41"/>
  <c r="E117" i="41" s="1"/>
  <c r="E17" i="41"/>
  <c r="E116" i="41" s="1"/>
  <c r="E16" i="41"/>
  <c r="E115" i="41" s="1"/>
  <c r="E15" i="41"/>
  <c r="E114" i="41" s="1"/>
  <c r="E14" i="41"/>
  <c r="E113" i="41" s="1"/>
  <c r="E32" i="41"/>
  <c r="E132" i="41" s="1"/>
  <c r="E28" i="41"/>
  <c r="E128" i="41" s="1"/>
  <c r="M13" i="36"/>
  <c r="M12" i="36"/>
  <c r="M11" i="36"/>
  <c r="I54" i="36" l="1"/>
  <c r="J54" i="36" s="1"/>
  <c r="O10" i="36"/>
  <c r="I59" i="36"/>
  <c r="J59" i="36" s="1"/>
  <c r="O12" i="36"/>
  <c r="E36" i="51"/>
  <c r="D38" i="51"/>
  <c r="F8" i="51" s="1"/>
  <c r="F38" i="51"/>
  <c r="D43" i="51" s="1"/>
  <c r="F43" i="51" s="1"/>
  <c r="F44" i="51" s="1"/>
  <c r="G8" i="51" s="1"/>
  <c r="G37" i="51"/>
  <c r="C27" i="51"/>
  <c r="C29" i="51" s="1"/>
  <c r="E7" i="51"/>
  <c r="E11" i="51" s="1"/>
  <c r="F55" i="51"/>
  <c r="C57" i="51"/>
  <c r="E9" i="51" s="1"/>
  <c r="D23" i="51"/>
  <c r="F7" i="51" s="1"/>
  <c r="E21" i="51"/>
  <c r="G22" i="51"/>
  <c r="D51" i="51"/>
  <c r="F50" i="51"/>
  <c r="E69" i="51"/>
  <c r="E66" i="51"/>
  <c r="F66" i="51" s="1"/>
  <c r="D97" i="51"/>
  <c r="P97" i="51" s="1"/>
  <c r="J7" i="51" s="1"/>
  <c r="E67" i="51"/>
  <c r="G49" i="51"/>
  <c r="F65" i="51"/>
  <c r="F70" i="51" s="1"/>
  <c r="G10" i="51" s="1"/>
  <c r="G128" i="41"/>
  <c r="I128" i="41" s="1"/>
  <c r="G116" i="41"/>
  <c r="I116" i="41" s="1"/>
  <c r="G121" i="41"/>
  <c r="I121" i="41" s="1"/>
  <c r="G117" i="41"/>
  <c r="I117" i="41" s="1"/>
  <c r="G124" i="41"/>
  <c r="I124" i="41" s="1"/>
  <c r="G118" i="41"/>
  <c r="I118" i="41" s="1"/>
  <c r="G119" i="41"/>
  <c r="I119" i="41" s="1"/>
  <c r="G115" i="41"/>
  <c r="I115" i="41" s="1"/>
  <c r="G120" i="41"/>
  <c r="I120" i="41" s="1"/>
  <c r="G132" i="41"/>
  <c r="I132" i="41" s="1"/>
  <c r="G114" i="41"/>
  <c r="I114" i="41" s="1"/>
  <c r="G113" i="41"/>
  <c r="I113" i="41" s="1"/>
  <c r="F95" i="36"/>
  <c r="F98" i="36"/>
  <c r="F83" i="36"/>
  <c r="F87" i="36"/>
  <c r="F88" i="36"/>
  <c r="Q73" i="2"/>
  <c r="O85" i="2"/>
  <c r="Q81" i="2"/>
  <c r="O77" i="2"/>
  <c r="O74" i="2"/>
  <c r="Q70" i="2"/>
  <c r="O78" i="2"/>
  <c r="O82" i="2"/>
  <c r="O84" i="2"/>
  <c r="O69" i="2"/>
  <c r="E23" i="51" l="1"/>
  <c r="D27" i="51" s="1"/>
  <c r="D29" i="51" s="1"/>
  <c r="G21" i="51"/>
  <c r="G23" i="51" s="1"/>
  <c r="F27" i="51"/>
  <c r="F29" i="51" s="1"/>
  <c r="G7" i="51" s="1"/>
  <c r="G36" i="51"/>
  <c r="G38" i="51" s="1"/>
  <c r="E38" i="51"/>
  <c r="D42" i="51" s="1"/>
  <c r="D44" i="51" s="1"/>
  <c r="G50" i="51"/>
  <c r="G51" i="51" s="1"/>
  <c r="F51" i="51"/>
  <c r="D56" i="51" s="1"/>
  <c r="F56" i="51" l="1"/>
  <c r="F57" i="51" s="1"/>
  <c r="G9" i="51" s="1"/>
  <c r="M10" i="51" s="1"/>
  <c r="D57" i="51"/>
  <c r="F9" i="51" s="1"/>
  <c r="F11" i="51" s="1"/>
  <c r="G75" i="47"/>
  <c r="F75" i="47"/>
  <c r="H75" i="47" s="1"/>
  <c r="E75" i="47"/>
  <c r="D75" i="47"/>
  <c r="C75" i="47"/>
  <c r="H74" i="47"/>
  <c r="G74" i="47"/>
  <c r="F74" i="47"/>
  <c r="E74" i="47"/>
  <c r="D74" i="47"/>
  <c r="C74" i="47"/>
  <c r="H73" i="47"/>
  <c r="E73" i="47"/>
  <c r="F73" i="47"/>
  <c r="G73" i="47"/>
  <c r="D73" i="47"/>
  <c r="C73" i="47"/>
  <c r="N17" i="36"/>
  <c r="N16" i="36"/>
  <c r="L8" i="47"/>
  <c r="L7" i="47"/>
  <c r="N13" i="36"/>
  <c r="P13" i="36" s="1"/>
  <c r="Q13" i="36" s="1"/>
  <c r="M29" i="10"/>
  <c r="M27" i="10"/>
  <c r="M25" i="10"/>
  <c r="M23" i="10"/>
  <c r="F93" i="6"/>
  <c r="F92" i="6"/>
  <c r="E22" i="35"/>
  <c r="R95" i="10"/>
  <c r="Q86" i="10"/>
  <c r="G11" i="51" l="1"/>
  <c r="G13" i="51" s="1"/>
  <c r="L69" i="49"/>
  <c r="G69" i="49"/>
  <c r="K69" i="49"/>
  <c r="G50" i="49" s="1"/>
  <c r="F69" i="49"/>
  <c r="I47" i="49" s="1"/>
  <c r="J47" i="49" l="1"/>
  <c r="H50" i="49"/>
  <c r="C47" i="49"/>
  <c r="K47" i="49"/>
  <c r="I50" i="49"/>
  <c r="E47" i="49"/>
  <c r="C50" i="49"/>
  <c r="K50" i="49"/>
  <c r="F47" i="49"/>
  <c r="D50" i="49"/>
  <c r="L50" i="49"/>
  <c r="G47" i="49"/>
  <c r="E50" i="49"/>
  <c r="H47" i="49"/>
  <c r="F50" i="49"/>
  <c r="D47" i="49"/>
  <c r="M47" i="49" s="1"/>
  <c r="L47" i="49"/>
  <c r="J50" i="49"/>
  <c r="G20" i="49"/>
  <c r="L20" i="49"/>
  <c r="J20" i="49"/>
  <c r="F20" i="49"/>
  <c r="E20" i="49"/>
  <c r="D20" i="49"/>
  <c r="I20" i="49"/>
  <c r="H20" i="49"/>
  <c r="K20" i="49"/>
  <c r="C20" i="49"/>
  <c r="J18" i="49"/>
  <c r="I18" i="49"/>
  <c r="L18" i="49"/>
  <c r="K18" i="49"/>
  <c r="H18" i="49"/>
  <c r="G18" i="49"/>
  <c r="E18" i="49"/>
  <c r="D18" i="49"/>
  <c r="C18" i="49"/>
  <c r="F18" i="49"/>
  <c r="L49" i="49"/>
  <c r="K49" i="49"/>
  <c r="J49" i="49"/>
  <c r="I49" i="49"/>
  <c r="H49" i="49"/>
  <c r="G49" i="49"/>
  <c r="F49" i="49"/>
  <c r="E49" i="49"/>
  <c r="D49" i="49"/>
  <c r="C49" i="49"/>
  <c r="L19" i="49"/>
  <c r="K19" i="49"/>
  <c r="J19" i="49"/>
  <c r="I19" i="49"/>
  <c r="H19" i="49"/>
  <c r="G19" i="49"/>
  <c r="F19" i="49"/>
  <c r="E19" i="49"/>
  <c r="D19" i="49"/>
  <c r="C19" i="49"/>
  <c r="P50" i="49"/>
  <c r="M49" i="49" l="1"/>
  <c r="M50" i="49"/>
  <c r="D50" i="10"/>
  <c r="D49" i="10"/>
  <c r="Q90" i="10"/>
  <c r="E49" i="10"/>
  <c r="E50" i="10"/>
  <c r="C50" i="10"/>
  <c r="P116" i="10"/>
  <c r="E22" i="10" l="1"/>
  <c r="N12" i="36" l="1"/>
  <c r="P12" i="36" s="1"/>
  <c r="Q12" i="36" s="1"/>
  <c r="B86" i="10"/>
  <c r="B93" i="10"/>
  <c r="B88" i="10"/>
  <c r="B73" i="10"/>
  <c r="N10" i="36"/>
  <c r="P10" i="36" s="1"/>
  <c r="Q10" i="36" s="1"/>
  <c r="G17" i="44"/>
  <c r="G59" i="45" l="1"/>
  <c r="F59" i="45"/>
  <c r="H65" i="45"/>
  <c r="I65" i="45" s="1"/>
  <c r="U49" i="45"/>
  <c r="J66" i="45"/>
  <c r="I66" i="45"/>
  <c r="I62" i="45"/>
  <c r="J61" i="45"/>
  <c r="I61" i="45"/>
  <c r="G56" i="45"/>
  <c r="F56" i="45"/>
  <c r="E56" i="45"/>
  <c r="E54" i="45"/>
  <c r="G55" i="45"/>
  <c r="F55" i="45"/>
  <c r="E55" i="45"/>
  <c r="J65" i="45" l="1"/>
  <c r="H70" i="45"/>
  <c r="I70" i="45"/>
  <c r="I67" i="45"/>
  <c r="G26" i="6" s="1"/>
  <c r="J70" i="45" l="1"/>
  <c r="J67" i="45"/>
  <c r="E30" i="44" s="1"/>
  <c r="M53" i="45" l="1"/>
  <c r="U50" i="45"/>
  <c r="M50" i="45"/>
  <c r="AK50" i="45"/>
  <c r="AC50" i="45"/>
  <c r="E40" i="44"/>
  <c r="G44" i="6"/>
  <c r="U21" i="31"/>
  <c r="I40" i="46" l="1"/>
  <c r="J73" i="45"/>
  <c r="I73" i="45"/>
  <c r="H73" i="45" s="1"/>
  <c r="F64" i="46"/>
  <c r="E64" i="46"/>
  <c r="G63" i="46"/>
  <c r="F63" i="46"/>
  <c r="E63" i="46"/>
  <c r="J59" i="46"/>
  <c r="E59" i="46"/>
  <c r="K57" i="46"/>
  <c r="F57" i="46"/>
  <c r="F53" i="46"/>
  <c r="Q97" i="10" l="1"/>
  <c r="D70" i="10"/>
  <c r="F70" i="10"/>
  <c r="H79" i="45" l="1"/>
  <c r="C30" i="2"/>
  <c r="I53" i="2"/>
  <c r="I52" i="2"/>
  <c r="I51" i="2"/>
  <c r="I50" i="2"/>
  <c r="I49" i="2"/>
  <c r="J46" i="2"/>
  <c r="J45" i="2"/>
  <c r="I44" i="2"/>
  <c r="J42" i="2"/>
  <c r="J41" i="2"/>
  <c r="I40" i="2"/>
  <c r="J38" i="2"/>
  <c r="J37" i="2"/>
  <c r="L24" i="49"/>
  <c r="K24" i="49"/>
  <c r="J24" i="49"/>
  <c r="I24" i="49"/>
  <c r="H24" i="49"/>
  <c r="G24" i="49"/>
  <c r="F24" i="49"/>
  <c r="E24" i="49"/>
  <c r="D24" i="49"/>
  <c r="C24" i="49"/>
  <c r="N46" i="49"/>
  <c r="L46" i="49"/>
  <c r="L52" i="49" s="1"/>
  <c r="J46" i="49"/>
  <c r="J52" i="49" s="1"/>
  <c r="H46" i="49"/>
  <c r="H52" i="49" s="1"/>
  <c r="E46" i="49"/>
  <c r="E52" i="49" s="1"/>
  <c r="F46" i="49"/>
  <c r="F52" i="49" s="1"/>
  <c r="D46" i="49"/>
  <c r="D52" i="49" s="1"/>
  <c r="K46" i="49"/>
  <c r="K52" i="49" s="1"/>
  <c r="I46" i="49"/>
  <c r="I52" i="49" s="1"/>
  <c r="G46" i="49"/>
  <c r="G52" i="49" s="1"/>
  <c r="C46" i="49"/>
  <c r="C52" i="49" s="1"/>
  <c r="M46" i="49" l="1"/>
  <c r="M52" i="49" s="1"/>
  <c r="M54" i="49" s="1"/>
  <c r="G53" i="44" s="1"/>
  <c r="I26" i="6" l="1"/>
  <c r="B78" i="45" l="1"/>
  <c r="A78" i="45"/>
  <c r="F65" i="48"/>
  <c r="E65" i="48"/>
  <c r="D65" i="48"/>
  <c r="C65" i="48"/>
  <c r="O63" i="48"/>
  <c r="N60" i="48"/>
  <c r="M60" i="48"/>
  <c r="L60" i="48"/>
  <c r="K60" i="48"/>
  <c r="J60" i="48"/>
  <c r="I60" i="48"/>
  <c r="H60" i="48"/>
  <c r="G60" i="48"/>
  <c r="O60" i="48" s="1"/>
  <c r="C21" i="48" s="1"/>
  <c r="N59" i="48"/>
  <c r="O59" i="48" s="1"/>
  <c r="C20" i="48" s="1"/>
  <c r="E20" i="48" s="1"/>
  <c r="M59" i="48"/>
  <c r="L59" i="48"/>
  <c r="K59" i="48"/>
  <c r="J59" i="48"/>
  <c r="I59" i="48"/>
  <c r="H59" i="48"/>
  <c r="G59" i="48"/>
  <c r="O58" i="48"/>
  <c r="C19" i="48" s="1"/>
  <c r="N58" i="48"/>
  <c r="N65" i="48" s="1"/>
  <c r="M58" i="48"/>
  <c r="M65" i="48" s="1"/>
  <c r="L58" i="48"/>
  <c r="L65" i="48" s="1"/>
  <c r="K58" i="48"/>
  <c r="K65" i="48" s="1"/>
  <c r="J58" i="48"/>
  <c r="J65" i="48" s="1"/>
  <c r="I58" i="48"/>
  <c r="I65" i="48" s="1"/>
  <c r="H58" i="48"/>
  <c r="H65" i="48" s="1"/>
  <c r="G58" i="48"/>
  <c r="G65" i="48" s="1"/>
  <c r="F55" i="48"/>
  <c r="E55" i="48"/>
  <c r="D55" i="48"/>
  <c r="C55" i="48"/>
  <c r="O54" i="48"/>
  <c r="O53" i="48"/>
  <c r="N50" i="48"/>
  <c r="M50" i="48"/>
  <c r="L50" i="48"/>
  <c r="K50" i="48"/>
  <c r="J50" i="48"/>
  <c r="I50" i="48"/>
  <c r="H50" i="48"/>
  <c r="G50" i="48"/>
  <c r="O50" i="48" s="1"/>
  <c r="D21" i="48" s="1"/>
  <c r="N49" i="48"/>
  <c r="M49" i="48"/>
  <c r="L49" i="48"/>
  <c r="L55" i="48" s="1"/>
  <c r="K49" i="48"/>
  <c r="J49" i="48"/>
  <c r="I49" i="48"/>
  <c r="H49" i="48"/>
  <c r="H55" i="48" s="1"/>
  <c r="G49" i="48"/>
  <c r="O49" i="48" s="1"/>
  <c r="D20" i="48" s="1"/>
  <c r="N48" i="48"/>
  <c r="N55" i="48" s="1"/>
  <c r="M48" i="48"/>
  <c r="M55" i="48" s="1"/>
  <c r="L48" i="48"/>
  <c r="K48" i="48"/>
  <c r="K55" i="48" s="1"/>
  <c r="J48" i="48"/>
  <c r="J55" i="48" s="1"/>
  <c r="I48" i="48"/>
  <c r="I55" i="48" s="1"/>
  <c r="H48" i="48"/>
  <c r="G48" i="48"/>
  <c r="G55" i="48" s="1"/>
  <c r="B41" i="48"/>
  <c r="B40" i="48"/>
  <c r="D35" i="48"/>
  <c r="F35" i="48" s="1"/>
  <c r="F36" i="48" s="1"/>
  <c r="D41" i="48" s="1"/>
  <c r="D34" i="48"/>
  <c r="E34" i="48" s="1"/>
  <c r="C34" i="48"/>
  <c r="C36" i="48" s="1"/>
  <c r="F33" i="48"/>
  <c r="E33" i="48"/>
  <c r="E35" i="48" s="1"/>
  <c r="B28" i="48"/>
  <c r="B27" i="48"/>
  <c r="B26" i="48"/>
  <c r="G18" i="48"/>
  <c r="F18" i="48"/>
  <c r="E18" i="48"/>
  <c r="G38" i="44"/>
  <c r="G33" i="44"/>
  <c r="G32" i="44"/>
  <c r="G31" i="44"/>
  <c r="I32" i="6"/>
  <c r="I37" i="6"/>
  <c r="I36" i="6"/>
  <c r="I35" i="6"/>
  <c r="I38" i="6"/>
  <c r="I42" i="6"/>
  <c r="C40" i="48" l="1"/>
  <c r="D8" i="48"/>
  <c r="O65" i="48"/>
  <c r="E21" i="48"/>
  <c r="F21" i="48"/>
  <c r="G21" i="48" s="1"/>
  <c r="G22" i="48" s="1"/>
  <c r="D28" i="48" s="1"/>
  <c r="G34" i="48"/>
  <c r="E36" i="48"/>
  <c r="D40" i="48" s="1"/>
  <c r="D42" i="48" s="1"/>
  <c r="H20" i="48"/>
  <c r="G35" i="48"/>
  <c r="C22" i="48"/>
  <c r="C26" i="48" s="1"/>
  <c r="F20" i="48"/>
  <c r="O55" i="48"/>
  <c r="D36" i="48"/>
  <c r="E8" i="48" s="1"/>
  <c r="O48" i="48"/>
  <c r="D19" i="48" s="1"/>
  <c r="C29" i="48" l="1"/>
  <c r="D7" i="48" s="1"/>
  <c r="D9" i="48" s="1"/>
  <c r="E19" i="48"/>
  <c r="D22" i="48"/>
  <c r="H21" i="48"/>
  <c r="G36" i="48"/>
  <c r="F22" i="48"/>
  <c r="D27" i="48" s="1"/>
  <c r="J62" i="32"/>
  <c r="J59" i="32"/>
  <c r="J56" i="32"/>
  <c r="J66" i="32" s="1"/>
  <c r="E43" i="44" s="1"/>
  <c r="H19" i="48" l="1"/>
  <c r="H22" i="48" s="1"/>
  <c r="E22" i="48"/>
  <c r="D26" i="48" s="1"/>
  <c r="D29" i="48" s="1"/>
  <c r="E7" i="48" s="1"/>
  <c r="E9" i="48" s="1"/>
  <c r="J8" i="31"/>
  <c r="I8" i="31"/>
  <c r="K7" i="31"/>
  <c r="J37" i="32" l="1"/>
  <c r="J34" i="32"/>
  <c r="I38" i="32"/>
  <c r="J38" i="32" s="1"/>
  <c r="G38" i="32"/>
  <c r="J27" i="32"/>
  <c r="J26" i="32"/>
  <c r="J25" i="32"/>
  <c r="J24" i="32"/>
  <c r="J23" i="32"/>
  <c r="J22" i="32"/>
  <c r="J17" i="32"/>
  <c r="J16" i="32"/>
  <c r="E28" i="32"/>
  <c r="G28" i="32" s="1"/>
  <c r="E31" i="32"/>
  <c r="I31" i="32" s="1"/>
  <c r="G31" i="32"/>
  <c r="G32" i="32" s="1"/>
  <c r="G15" i="32"/>
  <c r="J31" i="32" l="1"/>
  <c r="J32" i="32"/>
  <c r="I28" i="32"/>
  <c r="J28" i="32" l="1"/>
  <c r="E20" i="32"/>
  <c r="G19" i="32"/>
  <c r="G20" i="32" l="1"/>
  <c r="M56" i="49"/>
  <c r="G54" i="44" s="1"/>
  <c r="G33" i="6" l="1"/>
  <c r="G25" i="6"/>
  <c r="U8" i="31"/>
  <c r="V7" i="31"/>
  <c r="U9" i="31" s="1"/>
  <c r="J77" i="45" l="1"/>
  <c r="I77" i="45"/>
  <c r="H77" i="45"/>
  <c r="F10" i="47" l="1"/>
  <c r="F11" i="47" s="1"/>
  <c r="E11" i="44" s="1"/>
  <c r="G11" i="44" s="1"/>
  <c r="D7" i="47"/>
  <c r="D35" i="47"/>
  <c r="D34" i="47"/>
  <c r="C34" i="47"/>
  <c r="P64" i="47"/>
  <c r="O65" i="47"/>
  <c r="C21" i="47"/>
  <c r="C20" i="47"/>
  <c r="C19" i="47"/>
  <c r="P54" i="47"/>
  <c r="O63" i="47"/>
  <c r="O60" i="47"/>
  <c r="O59" i="47"/>
  <c r="O58" i="47"/>
  <c r="O54" i="47"/>
  <c r="O53" i="47"/>
  <c r="O50" i="47"/>
  <c r="D21" i="47" s="1"/>
  <c r="O49" i="47"/>
  <c r="D20" i="47" s="1"/>
  <c r="O48" i="47"/>
  <c r="D19" i="47" s="1"/>
  <c r="N60" i="47"/>
  <c r="N59" i="47"/>
  <c r="N58" i="47"/>
  <c r="N50" i="47"/>
  <c r="N49" i="47"/>
  <c r="N48" i="47"/>
  <c r="M60" i="47"/>
  <c r="M59" i="47"/>
  <c r="M58" i="47"/>
  <c r="M50" i="47"/>
  <c r="M49" i="47"/>
  <c r="M48" i="47"/>
  <c r="L60" i="47"/>
  <c r="L59" i="47"/>
  <c r="L65" i="47" s="1"/>
  <c r="L58" i="47"/>
  <c r="L50" i="47"/>
  <c r="L49" i="47"/>
  <c r="L48" i="47"/>
  <c r="K60" i="47"/>
  <c r="K59" i="47"/>
  <c r="K58" i="47"/>
  <c r="K50" i="47"/>
  <c r="K49" i="47"/>
  <c r="K48" i="47"/>
  <c r="J60" i="47"/>
  <c r="J59" i="47"/>
  <c r="J58" i="47"/>
  <c r="J50" i="47"/>
  <c r="J55" i="47" s="1"/>
  <c r="J49" i="47"/>
  <c r="J48" i="47"/>
  <c r="I60" i="47"/>
  <c r="I59" i="47"/>
  <c r="I58" i="47"/>
  <c r="I50" i="47"/>
  <c r="I49" i="47"/>
  <c r="I55" i="47" s="1"/>
  <c r="I48" i="47"/>
  <c r="H60" i="47"/>
  <c r="H59" i="47"/>
  <c r="H65" i="47" s="1"/>
  <c r="H58" i="47"/>
  <c r="H50" i="47"/>
  <c r="H49" i="47"/>
  <c r="H48" i="47"/>
  <c r="G60" i="47"/>
  <c r="G59" i="47"/>
  <c r="G58" i="47"/>
  <c r="G50" i="47"/>
  <c r="G49" i="47"/>
  <c r="G48" i="47"/>
  <c r="F65" i="47"/>
  <c r="E65" i="47"/>
  <c r="D65" i="47"/>
  <c r="F55" i="47"/>
  <c r="D55" i="47"/>
  <c r="C65" i="47"/>
  <c r="C55" i="47"/>
  <c r="N126" i="35"/>
  <c r="O123" i="35"/>
  <c r="N123" i="35"/>
  <c r="M123" i="35"/>
  <c r="L123" i="35"/>
  <c r="K123" i="35"/>
  <c r="J123" i="35"/>
  <c r="I123" i="35"/>
  <c r="H123" i="35"/>
  <c r="G123" i="35"/>
  <c r="F123" i="35"/>
  <c r="E123" i="35"/>
  <c r="P123" i="35" s="1"/>
  <c r="J8" i="35" s="1"/>
  <c r="D123" i="35"/>
  <c r="P120" i="35"/>
  <c r="P118" i="35"/>
  <c r="P115" i="35"/>
  <c r="P113" i="35"/>
  <c r="C66" i="35" s="1"/>
  <c r="P111" i="35"/>
  <c r="P110" i="35"/>
  <c r="P108" i="35"/>
  <c r="P107" i="35"/>
  <c r="P105" i="35"/>
  <c r="P104" i="35"/>
  <c r="P102" i="35"/>
  <c r="C22" i="35" s="1"/>
  <c r="P101" i="35"/>
  <c r="K99" i="35"/>
  <c r="O97" i="35"/>
  <c r="N97" i="35"/>
  <c r="M97" i="35"/>
  <c r="L97" i="35"/>
  <c r="K97" i="35"/>
  <c r="J97" i="35"/>
  <c r="I97" i="35"/>
  <c r="H97" i="35"/>
  <c r="G97" i="35"/>
  <c r="F97" i="35"/>
  <c r="E97" i="35"/>
  <c r="P95" i="35"/>
  <c r="D37" i="35" s="1"/>
  <c r="F37" i="35" s="1"/>
  <c r="P94" i="35"/>
  <c r="D36" i="35" s="1"/>
  <c r="P92" i="35"/>
  <c r="P90" i="35"/>
  <c r="D50" i="35" s="1"/>
  <c r="F50" i="35" s="1"/>
  <c r="P89" i="35"/>
  <c r="D49" i="35" s="1"/>
  <c r="P87" i="35"/>
  <c r="P85" i="35"/>
  <c r="P84" i="35"/>
  <c r="P82" i="35"/>
  <c r="P81" i="35"/>
  <c r="P79" i="35"/>
  <c r="P78" i="35"/>
  <c r="P76" i="35"/>
  <c r="D22" i="35" s="1"/>
  <c r="F22" i="35" s="1"/>
  <c r="D76" i="35"/>
  <c r="D75" i="35"/>
  <c r="P75" i="35" s="1"/>
  <c r="D21" i="35" s="1"/>
  <c r="D66" i="35"/>
  <c r="D65" i="35"/>
  <c r="C65" i="35"/>
  <c r="C70" i="35" s="1"/>
  <c r="E10" i="35" s="1"/>
  <c r="B56" i="35"/>
  <c r="C55" i="35"/>
  <c r="B55" i="35"/>
  <c r="C51" i="35"/>
  <c r="C49" i="35"/>
  <c r="F48" i="35"/>
  <c r="E48" i="35"/>
  <c r="B43" i="35"/>
  <c r="C42" i="35"/>
  <c r="B42" i="35"/>
  <c r="C38" i="35"/>
  <c r="E8" i="35" s="1"/>
  <c r="C36" i="35"/>
  <c r="F35" i="35"/>
  <c r="E35" i="35"/>
  <c r="B28" i="35"/>
  <c r="B27" i="35"/>
  <c r="C21" i="35"/>
  <c r="F20" i="35"/>
  <c r="E20" i="35"/>
  <c r="G12" i="35"/>
  <c r="G12" i="10"/>
  <c r="N126" i="10"/>
  <c r="A2" i="44"/>
  <c r="G14" i="10"/>
  <c r="D66" i="10"/>
  <c r="C66" i="10"/>
  <c r="C70" i="10" s="1"/>
  <c r="C65" i="10"/>
  <c r="D65" i="10"/>
  <c r="P90" i="10"/>
  <c r="D37" i="10"/>
  <c r="D36" i="10"/>
  <c r="M12" i="6"/>
  <c r="C22" i="10"/>
  <c r="C21" i="10"/>
  <c r="D22" i="10"/>
  <c r="D21" i="10"/>
  <c r="P120" i="10"/>
  <c r="C36" i="10" s="1"/>
  <c r="P118" i="10"/>
  <c r="P115" i="10"/>
  <c r="C49" i="10" s="1"/>
  <c r="P113" i="10"/>
  <c r="P111" i="10"/>
  <c r="P110" i="10"/>
  <c r="P108" i="10"/>
  <c r="P107" i="10"/>
  <c r="P105" i="10"/>
  <c r="P104" i="10"/>
  <c r="P102" i="10"/>
  <c r="P101" i="10"/>
  <c r="P95" i="10"/>
  <c r="P94" i="10"/>
  <c r="P92" i="10"/>
  <c r="P89" i="10"/>
  <c r="P87" i="10"/>
  <c r="P85" i="10"/>
  <c r="P84" i="10"/>
  <c r="P82" i="10"/>
  <c r="P81" i="10"/>
  <c r="P79" i="10"/>
  <c r="P78" i="10"/>
  <c r="P76" i="10"/>
  <c r="P75" i="10"/>
  <c r="O123" i="10"/>
  <c r="N123" i="10"/>
  <c r="M123" i="10"/>
  <c r="L123" i="10"/>
  <c r="K123" i="10"/>
  <c r="J123" i="10"/>
  <c r="I123" i="10"/>
  <c r="H123" i="10"/>
  <c r="G123" i="10"/>
  <c r="F123" i="10"/>
  <c r="E123" i="10"/>
  <c r="O97" i="10"/>
  <c r="N97" i="10"/>
  <c r="M97" i="10"/>
  <c r="L97" i="10"/>
  <c r="K97" i="10"/>
  <c r="P97" i="10" s="1"/>
  <c r="J7" i="10" s="1"/>
  <c r="J97" i="10"/>
  <c r="I97" i="10"/>
  <c r="H97" i="10"/>
  <c r="G97" i="10"/>
  <c r="F97" i="10"/>
  <c r="E97" i="10"/>
  <c r="D97" i="10"/>
  <c r="D123" i="10"/>
  <c r="D76" i="10"/>
  <c r="D75" i="10"/>
  <c r="B73" i="45"/>
  <c r="B72" i="45"/>
  <c r="B71" i="45"/>
  <c r="B70" i="45"/>
  <c r="B69" i="45"/>
  <c r="M47" i="45"/>
  <c r="AK47" i="45"/>
  <c r="AI47" i="45"/>
  <c r="AH47" i="45"/>
  <c r="AG47" i="45"/>
  <c r="AF47" i="45"/>
  <c r="AE47" i="45"/>
  <c r="AD47" i="45"/>
  <c r="AC47" i="45"/>
  <c r="AA47" i="45"/>
  <c r="Z47" i="45"/>
  <c r="Y47" i="45"/>
  <c r="X47" i="45"/>
  <c r="W47" i="45"/>
  <c r="V47" i="45"/>
  <c r="U47" i="45"/>
  <c r="E50" i="45" s="1"/>
  <c r="S47" i="45"/>
  <c r="R47" i="45"/>
  <c r="Q47" i="45"/>
  <c r="P47" i="45"/>
  <c r="O47" i="45"/>
  <c r="N47" i="45"/>
  <c r="AJ45" i="45"/>
  <c r="AJ44" i="45"/>
  <c r="AB42" i="45"/>
  <c r="AB41" i="45"/>
  <c r="T40" i="45"/>
  <c r="T39" i="45"/>
  <c r="T38" i="45"/>
  <c r="AB37" i="45"/>
  <c r="AB36" i="45"/>
  <c r="AB35" i="45"/>
  <c r="AJ34" i="45"/>
  <c r="AJ33" i="45"/>
  <c r="T32" i="45"/>
  <c r="AJ31" i="45"/>
  <c r="AB30" i="45"/>
  <c r="T29" i="45"/>
  <c r="T28" i="45"/>
  <c r="T27" i="45"/>
  <c r="AB26" i="45"/>
  <c r="AB25" i="45"/>
  <c r="AB24" i="45"/>
  <c r="AJ23" i="45"/>
  <c r="AB22" i="45"/>
  <c r="AB21" i="45"/>
  <c r="AB20" i="45"/>
  <c r="AB19" i="45"/>
  <c r="T18" i="45"/>
  <c r="AB17" i="45"/>
  <c r="AB16" i="45"/>
  <c r="AB15" i="45"/>
  <c r="L14" i="45"/>
  <c r="L13" i="45"/>
  <c r="L12" i="45"/>
  <c r="L11" i="45"/>
  <c r="L10" i="45"/>
  <c r="L9" i="45"/>
  <c r="L8" i="45"/>
  <c r="L7" i="45"/>
  <c r="P123" i="10" l="1"/>
  <c r="J8" i="10" s="1"/>
  <c r="G60" i="44"/>
  <c r="M52" i="45"/>
  <c r="H61" i="45"/>
  <c r="H63" i="45" s="1"/>
  <c r="E49" i="45"/>
  <c r="G49" i="45" s="1"/>
  <c r="AK52" i="45"/>
  <c r="E53" i="45"/>
  <c r="F53" i="45" s="1"/>
  <c r="AC52" i="45"/>
  <c r="E52" i="45"/>
  <c r="F52" i="45" s="1"/>
  <c r="I63" i="45"/>
  <c r="U52" i="45"/>
  <c r="B74" i="45"/>
  <c r="B79" i="45"/>
  <c r="A79" i="45"/>
  <c r="K99" i="10"/>
  <c r="G55" i="47"/>
  <c r="G65" i="47"/>
  <c r="N55" i="47"/>
  <c r="N65" i="47"/>
  <c r="M65" i="47"/>
  <c r="M55" i="47"/>
  <c r="L55" i="47"/>
  <c r="K65" i="47"/>
  <c r="K55" i="47"/>
  <c r="J65" i="47"/>
  <c r="I65" i="47"/>
  <c r="H55" i="47"/>
  <c r="F38" i="35"/>
  <c r="D43" i="35" s="1"/>
  <c r="G37" i="35"/>
  <c r="E21" i="35"/>
  <c r="D23" i="35"/>
  <c r="F7" i="35" s="1"/>
  <c r="D38" i="35"/>
  <c r="F8" i="35" s="1"/>
  <c r="E36" i="35"/>
  <c r="F23" i="35"/>
  <c r="D28" i="35" s="1"/>
  <c r="G22" i="35"/>
  <c r="D51" i="35"/>
  <c r="E49" i="35"/>
  <c r="C23" i="35"/>
  <c r="G50" i="35"/>
  <c r="F51" i="35"/>
  <c r="D56" i="35" s="1"/>
  <c r="D97" i="35"/>
  <c r="P97" i="35" s="1"/>
  <c r="J7" i="35" s="1"/>
  <c r="D70" i="35"/>
  <c r="F10" i="35" s="1"/>
  <c r="C44" i="35"/>
  <c r="C57" i="35"/>
  <c r="E9" i="35" s="1"/>
  <c r="AJ47" i="45"/>
  <c r="T47" i="45"/>
  <c r="AB47" i="45"/>
  <c r="F50" i="45" l="1"/>
  <c r="F54" i="45" s="1"/>
  <c r="G50" i="45"/>
  <c r="G54" i="45" s="1"/>
  <c r="J76" i="45" s="1"/>
  <c r="J78" i="45" s="1"/>
  <c r="J80" i="45" s="1"/>
  <c r="E35" i="44" s="1"/>
  <c r="I72" i="45"/>
  <c r="I74" i="45" s="1"/>
  <c r="G49" i="6" s="1"/>
  <c r="I49" i="6" s="1"/>
  <c r="J72" i="45"/>
  <c r="J74" i="45" s="1"/>
  <c r="E44" i="44" s="1"/>
  <c r="G44" i="44" s="1"/>
  <c r="G30" i="44"/>
  <c r="G24" i="6"/>
  <c r="E38" i="35"/>
  <c r="D42" i="35" s="1"/>
  <c r="D44" i="35" s="1"/>
  <c r="G36" i="35"/>
  <c r="G38" i="35" s="1"/>
  <c r="E7" i="35"/>
  <c r="E11" i="35" s="1"/>
  <c r="C27" i="35"/>
  <c r="G21" i="35"/>
  <c r="G23" i="35" s="1"/>
  <c r="E23" i="35"/>
  <c r="D27" i="35" s="1"/>
  <c r="D29" i="35" s="1"/>
  <c r="E51" i="35"/>
  <c r="D55" i="35" s="1"/>
  <c r="D57" i="35" s="1"/>
  <c r="F9" i="35" s="1"/>
  <c r="F11" i="35" s="1"/>
  <c r="G49" i="35"/>
  <c r="G51" i="35" s="1"/>
  <c r="I17" i="6"/>
  <c r="I16" i="6"/>
  <c r="F94" i="6"/>
  <c r="I79" i="6"/>
  <c r="E59" i="45" l="1"/>
  <c r="I76" i="45"/>
  <c r="I25" i="6"/>
  <c r="I29" i="44" s="1"/>
  <c r="C29" i="35"/>
  <c r="H76" i="45" l="1"/>
  <c r="I78" i="45"/>
  <c r="I80" i="45" s="1"/>
  <c r="G28" i="6" s="1"/>
  <c r="L22" i="49"/>
  <c r="J22" i="49"/>
  <c r="H22" i="49"/>
  <c r="F22" i="49"/>
  <c r="D22" i="49"/>
  <c r="M22" i="49" s="1"/>
  <c r="F21" i="49"/>
  <c r="D21" i="49"/>
  <c r="C21" i="49"/>
  <c r="C27" i="49" s="1"/>
  <c r="M20" i="49"/>
  <c r="O51" i="49" s="1"/>
  <c r="P51" i="49" s="1"/>
  <c r="L17" i="49"/>
  <c r="J17" i="49"/>
  <c r="H17" i="49"/>
  <c r="F17" i="49"/>
  <c r="D17" i="49"/>
  <c r="L16" i="49"/>
  <c r="J16" i="49"/>
  <c r="H16" i="49"/>
  <c r="F16" i="49"/>
  <c r="D16" i="49"/>
  <c r="L15" i="49"/>
  <c r="J15" i="49"/>
  <c r="H15" i="49"/>
  <c r="F15" i="49"/>
  <c r="D15" i="49"/>
  <c r="L14" i="49"/>
  <c r="J14" i="49"/>
  <c r="H14" i="49"/>
  <c r="F14" i="49"/>
  <c r="D14" i="49"/>
  <c r="L13" i="49"/>
  <c r="J13" i="49"/>
  <c r="H13" i="49"/>
  <c r="F13" i="49"/>
  <c r="M26" i="49"/>
  <c r="M25" i="49"/>
  <c r="M24" i="49"/>
  <c r="M23" i="49"/>
  <c r="D13" i="49"/>
  <c r="L12" i="49"/>
  <c r="J12" i="49"/>
  <c r="H12" i="49"/>
  <c r="F12" i="49"/>
  <c r="D12" i="49"/>
  <c r="K27" i="49"/>
  <c r="I27" i="49"/>
  <c r="E27" i="49"/>
  <c r="M16" i="49" l="1"/>
  <c r="M17" i="49"/>
  <c r="M15" i="49"/>
  <c r="M13" i="49"/>
  <c r="H27" i="49"/>
  <c r="M19" i="49"/>
  <c r="M21" i="49"/>
  <c r="M14" i="49"/>
  <c r="M18" i="49"/>
  <c r="F27" i="49"/>
  <c r="L27" i="49"/>
  <c r="D27" i="49"/>
  <c r="J27" i="49"/>
  <c r="M12" i="49"/>
  <c r="G27" i="49"/>
  <c r="P27" i="49" l="1"/>
  <c r="M27" i="49"/>
  <c r="M30" i="49" s="1"/>
  <c r="I75" i="6" s="1"/>
  <c r="M34" i="49"/>
  <c r="I60" i="6" s="1"/>
  <c r="C7" i="2"/>
  <c r="J16" i="2"/>
  <c r="J14" i="2"/>
  <c r="C9" i="31"/>
  <c r="D7" i="31"/>
  <c r="B41" i="47"/>
  <c r="C40" i="47"/>
  <c r="G40" i="47" s="1"/>
  <c r="B40" i="47"/>
  <c r="D36" i="47"/>
  <c r="E8" i="47" s="1"/>
  <c r="C36" i="47"/>
  <c r="D8" i="47" s="1"/>
  <c r="E34" i="47"/>
  <c r="G34" i="47" s="1"/>
  <c r="F33" i="47"/>
  <c r="E33" i="47"/>
  <c r="E35" i="47" s="1"/>
  <c r="B28" i="47"/>
  <c r="B27" i="47"/>
  <c r="B26" i="47"/>
  <c r="D22" i="47"/>
  <c r="C22" i="47"/>
  <c r="C26" i="47" s="1"/>
  <c r="E20" i="47"/>
  <c r="E19" i="47"/>
  <c r="H19" i="47" s="1"/>
  <c r="G18" i="47"/>
  <c r="F18" i="47"/>
  <c r="F21" i="47" s="1"/>
  <c r="E18" i="47"/>
  <c r="E21" i="47" s="1"/>
  <c r="F10" i="10"/>
  <c r="F66" i="10"/>
  <c r="F65" i="10"/>
  <c r="B56" i="10"/>
  <c r="B55" i="10"/>
  <c r="D51" i="10"/>
  <c r="C51" i="10"/>
  <c r="C55" i="10" s="1"/>
  <c r="C57" i="10" s="1"/>
  <c r="E9" i="10" s="1"/>
  <c r="E51" i="10"/>
  <c r="D55" i="10" s="1"/>
  <c r="F48" i="10"/>
  <c r="E48" i="10"/>
  <c r="B43" i="10"/>
  <c r="B42" i="10"/>
  <c r="D38" i="10"/>
  <c r="F8" i="10" s="1"/>
  <c r="C38" i="10"/>
  <c r="E8" i="10" s="1"/>
  <c r="E36" i="10"/>
  <c r="F35" i="10"/>
  <c r="E35" i="10"/>
  <c r="B28" i="10"/>
  <c r="B27" i="10"/>
  <c r="D23" i="10"/>
  <c r="F7" i="10" s="1"/>
  <c r="C23" i="10"/>
  <c r="E7" i="10" s="1"/>
  <c r="E21" i="10"/>
  <c r="G21" i="10" s="1"/>
  <c r="F20" i="10"/>
  <c r="E20" i="10"/>
  <c r="E10" i="10"/>
  <c r="G34" i="46"/>
  <c r="G36" i="46" s="1"/>
  <c r="F29" i="46"/>
  <c r="G28" i="46"/>
  <c r="G27" i="46"/>
  <c r="G26" i="46"/>
  <c r="G25" i="46"/>
  <c r="F19" i="46"/>
  <c r="G18" i="46"/>
  <c r="G17" i="46"/>
  <c r="I17" i="46" s="1"/>
  <c r="G16" i="46"/>
  <c r="I16" i="46" s="1"/>
  <c r="G15" i="46"/>
  <c r="I15" i="46" s="1"/>
  <c r="G14" i="46"/>
  <c r="I14" i="46" s="1"/>
  <c r="I19" i="46" s="1"/>
  <c r="K8" i="46"/>
  <c r="F8" i="46"/>
  <c r="L7" i="46"/>
  <c r="G7" i="46"/>
  <c r="I7" i="46" s="1"/>
  <c r="L6" i="46"/>
  <c r="G6" i="46"/>
  <c r="I6" i="46" s="1"/>
  <c r="L5" i="46"/>
  <c r="G5" i="46"/>
  <c r="I5" i="46" s="1"/>
  <c r="L4" i="46"/>
  <c r="L8" i="46" s="1"/>
  <c r="L10" i="46" s="1"/>
  <c r="G4" i="46"/>
  <c r="G43" i="44"/>
  <c r="D42" i="44"/>
  <c r="D46" i="44" s="1"/>
  <c r="G41" i="44"/>
  <c r="G40" i="44"/>
  <c r="G39" i="44"/>
  <c r="G37" i="44"/>
  <c r="G36" i="44"/>
  <c r="G28" i="44"/>
  <c r="G27" i="44"/>
  <c r="G26" i="44"/>
  <c r="G25" i="44"/>
  <c r="G23" i="44"/>
  <c r="G22" i="44"/>
  <c r="G21" i="44"/>
  <c r="G20" i="44"/>
  <c r="G19" i="44"/>
  <c r="D13" i="44"/>
  <c r="G12" i="44"/>
  <c r="G29" i="46" l="1"/>
  <c r="G31" i="46" s="1"/>
  <c r="G8" i="46"/>
  <c r="G10" i="46" s="1"/>
  <c r="I4" i="46"/>
  <c r="I8" i="46" s="1"/>
  <c r="I10" i="46" s="1"/>
  <c r="G19" i="46"/>
  <c r="G21" i="46" s="1"/>
  <c r="I21" i="46" s="1"/>
  <c r="G39" i="46"/>
  <c r="M32" i="49"/>
  <c r="G56" i="44"/>
  <c r="G13" i="44"/>
  <c r="D47" i="44"/>
  <c r="E36" i="47"/>
  <c r="D40" i="47" s="1"/>
  <c r="E22" i="47"/>
  <c r="D26" i="47" s="1"/>
  <c r="G26" i="47"/>
  <c r="C29" i="47"/>
  <c r="G21" i="47"/>
  <c r="G22" i="47" s="1"/>
  <c r="D28" i="47" s="1"/>
  <c r="G28" i="47" s="1"/>
  <c r="F35" i="47"/>
  <c r="F36" i="47" s="1"/>
  <c r="D41" i="47" s="1"/>
  <c r="G41" i="47" s="1"/>
  <c r="G42" i="47" s="1"/>
  <c r="F8" i="47" s="1"/>
  <c r="F20" i="47"/>
  <c r="F22" i="47" s="1"/>
  <c r="D27" i="47" s="1"/>
  <c r="G27" i="47" s="1"/>
  <c r="F22" i="10"/>
  <c r="G22" i="10" s="1"/>
  <c r="G23" i="10" s="1"/>
  <c r="E23" i="10"/>
  <c r="D27" i="10" s="1"/>
  <c r="G49" i="10"/>
  <c r="C42" i="10"/>
  <c r="E38" i="10"/>
  <c r="D42" i="10" s="1"/>
  <c r="F50" i="10"/>
  <c r="F51" i="10" s="1"/>
  <c r="D56" i="10" s="1"/>
  <c r="F56" i="10" s="1"/>
  <c r="G36" i="10"/>
  <c r="E11" i="10"/>
  <c r="F37" i="10"/>
  <c r="F38" i="10" s="1"/>
  <c r="D43" i="10" s="1"/>
  <c r="F43" i="10" s="1"/>
  <c r="F55" i="10"/>
  <c r="C27" i="10"/>
  <c r="H72" i="45"/>
  <c r="H74" i="45" s="1"/>
  <c r="H78" i="45"/>
  <c r="H80" i="45" s="1"/>
  <c r="I76" i="6" l="1"/>
  <c r="P32" i="49"/>
  <c r="I39" i="46"/>
  <c r="I41" i="46" s="1"/>
  <c r="H20" i="47"/>
  <c r="G35" i="47"/>
  <c r="G36" i="47" s="1"/>
  <c r="D44" i="10"/>
  <c r="F23" i="10"/>
  <c r="D28" i="10" s="1"/>
  <c r="G10" i="10"/>
  <c r="H21" i="47"/>
  <c r="H22" i="47" s="1"/>
  <c r="G29" i="47"/>
  <c r="F7" i="47" s="1"/>
  <c r="F9" i="47" s="1"/>
  <c r="D42" i="47"/>
  <c r="D29" i="47"/>
  <c r="G50" i="10"/>
  <c r="G51" i="10" s="1"/>
  <c r="F42" i="10"/>
  <c r="F44" i="10" s="1"/>
  <c r="G8" i="10" s="1"/>
  <c r="C44" i="10"/>
  <c r="F57" i="10"/>
  <c r="G9" i="10" s="1"/>
  <c r="D57" i="10"/>
  <c r="F9" i="10" s="1"/>
  <c r="J12" i="10" s="1"/>
  <c r="F27" i="10"/>
  <c r="C29" i="10"/>
  <c r="G37" i="10"/>
  <c r="G38" i="10" s="1"/>
  <c r="F28" i="10" l="1"/>
  <c r="K43" i="46"/>
  <c r="E34" i="44" s="1"/>
  <c r="J43" i="46"/>
  <c r="G29" i="6" s="1"/>
  <c r="F11" i="10"/>
  <c r="D29" i="10"/>
  <c r="F29" i="10"/>
  <c r="G7" i="10" s="1"/>
  <c r="G11" i="10" s="1"/>
  <c r="G13" i="10" s="1"/>
  <c r="D9" i="47"/>
  <c r="E7" i="47"/>
  <c r="E9" i="47" s="1"/>
  <c r="G35" i="44" l="1"/>
  <c r="G15" i="10"/>
  <c r="G13" i="6" s="1"/>
  <c r="I13" i="6" s="1"/>
  <c r="I82" i="6" l="1"/>
  <c r="I65" i="6"/>
  <c r="G42" i="44"/>
  <c r="G46" i="44" l="1"/>
  <c r="G52" i="44" l="1"/>
  <c r="G55" i="44" s="1"/>
  <c r="G59" i="44" s="1"/>
  <c r="G47" i="44"/>
  <c r="F10" i="48" l="1"/>
  <c r="G61" i="44"/>
  <c r="I86" i="6"/>
  <c r="I89" i="6" l="1"/>
  <c r="G62" i="44"/>
  <c r="O11" i="2" s="1"/>
  <c r="AD41" i="2" l="1"/>
  <c r="AD40" i="2"/>
  <c r="AD44" i="2"/>
  <c r="AD39" i="2"/>
  <c r="AD45" i="2"/>
  <c r="L16" i="2"/>
  <c r="L19" i="2"/>
  <c r="L14" i="2"/>
  <c r="L15" i="2"/>
  <c r="L20" i="2"/>
  <c r="H31" i="36" l="1"/>
  <c r="I31" i="36" s="1"/>
  <c r="J31" i="36" s="1"/>
  <c r="F87" i="41"/>
  <c r="O16" i="36" s="1"/>
  <c r="P16" i="36" s="1"/>
  <c r="Q16" i="36" s="1"/>
  <c r="F86" i="41"/>
  <c r="G86" i="41" s="1"/>
  <c r="I86" i="41" s="1"/>
  <c r="H67" i="36"/>
  <c r="I67" i="36" s="1"/>
  <c r="J67" i="36" s="1"/>
  <c r="F88" i="41"/>
  <c r="G88" i="41" s="1"/>
  <c r="I88" i="41" s="1"/>
  <c r="F85" i="41"/>
  <c r="G85" i="41" s="1"/>
  <c r="I85" i="41" s="1"/>
  <c r="F93" i="41"/>
  <c r="G93" i="41" s="1"/>
  <c r="I93" i="41" s="1"/>
  <c r="F89" i="41"/>
  <c r="G89" i="41" s="1"/>
  <c r="I89" i="41" s="1"/>
  <c r="F92" i="41"/>
  <c r="G92" i="41" s="1"/>
  <c r="I92" i="41" s="1"/>
  <c r="F91" i="41"/>
  <c r="G91" i="41" s="1"/>
  <c r="I91" i="41" s="1"/>
  <c r="F90" i="41"/>
  <c r="G90" i="41" s="1"/>
  <c r="I90" i="41" s="1"/>
  <c r="H36" i="36"/>
  <c r="I36" i="36" s="1"/>
  <c r="J36" i="36" s="1"/>
  <c r="F97" i="41"/>
  <c r="O17" i="36" s="1"/>
  <c r="P17" i="36" s="1"/>
  <c r="Q17" i="36" s="1"/>
  <c r="H72" i="36"/>
  <c r="I72" i="36" s="1"/>
  <c r="J72" i="36" s="1"/>
  <c r="H33" i="36"/>
  <c r="I33" i="36" s="1"/>
  <c r="J33" i="36" s="1"/>
  <c r="H69" i="36"/>
  <c r="I69" i="36" s="1"/>
  <c r="J69" i="36" s="1"/>
  <c r="H37" i="36"/>
  <c r="I37" i="36" s="1"/>
  <c r="J37" i="36" s="1"/>
  <c r="H73" i="36"/>
  <c r="I73" i="36" s="1"/>
  <c r="J73" i="36" s="1"/>
  <c r="H32" i="36"/>
  <c r="I32" i="36" s="1"/>
  <c r="J32" i="36" s="1"/>
  <c r="H68" i="36"/>
  <c r="I68" i="36" s="1"/>
  <c r="J68" i="36" s="1"/>
  <c r="G97" i="41"/>
  <c r="I97" i="41" s="1"/>
  <c r="G87" i="41"/>
  <c r="I87" i="41" s="1"/>
  <c r="E41" i="48"/>
  <c r="G41" i="48" s="1"/>
  <c r="O20" i="2"/>
  <c r="P20" i="2"/>
  <c r="E27" i="48"/>
  <c r="G27" i="48" s="1"/>
  <c r="P15" i="2"/>
  <c r="O15" i="2"/>
  <c r="P16" i="2"/>
  <c r="E28" i="48"/>
  <c r="G28" i="48" s="1"/>
  <c r="O16" i="2"/>
  <c r="P19" i="2"/>
  <c r="O19" i="2"/>
  <c r="E40" i="48"/>
  <c r="G40" i="48" s="1"/>
  <c r="E26" i="48"/>
  <c r="G26" i="48" s="1"/>
  <c r="G42" i="48" l="1"/>
  <c r="F8" i="48" s="1"/>
  <c r="G29" i="48"/>
  <c r="F7" i="48" s="1"/>
  <c r="F9" i="48" s="1"/>
  <c r="F11" i="48" s="1"/>
  <c r="G30" i="6" l="1"/>
  <c r="G46" i="6" s="1"/>
  <c r="I20" i="32" l="1"/>
  <c r="J20" i="32" s="1"/>
  <c r="I19" i="32"/>
  <c r="J14" i="32"/>
  <c r="I13" i="32"/>
  <c r="J13" i="32" l="1"/>
  <c r="I15" i="32"/>
  <c r="J15" i="32" s="1"/>
  <c r="G42" i="32"/>
  <c r="J19" i="32"/>
  <c r="I42" i="32" l="1"/>
  <c r="J42" i="32"/>
  <c r="G48" i="6" s="1"/>
  <c r="G51" i="6" s="1"/>
  <c r="S16" i="31"/>
  <c r="S18" i="31" s="1"/>
  <c r="D17" i="31" l="1"/>
  <c r="E17" i="31" s="1"/>
  <c r="E19" i="31" s="1"/>
  <c r="D13" i="31"/>
  <c r="G30" i="31" l="1"/>
  <c r="C18" i="31"/>
  <c r="I29" i="6" l="1"/>
  <c r="I45" i="6" l="1"/>
  <c r="I44" i="6"/>
  <c r="I43" i="6"/>
  <c r="I40" i="6"/>
  <c r="I39" i="6"/>
  <c r="I33" i="6"/>
  <c r="I31" i="6"/>
  <c r="I30" i="6"/>
  <c r="I18" i="6"/>
  <c r="I62" i="6" l="1"/>
  <c r="I20" i="6"/>
  <c r="I78" i="6"/>
  <c r="I41" i="6"/>
  <c r="I34" i="6"/>
  <c r="F20" i="6"/>
  <c r="I50" i="6" l="1"/>
  <c r="F46" i="6" l="1"/>
  <c r="F51" i="6" l="1"/>
  <c r="F53" i="6" l="1"/>
  <c r="I46" i="6" l="1"/>
  <c r="I48" i="6" l="1"/>
  <c r="I51" i="6" l="1"/>
  <c r="I57" i="6" s="1"/>
  <c r="I59" i="6" s="1"/>
  <c r="L59" i="6" l="1"/>
  <c r="L60" i="6" s="1"/>
  <c r="I61" i="6"/>
  <c r="I64" i="6" s="1"/>
  <c r="I66" i="6" s="1"/>
  <c r="I68" i="6" s="1"/>
  <c r="I74" i="6"/>
  <c r="I77" i="6" s="1"/>
  <c r="I81" i="6" l="1"/>
  <c r="G15" i="51" l="1"/>
  <c r="I15" i="51" s="1"/>
  <c r="J11" i="35"/>
  <c r="G14" i="35"/>
  <c r="I87" i="6"/>
  <c r="I83" i="6"/>
  <c r="I84" i="6" s="1"/>
  <c r="L38" i="2" s="1"/>
  <c r="L100" i="2" l="1"/>
  <c r="H11" i="36"/>
  <c r="E28" i="35"/>
  <c r="I90" i="6"/>
  <c r="I96" i="6"/>
  <c r="L52" i="2"/>
  <c r="L42" i="2"/>
  <c r="L51" i="2"/>
  <c r="L45" i="2"/>
  <c r="L37" i="2"/>
  <c r="L46" i="2"/>
  <c r="L50" i="2"/>
  <c r="L41" i="2"/>
  <c r="L53" i="2"/>
  <c r="L49" i="2"/>
  <c r="O38" i="2"/>
  <c r="Q38" i="2"/>
  <c r="H84" i="36" l="1"/>
  <c r="I84" i="36" s="1"/>
  <c r="J84" i="36" s="1"/>
  <c r="I11" i="36"/>
  <c r="J11" i="36" s="1"/>
  <c r="O42" i="2"/>
  <c r="L104" i="2"/>
  <c r="E43" i="35"/>
  <c r="H15" i="36"/>
  <c r="Q52" i="2"/>
  <c r="H25" i="36"/>
  <c r="L114" i="2"/>
  <c r="L107" i="2"/>
  <c r="E55" i="35"/>
  <c r="H18" i="36"/>
  <c r="F28" i="41"/>
  <c r="F162" i="41" s="1"/>
  <c r="G162" i="41" s="1"/>
  <c r="I162" i="41" s="1"/>
  <c r="Q53" i="2"/>
  <c r="L115" i="2"/>
  <c r="H26" i="36"/>
  <c r="G54" i="41"/>
  <c r="F22" i="41"/>
  <c r="F155" i="41" s="1"/>
  <c r="G155" i="41" s="1"/>
  <c r="I155" i="41" s="1"/>
  <c r="F14" i="41"/>
  <c r="F147" i="41" s="1"/>
  <c r="G147" i="41" s="1"/>
  <c r="I147" i="41" s="1"/>
  <c r="F17" i="41"/>
  <c r="F150" i="41" s="1"/>
  <c r="G150" i="41" s="1"/>
  <c r="I150" i="41" s="1"/>
  <c r="F21" i="41"/>
  <c r="F154" i="41" s="1"/>
  <c r="G154" i="41" s="1"/>
  <c r="I154" i="41" s="1"/>
  <c r="F16" i="41"/>
  <c r="F20" i="41"/>
  <c r="F153" i="41" s="1"/>
  <c r="G153" i="41" s="1"/>
  <c r="I153" i="41" s="1"/>
  <c r="F18" i="41"/>
  <c r="F151" i="41" s="1"/>
  <c r="G151" i="41" s="1"/>
  <c r="I151" i="41" s="1"/>
  <c r="F19" i="41"/>
  <c r="F152" i="41" s="1"/>
  <c r="G152" i="41" s="1"/>
  <c r="I152" i="41" s="1"/>
  <c r="H10" i="36"/>
  <c r="L99" i="2"/>
  <c r="F15" i="41"/>
  <c r="F148" i="41" s="1"/>
  <c r="G148" i="41" s="1"/>
  <c r="I148" i="41" s="1"/>
  <c r="E27" i="35"/>
  <c r="Q100" i="2"/>
  <c r="O100" i="2"/>
  <c r="O51" i="2"/>
  <c r="H24" i="36"/>
  <c r="L113" i="2"/>
  <c r="H22" i="36"/>
  <c r="L111" i="2"/>
  <c r="F32" i="41"/>
  <c r="F166" i="41" s="1"/>
  <c r="G166" i="41" s="1"/>
  <c r="I166" i="41" s="1"/>
  <c r="E65" i="35"/>
  <c r="L103" i="2"/>
  <c r="F25" i="41"/>
  <c r="E42" i="35"/>
  <c r="H14" i="36"/>
  <c r="Q50" i="2"/>
  <c r="L112" i="2"/>
  <c r="H23" i="36"/>
  <c r="Q46" i="2"/>
  <c r="E56" i="35"/>
  <c r="H19" i="36"/>
  <c r="L108" i="2"/>
  <c r="Q45" i="2"/>
  <c r="G62" i="41"/>
  <c r="I62" i="41" s="1"/>
  <c r="O49" i="2"/>
  <c r="G70" i="41"/>
  <c r="I70" i="41" s="1"/>
  <c r="O41" i="2"/>
  <c r="G66" i="41"/>
  <c r="I66" i="41" s="1"/>
  <c r="O37" i="2"/>
  <c r="G52" i="41"/>
  <c r="I52" i="41" s="1"/>
  <c r="G59" i="41"/>
  <c r="I59" i="41" s="1"/>
  <c r="G51" i="41"/>
  <c r="I51" i="41" s="1"/>
  <c r="G58" i="41"/>
  <c r="I58" i="41" s="1"/>
  <c r="G57" i="41"/>
  <c r="I57" i="41" s="1"/>
  <c r="G55" i="41"/>
  <c r="I55" i="41" s="1"/>
  <c r="G56" i="41"/>
  <c r="I56" i="41" s="1"/>
  <c r="I54" i="41"/>
  <c r="G53" i="41"/>
  <c r="I53" i="41" s="1"/>
  <c r="O52" i="2"/>
  <c r="Q42" i="2"/>
  <c r="Q49" i="2"/>
  <c r="Q51" i="2"/>
  <c r="O46" i="2"/>
  <c r="Q37" i="2"/>
  <c r="O50" i="2"/>
  <c r="O45" i="2"/>
  <c r="O53" i="2"/>
  <c r="Q41" i="2"/>
  <c r="R11" i="36" l="1"/>
  <c r="S11" i="36" s="1"/>
  <c r="T11" i="36" s="1"/>
  <c r="F158" i="41"/>
  <c r="G158" i="41" s="1"/>
  <c r="I158" i="41" s="1"/>
  <c r="G25" i="41"/>
  <c r="I25" i="41" s="1"/>
  <c r="H99" i="36"/>
  <c r="I99" i="36" s="1"/>
  <c r="J99" i="36" s="1"/>
  <c r="I26" i="36"/>
  <c r="J26" i="36" s="1"/>
  <c r="H98" i="36"/>
  <c r="I98" i="36" s="1"/>
  <c r="J98" i="36" s="1"/>
  <c r="I25" i="36"/>
  <c r="J25" i="36" s="1"/>
  <c r="O103" i="2"/>
  <c r="Q103" i="2"/>
  <c r="Q115" i="2"/>
  <c r="O115" i="2"/>
  <c r="F149" i="41"/>
  <c r="G149" i="41" s="1"/>
  <c r="I149" i="41" s="1"/>
  <c r="R10" i="36"/>
  <c r="S10" i="36" s="1"/>
  <c r="T10" i="36" s="1"/>
  <c r="H88" i="36"/>
  <c r="I88" i="36" s="1"/>
  <c r="J88" i="36" s="1"/>
  <c r="I15" i="36"/>
  <c r="J15" i="36" s="1"/>
  <c r="H96" i="36"/>
  <c r="I96" i="36" s="1"/>
  <c r="J96" i="36" s="1"/>
  <c r="I23" i="36"/>
  <c r="J23" i="36" s="1"/>
  <c r="Q111" i="2"/>
  <c r="O111" i="2"/>
  <c r="H91" i="36"/>
  <c r="I91" i="36" s="1"/>
  <c r="J91" i="36" s="1"/>
  <c r="I18" i="36"/>
  <c r="J18" i="36" s="1"/>
  <c r="O104" i="2"/>
  <c r="Q104" i="2"/>
  <c r="H95" i="36"/>
  <c r="I95" i="36" s="1"/>
  <c r="J95" i="36" s="1"/>
  <c r="I22" i="36"/>
  <c r="J22" i="36" s="1"/>
  <c r="Q99" i="2"/>
  <c r="O99" i="2"/>
  <c r="O112" i="2"/>
  <c r="Q112" i="2"/>
  <c r="H87" i="36"/>
  <c r="I87" i="36" s="1"/>
  <c r="J87" i="36" s="1"/>
  <c r="I14" i="36"/>
  <c r="J14" i="36" s="1"/>
  <c r="Q113" i="2"/>
  <c r="O113" i="2"/>
  <c r="H83" i="36"/>
  <c r="I83" i="36" s="1"/>
  <c r="J83" i="36" s="1"/>
  <c r="I10" i="36"/>
  <c r="J10" i="36" s="1"/>
  <c r="O107" i="2"/>
  <c r="Q107" i="2"/>
  <c r="H92" i="36"/>
  <c r="I92" i="36" s="1"/>
  <c r="J92" i="36" s="1"/>
  <c r="I19" i="36"/>
  <c r="J19" i="36" s="1"/>
  <c r="O108" i="2"/>
  <c r="Q108" i="2"/>
  <c r="H97" i="36"/>
  <c r="I97" i="36" s="1"/>
  <c r="J97" i="36" s="1"/>
  <c r="I24" i="36"/>
  <c r="J24" i="36" s="1"/>
  <c r="O114" i="2"/>
  <c r="Q114" i="2"/>
  <c r="I53" i="6"/>
  <c r="O9" i="6"/>
  <c r="F65" i="35" l="1"/>
  <c r="G32" i="41" l="1"/>
  <c r="I32" i="41" s="1"/>
  <c r="R13" i="36"/>
  <c r="S13" i="36" s="1"/>
  <c r="T13" i="36" s="1"/>
  <c r="E66" i="35"/>
  <c r="F66" i="35" s="1"/>
  <c r="E67" i="35"/>
  <c r="E68" i="35"/>
  <c r="E69" i="35"/>
  <c r="F70" i="35" l="1"/>
  <c r="G10" i="35" s="1"/>
  <c r="F28" i="35" l="1"/>
  <c r="F43" i="35"/>
  <c r="F56" i="35"/>
  <c r="G14" i="41" l="1"/>
  <c r="I14" i="41" s="1"/>
  <c r="G18" i="41"/>
  <c r="I18" i="41" s="1"/>
  <c r="G20" i="41"/>
  <c r="I20" i="41" s="1"/>
  <c r="G19" i="41"/>
  <c r="I19" i="41" s="1"/>
  <c r="G15" i="41"/>
  <c r="I15" i="41" s="1"/>
  <c r="G22" i="41"/>
  <c r="I22" i="41" s="1"/>
  <c r="G17" i="41"/>
  <c r="I17" i="41" s="1"/>
  <c r="G21" i="41"/>
  <c r="I21" i="41" s="1"/>
  <c r="F27" i="35"/>
  <c r="F29" i="35" s="1"/>
  <c r="G7" i="35" s="1"/>
  <c r="G16" i="41" l="1"/>
  <c r="I16" i="41" s="1"/>
  <c r="G28" i="41"/>
  <c r="I28" i="41" s="1"/>
  <c r="R12" i="36"/>
  <c r="S12" i="36" s="1"/>
  <c r="T12" i="36" s="1"/>
  <c r="F55" i="35"/>
  <c r="F57" i="35" s="1"/>
  <c r="G9" i="35" s="1"/>
  <c r="F42" i="35"/>
  <c r="F44" i="35" s="1"/>
  <c r="G8" i="35" s="1"/>
  <c r="M10" i="35" l="1"/>
  <c r="G11" i="35"/>
  <c r="G13" i="35" s="1"/>
  <c r="G15" i="35" l="1"/>
  <c r="I15" i="35" s="1"/>
  <c r="O55" i="47" l="1"/>
  <c r="E55"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Alan Vilines</author>
  </authors>
  <commentList>
    <comment ref="C24" authorId="0" shapeId="0" xr:uid="{CF214FA7-4A25-4592-BD89-BEAEDF5192D2}">
      <text>
        <r>
          <rPr>
            <b/>
            <sz val="9"/>
            <color indexed="81"/>
            <rFont val="Tahoma"/>
            <family val="2"/>
          </rPr>
          <t>Alan Vilines:</t>
        </r>
        <r>
          <rPr>
            <sz val="9"/>
            <color indexed="81"/>
            <rFont val="Tahoma"/>
            <family val="2"/>
          </rPr>
          <t xml:space="preserve">
deduction to match numbers is Meter Charges spreadsheet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Alan Vilines</author>
  </authors>
  <commentList>
    <comment ref="C24" authorId="0" shapeId="0" xr:uid="{C35B29AC-DAEC-478B-97E2-30B0B01FAAF9}">
      <text>
        <r>
          <rPr>
            <b/>
            <sz val="9"/>
            <color indexed="81"/>
            <rFont val="Tahoma"/>
            <family val="2"/>
          </rPr>
          <t>Alan Vilines:</t>
        </r>
        <r>
          <rPr>
            <sz val="9"/>
            <color indexed="81"/>
            <rFont val="Tahoma"/>
            <family val="2"/>
          </rPr>
          <t xml:space="preserve">
deduction to match numbers is Meter Charges spreadsheet
</t>
        </r>
      </text>
    </comment>
  </commentList>
</comments>
</file>

<file path=xl/sharedStrings.xml><?xml version="1.0" encoding="utf-8"?>
<sst xmlns="http://schemas.openxmlformats.org/spreadsheetml/2006/main" count="2122" uniqueCount="705">
  <si>
    <t>Total Operating Expenses</t>
  </si>
  <si>
    <t>Taxes Other Than Income</t>
  </si>
  <si>
    <t>Salaries and Wages - Employees</t>
  </si>
  <si>
    <t>Salaries and Wages - Officers</t>
  </si>
  <si>
    <t>Employee Pensions and Benefits</t>
  </si>
  <si>
    <t>Purchased Power</t>
  </si>
  <si>
    <t>Materials and Supplies</t>
  </si>
  <si>
    <t>Miscellaneous Expenses</t>
  </si>
  <si>
    <t>Transportation Expenses</t>
  </si>
  <si>
    <t>Proposed</t>
  </si>
  <si>
    <t>Interest Income</t>
  </si>
  <si>
    <t>First</t>
  </si>
  <si>
    <t>Over</t>
  </si>
  <si>
    <t>Total</t>
  </si>
  <si>
    <t>Totals</t>
  </si>
  <si>
    <t>Gallons</t>
  </si>
  <si>
    <t>Operating Revenues</t>
  </si>
  <si>
    <t>Sales for Resale</t>
  </si>
  <si>
    <t>Other Water Revenues:</t>
  </si>
  <si>
    <t>Total Operating Revenues</t>
  </si>
  <si>
    <t>Operating Expenses</t>
  </si>
  <si>
    <t>Depreciation Expense</t>
  </si>
  <si>
    <t>Net Utility Operating Income</t>
  </si>
  <si>
    <t>REVENUE REQUIREMENTS</t>
  </si>
  <si>
    <t>Plus:</t>
  </si>
  <si>
    <t>Less:</t>
  </si>
  <si>
    <t>Other Operating Revenue</t>
  </si>
  <si>
    <t>Chemicals</t>
  </si>
  <si>
    <t>Retail</t>
  </si>
  <si>
    <t>Transportation Expense</t>
  </si>
  <si>
    <t>Existing</t>
  </si>
  <si>
    <t>Change</t>
  </si>
  <si>
    <t>Table A</t>
  </si>
  <si>
    <t>SCHEDULE OF ADJUSTED OPERATIONS</t>
  </si>
  <si>
    <t>Test Year</t>
  </si>
  <si>
    <t>Adjustments</t>
  </si>
  <si>
    <t>Ref.</t>
  </si>
  <si>
    <t>Proforma</t>
  </si>
  <si>
    <t>Operation and Maintenance</t>
  </si>
  <si>
    <t>Total Operation and Mnt. Expenses</t>
  </si>
  <si>
    <t>Pro Forma Operating Expenses</t>
  </si>
  <si>
    <t>TOTALS</t>
  </si>
  <si>
    <t>Produced &amp; Purchased</t>
  </si>
  <si>
    <t>Sold</t>
  </si>
  <si>
    <t>Uses:</t>
  </si>
  <si>
    <t xml:space="preserve">  Flushing</t>
  </si>
  <si>
    <t xml:space="preserve">  WTP</t>
  </si>
  <si>
    <t xml:space="preserve">  Fire</t>
  </si>
  <si>
    <t xml:space="preserve">  Other</t>
  </si>
  <si>
    <t>Line Brks.</t>
  </si>
  <si>
    <t>Line Leaks</t>
  </si>
  <si>
    <t xml:space="preserve">  water loss percentage</t>
  </si>
  <si>
    <t>check</t>
  </si>
  <si>
    <t xml:space="preserve">  allowable in rates</t>
  </si>
  <si>
    <t>Capitalized Expense Adjustments:</t>
  </si>
  <si>
    <t>Adjustment</t>
  </si>
  <si>
    <t>Forfeited Discounts</t>
  </si>
  <si>
    <t>DEPRECIATION EXPENSE ADJUSTMENTS</t>
  </si>
  <si>
    <t>Depreciation</t>
  </si>
  <si>
    <t>Assets</t>
  </si>
  <si>
    <t>Date in</t>
  </si>
  <si>
    <t>Original</t>
  </si>
  <si>
    <t>Expense</t>
  </si>
  <si>
    <t>No.</t>
  </si>
  <si>
    <t>Description</t>
  </si>
  <si>
    <t>Service</t>
  </si>
  <si>
    <t>Life</t>
  </si>
  <si>
    <t>Depr. Exp.</t>
  </si>
  <si>
    <t>FIRST</t>
  </si>
  <si>
    <t>ALL OVER</t>
  </si>
  <si>
    <t>USAGE</t>
  </si>
  <si>
    <t>BILLS</t>
  </si>
  <si>
    <t>GALLONS</t>
  </si>
  <si>
    <t>TOTAL</t>
  </si>
  <si>
    <t xml:space="preserve">     REVENUE BY RATE INCREMENT</t>
  </si>
  <si>
    <t>RATE</t>
  </si>
  <si>
    <t>REVENUE</t>
  </si>
  <si>
    <t xml:space="preserve">     Reported     </t>
  </si>
  <si>
    <t>Revenue</t>
  </si>
  <si>
    <t>Advertising</t>
  </si>
  <si>
    <t>various</t>
  </si>
  <si>
    <t>varies</t>
  </si>
  <si>
    <t>A</t>
  </si>
  <si>
    <t>Water</t>
  </si>
  <si>
    <t>Bill</t>
  </si>
  <si>
    <t>* Highlighted usage represents the average residential bill.</t>
  </si>
  <si>
    <t>per Month*</t>
  </si>
  <si>
    <t>Purchased Water</t>
  </si>
  <si>
    <t>Divided by:  Operating Ratio</t>
  </si>
  <si>
    <t xml:space="preserve">  Subtotal</t>
  </si>
  <si>
    <t>Interest Expense</t>
  </si>
  <si>
    <t>Total Revenue Requirement</t>
  </si>
  <si>
    <t>Revenue Required From Sales of Water</t>
  </si>
  <si>
    <t>Revenue from Sales with Present Rates</t>
  </si>
  <si>
    <t>Required Revenue Increase</t>
  </si>
  <si>
    <t>Percent Increase</t>
  </si>
  <si>
    <t>Salaries &amp; Wages and Associated Adjustments</t>
  </si>
  <si>
    <t>Pro Forma</t>
  </si>
  <si>
    <t>Employee</t>
  </si>
  <si>
    <t>Wage Rate</t>
  </si>
  <si>
    <t>Other</t>
  </si>
  <si>
    <t xml:space="preserve">  adjustment not req'd.</t>
  </si>
  <si>
    <t>Less: Test Year Salaries &amp; Wages Exp</t>
  </si>
  <si>
    <t>Pro Forma Salaries &amp; Wages Adj'mt</t>
  </si>
  <si>
    <t xml:space="preserve"> </t>
  </si>
  <si>
    <t>Pro Forma Payroll Taxes</t>
  </si>
  <si>
    <t>Payroll Tax Adjustment</t>
  </si>
  <si>
    <t>Times: Percent Pension Contribution</t>
  </si>
  <si>
    <t>Total Pro Forma Pension Contribution</t>
  </si>
  <si>
    <t>Less: Test Year Pension Contribution</t>
  </si>
  <si>
    <t>KRWA</t>
  </si>
  <si>
    <t>C</t>
  </si>
  <si>
    <t>D</t>
  </si>
  <si>
    <t>E</t>
  </si>
  <si>
    <t>F</t>
  </si>
  <si>
    <t>G</t>
  </si>
  <si>
    <t>H</t>
  </si>
  <si>
    <t>I</t>
  </si>
  <si>
    <t>Table B</t>
  </si>
  <si>
    <t>*  Includes only costs of assets that contributed to depreciation expense in the test year.</t>
  </si>
  <si>
    <t>Cost *</t>
  </si>
  <si>
    <t>Rate Study/Application</t>
  </si>
  <si>
    <t>Contractual Services Adjustments</t>
  </si>
  <si>
    <t>CURRENT AND PROPOSED RATES</t>
  </si>
  <si>
    <t>yr. amortization</t>
  </si>
  <si>
    <t>All Customer Costs Factored</t>
  </si>
  <si>
    <t>K</t>
  </si>
  <si>
    <t>McCreary County Water District</t>
  </si>
  <si>
    <t>Sewer Division</t>
  </si>
  <si>
    <t>Residential Revenues</t>
  </si>
  <si>
    <t>Commercial Revenues</t>
  </si>
  <si>
    <t>Industrial Revenues</t>
  </si>
  <si>
    <t>Revenues from Public Authorities</t>
  </si>
  <si>
    <t>Miscellaneous Sewer Revenues</t>
  </si>
  <si>
    <t>Operation Expenses</t>
  </si>
  <si>
    <t>Collection - Labor, Materials and Expenses</t>
  </si>
  <si>
    <t>Pumping - Labor, Materials and Expenses</t>
  </si>
  <si>
    <t>Fuel and Power for Pumping and Treatment</t>
  </si>
  <si>
    <t>Miscellaneous Supplies and Expenses</t>
  </si>
  <si>
    <t>Treatment &amp; Disposal</t>
  </si>
  <si>
    <t>Maintenance Expenses</t>
  </si>
  <si>
    <t>Maintenance of Collection Sewer System</t>
  </si>
  <si>
    <t>Maintenance of Pumping System</t>
  </si>
  <si>
    <t>Maintenance of Other Plant Facilities</t>
  </si>
  <si>
    <t>Uncollectable Accounts</t>
  </si>
  <si>
    <t>Administrative and General Expenses</t>
  </si>
  <si>
    <t>Office Supplies and Other Expenses</t>
  </si>
  <si>
    <t>Outside Services Employed</t>
  </si>
  <si>
    <t>Insurance Expense</t>
  </si>
  <si>
    <t>Regulatory Commission Expense</t>
  </si>
  <si>
    <t>Miscellaneous General Expenses</t>
  </si>
  <si>
    <t>Rents</t>
  </si>
  <si>
    <t>Total Sewer Operation and Mnt. Expenses</t>
  </si>
  <si>
    <t>L</t>
  </si>
  <si>
    <t xml:space="preserve">   Plus:</t>
  </si>
  <si>
    <t>Avg. Annual Principal and Interest Pmts.</t>
  </si>
  <si>
    <t>Additional Working Capital</t>
  </si>
  <si>
    <t xml:space="preserve">   Less:</t>
  </si>
  <si>
    <t>Interest &amp; Dividend Income</t>
  </si>
  <si>
    <t>Misc nonoperting income</t>
  </si>
  <si>
    <t>Revenue Required From Sewer Sales</t>
  </si>
  <si>
    <t>Revenue from Sales at Present Rates</t>
  </si>
  <si>
    <t>Metered Sales to Residential Customers</t>
  </si>
  <si>
    <t>Metered Sales to Commercial Customers</t>
  </si>
  <si>
    <t>Metered Sales to Industrial Customers</t>
  </si>
  <si>
    <t>Metered Sales to Public Authorities Customers</t>
  </si>
  <si>
    <t>Misc. Service Revenue</t>
  </si>
  <si>
    <t>Rents from Water Property</t>
  </si>
  <si>
    <t>Contractual Services-Management Fees</t>
  </si>
  <si>
    <t>Contractual Services-Water Testing</t>
  </si>
  <si>
    <t>Contractual Services-Other</t>
  </si>
  <si>
    <t>Contractual Services-Acct.</t>
  </si>
  <si>
    <t>Contractual Services-Legal</t>
  </si>
  <si>
    <t>Insurance - Gen. Liab. &amp; Other</t>
  </si>
  <si>
    <t>Insurance - Workers Comp.</t>
  </si>
  <si>
    <t>Insurance - Other</t>
  </si>
  <si>
    <t>Position</t>
  </si>
  <si>
    <t>Regular 
Hours</t>
  </si>
  <si>
    <t>Overtime 
Hours</t>
  </si>
  <si>
    <t>Holiday 
Hours</t>
  </si>
  <si>
    <t>PTO 
Hours</t>
  </si>
  <si>
    <t>Vacation 
Hours</t>
  </si>
  <si>
    <t>Bereavement</t>
  </si>
  <si>
    <t>Employee 1</t>
  </si>
  <si>
    <t>Laborer</t>
  </si>
  <si>
    <t>Employee 2</t>
  </si>
  <si>
    <t>Employee 3</t>
  </si>
  <si>
    <t>Collections Supervisor</t>
  </si>
  <si>
    <t>Employee 4</t>
  </si>
  <si>
    <t>Lab Supervisor</t>
  </si>
  <si>
    <t>Employee 5</t>
  </si>
  <si>
    <t>Equipment Operator</t>
  </si>
  <si>
    <t>Employee 6</t>
  </si>
  <si>
    <t>Employee 7</t>
  </si>
  <si>
    <t>Employee 8</t>
  </si>
  <si>
    <t>Electrician</t>
  </si>
  <si>
    <t>WC</t>
  </si>
  <si>
    <t>Employee 9</t>
  </si>
  <si>
    <t>Meter Reader</t>
  </si>
  <si>
    <t>Employee 10</t>
  </si>
  <si>
    <t>Employee 11</t>
  </si>
  <si>
    <t>Employee 12</t>
  </si>
  <si>
    <t>Utility Billing Specialist</t>
  </si>
  <si>
    <t>Employee 13</t>
  </si>
  <si>
    <t>Crew Leader</t>
  </si>
  <si>
    <t>Employee 14</t>
  </si>
  <si>
    <t>Water Treatment Plant Operator</t>
  </si>
  <si>
    <t>Employee 15</t>
  </si>
  <si>
    <t>Employee 16</t>
  </si>
  <si>
    <t>Employee 17</t>
  </si>
  <si>
    <t>Employee 18</t>
  </si>
  <si>
    <t>Employee 19</t>
  </si>
  <si>
    <t>Line Foreman</t>
  </si>
  <si>
    <t>Employee 20</t>
  </si>
  <si>
    <t>Employee 21</t>
  </si>
  <si>
    <t>Assistant Superintendent</t>
  </si>
  <si>
    <t>Employee 22</t>
  </si>
  <si>
    <t>Employee 23</t>
  </si>
  <si>
    <t>Office Support Staff</t>
  </si>
  <si>
    <t>Employee 24</t>
  </si>
  <si>
    <t>Employee 25</t>
  </si>
  <si>
    <t>Employee 26</t>
  </si>
  <si>
    <t>Office Assistant</t>
  </si>
  <si>
    <t>Employee 27</t>
  </si>
  <si>
    <t>Employee 28</t>
  </si>
  <si>
    <t>Water Treatment Plant Supervisor</t>
  </si>
  <si>
    <t>Employee 29</t>
  </si>
  <si>
    <t>Mechanic</t>
  </si>
  <si>
    <t>Employee 30</t>
  </si>
  <si>
    <t>Distribution System Monitor</t>
  </si>
  <si>
    <t>Employee 31</t>
  </si>
  <si>
    <t>Employee 32</t>
  </si>
  <si>
    <t>Employee 33</t>
  </si>
  <si>
    <t>Employee 34</t>
  </si>
  <si>
    <t>Employee 35</t>
  </si>
  <si>
    <t>Controller</t>
  </si>
  <si>
    <t>Employee 36</t>
  </si>
  <si>
    <t>Office Manager</t>
  </si>
  <si>
    <t>Employee 37</t>
  </si>
  <si>
    <t>Superintendent/Manager</t>
  </si>
  <si>
    <t>Employee 38</t>
  </si>
  <si>
    <t>Employee 39</t>
  </si>
  <si>
    <t>Sewer</t>
  </si>
  <si>
    <t>Pro Forma Salaries &amp; Wages Expense</t>
  </si>
  <si>
    <t>COMMISSIONERS</t>
  </si>
  <si>
    <t>Randy Kidd</t>
  </si>
  <si>
    <t>Doug Sexton</t>
  </si>
  <si>
    <t>Mark Sumner</t>
  </si>
  <si>
    <t>Times: 7.65 Percent FICA Rate</t>
  </si>
  <si>
    <t>Coy Taylor</t>
  </si>
  <si>
    <t>Raymond Taylor</t>
  </si>
  <si>
    <t>Wages applicable to CERS payments</t>
  </si>
  <si>
    <t>Pension &amp; Benefits Adjustments</t>
  </si>
  <si>
    <t>*Source Jennifer W. 6/1/24 email</t>
  </si>
  <si>
    <t>MEDICAL</t>
  </si>
  <si>
    <t>Monthly</t>
  </si>
  <si>
    <t>MEWA Fee (each Month)</t>
  </si>
  <si>
    <t>Type of Plan</t>
  </si>
  <si>
    <t>Rates</t>
  </si>
  <si>
    <t>Count</t>
  </si>
  <si>
    <t>Employee + Spouse</t>
  </si>
  <si>
    <t>Employee+ Child(ren</t>
  </si>
  <si>
    <t>Family</t>
  </si>
  <si>
    <t>x 12</t>
  </si>
  <si>
    <t>Annual Total</t>
  </si>
  <si>
    <t>DENTAL</t>
  </si>
  <si>
    <t>Subscriber Only</t>
  </si>
  <si>
    <t>Subscriber + Spouse</t>
  </si>
  <si>
    <t>Subscriber + Spouse+ Children</t>
  </si>
  <si>
    <t>Subscriber + Children</t>
  </si>
  <si>
    <t>VISION</t>
  </si>
  <si>
    <t>Employee+ Children</t>
  </si>
  <si>
    <t xml:space="preserve">Flexible Spending </t>
  </si>
  <si>
    <t>CURRENT BILLING ANALYSIS - 2023 USAGE &amp; EXISTING RATES</t>
  </si>
  <si>
    <t xml:space="preserve">  SUMMARY  </t>
  </si>
  <si>
    <t>No. of Bills</t>
  </si>
  <si>
    <t>Gallons Sold</t>
  </si>
  <si>
    <t>Retail Customers</t>
  </si>
  <si>
    <t>Federal Correctonal Facility</t>
  </si>
  <si>
    <t>Cumberland Falls SP</t>
  </si>
  <si>
    <t>Wholesaale</t>
  </si>
  <si>
    <t>Federal Correctional Facility</t>
  </si>
  <si>
    <t>Cumberland Falls State Park</t>
  </si>
  <si>
    <t xml:space="preserve">WHOLESALE SALES </t>
  </si>
  <si>
    <t>Whitley County Water District</t>
  </si>
  <si>
    <t>Total Sewer Sales Revenue</t>
  </si>
  <si>
    <t>CONSUMPTION BY RATE INCREMENT</t>
  </si>
  <si>
    <t>Next</t>
  </si>
  <si>
    <t>REVENUE BY RATE INCREMENT</t>
  </si>
  <si>
    <t>per month</t>
  </si>
  <si>
    <t>per gallon</t>
  </si>
  <si>
    <t>CONSUMPTION BY RATE INCREMENT- Federal Correctional Facility</t>
  </si>
  <si>
    <t>Water Loss Adjustment: 2023 AR</t>
  </si>
  <si>
    <t>WATER DIVISION</t>
  </si>
  <si>
    <t>CURRENT RATE SCHEDULE</t>
  </si>
  <si>
    <t>Effective 7/26/23</t>
  </si>
  <si>
    <t>gallons</t>
  </si>
  <si>
    <t>Minimum Bill</t>
  </si>
  <si>
    <t>Per Gallon</t>
  </si>
  <si>
    <t>Wholesale Customers</t>
  </si>
  <si>
    <t>Oneida, Tennessee</t>
  </si>
  <si>
    <t>Fibrotec, USA</t>
  </si>
  <si>
    <t>Pin Knot Job Center</t>
  </si>
  <si>
    <t>McCreary County Housing Auth.</t>
  </si>
  <si>
    <t>SEWER DIVISION</t>
  </si>
  <si>
    <t>Effective 9/30/24</t>
  </si>
  <si>
    <t>All Retail Customers</t>
  </si>
  <si>
    <t>Per gallon</t>
  </si>
  <si>
    <t>DEBT SERVICE SCHDULE</t>
  </si>
  <si>
    <t>CY 2025 - 2029</t>
  </si>
  <si>
    <t>CY 2025</t>
  </si>
  <si>
    <t>CY 2026</t>
  </si>
  <si>
    <t>CY 2027</t>
  </si>
  <si>
    <t>CY 2028</t>
  </si>
  <si>
    <t>CY 2029</t>
  </si>
  <si>
    <t>Interest</t>
  </si>
  <si>
    <t>Principal</t>
  </si>
  <si>
    <t>&amp; Fees</t>
  </si>
  <si>
    <t>Average Annual Principal &amp; Interest</t>
  </si>
  <si>
    <t>Average Annual Coverage</t>
  </si>
  <si>
    <t>Average interest &amp; Fees</t>
  </si>
  <si>
    <t>Amount</t>
  </si>
  <si>
    <t>Series 2013 91-33</t>
  </si>
  <si>
    <t>Series 2016 93-37</t>
  </si>
  <si>
    <t>Series 2020 93-38</t>
  </si>
  <si>
    <t>Series 2020 93-40</t>
  </si>
  <si>
    <t>Series 2021 91-42</t>
  </si>
  <si>
    <t>office bldg</t>
  </si>
  <si>
    <t>KIA F04-03</t>
  </si>
  <si>
    <t>KRWFC 2013 B</t>
  </si>
  <si>
    <t>GCC 8306</t>
  </si>
  <si>
    <t>Avg. Annual Principal and Interest Payments</t>
  </si>
  <si>
    <t xml:space="preserve">Other Income </t>
  </si>
  <si>
    <t>Revenue Required From Water Sales</t>
  </si>
  <si>
    <t>Sewer Revenue Increase</t>
  </si>
  <si>
    <t>Total Water &amp; Sewer Revenue Increase</t>
  </si>
  <si>
    <t>Water Customers</t>
  </si>
  <si>
    <t>Sewer Customers</t>
  </si>
  <si>
    <t>Total Water &amp; Sewer Customers</t>
  </si>
  <si>
    <t>Combined Revenue Increase</t>
  </si>
  <si>
    <t>REVENUE REQUIREMENTS WATER DIVISION- Debt Service Coverage</t>
  </si>
  <si>
    <t>2024 Payroll</t>
  </si>
  <si>
    <t>Meter Tester</t>
  </si>
  <si>
    <t>Billy Trammell *</t>
  </si>
  <si>
    <t>Caiden Hamlin</t>
  </si>
  <si>
    <t>Jerry Waters</t>
  </si>
  <si>
    <t>Jimmy Ross</t>
  </si>
  <si>
    <t>Josh Phillips</t>
  </si>
  <si>
    <t>Mike Boyatt</t>
  </si>
  <si>
    <t>Tristan King</t>
  </si>
  <si>
    <t>William Clark</t>
  </si>
  <si>
    <t>Aaron Trammell</t>
  </si>
  <si>
    <t>Alex West</t>
  </si>
  <si>
    <t>Anthony Taylor</t>
  </si>
  <si>
    <t>April Lyons</t>
  </si>
  <si>
    <t>Brandon Tucker</t>
  </si>
  <si>
    <t>Byron Griffis</t>
  </si>
  <si>
    <t>Caleb Hansford</t>
  </si>
  <si>
    <t>Christopher Watters</t>
  </si>
  <si>
    <t>Chris Spradlin</t>
  </si>
  <si>
    <t>David M Kilby</t>
  </si>
  <si>
    <t>David T Kilby</t>
  </si>
  <si>
    <t>Derrick Taylor **</t>
  </si>
  <si>
    <t>Donna King</t>
  </si>
  <si>
    <t>Haley Gibson</t>
  </si>
  <si>
    <t>Hunter King</t>
  </si>
  <si>
    <t>Jared Miller</t>
  </si>
  <si>
    <t>Jennifer Whitaker</t>
  </si>
  <si>
    <t>Jeremiah Jones</t>
  </si>
  <si>
    <t>Jeremy Troxell</t>
  </si>
  <si>
    <t>Jerry King</t>
  </si>
  <si>
    <t>Justin C Jones</t>
  </si>
  <si>
    <t>Justin Tyler Vaughn</t>
  </si>
  <si>
    <t>Kaity Strunk</t>
  </si>
  <si>
    <t>Kathy Troxell</t>
  </si>
  <si>
    <t>Millie Fugate</t>
  </si>
  <si>
    <t>Rick Watters</t>
  </si>
  <si>
    <t>Sammy Strunk</t>
  </si>
  <si>
    <t>S Whitaker***</t>
  </si>
  <si>
    <t>Tyler Troxell</t>
  </si>
  <si>
    <t>William King</t>
  </si>
  <si>
    <t>Total Hours</t>
  </si>
  <si>
    <t>Sewer Payroll</t>
  </si>
  <si>
    <t>Regular Hours</t>
  </si>
  <si>
    <t>Overtime Hours</t>
  </si>
  <si>
    <t>Holiday Hours</t>
  </si>
  <si>
    <t>PTO Hours</t>
  </si>
  <si>
    <t>Vacation Hours</t>
  </si>
  <si>
    <t>Office Payroll</t>
  </si>
  <si>
    <t>Water 
Distribution 
Payroll</t>
  </si>
  <si>
    <t>Water 
Treatment 
Payroll</t>
  </si>
  <si>
    <t>Total Payroll</t>
  </si>
  <si>
    <t>*Sewer rates effective 9/30/24</t>
  </si>
  <si>
    <t>*Rates effective after 7/27/23</t>
  </si>
  <si>
    <t>0-2000</t>
  </si>
  <si>
    <t>over 2000</t>
  </si>
  <si>
    <t>WB</t>
  </si>
  <si>
    <t>WA</t>
  </si>
  <si>
    <t>2/10/25 email</t>
  </si>
  <si>
    <t>WD</t>
  </si>
  <si>
    <t>WE</t>
  </si>
  <si>
    <t>WF</t>
  </si>
  <si>
    <t>WG</t>
  </si>
  <si>
    <t>WP</t>
  </si>
  <si>
    <t>195K&gt;</t>
  </si>
  <si>
    <t>Jan</t>
  </si>
  <si>
    <t>Feb</t>
  </si>
  <si>
    <t>Mar</t>
  </si>
  <si>
    <t>Apr</t>
  </si>
  <si>
    <t>May</t>
  </si>
  <si>
    <t>Jun</t>
  </si>
  <si>
    <t>Jul</t>
  </si>
  <si>
    <t>Aug</t>
  </si>
  <si>
    <t>Sep</t>
  </si>
  <si>
    <t>Oct</t>
  </si>
  <si>
    <t>Nov</t>
  </si>
  <si>
    <t>Dec</t>
  </si>
  <si>
    <t>Usage</t>
  </si>
  <si>
    <t>0-600000</t>
  </si>
  <si>
    <t>Over 600000</t>
  </si>
  <si>
    <t>0-1950K</t>
  </si>
  <si>
    <t>1950K&gt;</t>
  </si>
  <si>
    <t>Pro Forma Sales Revenue</t>
  </si>
  <si>
    <t>January</t>
  </si>
  <si>
    <t>February</t>
  </si>
  <si>
    <t>March</t>
  </si>
  <si>
    <t>April</t>
  </si>
  <si>
    <t>June</t>
  </si>
  <si>
    <t>July</t>
  </si>
  <si>
    <t>August</t>
  </si>
  <si>
    <t>September</t>
  </si>
  <si>
    <t>October</t>
  </si>
  <si>
    <t>November</t>
  </si>
  <si>
    <t>December</t>
  </si>
  <si>
    <t>Less water adjustments</t>
  </si>
  <si>
    <t>2023 Sales</t>
  </si>
  <si>
    <t>FA,YA,Yb</t>
  </si>
  <si>
    <t>Bills</t>
  </si>
  <si>
    <t>2023 AR 6,285 customers</t>
  </si>
  <si>
    <t>Water sold</t>
  </si>
  <si>
    <t>2023 AR</t>
  </si>
  <si>
    <t>customers</t>
  </si>
  <si>
    <t>McCrearyCounty Water District</t>
  </si>
  <si>
    <t>Increase due to water rate increase effective 7/26/23</t>
  </si>
  <si>
    <t>Eligible wages times average 2024 CERS pension Rate</t>
  </si>
  <si>
    <t>2023 AR interest income pg20 of 67</t>
  </si>
  <si>
    <t xml:space="preserve">Meter  </t>
  </si>
  <si>
    <t>connections</t>
  </si>
  <si>
    <t>5/8 X 3/4"</t>
  </si>
  <si>
    <t xml:space="preserve">Labor </t>
  </si>
  <si>
    <t xml:space="preserve">Materials </t>
  </si>
  <si>
    <t>Tap Fee</t>
  </si>
  <si>
    <t>5/31/24 Email from Jennifer</t>
  </si>
  <si>
    <t>Decrease materials attributable to tapping fees.</t>
  </si>
  <si>
    <t>Decrease labor attributable to tapping fees.</t>
  </si>
  <si>
    <t>Sheet Adj Cell U8</t>
  </si>
  <si>
    <t>Sheet Adj Cell U9</t>
  </si>
  <si>
    <t>Average Annual Debt Service Coverage</t>
  </si>
  <si>
    <t xml:space="preserve">   305 - Collecting Reservoir</t>
  </si>
  <si>
    <t>reclassify to Sewer</t>
  </si>
  <si>
    <t xml:space="preserve">   320 - Water Treatment</t>
  </si>
  <si>
    <t>Plant</t>
  </si>
  <si>
    <t>Equipment</t>
  </si>
  <si>
    <t xml:space="preserve">   339 - Other Equipment</t>
  </si>
  <si>
    <t>Digital Video &amp; Camera</t>
  </si>
  <si>
    <t xml:space="preserve">   340 - Office Furniture Equipment</t>
  </si>
  <si>
    <t>Computer &amp; Billing Software</t>
  </si>
  <si>
    <t>345 - Power Oriented Equipment</t>
  </si>
  <si>
    <t>Telemetry Equipment</t>
  </si>
  <si>
    <t xml:space="preserve">   310 - Power Generator Equipment</t>
  </si>
  <si>
    <t xml:space="preserve">   311 - Pumping Equipment</t>
  </si>
  <si>
    <t xml:space="preserve">   313 - Lake, River and Other Intake</t>
  </si>
  <si>
    <t xml:space="preserve">   330 -  Standpipes</t>
  </si>
  <si>
    <t xml:space="preserve">   331 - Transmissions &amp; Dist. Mains</t>
  </si>
  <si>
    <t xml:space="preserve">   333 - Services</t>
  </si>
  <si>
    <t xml:space="preserve">   334 - Meter Installation</t>
  </si>
  <si>
    <t xml:space="preserve">   335 - Hydrants</t>
  </si>
  <si>
    <t xml:space="preserve">   341 - Transportation</t>
  </si>
  <si>
    <t xml:space="preserve">   343 - Shop Equipment</t>
  </si>
  <si>
    <t>Customer percentage:</t>
  </si>
  <si>
    <t xml:space="preserve">   311 - Buildings</t>
  </si>
  <si>
    <t xml:space="preserve">   352.1 - Collection Sewers-Force</t>
  </si>
  <si>
    <t xml:space="preserve">   354 - Service / Meters</t>
  </si>
  <si>
    <t xml:space="preserve">   363.1 - Pumping Equipment</t>
  </si>
  <si>
    <t xml:space="preserve">   373 - Treatment &amp; Disposal</t>
  </si>
  <si>
    <t xml:space="preserve">   392 - Transportation Equipment</t>
  </si>
  <si>
    <t xml:space="preserve">   393.6 - Other Tangible Property</t>
  </si>
  <si>
    <t>Sheet Dpr Cell J 66</t>
  </si>
  <si>
    <t>REVENUE REQUIREMENTS SEWER DIVISION- Debt Service Coverage</t>
  </si>
  <si>
    <t>Pro Forma S and W Expense + Commisioners</t>
  </si>
  <si>
    <t>*Allocate Commisioners salary based on customer number</t>
  </si>
  <si>
    <t>Commissioners salary $30,000</t>
  </si>
  <si>
    <t>Check</t>
  </si>
  <si>
    <t>Gallons at wholesale Rate</t>
  </si>
  <si>
    <t>Amortization of utility Plant Acquisition Adj.</t>
  </si>
  <si>
    <t>Revenue Requiement from water Sales</t>
  </si>
  <si>
    <t>Water Sales Revenue</t>
  </si>
  <si>
    <t>KIA A20-047</t>
  </si>
  <si>
    <t>Approved</t>
  </si>
  <si>
    <t>In Case</t>
  </si>
  <si>
    <t>Average Annual Principal, Interest &amp; Fees - Sewer</t>
  </si>
  <si>
    <t>KIA F21-025</t>
  </si>
  <si>
    <t xml:space="preserve">Revenue </t>
  </si>
  <si>
    <t>From wholesale</t>
  </si>
  <si>
    <t>Amortization</t>
  </si>
  <si>
    <t>source 12/11/24 email quick books report</t>
  </si>
  <si>
    <t>Participate in CERS</t>
  </si>
  <si>
    <t>Total Health Insurance</t>
  </si>
  <si>
    <t>SAOs Revenue Requirement percentage increase</t>
  </si>
  <si>
    <t>Water Distribution Payroll</t>
  </si>
  <si>
    <t>Water Treatment Payroll</t>
  </si>
  <si>
    <t>Allowable</t>
  </si>
  <si>
    <t>Premium</t>
  </si>
  <si>
    <t>Administrative Fee</t>
  </si>
  <si>
    <t>Percentage</t>
  </si>
  <si>
    <t xml:space="preserve">PSC </t>
  </si>
  <si>
    <t xml:space="preserve"> Total allowable Health insurance</t>
  </si>
  <si>
    <t>McCreary WD Employee Pensions &amp; Benefits</t>
  </si>
  <si>
    <t>12/11/24 email from Jennifer</t>
  </si>
  <si>
    <t>WATER</t>
  </si>
  <si>
    <t>SEWER</t>
  </si>
  <si>
    <t>Insurance</t>
  </si>
  <si>
    <t>Medical</t>
  </si>
  <si>
    <t>Uniform</t>
  </si>
  <si>
    <t>GASB 68 retirement</t>
  </si>
  <si>
    <t>OPEB</t>
  </si>
  <si>
    <t>Retirement</t>
  </si>
  <si>
    <t>Less: Test Year Payroll Taxes</t>
  </si>
  <si>
    <t>Health Insurance paid in 2023</t>
  </si>
  <si>
    <t>Total adjustment to Health Insurance</t>
  </si>
  <si>
    <t>Less Health Ins. Paid in 2023 source 12/11/24 email quick books report</t>
  </si>
  <si>
    <t>Increase in Health Ins. Premium</t>
  </si>
  <si>
    <t>Allocated based on 2023 percentages</t>
  </si>
  <si>
    <t>Customers</t>
  </si>
  <si>
    <t>Total Adjustment</t>
  </si>
  <si>
    <t>Allocated based on customer percentages</t>
  </si>
  <si>
    <t>increase due to amortized rate case expense allocated to water</t>
  </si>
  <si>
    <t>Sheet Adj Cell T21</t>
  </si>
  <si>
    <t>Sheet Adj Cell U21</t>
  </si>
  <si>
    <t>*OPERATING RATIO METHOD NOT RECOMENDED*</t>
  </si>
  <si>
    <t>CERS wages</t>
  </si>
  <si>
    <t>Wages not participatring in CERS</t>
  </si>
  <si>
    <t>*Allocated based on percentage of customers</t>
  </si>
  <si>
    <t>Materials only no labor</t>
  </si>
  <si>
    <t>Increase due to wage increases and allocation to water</t>
  </si>
  <si>
    <t>Pro Forma Salaries &amp; Wages Officers Expense</t>
  </si>
  <si>
    <t>Superintendent and Asst. Super.</t>
  </si>
  <si>
    <t>Less: Test Year Salaries &amp; Wages  Officers Exp</t>
  </si>
  <si>
    <t>Increase in wages and allocation  of salaries to Water</t>
  </si>
  <si>
    <t>Pro Forma Salaries &amp; Wages Officers Adj'mt</t>
  </si>
  <si>
    <t>Less: test year Adminsitrative and General Salaries</t>
  </si>
  <si>
    <t>Sewer Adjustment to Administrative and General Salaries</t>
  </si>
  <si>
    <t>Sheet Wages Cell I67</t>
  </si>
  <si>
    <t>Increase in wages and allocation  of officers salaries to Water</t>
  </si>
  <si>
    <t>Office Payroll less superintendent and assistant superintendent</t>
  </si>
  <si>
    <t>Office Wages not participatring in CERS</t>
  </si>
  <si>
    <t>Distrib. Wages not participatring in CERS</t>
  </si>
  <si>
    <t>Treatment Wages not participatring in CERS</t>
  </si>
  <si>
    <t>Check combined water+sewer+comm. Salaries</t>
  </si>
  <si>
    <t>Increase in Pension due to increase in wages and allocation of salaries to water</t>
  </si>
  <si>
    <t>Officers and Commissioners allocated to Sewer</t>
  </si>
  <si>
    <t>Sheet Wages Cell I80</t>
  </si>
  <si>
    <t>Sewer Required Revenue from sales</t>
  </si>
  <si>
    <t>Total Water &amp; Sewer Required Revenue from sales</t>
  </si>
  <si>
    <t>Sewer Wages not participatring in CERS</t>
  </si>
  <si>
    <t>Decrease due to change in pension rate and allocation of salaries to Sewer</t>
  </si>
  <si>
    <t>Sheet Wages Cell J80</t>
  </si>
  <si>
    <t>Sheet ExBAs Cell F11</t>
  </si>
  <si>
    <t>Decrease due to change in wages and allocation of salaries to Sewer</t>
  </si>
  <si>
    <t>Sheet Wages Cell J67</t>
  </si>
  <si>
    <t>Depreciation adjustments</t>
  </si>
  <si>
    <t>Sheet Medical Cell K43</t>
  </si>
  <si>
    <t>Sheet Wages Cell J74</t>
  </si>
  <si>
    <t xml:space="preserve">2023 AR page 26 of 44 </t>
  </si>
  <si>
    <t>KRWFS series 2012D</t>
  </si>
  <si>
    <t xml:space="preserve">Original </t>
  </si>
  <si>
    <t>KRWFS series 2020E</t>
  </si>
  <si>
    <t>United Cumberalnd Bank</t>
  </si>
  <si>
    <t>Long-Term Debt</t>
  </si>
  <si>
    <t>Office Payroll(less management)</t>
  </si>
  <si>
    <t>Subtotal Salaries &amp; Wages</t>
  </si>
  <si>
    <t>A.</t>
  </si>
  <si>
    <t>B.</t>
  </si>
  <si>
    <t>C.</t>
  </si>
  <si>
    <t>D.</t>
  </si>
  <si>
    <t>E.</t>
  </si>
  <si>
    <t>F.</t>
  </si>
  <si>
    <t>G.</t>
  </si>
  <si>
    <t>H.</t>
  </si>
  <si>
    <t>I.</t>
  </si>
  <si>
    <t>J.</t>
  </si>
  <si>
    <t>K.</t>
  </si>
  <si>
    <t>L.</t>
  </si>
  <si>
    <t>B</t>
  </si>
  <si>
    <t>The utility collected $46,400 in water tapping fees in 2023. These taps were installed by the utility and were recorded as labor and material expenses.  Labor expense has been reduced by $13,920 or 30% of the tapping fees while materials and supplies expense has been reduced by $32,480 or 70% of the tapping fees.</t>
  </si>
  <si>
    <t>Increase due to increase in wage rates, allocation of salaries to water and revised pension contribution percentage.</t>
  </si>
  <si>
    <t>Increase Health Insurance by $34,449 due to Increase in monthly premiums and allocation of expense to water.</t>
  </si>
  <si>
    <t>Recovery of the amortized expense occurred in December 2023</t>
  </si>
  <si>
    <t>J</t>
  </si>
  <si>
    <t>increase rates effective 9/30/24 case no 2021-300</t>
  </si>
  <si>
    <t>Increase in Health ins. Premiums</t>
  </si>
  <si>
    <t>Increase in payroll taxes due to increase wage rates and allocation of salaries to water.</t>
  </si>
  <si>
    <t>Average Usage</t>
  </si>
  <si>
    <t>Average Usage WA</t>
  </si>
  <si>
    <t>*Jan - April WA,WB,WC,WD rate codes combined</t>
  </si>
  <si>
    <t>2020-399</t>
  </si>
  <si>
    <t>KRWFC 2012 D*</t>
  </si>
  <si>
    <t>KRWFC 2020 E**</t>
  </si>
  <si>
    <t>Series 1993</t>
  </si>
  <si>
    <t>Series 1997</t>
  </si>
  <si>
    <t>Series 2001</t>
  </si>
  <si>
    <t>Series 2002</t>
  </si>
  <si>
    <t>Ratio of bonds to total</t>
  </si>
  <si>
    <t>* Allocated based upon ratio of a divisions's refunded bonds to total amount of bond issuance</t>
  </si>
  <si>
    <t>KRWFC 2020 E*</t>
  </si>
  <si>
    <t>KRWFC 2020 E *</t>
  </si>
  <si>
    <t>** Allocated based on number of customers in each division</t>
  </si>
  <si>
    <t>Refunding</t>
  </si>
  <si>
    <t>Series 2020 E</t>
  </si>
  <si>
    <t>Series 2012 D</t>
  </si>
  <si>
    <t>RD 2005-A</t>
  </si>
  <si>
    <t>(91-25)</t>
  </si>
  <si>
    <t>RD 2005-B (91-27)</t>
  </si>
  <si>
    <t>RD 2008-A (91-29)</t>
  </si>
  <si>
    <t>RD 2008-B (91-30)</t>
  </si>
  <si>
    <t>Water Division</t>
  </si>
  <si>
    <t>SAOw cell I81</t>
  </si>
  <si>
    <t>Revenue Requirement from Sewer Sales</t>
  </si>
  <si>
    <t>PERCENTAGE INCREASE</t>
  </si>
  <si>
    <t>MONTHLY AVERAGE USAGE</t>
  </si>
  <si>
    <t>Average Monthly</t>
  </si>
  <si>
    <t>BILLING ANALYSIS - 2023 USAGE &amp; PROPOSED RATES</t>
  </si>
  <si>
    <t>COMPARISON OF EXISTING AND PROPOSED RETAIL WATER BILLS</t>
  </si>
  <si>
    <t xml:space="preserve">TABLE </t>
  </si>
  <si>
    <t>COMPARISON OF</t>
  </si>
  <si>
    <t>Full amount of amortized plant recovered December 2023</t>
  </si>
  <si>
    <t>Revenue Requirement is computed using the Debt Service Coverage method.  Annual debt service payments for the district's water division debt are shown in Table B. The five-year average of these payments for the water division of $649,110 is added in the revenue requirement calculation.</t>
  </si>
  <si>
    <t>The amount of $129,822 is included in the revenue requirement as Additional Working Capital the water division. The amount shown in Table B for coverage on long term debt.</t>
  </si>
  <si>
    <t>All Sewer Sales</t>
  </si>
  <si>
    <t>Fed Correc</t>
  </si>
  <si>
    <t xml:space="preserve">   304 - Structures &amp; Improvements</t>
  </si>
  <si>
    <t>SAOs Cell G59</t>
  </si>
  <si>
    <t>amortized rate case expense allocated to sewer</t>
  </si>
  <si>
    <t>Current</t>
  </si>
  <si>
    <t>Difference</t>
  </si>
  <si>
    <t>Average</t>
  </si>
  <si>
    <t xml:space="preserve">Bill </t>
  </si>
  <si>
    <t>$</t>
  </si>
  <si>
    <t>%</t>
  </si>
  <si>
    <t>COMPARISON OF EXISTING AND PROPOSED SEWER BILLS</t>
  </si>
  <si>
    <t>CODE</t>
  </si>
  <si>
    <t>PERCENTAGE INCREASE RATE SCHEDULE</t>
  </si>
  <si>
    <t>Medical Cell J43</t>
  </si>
  <si>
    <t>Operating Margin</t>
  </si>
  <si>
    <t>Administrative and General Salaries</t>
  </si>
  <si>
    <t>COMPARISON</t>
  </si>
  <si>
    <t>PHASE</t>
  </si>
  <si>
    <t>MCWD Board proposed phase 1 rate adjustment</t>
  </si>
  <si>
    <t>CURRENT AND PROPOSED PHASE 1 RATES</t>
  </si>
  <si>
    <t>CURRENT AND 16.4% INCREASE TO RATES</t>
  </si>
  <si>
    <t>PROPOSED PHASE 1 RATES AND PROPOSED PHASE 2 RATES</t>
  </si>
  <si>
    <t>PERCENT</t>
  </si>
  <si>
    <t>CHANGE</t>
  </si>
  <si>
    <t>DIFFERENCE</t>
  </si>
  <si>
    <t xml:space="preserve">Table </t>
  </si>
  <si>
    <t>COMPARISON OF CURRENT AND 16.4% INCREASE TO MONTHLY RATES</t>
  </si>
  <si>
    <t>COMPARISON OF CURRENT AND PROPOSED PHASE 1 MONTHLY RATES</t>
  </si>
  <si>
    <t>COMPARISON OF PROPOSED PHASE 1 AND PROPOSED PHASE 2 MONTHLY RATES</t>
  </si>
  <si>
    <t>Phase 1</t>
  </si>
  <si>
    <t>Phase 2</t>
  </si>
  <si>
    <t>EXISTING AND 16.4% INCREASE WATER BILLS</t>
  </si>
  <si>
    <t>PROPOSED</t>
  </si>
  <si>
    <t>PHASE 1</t>
  </si>
  <si>
    <t>PHASE 2*</t>
  </si>
  <si>
    <t>* Phase 2 rates will become effective one year after the effective date of the phase one rates.</t>
  </si>
  <si>
    <t>PHASE 1 AND PHASE 2 INCREASE WATER BILLS</t>
  </si>
  <si>
    <t>Phase 1 Rates</t>
  </si>
  <si>
    <t>McCreary County Water District- Water Division</t>
  </si>
  <si>
    <t>Comparison of Phase 1 bills to Phase 2 bills</t>
  </si>
  <si>
    <t>Comparison of existing bills to Phase 1 bills</t>
  </si>
  <si>
    <t>**Extra table may use**</t>
  </si>
  <si>
    <t>BILLS AT EXISTING RATES AND PHASE 1 INCREASE WATER BILLS</t>
  </si>
  <si>
    <t>BILLING ANALYSIS - 2023 USAGE &amp; PHASE 1 PROPOSED RATES</t>
  </si>
  <si>
    <t>Revenue Requirement from Phase 2 Water Sales</t>
  </si>
  <si>
    <t>Revenue Requirment from phase 1 water rates</t>
  </si>
  <si>
    <t>McCreary County WD</t>
  </si>
  <si>
    <t>PROPOSED RATE SCHEDULE</t>
  </si>
  <si>
    <t>REFERENCES</t>
  </si>
  <si>
    <t>Adjust revenues to billing analysis with rates effective 9/30/24 approved in Case No. 2021-00300</t>
  </si>
  <si>
    <t>Series 2013 91-35</t>
  </si>
  <si>
    <t>* Allocated based upon ratio of a division's refunded bonds to total amount of bond issuance</t>
  </si>
  <si>
    <t>Source: Response 9A DR2 Case No. 21-301</t>
  </si>
  <si>
    <t>Decrease in wages to reflect the net changes in wage rates and allocation of salaries to the Sewer Division</t>
  </si>
  <si>
    <t>Increase Health Insurance by $1,661 due to the net increase in monthly premiums and allocation of expense to the Sewer Division.</t>
  </si>
  <si>
    <t>Decrease due to PSC required adjustments to a water utility's depreciation expense when asset lives fall outside the ranges recommended by NARUC in its publication titled "Depreciation Practices for Small Water Utilities".  Therefore, adjustments are included to bring asset lives to the midpoint of the recommended ranges, depreciation expense was decreased by $21,559. See Table A.</t>
  </si>
  <si>
    <t>Decrease due to PSC required adjustments to a utility's depreciation expense when asset lives fall outside the ranges recommended by NARUC in its publication titled "Depreciation Practices for Small Water Utilities". Therefore, adjustments are included to bring asset lives to the recommended ranges, depreciation expense was decreased by $6,297. See Table A.</t>
  </si>
  <si>
    <t>The amount of $44,630 is included in the revenue requirement as Additional Working Capital for the Sewer Division. The amount shown in Table B for coverage on long term debt.</t>
  </si>
  <si>
    <t>Decrease in pension benefits to reflect net decrease in contribution rate effective July 1, 2024 and amount for salaries allocated to the Sewer Division.</t>
  </si>
  <si>
    <t xml:space="preserve">Increase in amortization expense to recover rate case expense allocated to the Sewer Division </t>
  </si>
  <si>
    <t>Decrease in payroll taxes to reflect changes in wage rates and allocation of salaries to the Sewer Division.</t>
  </si>
  <si>
    <t>Revenue Requirement is computed using the Debt Service Coverage method.  Annual debt service payments for the District's Sewer Division debt are shown in Table B. The five-year average of these payments for the Water Division of $223,148 is added in the revenue requirement calculation.</t>
  </si>
  <si>
    <t>Increase water revenues to reflect rate increase effective July, 26,2023 approved in Case No. 2021-00301</t>
  </si>
  <si>
    <t>Increase in wages to reflect increase in wage rates and allocation of salaries to Water Division</t>
  </si>
  <si>
    <t>Increase due to increase in wage rates and allocation of salaries to Water Division</t>
  </si>
  <si>
    <t xml:space="preserve">Increase in amortization expense to recover rate case expense allocated to the Water Division.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</si>
</sst>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00"/>
    <numFmt numFmtId="167" formatCode="0.0%"/>
    <numFmt numFmtId="168" formatCode="_(* #,##0.0_);_(* \(#,##0.0\);_(* &quot;-&quot;??_);_(@_)"/>
    <numFmt numFmtId="169" formatCode="0.000%"/>
    <numFmt numFmtId="170" formatCode="mm/dd/yy;@"/>
    <numFmt numFmtId="171" formatCode="_([$$-409]* #,##0_);_([$$-409]* \(#,##0\);_([$$-409]* &quot;-&quot;??_);_(@_)"/>
    <numFmt numFmtId="172" formatCode="0_);\(0\)"/>
    <numFmt numFmtId="173" formatCode="&quot;$&quot;#,##0.00000"/>
    <numFmt numFmtId="174" formatCode="_(* #,##0.00000_);_(* \(#,##0.00000\);_(* &quot;-&quot;??_);_(@_)"/>
    <numFmt numFmtId="175" formatCode="_(&quot;$&quot;* #,##0.00000_);_(&quot;$&quot;* \(#,##0.00000\);_(&quot;$&quot;* &quot;-&quot;??_);_(@_)"/>
    <numFmt numFmtId="176" formatCode="#,##0.00000_);\(#,##0.00000\)"/>
    <numFmt numFmtId="177" formatCode="_(&quot;$&quot;* #,##0.0_);_(&quot;$&quot;* \(#,##0.0\);_(&quot;$&quot;* &quot;-&quot;??_);_(@_)"/>
    <numFmt numFmtId="178" formatCode="_(&quot;$&quot;* #,##0.0_);_(&quot;$&quot;* \(#,##0.0\);_(&quot;$&quot;* &quot;-&quot;?_);_(@_)"/>
  </numFmts>
  <fonts count="60"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2"/>
      <name val="Arial"/>
      <family val="2"/>
    </font>
    <font>
      <sz val="10"/>
      <name val="Arial"/>
      <family val="2"/>
    </font>
    <font>
      <sz val="11"/>
      <name val="Calibri"/>
      <family val="2"/>
      <scheme val="minor"/>
    </font>
    <font>
      <b/>
      <sz val="14"/>
      <name val="Calibri"/>
      <family val="2"/>
      <scheme val="minor"/>
    </font>
    <font>
      <b/>
      <u/>
      <sz val="14"/>
      <name val="Calibri"/>
      <family val="2"/>
      <scheme val="minor"/>
    </font>
    <font>
      <u/>
      <sz val="11"/>
      <name val="Calibri"/>
      <family val="2"/>
      <scheme val="minor"/>
    </font>
    <font>
      <b/>
      <sz val="11"/>
      <name val="Calibri"/>
      <family val="2"/>
      <scheme val="minor"/>
    </font>
    <font>
      <sz val="11"/>
      <color rgb="FF000000"/>
      <name val="Calibri"/>
      <family val="2"/>
      <scheme val="minor"/>
    </font>
    <font>
      <b/>
      <u/>
      <sz val="11"/>
      <name val="Calibri"/>
      <family val="2"/>
      <scheme val="minor"/>
    </font>
    <font>
      <sz val="11"/>
      <color rgb="FFFF0000"/>
      <name val="Calibri"/>
      <family val="2"/>
      <scheme val="minor"/>
    </font>
    <font>
      <u val="singleAccounting"/>
      <sz val="11"/>
      <name val="Calibri"/>
      <family val="2"/>
      <scheme val="minor"/>
    </font>
    <font>
      <b/>
      <u val="singleAccounting"/>
      <sz val="11"/>
      <name val="Calibri"/>
      <family val="2"/>
      <scheme val="minor"/>
    </font>
    <font>
      <b/>
      <u/>
      <sz val="12"/>
      <name val="Calibri"/>
      <family val="2"/>
      <scheme val="minor"/>
    </font>
    <font>
      <sz val="12"/>
      <name val="Calibri"/>
      <family val="2"/>
      <scheme val="minor"/>
    </font>
    <font>
      <b/>
      <sz val="12"/>
      <name val="Calibri"/>
      <family val="2"/>
      <scheme val="minor"/>
    </font>
    <font>
      <sz val="14"/>
      <name val="Calibri"/>
      <family val="2"/>
      <scheme val="minor"/>
    </font>
    <font>
      <sz val="8"/>
      <color rgb="FFFF0000"/>
      <name val="Calibri"/>
      <family val="2"/>
      <scheme val="minor"/>
    </font>
    <font>
      <b/>
      <sz val="11"/>
      <color rgb="FFFF0000"/>
      <name val="Calibri"/>
      <family val="2"/>
      <scheme val="minor"/>
    </font>
    <font>
      <sz val="10"/>
      <name val="Calibri"/>
      <family val="2"/>
      <scheme val="minor"/>
    </font>
    <font>
      <b/>
      <sz val="11"/>
      <color rgb="FF000000"/>
      <name val="Calibri"/>
      <family val="2"/>
      <scheme val="minor"/>
    </font>
    <font>
      <b/>
      <sz val="12"/>
      <name val="Arial"/>
      <family val="2"/>
    </font>
    <font>
      <b/>
      <sz val="14"/>
      <color rgb="FFFF0000"/>
      <name val="Calibri"/>
      <family val="2"/>
      <scheme val="minor"/>
    </font>
    <font>
      <b/>
      <sz val="11"/>
      <color theme="1"/>
      <name val="Calibri"/>
      <family val="2"/>
      <scheme val="minor"/>
    </font>
    <font>
      <b/>
      <u/>
      <sz val="11"/>
      <color theme="1"/>
      <name val="Calibri"/>
      <family val="2"/>
      <scheme val="minor"/>
    </font>
    <font>
      <b/>
      <sz val="9"/>
      <color indexed="81"/>
      <name val="Tahoma"/>
      <family val="2"/>
    </font>
    <font>
      <sz val="9"/>
      <color indexed="81"/>
      <name val="Tahoma"/>
      <family val="2"/>
    </font>
    <font>
      <u val="singleAccounting"/>
      <sz val="11"/>
      <color rgb="FF000000"/>
      <name val="Calibri"/>
      <family val="2"/>
      <scheme val="minor"/>
    </font>
    <font>
      <u val="doubleAccounting"/>
      <sz val="11"/>
      <color rgb="FF000000"/>
      <name val="Calibri"/>
      <family val="2"/>
      <scheme val="minor"/>
    </font>
    <font>
      <b/>
      <u val="singleAccounting"/>
      <sz val="12"/>
      <name val="Calibri"/>
      <family val="2"/>
      <scheme val="minor"/>
    </font>
    <font>
      <u val="singleAccounting"/>
      <sz val="10"/>
      <name val="Calibri"/>
      <family val="2"/>
      <scheme val="minor"/>
    </font>
    <font>
      <sz val="11"/>
      <name val="Cambria"/>
      <family val="1"/>
      <scheme val="major"/>
    </font>
    <font>
      <b/>
      <u/>
      <sz val="11"/>
      <name val="Cambria"/>
      <family val="1"/>
      <scheme val="major"/>
    </font>
    <font>
      <u val="singleAccounting"/>
      <sz val="11"/>
      <name val="Cambria"/>
      <family val="1"/>
      <scheme val="major"/>
    </font>
    <font>
      <sz val="11"/>
      <name val="Calibri"/>
      <family val="2"/>
    </font>
    <font>
      <b/>
      <sz val="11"/>
      <name val="Calibri"/>
      <family val="2"/>
    </font>
    <font>
      <b/>
      <u/>
      <sz val="10"/>
      <name val="Arial"/>
      <family val="2"/>
    </font>
    <font>
      <sz val="11"/>
      <color rgb="FF59B589"/>
      <name val="Calibri"/>
      <family val="2"/>
      <scheme val="minor"/>
    </font>
    <font>
      <sz val="9"/>
      <color rgb="FFFF0000"/>
      <name val="Calibri"/>
      <family val="2"/>
      <scheme val="minor"/>
    </font>
    <font>
      <b/>
      <i/>
      <u/>
      <sz val="11"/>
      <color rgb="FF59B589"/>
      <name val="Calibri"/>
      <family val="2"/>
      <scheme val="minor"/>
    </font>
    <font>
      <u/>
      <sz val="11"/>
      <color theme="1"/>
      <name val="Calibri"/>
      <family val="2"/>
      <scheme val="minor"/>
    </font>
    <font>
      <u/>
      <sz val="12"/>
      <name val="Arial"/>
      <family val="2"/>
    </font>
    <font>
      <u val="singleAccounting"/>
      <sz val="12"/>
      <name val="Arial"/>
      <family val="2"/>
    </font>
    <font>
      <b/>
      <sz val="12"/>
      <color rgb="FF00B050"/>
      <name val="Calibri"/>
      <family val="2"/>
      <scheme val="minor"/>
    </font>
    <font>
      <sz val="8"/>
      <name val="Arial"/>
      <family val="2"/>
    </font>
    <font>
      <sz val="11"/>
      <name val="Arial"/>
      <family val="2"/>
    </font>
    <font>
      <sz val="11"/>
      <color rgb="FF000000"/>
      <name val="Calibri"/>
      <family val="2"/>
    </font>
    <font>
      <b/>
      <u/>
      <sz val="12"/>
      <name val="Arial"/>
      <family val="2"/>
    </font>
    <font>
      <b/>
      <i/>
      <u/>
      <sz val="12"/>
      <color rgb="FF00B050"/>
      <name val="Arial"/>
      <family val="2"/>
    </font>
    <font>
      <sz val="12"/>
      <color rgb="FFFF0000"/>
      <name val="Arial"/>
      <family val="2"/>
    </font>
    <font>
      <b/>
      <u/>
      <sz val="12"/>
      <color theme="1"/>
      <name val="Arial"/>
      <family val="2"/>
    </font>
    <font>
      <b/>
      <sz val="12"/>
      <color theme="1"/>
      <name val="Arial"/>
      <family val="2"/>
    </font>
    <font>
      <b/>
      <sz val="14"/>
      <name val="Arial"/>
      <family val="2"/>
    </font>
    <font>
      <sz val="14"/>
      <name val="Arial"/>
      <family val="2"/>
    </font>
    <font>
      <b/>
      <u/>
      <sz val="11"/>
      <name val="Calibri"/>
      <family val="2"/>
    </font>
    <font>
      <u/>
      <sz val="12"/>
      <name val="Calibri"/>
      <family val="2"/>
      <scheme val="minor"/>
    </font>
  </fonts>
  <fills count="9">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A62A8B"/>
        <bgColor indexed="64"/>
      </patternFill>
    </fill>
    <fill>
      <patternFill patternType="solid">
        <fgColor rgb="FFFFC000"/>
        <bgColor indexed="64"/>
      </patternFill>
    </fill>
    <fill>
      <patternFill patternType="solid">
        <fgColor theme="6" tint="0.59999389629810485"/>
        <bgColor indexed="64"/>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853">
    <xf numFmtId="0" fontId="0" fillId="0" borderId="0" xfId="0"/>
    <xf numFmtId="0" fontId="7" fillId="0" borderId="0" xfId="0" applyFont="1"/>
    <xf numFmtId="165" fontId="7" fillId="0" borderId="0" xfId="0" applyNumberFormat="1" applyFont="1"/>
    <xf numFmtId="0" fontId="7" fillId="0" borderId="0" xfId="0" applyFont="1" applyAlignment="1">
      <alignment horizontal="centerContinuous"/>
    </xf>
    <xf numFmtId="165" fontId="7" fillId="0" borderId="0" xfId="1" applyNumberFormat="1" applyFont="1" applyBorder="1" applyAlignment="1"/>
    <xf numFmtId="3" fontId="7" fillId="0" borderId="0" xfId="0" applyNumberFormat="1" applyFont="1"/>
    <xf numFmtId="0" fontId="0" fillId="0" borderId="3" xfId="0" applyBorder="1"/>
    <xf numFmtId="0" fontId="0" fillId="0" borderId="2" xfId="0" applyBorder="1"/>
    <xf numFmtId="0" fontId="0" fillId="0" borderId="4" xfId="0" applyBorder="1"/>
    <xf numFmtId="0" fontId="0" fillId="0" borderId="8" xfId="0" applyBorder="1"/>
    <xf numFmtId="0" fontId="0" fillId="0" borderId="6" xfId="0" applyBorder="1"/>
    <xf numFmtId="165" fontId="7" fillId="0" borderId="1" xfId="1" applyNumberFormat="1" applyFont="1" applyBorder="1"/>
    <xf numFmtId="165" fontId="7" fillId="0" borderId="0" xfId="1" applyNumberFormat="1" applyFont="1" applyBorder="1"/>
    <xf numFmtId="165" fontId="7" fillId="0" borderId="0" xfId="1" applyNumberFormat="1" applyFont="1"/>
    <xf numFmtId="165" fontId="10" fillId="0" borderId="0" xfId="1" applyNumberFormat="1" applyFont="1" applyBorder="1" applyAlignment="1">
      <alignment horizontal="center"/>
    </xf>
    <xf numFmtId="165" fontId="7" fillId="0" borderId="2" xfId="1" applyNumberFormat="1" applyFont="1" applyBorder="1"/>
    <xf numFmtId="165" fontId="7" fillId="0" borderId="7" xfId="1" applyNumberFormat="1" applyFont="1" applyBorder="1"/>
    <xf numFmtId="165" fontId="7" fillId="0" borderId="8" xfId="1" applyNumberFormat="1" applyFont="1" applyBorder="1"/>
    <xf numFmtId="165" fontId="15" fillId="0" borderId="0" xfId="1" applyNumberFormat="1" applyFont="1" applyBorder="1"/>
    <xf numFmtId="165" fontId="7" fillId="0" borderId="5" xfId="1" applyNumberFormat="1" applyFont="1" applyBorder="1"/>
    <xf numFmtId="165" fontId="7" fillId="0" borderId="6" xfId="1" applyNumberFormat="1" applyFont="1" applyBorder="1"/>
    <xf numFmtId="43" fontId="7" fillId="0" borderId="0" xfId="1" applyFont="1"/>
    <xf numFmtId="165" fontId="7" fillId="0" borderId="0" xfId="1" applyNumberFormat="1" applyFont="1" applyBorder="1" applyAlignment="1">
      <alignment horizontal="center"/>
    </xf>
    <xf numFmtId="165" fontId="7" fillId="0" borderId="8" xfId="1" applyNumberFormat="1" applyFont="1" applyBorder="1" applyAlignment="1">
      <alignment horizontal="center"/>
    </xf>
    <xf numFmtId="165" fontId="15" fillId="0" borderId="0" xfId="1" applyNumberFormat="1" applyFont="1" applyBorder="1" applyAlignment="1">
      <alignment horizontal="center"/>
    </xf>
    <xf numFmtId="43" fontId="7" fillId="0" borderId="0" xfId="1" applyFont="1" applyBorder="1"/>
    <xf numFmtId="43" fontId="7" fillId="0" borderId="8" xfId="1" applyFont="1" applyBorder="1"/>
    <xf numFmtId="0" fontId="18" fillId="0" borderId="0" xfId="0" applyFont="1"/>
    <xf numFmtId="43" fontId="7" fillId="0" borderId="0" xfId="5" applyFont="1"/>
    <xf numFmtId="165" fontId="7" fillId="0" borderId="0" xfId="5" applyNumberFormat="1" applyFont="1"/>
    <xf numFmtId="44" fontId="7" fillId="0" borderId="0" xfId="6" applyFont="1"/>
    <xf numFmtId="3" fontId="7" fillId="0" borderId="0" xfId="0" applyNumberFormat="1" applyFont="1" applyAlignment="1">
      <alignment horizontal="right"/>
    </xf>
    <xf numFmtId="165" fontId="7" fillId="0" borderId="0" xfId="5" applyNumberFormat="1" applyFont="1" applyAlignment="1">
      <alignment vertical="center"/>
    </xf>
    <xf numFmtId="0" fontId="10" fillId="0" borderId="0" xfId="0" applyFont="1" applyAlignment="1">
      <alignment horizontal="center"/>
    </xf>
    <xf numFmtId="165" fontId="7" fillId="0" borderId="0" xfId="1" applyNumberFormat="1" applyFont="1" applyAlignment="1">
      <alignment horizontal="center"/>
    </xf>
    <xf numFmtId="44" fontId="7" fillId="0" borderId="0" xfId="2" applyFont="1"/>
    <xf numFmtId="3" fontId="18" fillId="0" borderId="0" xfId="0" applyNumberFormat="1" applyFont="1" applyAlignment="1">
      <alignment vertical="center"/>
    </xf>
    <xf numFmtId="3" fontId="7" fillId="0" borderId="0" xfId="0" applyNumberFormat="1" applyFont="1" applyAlignment="1">
      <alignment vertical="center"/>
    </xf>
    <xf numFmtId="3" fontId="18" fillId="0" borderId="0" xfId="0" applyNumberFormat="1" applyFont="1"/>
    <xf numFmtId="165" fontId="7" fillId="0" borderId="3" xfId="5" applyNumberFormat="1" applyFont="1" applyBorder="1"/>
    <xf numFmtId="165" fontId="7" fillId="0" borderId="2" xfId="5" applyNumberFormat="1" applyFont="1" applyBorder="1"/>
    <xf numFmtId="165" fontId="7" fillId="0" borderId="4" xfId="5" applyNumberFormat="1" applyFont="1" applyBorder="1"/>
    <xf numFmtId="165" fontId="7" fillId="0" borderId="6" xfId="5" applyNumberFormat="1" applyFont="1" applyBorder="1"/>
    <xf numFmtId="165" fontId="11" fillId="0" borderId="0" xfId="5" applyNumberFormat="1" applyFont="1" applyAlignment="1">
      <alignment horizontal="right"/>
    </xf>
    <xf numFmtId="165" fontId="7" fillId="0" borderId="7" xfId="5" applyNumberFormat="1" applyFont="1" applyBorder="1"/>
    <xf numFmtId="165" fontId="11" fillId="0" borderId="0" xfId="5" applyNumberFormat="1" applyFont="1"/>
    <xf numFmtId="164" fontId="7" fillId="0" borderId="0" xfId="6" applyNumberFormat="1" applyFont="1"/>
    <xf numFmtId="0" fontId="7" fillId="0" borderId="0" xfId="0" applyFont="1" applyAlignment="1">
      <alignment horizontal="center"/>
    </xf>
    <xf numFmtId="0" fontId="7" fillId="0" borderId="1" xfId="0" applyFont="1" applyBorder="1" applyAlignment="1">
      <alignment horizontal="center"/>
    </xf>
    <xf numFmtId="0" fontId="7" fillId="0" borderId="0" xfId="0" applyFont="1" applyAlignment="1">
      <alignment horizontal="right"/>
    </xf>
    <xf numFmtId="37" fontId="7" fillId="0" borderId="0" xfId="0" applyNumberFormat="1" applyFont="1"/>
    <xf numFmtId="37" fontId="7" fillId="0" borderId="1" xfId="0" applyNumberFormat="1" applyFont="1" applyBorder="1"/>
    <xf numFmtId="165" fontId="7" fillId="0" borderId="1" xfId="5" applyNumberFormat="1" applyFont="1" applyBorder="1"/>
    <xf numFmtId="0" fontId="11" fillId="0" borderId="0" xfId="0" applyFont="1" applyAlignment="1">
      <alignment horizontal="left"/>
    </xf>
    <xf numFmtId="0" fontId="7" fillId="0" borderId="1" xfId="0" applyFont="1" applyBorder="1"/>
    <xf numFmtId="43" fontId="7" fillId="0" borderId="1" xfId="5" applyFont="1" applyBorder="1"/>
    <xf numFmtId="165" fontId="7" fillId="0" borderId="0" xfId="5" applyNumberFormat="1" applyFont="1" applyBorder="1"/>
    <xf numFmtId="0" fontId="22" fillId="0" borderId="0" xfId="0" applyFont="1" applyAlignment="1">
      <alignment horizontal="centerContinuous"/>
    </xf>
    <xf numFmtId="165" fontId="11" fillId="0" borderId="0" xfId="5" applyNumberFormat="1" applyFont="1" applyBorder="1" applyAlignment="1">
      <alignment horizontal="center"/>
    </xf>
    <xf numFmtId="165" fontId="13" fillId="0" borderId="7" xfId="5" applyNumberFormat="1" applyFont="1" applyBorder="1" applyAlignment="1">
      <alignment horizontal="center"/>
    </xf>
    <xf numFmtId="168" fontId="13" fillId="0" borderId="0" xfId="5" applyNumberFormat="1" applyFont="1" applyBorder="1" applyAlignment="1">
      <alignment horizontal="center"/>
    </xf>
    <xf numFmtId="43" fontId="7" fillId="0" borderId="0" xfId="0" applyNumberFormat="1" applyFont="1"/>
    <xf numFmtId="165" fontId="15" fillId="0" borderId="0" xfId="1" applyNumberFormat="1" applyFont="1" applyAlignment="1">
      <alignment horizontal="center"/>
    </xf>
    <xf numFmtId="43" fontId="7" fillId="0" borderId="0" xfId="1" applyFont="1" applyAlignment="1"/>
    <xf numFmtId="165" fontId="18" fillId="0" borderId="0" xfId="0" applyNumberFormat="1" applyFont="1"/>
    <xf numFmtId="0" fontId="7" fillId="0" borderId="3" xfId="0" applyFont="1" applyBorder="1"/>
    <xf numFmtId="0" fontId="7" fillId="0" borderId="2" xfId="0" applyFont="1" applyBorder="1"/>
    <xf numFmtId="0" fontId="7" fillId="0" borderId="4" xfId="0" applyFont="1" applyBorder="1"/>
    <xf numFmtId="0" fontId="7" fillId="0" borderId="7" xfId="0" applyFont="1" applyBorder="1"/>
    <xf numFmtId="3" fontId="7" fillId="0" borderId="0" xfId="0" applyNumberFormat="1" applyFont="1" applyAlignment="1">
      <alignment horizontal="center"/>
    </xf>
    <xf numFmtId="0" fontId="10" fillId="0" borderId="8" xfId="0" applyFont="1" applyBorder="1" applyAlignment="1">
      <alignment horizontal="center"/>
    </xf>
    <xf numFmtId="44" fontId="7" fillId="0" borderId="0" xfId="6" applyFont="1" applyBorder="1"/>
    <xf numFmtId="0" fontId="7" fillId="0" borderId="5" xfId="0" applyFont="1" applyBorder="1"/>
    <xf numFmtId="167" fontId="7" fillId="0" borderId="0" xfId="3" applyNumberFormat="1" applyFont="1"/>
    <xf numFmtId="165" fontId="15" fillId="0" borderId="0" xfId="5" applyNumberFormat="1" applyFont="1"/>
    <xf numFmtId="165" fontId="7" fillId="0" borderId="0" xfId="5" applyNumberFormat="1" applyFont="1" applyBorder="1" applyAlignment="1"/>
    <xf numFmtId="43" fontId="7" fillId="0" borderId="0" xfId="5" applyFont="1" applyBorder="1" applyAlignment="1"/>
    <xf numFmtId="43" fontId="7" fillId="0" borderId="0" xfId="5" applyFont="1" applyBorder="1"/>
    <xf numFmtId="0" fontId="7" fillId="0" borderId="8" xfId="0" applyFont="1" applyBorder="1"/>
    <xf numFmtId="10" fontId="7" fillId="0" borderId="0" xfId="0" applyNumberFormat="1" applyFont="1" applyAlignment="1">
      <alignment vertical="center"/>
    </xf>
    <xf numFmtId="0" fontId="7" fillId="0" borderId="6" xfId="0" applyFont="1" applyBorder="1"/>
    <xf numFmtId="165" fontId="7" fillId="0" borderId="0" xfId="5" applyNumberFormat="1" applyFont="1" applyBorder="1" applyAlignment="1">
      <alignment vertical="center"/>
    </xf>
    <xf numFmtId="165" fontId="13" fillId="0" borderId="0" xfId="5" applyNumberFormat="1" applyFont="1" applyBorder="1" applyAlignment="1">
      <alignment horizontal="center"/>
    </xf>
    <xf numFmtId="165" fontId="7" fillId="0" borderId="0" xfId="5" applyNumberFormat="1" applyFont="1" applyAlignment="1">
      <alignment horizontal="right"/>
    </xf>
    <xf numFmtId="164" fontId="7" fillId="0" borderId="0" xfId="6" applyNumberFormat="1" applyFont="1" applyBorder="1"/>
    <xf numFmtId="164" fontId="11" fillId="0" borderId="0" xfId="6" applyNumberFormat="1" applyFont="1" applyBorder="1"/>
    <xf numFmtId="10" fontId="7" fillId="0" borderId="0" xfId="0" applyNumberFormat="1" applyFont="1"/>
    <xf numFmtId="165" fontId="15" fillId="0" borderId="8" xfId="5" applyNumberFormat="1" applyFont="1" applyBorder="1" applyAlignment="1">
      <alignment horizontal="center"/>
    </xf>
    <xf numFmtId="165" fontId="15" fillId="0" borderId="7" xfId="5" applyNumberFormat="1" applyFont="1" applyBorder="1" applyAlignment="1">
      <alignment horizontal="center"/>
    </xf>
    <xf numFmtId="165" fontId="7" fillId="2" borderId="0" xfId="5" applyNumberFormat="1" applyFont="1" applyFill="1" applyBorder="1"/>
    <xf numFmtId="43" fontId="7" fillId="2" borderId="0" xfId="5" applyFont="1" applyFill="1" applyBorder="1"/>
    <xf numFmtId="165" fontId="7" fillId="0" borderId="5" xfId="5" applyNumberFormat="1" applyFont="1" applyBorder="1"/>
    <xf numFmtId="165" fontId="11" fillId="0" borderId="0" xfId="0" applyNumberFormat="1" applyFont="1"/>
    <xf numFmtId="165" fontId="7" fillId="0" borderId="0" xfId="5" quotePrefix="1" applyNumberFormat="1" applyFont="1"/>
    <xf numFmtId="165" fontId="9" fillId="0" borderId="7" xfId="5" applyNumberFormat="1" applyFont="1" applyBorder="1" applyAlignment="1">
      <alignment horizontal="center"/>
    </xf>
    <xf numFmtId="165" fontId="9" fillId="0" borderId="0" xfId="5" applyNumberFormat="1" applyFont="1" applyBorder="1" applyAlignment="1">
      <alignment horizontal="center"/>
    </xf>
    <xf numFmtId="165" fontId="9" fillId="0" borderId="8" xfId="5" applyNumberFormat="1" applyFont="1" applyBorder="1" applyAlignment="1">
      <alignment horizontal="center"/>
    </xf>
    <xf numFmtId="9" fontId="7" fillId="0" borderId="0" xfId="7" applyFont="1" applyBorder="1"/>
    <xf numFmtId="165" fontId="15" fillId="0" borderId="0" xfId="5" applyNumberFormat="1" applyFont="1" applyBorder="1"/>
    <xf numFmtId="165" fontId="15" fillId="0" borderId="0" xfId="5" applyNumberFormat="1" applyFont="1" applyAlignment="1">
      <alignment vertical="center"/>
    </xf>
    <xf numFmtId="165" fontId="10" fillId="0" borderId="0" xfId="1" applyNumberFormat="1" applyFont="1" applyBorder="1"/>
    <xf numFmtId="165" fontId="7" fillId="0" borderId="0" xfId="0" applyNumberFormat="1" applyFont="1" applyAlignment="1">
      <alignment horizontal="right"/>
    </xf>
    <xf numFmtId="165" fontId="11" fillId="0" borderId="1" xfId="5" applyNumberFormat="1" applyFont="1" applyBorder="1" applyAlignment="1">
      <alignment vertical="center"/>
    </xf>
    <xf numFmtId="0" fontId="7" fillId="0" borderId="0" xfId="0" quotePrefix="1" applyFont="1" applyAlignment="1">
      <alignment horizontal="center"/>
    </xf>
    <xf numFmtId="44" fontId="7" fillId="0" borderId="0" xfId="0" applyNumberFormat="1" applyFont="1"/>
    <xf numFmtId="164" fontId="7" fillId="0" borderId="0" xfId="0" applyNumberFormat="1" applyFont="1"/>
    <xf numFmtId="171" fontId="7" fillId="0" borderId="0" xfId="0" applyNumberFormat="1" applyFont="1"/>
    <xf numFmtId="0" fontId="10" fillId="0" borderId="0" xfId="0" applyFont="1"/>
    <xf numFmtId="0" fontId="28" fillId="0" borderId="0" xfId="0" applyFont="1" applyAlignment="1">
      <alignment horizontal="center"/>
    </xf>
    <xf numFmtId="0" fontId="27" fillId="0" borderId="0" xfId="0" applyFont="1"/>
    <xf numFmtId="43" fontId="15" fillId="0" borderId="0" xfId="5" applyFont="1" applyAlignment="1">
      <alignment horizontal="center"/>
    </xf>
    <xf numFmtId="10" fontId="7" fillId="0" borderId="1" xfId="0" applyNumberFormat="1" applyFont="1" applyBorder="1"/>
    <xf numFmtId="165" fontId="12" fillId="0" borderId="0" xfId="5" applyNumberFormat="1" applyFont="1" applyBorder="1" applyAlignment="1">
      <alignment horizontal="left" vertical="top"/>
    </xf>
    <xf numFmtId="170" fontId="12" fillId="0" borderId="0" xfId="5" applyNumberFormat="1" applyFont="1" applyBorder="1" applyAlignment="1">
      <alignment horizontal="center" vertical="top"/>
    </xf>
    <xf numFmtId="168" fontId="12" fillId="0" borderId="0" xfId="5" applyNumberFormat="1" applyFont="1" applyBorder="1" applyAlignment="1">
      <alignment horizontal="left" vertical="top"/>
    </xf>
    <xf numFmtId="165" fontId="12" fillId="0" borderId="7" xfId="5" applyNumberFormat="1" applyFont="1" applyBorder="1" applyAlignment="1">
      <alignment vertical="top"/>
    </xf>
    <xf numFmtId="165" fontId="31" fillId="0" borderId="0" xfId="5" applyNumberFormat="1" applyFont="1" applyBorder="1" applyAlignment="1">
      <alignment horizontal="left" vertical="top"/>
    </xf>
    <xf numFmtId="165" fontId="24" fillId="0" borderId="0" xfId="5" applyNumberFormat="1" applyFont="1" applyBorder="1" applyAlignment="1">
      <alignment horizontal="left" vertical="top"/>
    </xf>
    <xf numFmtId="165" fontId="12" fillId="0" borderId="5" xfId="5" applyNumberFormat="1" applyFont="1" applyBorder="1" applyAlignment="1">
      <alignment vertical="top"/>
    </xf>
    <xf numFmtId="165" fontId="12" fillId="0" borderId="1" xfId="5" applyNumberFormat="1" applyFont="1" applyBorder="1" applyAlignment="1">
      <alignment horizontal="left" vertical="top"/>
    </xf>
    <xf numFmtId="170" fontId="12" fillId="0" borderId="1" xfId="5" applyNumberFormat="1" applyFont="1" applyBorder="1" applyAlignment="1">
      <alignment horizontal="center" vertical="top"/>
    </xf>
    <xf numFmtId="168" fontId="12" fillId="0" borderId="1" xfId="5" applyNumberFormat="1" applyFont="1" applyBorder="1" applyAlignment="1">
      <alignment horizontal="left" vertical="top"/>
    </xf>
    <xf numFmtId="3" fontId="8" fillId="0" borderId="0" xfId="0" applyNumberFormat="1" applyFont="1" applyAlignment="1">
      <alignment horizontal="center" vertical="center"/>
    </xf>
    <xf numFmtId="165" fontId="16" fillId="0" borderId="7" xfId="5" applyNumberFormat="1" applyFont="1" applyBorder="1" applyAlignment="1">
      <alignment horizontal="center"/>
    </xf>
    <xf numFmtId="165" fontId="16" fillId="0" borderId="0" xfId="5" applyNumberFormat="1" applyFont="1" applyBorder="1" applyAlignment="1">
      <alignment horizontal="center"/>
    </xf>
    <xf numFmtId="0" fontId="8" fillId="0" borderId="0" xfId="0" applyFont="1" applyAlignment="1">
      <alignment horizontal="center"/>
    </xf>
    <xf numFmtId="165" fontId="23" fillId="0" borderId="0" xfId="1" applyNumberFormat="1" applyFont="1"/>
    <xf numFmtId="43" fontId="23" fillId="0" borderId="0" xfId="1" applyFont="1"/>
    <xf numFmtId="43" fontId="34" fillId="0" borderId="0" xfId="1" applyFont="1"/>
    <xf numFmtId="170" fontId="12" fillId="0" borderId="0" xfId="5" quotePrefix="1" applyNumberFormat="1" applyFont="1" applyBorder="1" applyAlignment="1">
      <alignment horizontal="center" vertical="top"/>
    </xf>
    <xf numFmtId="168" fontId="15" fillId="0" borderId="0" xfId="5" applyNumberFormat="1" applyFont="1" applyBorder="1"/>
    <xf numFmtId="168" fontId="16" fillId="0" borderId="0" xfId="5" applyNumberFormat="1" applyFont="1" applyBorder="1" applyAlignment="1">
      <alignment horizontal="centerContinuous"/>
    </xf>
    <xf numFmtId="165" fontId="16" fillId="0" borderId="0" xfId="5" applyNumberFormat="1" applyFont="1" applyBorder="1" applyAlignment="1">
      <alignment horizontal="centerContinuous"/>
    </xf>
    <xf numFmtId="168" fontId="16" fillId="0" borderId="0" xfId="5" applyNumberFormat="1" applyFont="1" applyBorder="1" applyAlignment="1">
      <alignment horizontal="center"/>
    </xf>
    <xf numFmtId="3" fontId="35" fillId="0" borderId="0" xfId="0" applyNumberFormat="1" applyFont="1" applyAlignment="1">
      <alignment horizontal="center"/>
    </xf>
    <xf numFmtId="0" fontId="35" fillId="0" borderId="0" xfId="0" applyFont="1" applyAlignment="1">
      <alignment horizontal="center"/>
    </xf>
    <xf numFmtId="164" fontId="7" fillId="0" borderId="0" xfId="0" applyNumberFormat="1" applyFont="1" applyAlignment="1">
      <alignment vertical="center"/>
    </xf>
    <xf numFmtId="165" fontId="7" fillId="0" borderId="0" xfId="1" applyNumberFormat="1" applyFont="1" applyBorder="1" applyAlignment="1">
      <alignment vertical="center"/>
    </xf>
    <xf numFmtId="37" fontId="7" fillId="0" borderId="0" xfId="0" applyNumberFormat="1" applyFont="1" applyAlignment="1">
      <alignment vertical="center"/>
    </xf>
    <xf numFmtId="165" fontId="15" fillId="0" borderId="0" xfId="1" applyNumberFormat="1" applyFont="1" applyBorder="1" applyAlignment="1">
      <alignment vertical="center"/>
    </xf>
    <xf numFmtId="165" fontId="15" fillId="0" borderId="0" xfId="5" applyNumberFormat="1" applyFont="1" applyBorder="1" applyAlignment="1">
      <alignment vertical="center"/>
    </xf>
    <xf numFmtId="165" fontId="26" fillId="0" borderId="0" xfId="1" applyNumberFormat="1" applyFont="1" applyBorder="1"/>
    <xf numFmtId="3" fontId="11" fillId="0" borderId="0" xfId="0" applyNumberFormat="1" applyFont="1" applyAlignment="1">
      <alignment vertical="center"/>
    </xf>
    <xf numFmtId="165" fontId="9" fillId="0" borderId="5" xfId="5" applyNumberFormat="1" applyFont="1" applyBorder="1" applyAlignment="1">
      <alignment horizontal="center"/>
    </xf>
    <xf numFmtId="165" fontId="9" fillId="0" borderId="1" xfId="5" applyNumberFormat="1" applyFont="1" applyBorder="1" applyAlignment="1">
      <alignment horizontal="center"/>
    </xf>
    <xf numFmtId="165" fontId="9" fillId="0" borderId="6" xfId="5" applyNumberFormat="1" applyFont="1" applyBorder="1" applyAlignment="1">
      <alignment horizontal="center"/>
    </xf>
    <xf numFmtId="165" fontId="15" fillId="0" borderId="0" xfId="5" applyNumberFormat="1" applyFont="1" applyAlignment="1">
      <alignment horizontal="center"/>
    </xf>
    <xf numFmtId="165" fontId="7" fillId="0" borderId="0" xfId="5" applyNumberFormat="1" applyFont="1" applyFill="1"/>
    <xf numFmtId="165" fontId="15" fillId="0" borderId="0" xfId="5" applyNumberFormat="1" applyFont="1" applyFill="1"/>
    <xf numFmtId="165" fontId="0" fillId="0" borderId="0" xfId="0" applyNumberFormat="1"/>
    <xf numFmtId="165" fontId="11" fillId="0" borderId="0" xfId="5" applyNumberFormat="1" applyFont="1" applyBorder="1"/>
    <xf numFmtId="165" fontId="15" fillId="0" borderId="0" xfId="5" applyNumberFormat="1" applyFont="1" applyBorder="1" applyAlignment="1">
      <alignment horizontal="center"/>
    </xf>
    <xf numFmtId="165" fontId="7" fillId="0" borderId="8" xfId="5" applyNumberFormat="1" applyFont="1" applyBorder="1"/>
    <xf numFmtId="0" fontId="7" fillId="0" borderId="8" xfId="0" applyFont="1" applyBorder="1" applyAlignment="1">
      <alignment horizontal="center"/>
    </xf>
    <xf numFmtId="43" fontId="7" fillId="0" borderId="8" xfId="5" quotePrefix="1" applyFont="1" applyBorder="1" applyAlignment="1">
      <alignment horizontal="center"/>
    </xf>
    <xf numFmtId="43" fontId="7" fillId="2" borderId="8" xfId="5" quotePrefix="1" applyFont="1" applyFill="1" applyBorder="1" applyAlignment="1">
      <alignment horizontal="center"/>
    </xf>
    <xf numFmtId="44" fontId="7" fillId="0" borderId="0" xfId="6" applyFont="1" applyBorder="1" applyAlignment="1"/>
    <xf numFmtId="43" fontId="18" fillId="0" borderId="0" xfId="1" applyFont="1"/>
    <xf numFmtId="165" fontId="7" fillId="0" borderId="3" xfId="1" applyNumberFormat="1" applyFont="1" applyBorder="1" applyAlignment="1">
      <alignment horizontal="center"/>
    </xf>
    <xf numFmtId="165" fontId="7" fillId="0" borderId="4" xfId="1" applyNumberFormat="1" applyFont="1" applyBorder="1" applyAlignment="1">
      <alignment horizontal="center"/>
    </xf>
    <xf numFmtId="165" fontId="7" fillId="0" borderId="0" xfId="1" quotePrefix="1" applyNumberFormat="1" applyFont="1" applyAlignment="1">
      <alignment horizontal="center"/>
    </xf>
    <xf numFmtId="167" fontId="7" fillId="0" borderId="0" xfId="3" applyNumberFormat="1" applyFont="1" applyAlignment="1">
      <alignment vertical="center"/>
    </xf>
    <xf numFmtId="43" fontId="0" fillId="0" borderId="0" xfId="0" applyNumberFormat="1"/>
    <xf numFmtId="165" fontId="6" fillId="0" borderId="0" xfId="5" applyNumberFormat="1" applyFont="1" applyAlignment="1">
      <alignment horizontal="center"/>
    </xf>
    <xf numFmtId="165" fontId="7" fillId="3" borderId="0" xfId="5" applyNumberFormat="1" applyFont="1" applyFill="1"/>
    <xf numFmtId="165" fontId="42" fillId="0" borderId="0" xfId="5" applyNumberFormat="1" applyFont="1" applyAlignment="1">
      <alignment vertical="center"/>
    </xf>
    <xf numFmtId="165" fontId="11" fillId="0" borderId="0" xfId="5" applyNumberFormat="1" applyFont="1" applyAlignment="1">
      <alignment vertical="center"/>
    </xf>
    <xf numFmtId="0" fontId="0" fillId="3" borderId="0" xfId="0" applyFill="1"/>
    <xf numFmtId="43" fontId="7" fillId="0" borderId="0" xfId="1" applyFont="1" applyBorder="1" applyAlignment="1">
      <alignment vertical="center"/>
    </xf>
    <xf numFmtId="3" fontId="43" fillId="0" borderId="0" xfId="0" applyNumberFormat="1" applyFont="1"/>
    <xf numFmtId="0" fontId="0" fillId="0" borderId="1" xfId="0" applyBorder="1" applyAlignment="1">
      <alignment horizontal="center"/>
    </xf>
    <xf numFmtId="0" fontId="44" fillId="0" borderId="0" xfId="0" applyFont="1" applyAlignment="1">
      <alignment horizontal="center" wrapText="1"/>
    </xf>
    <xf numFmtId="0" fontId="44" fillId="0" borderId="0" xfId="0" applyFont="1" applyAlignment="1">
      <alignment horizontal="center"/>
    </xf>
    <xf numFmtId="0" fontId="0" fillId="0" borderId="0" xfId="0" applyAlignment="1">
      <alignment horizontal="center"/>
    </xf>
    <xf numFmtId="166" fontId="0" fillId="0" borderId="0" xfId="0" applyNumberFormat="1" applyAlignment="1">
      <alignment horizontal="center"/>
    </xf>
    <xf numFmtId="166" fontId="0" fillId="0" borderId="0" xfId="0" applyNumberFormat="1"/>
    <xf numFmtId="0" fontId="45" fillId="0" borderId="0" xfId="0" applyFont="1"/>
    <xf numFmtId="164" fontId="27" fillId="0" borderId="0" xfId="6" applyNumberFormat="1" applyFont="1" applyBorder="1"/>
    <xf numFmtId="0" fontId="4" fillId="0" borderId="0" xfId="0" applyFont="1" applyAlignment="1">
      <alignment horizontal="right"/>
    </xf>
    <xf numFmtId="44" fontId="0" fillId="0" borderId="0" xfId="0" applyNumberFormat="1"/>
    <xf numFmtId="43" fontId="0" fillId="0" borderId="0" xfId="1" applyFont="1"/>
    <xf numFmtId="43" fontId="45" fillId="0" borderId="0" xfId="1" applyFont="1"/>
    <xf numFmtId="44" fontId="0" fillId="0" borderId="0" xfId="2" applyFont="1"/>
    <xf numFmtId="44" fontId="46" fillId="0" borderId="0" xfId="2" applyFont="1"/>
    <xf numFmtId="165" fontId="7" fillId="3" borderId="0" xfId="1" applyNumberFormat="1" applyFont="1" applyFill="1" applyBorder="1"/>
    <xf numFmtId="37" fontId="7" fillId="0" borderId="0" xfId="0" applyNumberFormat="1" applyFont="1" applyAlignment="1">
      <alignment horizontal="center"/>
    </xf>
    <xf numFmtId="165" fontId="11" fillId="0" borderId="0" xfId="5" applyNumberFormat="1" applyFont="1" applyBorder="1" applyAlignment="1">
      <alignment vertical="center"/>
    </xf>
    <xf numFmtId="44" fontId="7" fillId="0" borderId="0" xfId="2" applyFont="1" applyBorder="1"/>
    <xf numFmtId="0" fontId="13" fillId="0" borderId="0" xfId="0" applyFont="1" applyAlignment="1">
      <alignment horizontal="left"/>
    </xf>
    <xf numFmtId="165" fontId="7" fillId="0" borderId="0" xfId="5" applyNumberFormat="1" applyFont="1" applyBorder="1" applyAlignment="1">
      <alignment horizontal="right"/>
    </xf>
    <xf numFmtId="3" fontId="0" fillId="0" borderId="0" xfId="0" applyNumberFormat="1"/>
    <xf numFmtId="0" fontId="7" fillId="3" borderId="0" xfId="0" applyFont="1" applyFill="1"/>
    <xf numFmtId="0" fontId="13" fillId="0" borderId="0" xfId="0" applyFont="1"/>
    <xf numFmtId="10" fontId="18" fillId="0" borderId="0" xfId="7" applyNumberFormat="1" applyFont="1" applyAlignment="1"/>
    <xf numFmtId="44" fontId="18" fillId="0" borderId="0" xfId="0" applyNumberFormat="1" applyFont="1"/>
    <xf numFmtId="174" fontId="7" fillId="0" borderId="0" xfId="5" applyNumberFormat="1" applyFont="1" applyBorder="1" applyAlignment="1"/>
    <xf numFmtId="43" fontId="18" fillId="0" borderId="0" xfId="5" applyFont="1" applyAlignment="1"/>
    <xf numFmtId="0" fontId="7" fillId="0" borderId="0" xfId="0" applyFont="1" applyAlignment="1">
      <alignment horizontal="left"/>
    </xf>
    <xf numFmtId="175" fontId="7" fillId="0" borderId="0" xfId="6" applyNumberFormat="1" applyFont="1" applyBorder="1" applyAlignment="1"/>
    <xf numFmtId="43" fontId="18" fillId="0" borderId="0" xfId="7" applyNumberFormat="1" applyFont="1" applyAlignment="1"/>
    <xf numFmtId="165" fontId="7" fillId="0" borderId="1" xfId="5" applyNumberFormat="1" applyFont="1" applyBorder="1" applyAlignment="1"/>
    <xf numFmtId="165" fontId="18" fillId="0" borderId="0" xfId="5" applyNumberFormat="1" applyFont="1" applyAlignment="1"/>
    <xf numFmtId="10" fontId="18" fillId="3" borderId="0" xfId="7" applyNumberFormat="1" applyFont="1" applyFill="1"/>
    <xf numFmtId="175" fontId="7" fillId="0" borderId="0" xfId="5" applyNumberFormat="1" applyFont="1" applyBorder="1" applyAlignment="1"/>
    <xf numFmtId="175" fontId="18" fillId="0" borderId="0" xfId="0" applyNumberFormat="1" applyFont="1"/>
    <xf numFmtId="44" fontId="7" fillId="0" borderId="0" xfId="5" applyNumberFormat="1" applyFont="1" applyBorder="1" applyAlignment="1"/>
    <xf numFmtId="165" fontId="11" fillId="0" borderId="0" xfId="5" applyNumberFormat="1" applyFont="1" applyAlignment="1">
      <alignment horizontal="center" vertical="center"/>
    </xf>
    <xf numFmtId="164" fontId="7" fillId="0" borderId="0" xfId="6" applyNumberFormat="1" applyFont="1" applyBorder="1" applyAlignment="1">
      <alignment horizontal="right"/>
    </xf>
    <xf numFmtId="165" fontId="8" fillId="0" borderId="7" xfId="5" applyNumberFormat="1" applyFont="1" applyBorder="1" applyAlignment="1">
      <alignment horizontal="centerContinuous"/>
    </xf>
    <xf numFmtId="165" fontId="11" fillId="0" borderId="0" xfId="5" applyNumberFormat="1" applyFont="1" applyAlignment="1">
      <alignment horizontal="centerContinuous"/>
    </xf>
    <xf numFmtId="165" fontId="9" fillId="0" borderId="7" xfId="5" applyNumberFormat="1" applyFont="1" applyBorder="1" applyAlignment="1">
      <alignment horizontal="centerContinuous"/>
    </xf>
    <xf numFmtId="165" fontId="13" fillId="0" borderId="0" xfId="5" applyNumberFormat="1" applyFont="1" applyAlignment="1">
      <alignment horizontal="centerContinuous"/>
    </xf>
    <xf numFmtId="3" fontId="19" fillId="0" borderId="7" xfId="0" applyNumberFormat="1" applyFont="1" applyBorder="1" applyAlignment="1">
      <alignment horizontal="centerContinuous" vertical="center"/>
    </xf>
    <xf numFmtId="165" fontId="18" fillId="0" borderId="7" xfId="5" applyNumberFormat="1" applyFont="1" applyBorder="1" applyAlignment="1">
      <alignment horizontal="centerContinuous"/>
    </xf>
    <xf numFmtId="165" fontId="7" fillId="0" borderId="0" xfId="5" applyNumberFormat="1" applyFont="1" applyAlignment="1">
      <alignment horizontal="centerContinuous"/>
    </xf>
    <xf numFmtId="165" fontId="7" fillId="0" borderId="7" xfId="5" applyNumberFormat="1" applyFont="1" applyBorder="1" applyAlignment="1">
      <alignment horizontal="centerContinuous"/>
    </xf>
    <xf numFmtId="165" fontId="7" fillId="0" borderId="10" xfId="5" applyNumberFormat="1" applyFont="1" applyBorder="1" applyAlignment="1">
      <alignment horizontal="left"/>
    </xf>
    <xf numFmtId="165" fontId="7" fillId="0" borderId="3" xfId="5" applyNumberFormat="1" applyFont="1" applyBorder="1" applyAlignment="1">
      <alignment horizontal="left"/>
    </xf>
    <xf numFmtId="165" fontId="7" fillId="0" borderId="2" xfId="5" applyNumberFormat="1" applyFont="1" applyBorder="1" applyAlignment="1">
      <alignment horizontal="left"/>
    </xf>
    <xf numFmtId="165" fontId="7" fillId="0" borderId="4" xfId="5" applyNumberFormat="1" applyFont="1" applyBorder="1" applyAlignment="1">
      <alignment horizontal="left"/>
    </xf>
    <xf numFmtId="165" fontId="7" fillId="0" borderId="11" xfId="5" applyNumberFormat="1" applyFont="1" applyBorder="1"/>
    <xf numFmtId="165" fontId="16" fillId="0" borderId="8" xfId="5" applyNumberFormat="1" applyFont="1" applyBorder="1" applyAlignment="1">
      <alignment horizontal="center" vertical="center"/>
    </xf>
    <xf numFmtId="165" fontId="16" fillId="0" borderId="0" xfId="5" applyNumberFormat="1" applyFont="1" applyAlignment="1">
      <alignment horizontal="center" vertical="center"/>
    </xf>
    <xf numFmtId="165" fontId="11" fillId="0" borderId="8" xfId="5" applyNumberFormat="1" applyFont="1" applyBorder="1" applyAlignment="1">
      <alignment horizontal="center" vertical="center"/>
    </xf>
    <xf numFmtId="165" fontId="16" fillId="0" borderId="0" xfId="5" applyNumberFormat="1" applyFont="1" applyBorder="1" applyAlignment="1">
      <alignment horizontal="center" vertical="center"/>
    </xf>
    <xf numFmtId="165" fontId="38" fillId="0" borderId="0" xfId="5" applyNumberFormat="1" applyFont="1" applyAlignment="1">
      <alignment horizontal="center" vertical="center"/>
    </xf>
    <xf numFmtId="165" fontId="38" fillId="0" borderId="8" xfId="5" applyNumberFormat="1" applyFont="1" applyBorder="1" applyAlignment="1">
      <alignment horizontal="center" vertical="center"/>
    </xf>
    <xf numFmtId="165" fontId="7" fillId="0" borderId="11" xfId="5" applyNumberFormat="1" applyFont="1" applyBorder="1" applyAlignment="1">
      <alignment horizontal="left"/>
    </xf>
    <xf numFmtId="165" fontId="38" fillId="0" borderId="7" xfId="5" applyNumberFormat="1" applyFont="1" applyBorder="1" applyAlignment="1">
      <alignment horizontal="center"/>
    </xf>
    <xf numFmtId="165" fontId="38" fillId="0" borderId="8" xfId="5" applyNumberFormat="1" applyFont="1" applyBorder="1" applyAlignment="1">
      <alignment horizontal="center"/>
    </xf>
    <xf numFmtId="165" fontId="38" fillId="0" borderId="0" xfId="5" applyNumberFormat="1" applyFont="1" applyAlignment="1">
      <alignment horizontal="center"/>
    </xf>
    <xf numFmtId="165" fontId="7" fillId="0" borderId="11" xfId="5" quotePrefix="1" applyNumberFormat="1" applyFont="1" applyBorder="1" applyAlignment="1">
      <alignment horizontal="center"/>
    </xf>
    <xf numFmtId="165" fontId="38" fillId="0" borderId="7" xfId="5" quotePrefix="1" applyNumberFormat="1" applyFont="1" applyBorder="1" applyAlignment="1">
      <alignment horizontal="left"/>
    </xf>
    <xf numFmtId="165" fontId="38" fillId="0" borderId="0" xfId="5" quotePrefix="1" applyNumberFormat="1" applyFont="1" applyAlignment="1">
      <alignment horizontal="left"/>
    </xf>
    <xf numFmtId="165" fontId="38" fillId="0" borderId="8" xfId="5" quotePrefix="1" applyNumberFormat="1" applyFont="1" applyBorder="1" applyAlignment="1">
      <alignment horizontal="left"/>
    </xf>
    <xf numFmtId="165" fontId="11" fillId="0" borderId="7" xfId="5" applyNumberFormat="1" applyFont="1" applyBorder="1" applyAlignment="1">
      <alignment horizontal="center"/>
    </xf>
    <xf numFmtId="165" fontId="39" fillId="0" borderId="7" xfId="5" quotePrefix="1" applyNumberFormat="1" applyFont="1" applyBorder="1" applyAlignment="1">
      <alignment horizontal="left"/>
    </xf>
    <xf numFmtId="165" fontId="11" fillId="0" borderId="12" xfId="5" applyNumberFormat="1" applyFont="1" applyBorder="1" applyAlignment="1">
      <alignment horizontal="right"/>
    </xf>
    <xf numFmtId="165" fontId="39" fillId="0" borderId="5" xfId="5" applyNumberFormat="1" applyFont="1" applyBorder="1" applyAlignment="1">
      <alignment horizontal="right"/>
    </xf>
    <xf numFmtId="165" fontId="39" fillId="0" borderId="1" xfId="5" applyNumberFormat="1" applyFont="1" applyBorder="1" applyAlignment="1">
      <alignment horizontal="right"/>
    </xf>
    <xf numFmtId="165" fontId="39" fillId="0" borderId="6" xfId="5" applyNumberFormat="1" applyFont="1" applyBorder="1" applyAlignment="1">
      <alignment horizontal="right"/>
    </xf>
    <xf numFmtId="165" fontId="39" fillId="0" borderId="8" xfId="5" applyNumberFormat="1" applyFont="1" applyBorder="1" applyAlignment="1">
      <alignment horizontal="right"/>
    </xf>
    <xf numFmtId="165" fontId="11" fillId="0" borderId="7" xfId="5" applyNumberFormat="1" applyFont="1" applyBorder="1" applyAlignment="1">
      <alignment horizontal="right"/>
    </xf>
    <xf numFmtId="165" fontId="11" fillId="0" borderId="2" xfId="5" applyNumberFormat="1" applyFont="1" applyBorder="1" applyAlignment="1">
      <alignment horizontal="right"/>
    </xf>
    <xf numFmtId="165" fontId="11" fillId="0" borderId="7" xfId="5" applyNumberFormat="1" applyFont="1" applyBorder="1"/>
    <xf numFmtId="164" fontId="11" fillId="0" borderId="0" xfId="6" applyNumberFormat="1" applyFont="1"/>
    <xf numFmtId="165" fontId="7" fillId="0" borderId="5" xfId="5" applyNumberFormat="1" applyFont="1" applyBorder="1" applyAlignment="1">
      <alignment horizontal="center"/>
    </xf>
    <xf numFmtId="165" fontId="7" fillId="0" borderId="1" xfId="5" applyNumberFormat="1" applyFont="1" applyBorder="1" applyAlignment="1">
      <alignment horizontal="center"/>
    </xf>
    <xf numFmtId="3" fontId="7" fillId="0" borderId="0" xfId="0" applyNumberFormat="1" applyFont="1" applyAlignment="1">
      <alignment horizontal="center" vertical="center"/>
    </xf>
    <xf numFmtId="0" fontId="6" fillId="0" borderId="0" xfId="0" applyFont="1" applyAlignment="1">
      <alignment horizontal="center"/>
    </xf>
    <xf numFmtId="3" fontId="23" fillId="0" borderId="0" xfId="0" applyNumberFormat="1" applyFont="1" applyAlignment="1">
      <alignment horizontal="center" vertical="center"/>
    </xf>
    <xf numFmtId="165" fontId="7" fillId="0" borderId="0" xfId="5" quotePrefix="1" applyNumberFormat="1" applyFont="1" applyAlignment="1">
      <alignment vertical="center"/>
    </xf>
    <xf numFmtId="164" fontId="7" fillId="0" borderId="0" xfId="6" applyNumberFormat="1" applyFont="1" applyAlignment="1">
      <alignment vertical="center"/>
    </xf>
    <xf numFmtId="3" fontId="18" fillId="4" borderId="0" xfId="0" applyNumberFormat="1" applyFont="1" applyFill="1"/>
    <xf numFmtId="3" fontId="47" fillId="4" borderId="0" xfId="0" applyNumberFormat="1" applyFont="1" applyFill="1"/>
    <xf numFmtId="164" fontId="7" fillId="4" borderId="0" xfId="6" applyNumberFormat="1" applyFont="1" applyFill="1" applyAlignment="1">
      <alignment vertical="center"/>
    </xf>
    <xf numFmtId="164" fontId="18" fillId="4" borderId="0" xfId="6" applyNumberFormat="1" applyFont="1" applyFill="1"/>
    <xf numFmtId="44" fontId="47" fillId="4" borderId="0" xfId="6" applyFont="1" applyFill="1" applyAlignment="1"/>
    <xf numFmtId="3" fontId="18" fillId="4" borderId="1" xfId="0" applyNumberFormat="1" applyFont="1" applyFill="1" applyBorder="1"/>
    <xf numFmtId="165" fontId="16" fillId="0" borderId="0" xfId="5" applyNumberFormat="1" applyFont="1" applyBorder="1" applyAlignment="1">
      <alignment horizontal="left" vertical="center"/>
    </xf>
    <xf numFmtId="0" fontId="44" fillId="5" borderId="0" xfId="0" applyFont="1" applyFill="1" applyAlignment="1">
      <alignment horizontal="center"/>
    </xf>
    <xf numFmtId="0" fontId="44" fillId="6" borderId="0" xfId="0" applyFont="1" applyFill="1" applyAlignment="1">
      <alignment horizontal="center"/>
    </xf>
    <xf numFmtId="0" fontId="44" fillId="3" borderId="0" xfId="0" applyFont="1" applyFill="1" applyAlignment="1">
      <alignment horizontal="center" wrapText="1"/>
    </xf>
    <xf numFmtId="0" fontId="44" fillId="7" borderId="0" xfId="0" applyFont="1" applyFill="1" applyAlignment="1">
      <alignment horizontal="center" wrapText="1"/>
    </xf>
    <xf numFmtId="0" fontId="0" fillId="0" borderId="0" xfId="0" applyAlignment="1">
      <alignment horizontal="center" wrapText="1"/>
    </xf>
    <xf numFmtId="43" fontId="7" fillId="0" borderId="0" xfId="5" applyFont="1" applyFill="1"/>
    <xf numFmtId="165" fontId="15" fillId="0" borderId="0" xfId="5" quotePrefix="1" applyNumberFormat="1" applyFont="1" applyFill="1" applyAlignment="1">
      <alignment horizontal="center"/>
    </xf>
    <xf numFmtId="165" fontId="7" fillId="0" borderId="0" xfId="5" quotePrefix="1" applyNumberFormat="1" applyFont="1" applyFill="1" applyAlignment="1">
      <alignment horizontal="right"/>
    </xf>
    <xf numFmtId="165" fontId="3" fillId="0" borderId="0" xfId="5" applyNumberFormat="1" applyFont="1" applyFill="1" applyAlignment="1">
      <alignment horizontal="right"/>
    </xf>
    <xf numFmtId="167" fontId="7" fillId="0" borderId="0" xfId="7" applyNumberFormat="1" applyFont="1" applyFill="1"/>
    <xf numFmtId="44" fontId="0" fillId="0" borderId="0" xfId="2" applyFont="1" applyAlignment="1">
      <alignment horizontal="center"/>
    </xf>
    <xf numFmtId="0" fontId="0" fillId="0" borderId="1" xfId="0" applyBorder="1"/>
    <xf numFmtId="166" fontId="0" fillId="0" borderId="1" xfId="0" applyNumberFormat="1" applyBorder="1" applyAlignment="1">
      <alignment horizontal="center"/>
    </xf>
    <xf numFmtId="0" fontId="4" fillId="0" borderId="0" xfId="0" applyFont="1"/>
    <xf numFmtId="176" fontId="7" fillId="0" borderId="0" xfId="0" applyNumberFormat="1" applyFont="1"/>
    <xf numFmtId="37" fontId="7" fillId="0" borderId="0" xfId="0" applyNumberFormat="1" applyFont="1" applyAlignment="1">
      <alignment horizontal="right"/>
    </xf>
    <xf numFmtId="37" fontId="0" fillId="0" borderId="0" xfId="0" applyNumberFormat="1" applyAlignment="1">
      <alignment horizontal="center"/>
    </xf>
    <xf numFmtId="0" fontId="4" fillId="3" borderId="0" xfId="0" applyFont="1" applyFill="1"/>
    <xf numFmtId="0" fontId="7" fillId="3" borderId="0" xfId="0" applyFont="1" applyFill="1" applyAlignment="1">
      <alignment horizontal="left"/>
    </xf>
    <xf numFmtId="37" fontId="7" fillId="3" borderId="0" xfId="0" applyNumberFormat="1" applyFont="1" applyFill="1"/>
    <xf numFmtId="174" fontId="7" fillId="0" borderId="0" xfId="1" applyNumberFormat="1" applyFont="1"/>
    <xf numFmtId="165" fontId="11" fillId="0" borderId="0" xfId="1" applyNumberFormat="1" applyFont="1" applyBorder="1" applyAlignment="1">
      <alignment horizontal="left" vertical="center"/>
    </xf>
    <xf numFmtId="165" fontId="7" fillId="0" borderId="0" xfId="1" applyNumberFormat="1" applyFont="1" applyAlignment="1"/>
    <xf numFmtId="165" fontId="7" fillId="0" borderId="0" xfId="1" applyNumberFormat="1" applyFont="1" applyBorder="1" applyAlignment="1">
      <alignment horizontal="left" vertical="center"/>
    </xf>
    <xf numFmtId="0" fontId="11" fillId="0" borderId="0" xfId="0" applyFont="1" applyAlignment="1">
      <alignment horizontal="center"/>
    </xf>
    <xf numFmtId="164" fontId="7" fillId="0" borderId="0" xfId="6" applyNumberFormat="1" applyFont="1" applyAlignment="1">
      <alignment horizontal="center"/>
    </xf>
    <xf numFmtId="165" fontId="7" fillId="0" borderId="0" xfId="5" applyNumberFormat="1" applyFont="1" applyAlignment="1">
      <alignment horizontal="center"/>
    </xf>
    <xf numFmtId="165" fontId="7" fillId="0" borderId="1" xfId="1" applyNumberFormat="1" applyFont="1" applyBorder="1" applyAlignment="1">
      <alignment horizontal="center"/>
    </xf>
    <xf numFmtId="165" fontId="7" fillId="0" borderId="0" xfId="1" applyNumberFormat="1" applyFont="1" applyAlignment="1">
      <alignment horizontal="left"/>
    </xf>
    <xf numFmtId="165" fontId="7" fillId="3" borderId="0" xfId="5" applyNumberFormat="1" applyFont="1" applyFill="1" applyAlignment="1">
      <alignment vertical="center"/>
    </xf>
    <xf numFmtId="165" fontId="7" fillId="0" borderId="0" xfId="5" applyNumberFormat="1" applyFont="1" applyBorder="1" applyAlignment="1">
      <alignment horizontal="right" vertical="center"/>
    </xf>
    <xf numFmtId="174" fontId="7" fillId="0" borderId="1" xfId="5" applyNumberFormat="1" applyFont="1" applyBorder="1"/>
    <xf numFmtId="43" fontId="7" fillId="0" borderId="1" xfId="1" applyFont="1" applyBorder="1"/>
    <xf numFmtId="165" fontId="7" fillId="0" borderId="1" xfId="1" quotePrefix="1" applyNumberFormat="1" applyFont="1" applyBorder="1" applyAlignment="1">
      <alignment horizontal="center"/>
    </xf>
    <xf numFmtId="165" fontId="10" fillId="0" borderId="0" xfId="1" applyNumberFormat="1" applyFont="1" applyAlignment="1"/>
    <xf numFmtId="165" fontId="10" fillId="0" borderId="0" xfId="1" applyNumberFormat="1" applyFont="1" applyAlignment="1">
      <alignment horizontal="center"/>
    </xf>
    <xf numFmtId="0" fontId="15" fillId="0" borderId="0" xfId="0" applyFont="1" applyAlignment="1">
      <alignment horizontal="center"/>
    </xf>
    <xf numFmtId="174" fontId="7" fillId="0" borderId="1" xfId="1" applyNumberFormat="1" applyFont="1" applyBorder="1"/>
    <xf numFmtId="165" fontId="7" fillId="0" borderId="0" xfId="1" applyNumberFormat="1" applyFont="1" applyFill="1" applyBorder="1" applyAlignment="1">
      <alignment vertical="center"/>
    </xf>
    <xf numFmtId="165" fontId="0" fillId="0" borderId="0" xfId="1" applyNumberFormat="1" applyFont="1"/>
    <xf numFmtId="165" fontId="4" fillId="0" borderId="0" xfId="1" applyNumberFormat="1" applyFont="1"/>
    <xf numFmtId="165" fontId="11" fillId="0" borderId="0" xfId="1" applyNumberFormat="1" applyFont="1" applyAlignment="1">
      <alignment horizontal="center"/>
    </xf>
    <xf numFmtId="165" fontId="0" fillId="0" borderId="1" xfId="1" applyNumberFormat="1" applyFont="1" applyBorder="1"/>
    <xf numFmtId="44" fontId="7" fillId="0" borderId="0" xfId="2" applyFont="1" applyBorder="1" applyAlignment="1">
      <alignment horizontal="center"/>
    </xf>
    <xf numFmtId="165" fontId="0" fillId="0" borderId="0" xfId="0" applyNumberFormat="1" applyAlignment="1">
      <alignment horizontal="center"/>
    </xf>
    <xf numFmtId="165" fontId="0" fillId="0" borderId="1" xfId="0" applyNumberFormat="1" applyBorder="1"/>
    <xf numFmtId="173" fontId="0" fillId="0" borderId="1" xfId="0" applyNumberFormat="1" applyBorder="1"/>
    <xf numFmtId="166" fontId="0" fillId="0" borderId="1" xfId="0" applyNumberFormat="1" applyBorder="1"/>
    <xf numFmtId="164" fontId="0" fillId="0" borderId="1" xfId="0" applyNumberFormat="1" applyBorder="1"/>
    <xf numFmtId="164" fontId="49" fillId="0" borderId="0" xfId="6" applyNumberFormat="1" applyFont="1" applyBorder="1" applyAlignment="1">
      <alignment horizontal="right"/>
    </xf>
    <xf numFmtId="2" fontId="0" fillId="0" borderId="0" xfId="0" applyNumberFormat="1"/>
    <xf numFmtId="44" fontId="0" fillId="0" borderId="1" xfId="2" applyFont="1" applyBorder="1"/>
    <xf numFmtId="43" fontId="0" fillId="0" borderId="1" xfId="1" applyFont="1" applyBorder="1"/>
    <xf numFmtId="43" fontId="0" fillId="0" borderId="0" xfId="1" applyFont="1" applyAlignment="1">
      <alignment horizontal="center"/>
    </xf>
    <xf numFmtId="14" fontId="7" fillId="0" borderId="0" xfId="0" applyNumberFormat="1" applyFont="1"/>
    <xf numFmtId="165" fontId="7" fillId="0" borderId="0" xfId="5" applyNumberFormat="1" applyFont="1" applyFill="1" applyAlignment="1">
      <alignment horizontal="left" vertical="top"/>
    </xf>
    <xf numFmtId="165" fontId="7" fillId="0" borderId="10" xfId="5" applyNumberFormat="1" applyFont="1" applyBorder="1" applyAlignment="1">
      <alignment horizontal="center"/>
    </xf>
    <xf numFmtId="165" fontId="16" fillId="0" borderId="11" xfId="5" applyNumberFormat="1" applyFont="1" applyBorder="1"/>
    <xf numFmtId="165" fontId="7" fillId="0" borderId="12" xfId="5" applyNumberFormat="1" applyFont="1" applyBorder="1" applyAlignment="1">
      <alignment horizontal="left"/>
    </xf>
    <xf numFmtId="165" fontId="11" fillId="0" borderId="7" xfId="5" applyNumberFormat="1" applyFont="1" applyBorder="1" applyAlignment="1">
      <alignment horizontal="left"/>
    </xf>
    <xf numFmtId="165" fontId="11" fillId="0" borderId="0" xfId="5" applyNumberFormat="1" applyFont="1" applyBorder="1" applyAlignment="1">
      <alignment horizontal="left"/>
    </xf>
    <xf numFmtId="170" fontId="12" fillId="0" borderId="0" xfId="5" applyNumberFormat="1" applyFont="1" applyBorder="1" applyAlignment="1">
      <alignment horizontal="left" vertical="top"/>
    </xf>
    <xf numFmtId="37" fontId="12" fillId="0" borderId="0" xfId="5" applyNumberFormat="1" applyFont="1" applyBorder="1" applyAlignment="1">
      <alignment horizontal="right" vertical="top"/>
    </xf>
    <xf numFmtId="165" fontId="12" fillId="0" borderId="0" xfId="5" applyNumberFormat="1" applyFont="1" applyFill="1" applyBorder="1" applyAlignment="1">
      <alignment horizontal="left" vertical="top"/>
    </xf>
    <xf numFmtId="165" fontId="50" fillId="0" borderId="0" xfId="5" applyNumberFormat="1" applyFont="1" applyFill="1" applyBorder="1" applyAlignment="1">
      <alignment horizontal="left" vertical="top"/>
    </xf>
    <xf numFmtId="14" fontId="38" fillId="0" borderId="0" xfId="0" applyNumberFormat="1" applyFont="1"/>
    <xf numFmtId="0" fontId="38" fillId="0" borderId="0" xfId="0" applyFont="1"/>
    <xf numFmtId="165" fontId="38" fillId="0" borderId="0" xfId="1" applyNumberFormat="1" applyFont="1"/>
    <xf numFmtId="165" fontId="12" fillId="0" borderId="7" xfId="5" applyNumberFormat="1" applyFont="1" applyFill="1" applyBorder="1" applyAlignment="1">
      <alignment vertical="top"/>
    </xf>
    <xf numFmtId="164" fontId="12" fillId="0" borderId="2" xfId="6" applyNumberFormat="1" applyFont="1" applyBorder="1" applyAlignment="1">
      <alignment horizontal="left" vertical="top"/>
    </xf>
    <xf numFmtId="164" fontId="32" fillId="0" borderId="2" xfId="6" applyNumberFormat="1" applyFont="1" applyBorder="1" applyAlignment="1">
      <alignment horizontal="left" vertical="top"/>
    </xf>
    <xf numFmtId="10" fontId="7" fillId="0" borderId="0" xfId="3" applyNumberFormat="1" applyFont="1"/>
    <xf numFmtId="44" fontId="32" fillId="0" borderId="0" xfId="6" applyFont="1" applyBorder="1" applyAlignment="1">
      <alignment horizontal="left" vertical="top"/>
    </xf>
    <xf numFmtId="177" fontId="12" fillId="0" borderId="0" xfId="6" applyNumberFormat="1" applyFont="1" applyBorder="1" applyAlignment="1">
      <alignment horizontal="left" vertical="top"/>
    </xf>
    <xf numFmtId="177" fontId="12" fillId="0" borderId="0" xfId="5" applyNumberFormat="1" applyFont="1" applyBorder="1" applyAlignment="1">
      <alignment horizontal="left" vertical="top"/>
    </xf>
    <xf numFmtId="178" fontId="0" fillId="0" borderId="0" xfId="0" applyNumberFormat="1"/>
    <xf numFmtId="165" fontId="38" fillId="0" borderId="0" xfId="1" applyNumberFormat="1" applyFont="1" applyBorder="1"/>
    <xf numFmtId="0" fontId="0" fillId="0" borderId="5" xfId="0" applyBorder="1"/>
    <xf numFmtId="165" fontId="7" fillId="0" borderId="11" xfId="5" applyNumberFormat="1" applyFont="1" applyFill="1" applyBorder="1"/>
    <xf numFmtId="165" fontId="7" fillId="0" borderId="11" xfId="5" applyNumberFormat="1" applyFont="1" applyFill="1" applyBorder="1" applyAlignment="1">
      <alignment horizontal="left"/>
    </xf>
    <xf numFmtId="165" fontId="38" fillId="0" borderId="0" xfId="5" applyNumberFormat="1" applyFont="1" applyFill="1" applyAlignment="1">
      <alignment horizontal="center" vertical="center"/>
    </xf>
    <xf numFmtId="165" fontId="38" fillId="0" borderId="8" xfId="5" applyNumberFormat="1" applyFont="1" applyFill="1" applyBorder="1" applyAlignment="1">
      <alignment horizontal="center" vertical="center"/>
    </xf>
    <xf numFmtId="165" fontId="7" fillId="0" borderId="0" xfId="1" applyNumberFormat="1" applyFont="1" applyFill="1"/>
    <xf numFmtId="165" fontId="7" fillId="0" borderId="2" xfId="5" applyNumberFormat="1" applyFont="1" applyFill="1" applyBorder="1"/>
    <xf numFmtId="167" fontId="0" fillId="0" borderId="0" xfId="3" applyNumberFormat="1" applyFont="1"/>
    <xf numFmtId="165" fontId="0" fillId="0" borderId="0" xfId="1" applyNumberFormat="1" applyFont="1" applyAlignment="1">
      <alignment horizontal="center"/>
    </xf>
    <xf numFmtId="164" fontId="0" fillId="0" borderId="0" xfId="2" applyNumberFormat="1" applyFont="1"/>
    <xf numFmtId="165" fontId="7" fillId="0" borderId="13" xfId="1" applyNumberFormat="1" applyFont="1" applyBorder="1" applyAlignment="1">
      <alignment horizontal="center"/>
    </xf>
    <xf numFmtId="165" fontId="7" fillId="0" borderId="14" xfId="1" applyNumberFormat="1" applyFont="1" applyBorder="1"/>
    <xf numFmtId="165" fontId="15" fillId="0" borderId="15" xfId="1" applyNumberFormat="1" applyFont="1" applyBorder="1" applyAlignment="1">
      <alignment horizontal="center"/>
    </xf>
    <xf numFmtId="165" fontId="15" fillId="0" borderId="16" xfId="1" applyNumberFormat="1" applyFont="1" applyBorder="1" applyAlignment="1">
      <alignment horizontal="center"/>
    </xf>
    <xf numFmtId="165" fontId="7" fillId="0" borderId="17" xfId="1" applyNumberFormat="1" applyFont="1" applyBorder="1"/>
    <xf numFmtId="165" fontId="7" fillId="0" borderId="18" xfId="1" applyNumberFormat="1" applyFont="1" applyBorder="1"/>
    <xf numFmtId="165" fontId="7" fillId="0" borderId="19" xfId="1" applyNumberFormat="1" applyFont="1" applyBorder="1" applyAlignment="1">
      <alignment horizontal="center"/>
    </xf>
    <xf numFmtId="165" fontId="7" fillId="0" borderId="20" xfId="1" applyNumberFormat="1" applyFont="1" applyBorder="1"/>
    <xf numFmtId="165" fontId="23" fillId="0" borderId="21" xfId="1" applyNumberFormat="1" applyFont="1" applyBorder="1"/>
    <xf numFmtId="165" fontId="7" fillId="3" borderId="0" xfId="5" applyNumberFormat="1" applyFont="1" applyFill="1" applyBorder="1" applyAlignment="1">
      <alignment vertical="center"/>
    </xf>
    <xf numFmtId="165" fontId="7" fillId="0" borderId="0" xfId="5" applyNumberFormat="1" applyFont="1" applyFill="1" applyBorder="1"/>
    <xf numFmtId="165" fontId="7" fillId="0" borderId="1" xfId="1" applyNumberFormat="1" applyFont="1" applyFill="1" applyBorder="1"/>
    <xf numFmtId="165" fontId="7" fillId="0" borderId="2" xfId="1" applyNumberFormat="1" applyFont="1" applyFill="1" applyBorder="1"/>
    <xf numFmtId="174" fontId="18" fillId="0" borderId="0" xfId="5" applyNumberFormat="1" applyFont="1" applyAlignment="1"/>
    <xf numFmtId="175" fontId="18" fillId="0" borderId="0" xfId="5" applyNumberFormat="1" applyFont="1" applyAlignment="1"/>
    <xf numFmtId="165" fontId="7" fillId="0" borderId="7" xfId="5" applyNumberFormat="1" applyFont="1" applyBorder="1" applyAlignment="1">
      <alignment horizontal="left"/>
    </xf>
    <xf numFmtId="165" fontId="7" fillId="0" borderId="0" xfId="5" applyNumberFormat="1" applyFont="1" applyAlignment="1">
      <alignment horizontal="center" vertical="center"/>
    </xf>
    <xf numFmtId="165" fontId="7" fillId="0" borderId="0" xfId="5" applyNumberFormat="1" applyFont="1" applyBorder="1" applyAlignment="1">
      <alignment horizontal="center" vertical="center"/>
    </xf>
    <xf numFmtId="0" fontId="4" fillId="0" borderId="0" xfId="0" applyFont="1" applyAlignment="1">
      <alignment horizontal="center"/>
    </xf>
    <xf numFmtId="175" fontId="7" fillId="0" borderId="0" xfId="6" quotePrefix="1" applyNumberFormat="1" applyFont="1" applyFill="1" applyBorder="1" applyAlignment="1"/>
    <xf numFmtId="175" fontId="7" fillId="0" borderId="0" xfId="5" applyNumberFormat="1" applyFont="1" applyFill="1" applyBorder="1" applyAlignment="1"/>
    <xf numFmtId="165" fontId="15" fillId="0" borderId="0" xfId="1" applyNumberFormat="1" applyFont="1" applyFill="1" applyBorder="1"/>
    <xf numFmtId="165" fontId="11" fillId="0" borderId="0" xfId="5" applyNumberFormat="1" applyFont="1" applyFill="1"/>
    <xf numFmtId="164" fontId="7" fillId="3" borderId="0" xfId="6" applyNumberFormat="1" applyFont="1" applyFill="1" applyBorder="1"/>
    <xf numFmtId="9" fontId="7" fillId="3" borderId="0" xfId="7" applyFont="1" applyFill="1" applyBorder="1"/>
    <xf numFmtId="165" fontId="15" fillId="3" borderId="0" xfId="1" applyNumberFormat="1" applyFont="1" applyFill="1" applyBorder="1"/>
    <xf numFmtId="165" fontId="7" fillId="3" borderId="0" xfId="5" applyNumberFormat="1" applyFont="1" applyFill="1" applyBorder="1" applyAlignment="1"/>
    <xf numFmtId="165" fontId="10" fillId="3" borderId="0" xfId="1" applyNumberFormat="1" applyFont="1" applyFill="1" applyBorder="1"/>
    <xf numFmtId="165" fontId="7" fillId="3" borderId="0" xfId="0" applyNumberFormat="1" applyFont="1" applyFill="1"/>
    <xf numFmtId="0" fontId="45" fillId="0" borderId="0" xfId="0" applyFont="1" applyAlignment="1">
      <alignment horizontal="center"/>
    </xf>
    <xf numFmtId="166" fontId="7" fillId="0" borderId="0" xfId="0" applyNumberFormat="1" applyFont="1"/>
    <xf numFmtId="0" fontId="0" fillId="7" borderId="0" xfId="0" applyFill="1" applyAlignment="1">
      <alignment horizontal="center"/>
    </xf>
    <xf numFmtId="166" fontId="0" fillId="7" borderId="0" xfId="0" applyNumberFormat="1" applyFill="1" applyAlignment="1">
      <alignment horizontal="center"/>
    </xf>
    <xf numFmtId="165" fontId="7" fillId="7" borderId="0" xfId="5" applyNumberFormat="1" applyFont="1" applyFill="1"/>
    <xf numFmtId="0" fontId="0" fillId="7" borderId="0" xfId="0" applyFill="1"/>
    <xf numFmtId="43" fontId="0" fillId="0" borderId="0" xfId="1" applyFont="1" applyBorder="1"/>
    <xf numFmtId="9" fontId="0" fillId="0" borderId="0" xfId="3" applyFont="1"/>
    <xf numFmtId="9" fontId="0" fillId="0" borderId="0" xfId="3" applyFont="1" applyBorder="1"/>
    <xf numFmtId="9" fontId="45" fillId="0" borderId="0" xfId="3" applyFont="1"/>
    <xf numFmtId="43" fontId="0" fillId="0" borderId="1" xfId="0" applyNumberFormat="1" applyBorder="1"/>
    <xf numFmtId="0" fontId="0" fillId="0" borderId="7" xfId="0" applyBorder="1"/>
    <xf numFmtId="43" fontId="0" fillId="0" borderId="8" xfId="0" applyNumberFormat="1" applyBorder="1"/>
    <xf numFmtId="43" fontId="44" fillId="0" borderId="0" xfId="1" applyFont="1" applyBorder="1"/>
    <xf numFmtId="164" fontId="7" fillId="0" borderId="1" xfId="6" applyNumberFormat="1" applyFont="1" applyFill="1" applyBorder="1"/>
    <xf numFmtId="43" fontId="0" fillId="0" borderId="0" xfId="0" applyNumberFormat="1" applyAlignment="1">
      <alignment horizontal="right"/>
    </xf>
    <xf numFmtId="3" fontId="51" fillId="0" borderId="0" xfId="0" applyNumberFormat="1" applyFont="1" applyAlignment="1">
      <alignment horizontal="left" vertical="center"/>
    </xf>
    <xf numFmtId="3" fontId="25" fillId="0" borderId="0" xfId="0" applyNumberFormat="1" applyFont="1" applyAlignment="1">
      <alignment horizontal="left" vertical="center"/>
    </xf>
    <xf numFmtId="3" fontId="52" fillId="0" borderId="3" xfId="0" applyNumberFormat="1" applyFont="1" applyBorder="1"/>
    <xf numFmtId="3" fontId="4" fillId="0" borderId="2" xfId="0" applyNumberFormat="1" applyFont="1" applyBorder="1"/>
    <xf numFmtId="0" fontId="4" fillId="0" borderId="4" xfId="0" applyFont="1" applyBorder="1"/>
    <xf numFmtId="3" fontId="52" fillId="0" borderId="0" xfId="0" applyNumberFormat="1" applyFont="1"/>
    <xf numFmtId="0" fontId="4" fillId="0" borderId="7" xfId="0" applyFont="1" applyBorder="1"/>
    <xf numFmtId="0" fontId="4" fillId="0" borderId="8" xfId="0" applyFont="1" applyBorder="1"/>
    <xf numFmtId="3" fontId="4" fillId="0" borderId="7" xfId="0" applyNumberFormat="1" applyFont="1" applyBorder="1"/>
    <xf numFmtId="3" fontId="4" fillId="0" borderId="0" xfId="0" applyNumberFormat="1" applyFont="1"/>
    <xf numFmtId="44" fontId="4" fillId="0" borderId="0" xfId="6" applyFont="1" applyBorder="1"/>
    <xf numFmtId="44" fontId="4" fillId="0" borderId="0" xfId="0" applyNumberFormat="1" applyFont="1"/>
    <xf numFmtId="43" fontId="4" fillId="0" borderId="0" xfId="5" applyFont="1"/>
    <xf numFmtId="165" fontId="4" fillId="0" borderId="0" xfId="5" applyNumberFormat="1" applyFont="1"/>
    <xf numFmtId="165" fontId="46" fillId="0" borderId="0" xfId="5" applyNumberFormat="1" applyFont="1"/>
    <xf numFmtId="43" fontId="4" fillId="0" borderId="0" xfId="1" applyFont="1"/>
    <xf numFmtId="165" fontId="4" fillId="0" borderId="0" xfId="5" applyNumberFormat="1" applyFont="1" applyBorder="1"/>
    <xf numFmtId="43" fontId="25" fillId="0" borderId="0" xfId="5" applyFont="1" applyAlignment="1">
      <alignment horizontal="right"/>
    </xf>
    <xf numFmtId="165" fontId="4" fillId="0" borderId="0" xfId="5" applyNumberFormat="1" applyFont="1" applyFill="1"/>
    <xf numFmtId="3" fontId="4" fillId="0" borderId="1" xfId="0" applyNumberFormat="1" applyFont="1" applyBorder="1"/>
    <xf numFmtId="43" fontId="4" fillId="0" borderId="0" xfId="1" applyFont="1" applyFill="1"/>
    <xf numFmtId="165" fontId="46" fillId="0" borderId="0" xfId="1" applyNumberFormat="1" applyFont="1" applyFill="1"/>
    <xf numFmtId="0" fontId="25" fillId="0" borderId="0" xfId="0" applyFont="1"/>
    <xf numFmtId="43" fontId="4" fillId="0" borderId="0" xfId="0" applyNumberFormat="1" applyFont="1"/>
    <xf numFmtId="165" fontId="4" fillId="0" borderId="0" xfId="1" applyNumberFormat="1" applyFont="1" applyFill="1"/>
    <xf numFmtId="44" fontId="4" fillId="0" borderId="0" xfId="2" applyFont="1" applyFill="1"/>
    <xf numFmtId="169" fontId="4" fillId="0" borderId="0" xfId="7" applyNumberFormat="1" applyFont="1" applyBorder="1"/>
    <xf numFmtId="3" fontId="4" fillId="0" borderId="7" xfId="0" applyNumberFormat="1" applyFont="1" applyBorder="1" applyAlignment="1">
      <alignment horizontal="right"/>
    </xf>
    <xf numFmtId="169" fontId="45" fillId="0" borderId="0" xfId="7" applyNumberFormat="1" applyFont="1" applyBorder="1"/>
    <xf numFmtId="165" fontId="4" fillId="0" borderId="5" xfId="5" applyNumberFormat="1" applyFont="1" applyBorder="1" applyAlignment="1">
      <alignment vertical="center"/>
    </xf>
    <xf numFmtId="169" fontId="25" fillId="0" borderId="1" xfId="7" applyNumberFormat="1" applyFont="1" applyBorder="1"/>
    <xf numFmtId="3" fontId="25" fillId="0" borderId="1" xfId="0" applyNumberFormat="1" applyFont="1" applyBorder="1"/>
    <xf numFmtId="0" fontId="4" fillId="0" borderId="6" xfId="0" applyFont="1" applyBorder="1"/>
    <xf numFmtId="43" fontId="4" fillId="0" borderId="0" xfId="5" applyFont="1" applyBorder="1"/>
    <xf numFmtId="165" fontId="4" fillId="0" borderId="0" xfId="0" applyNumberFormat="1" applyFont="1"/>
    <xf numFmtId="171" fontId="4" fillId="0" borderId="0" xfId="0" applyNumberFormat="1" applyFont="1"/>
    <xf numFmtId="165" fontId="4" fillId="0" borderId="0" xfId="5" applyNumberFormat="1" applyFont="1" applyAlignment="1">
      <alignment horizontal="right"/>
    </xf>
    <xf numFmtId="43" fontId="46" fillId="0" borderId="0" xfId="5" applyFont="1" applyAlignment="1">
      <alignment horizontal="center"/>
    </xf>
    <xf numFmtId="165" fontId="53" fillId="0" borderId="0" xfId="5" applyNumberFormat="1" applyFont="1"/>
    <xf numFmtId="0" fontId="54" fillId="0" borderId="0" xfId="0" applyFont="1" applyAlignment="1">
      <alignment horizontal="center"/>
    </xf>
    <xf numFmtId="10" fontId="4" fillId="0" borderId="0" xfId="3" applyNumberFormat="1" applyFont="1" applyFill="1" applyAlignment="1">
      <alignment horizontal="center"/>
    </xf>
    <xf numFmtId="43" fontId="46" fillId="0" borderId="0" xfId="0" applyNumberFormat="1" applyFont="1"/>
    <xf numFmtId="9" fontId="4" fillId="0" borderId="0" xfId="7" applyFont="1"/>
    <xf numFmtId="165" fontId="4" fillId="0" borderId="0" xfId="5" applyNumberFormat="1" applyFont="1" applyAlignment="1">
      <alignment vertical="center"/>
    </xf>
    <xf numFmtId="43" fontId="4" fillId="0" borderId="0" xfId="5" applyFont="1" applyAlignment="1">
      <alignment vertical="center"/>
    </xf>
    <xf numFmtId="165" fontId="46" fillId="0" borderId="0" xfId="5" applyNumberFormat="1" applyFont="1" applyAlignment="1">
      <alignment vertical="center"/>
    </xf>
    <xf numFmtId="0" fontId="55" fillId="0" borderId="0" xfId="0" applyFont="1"/>
    <xf numFmtId="164" fontId="55" fillId="0" borderId="9" xfId="6" applyNumberFormat="1" applyFont="1" applyBorder="1"/>
    <xf numFmtId="43" fontId="46" fillId="0" borderId="0" xfId="5" applyFont="1"/>
    <xf numFmtId="164" fontId="4" fillId="0" borderId="0" xfId="6" applyNumberFormat="1" applyFont="1"/>
    <xf numFmtId="10" fontId="4" fillId="0" borderId="0" xfId="3" applyNumberFormat="1" applyFont="1" applyFill="1"/>
    <xf numFmtId="43" fontId="4" fillId="0" borderId="0" xfId="5" applyFont="1" applyAlignment="1">
      <alignment horizontal="right"/>
    </xf>
    <xf numFmtId="10" fontId="4" fillId="0" borderId="1" xfId="0" applyNumberFormat="1" applyFont="1" applyBorder="1"/>
    <xf numFmtId="165" fontId="4" fillId="0" borderId="1" xfId="1" applyNumberFormat="1" applyFont="1" applyBorder="1"/>
    <xf numFmtId="43" fontId="25" fillId="0" borderId="0" xfId="5" applyFont="1"/>
    <xf numFmtId="164" fontId="25" fillId="0" borderId="9" xfId="6" applyNumberFormat="1" applyFont="1" applyBorder="1"/>
    <xf numFmtId="0" fontId="4" fillId="0" borderId="0" xfId="0" applyFont="1" applyAlignment="1">
      <alignment vertical="center"/>
    </xf>
    <xf numFmtId="165" fontId="4" fillId="0" borderId="1" xfId="5" applyNumberFormat="1" applyFont="1" applyBorder="1"/>
    <xf numFmtId="165" fontId="46" fillId="0" borderId="0" xfId="1" applyNumberFormat="1" applyFont="1" applyAlignment="1">
      <alignment horizontal="center"/>
    </xf>
    <xf numFmtId="168" fontId="4" fillId="0" borderId="0" xfId="1" applyNumberFormat="1" applyFont="1"/>
    <xf numFmtId="168" fontId="46" fillId="0" borderId="0" xfId="1" applyNumberFormat="1" applyFont="1"/>
    <xf numFmtId="165" fontId="46" fillId="0" borderId="0" xfId="1" applyNumberFormat="1" applyFont="1"/>
    <xf numFmtId="165" fontId="25" fillId="0" borderId="0" xfId="1" applyNumberFormat="1" applyFont="1" applyAlignment="1">
      <alignment horizontal="right"/>
    </xf>
    <xf numFmtId="164" fontId="55" fillId="0" borderId="0" xfId="6" applyNumberFormat="1" applyFont="1" applyBorder="1"/>
    <xf numFmtId="0" fontId="45" fillId="8" borderId="0" xfId="0" applyFont="1" applyFill="1" applyAlignment="1">
      <alignment horizontal="center"/>
    </xf>
    <xf numFmtId="43" fontId="0" fillId="8" borderId="0" xfId="0" applyNumberFormat="1" applyFill="1"/>
    <xf numFmtId="0" fontId="0" fillId="4" borderId="0" xfId="0" applyFill="1" applyAlignment="1">
      <alignment horizontal="center"/>
    </xf>
    <xf numFmtId="166" fontId="0" fillId="4" borderId="0" xfId="0" applyNumberFormat="1" applyFill="1" applyAlignment="1">
      <alignment horizontal="center"/>
    </xf>
    <xf numFmtId="0" fontId="0" fillId="4" borderId="0" xfId="0" applyFill="1"/>
    <xf numFmtId="165" fontId="7" fillId="4" borderId="0" xfId="5" applyNumberFormat="1" applyFont="1" applyFill="1"/>
    <xf numFmtId="0" fontId="0" fillId="4" borderId="0" xfId="0" applyFill="1" applyAlignment="1">
      <alignment horizontal="center" wrapText="1"/>
    </xf>
    <xf numFmtId="0" fontId="0" fillId="0" borderId="0" xfId="0" applyAlignment="1">
      <alignment horizontal="right"/>
    </xf>
    <xf numFmtId="166" fontId="44" fillId="0" borderId="0" xfId="0" applyNumberFormat="1" applyFont="1" applyAlignment="1">
      <alignment horizontal="center"/>
    </xf>
    <xf numFmtId="166" fontId="44" fillId="0" borderId="0" xfId="0" applyNumberFormat="1" applyFont="1" applyAlignment="1">
      <alignment horizontal="center" wrapText="1"/>
    </xf>
    <xf numFmtId="166" fontId="44" fillId="3" borderId="0" xfId="0" applyNumberFormat="1" applyFont="1" applyFill="1" applyAlignment="1">
      <alignment horizontal="center"/>
    </xf>
    <xf numFmtId="0" fontId="2" fillId="3" borderId="0" xfId="0" applyFont="1" applyFill="1" applyAlignment="1">
      <alignment horizontal="left"/>
    </xf>
    <xf numFmtId="166" fontId="0" fillId="3" borderId="0" xfId="0" applyNumberFormat="1" applyFill="1"/>
    <xf numFmtId="44" fontId="7" fillId="0" borderId="2" xfId="2" quotePrefix="1" applyFont="1" applyBorder="1"/>
    <xf numFmtId="44" fontId="44" fillId="0" borderId="0" xfId="0" applyNumberFormat="1" applyFont="1" applyAlignment="1">
      <alignment horizontal="center"/>
    </xf>
    <xf numFmtId="165" fontId="7" fillId="3" borderId="0" xfId="5" quotePrefix="1" applyNumberFormat="1" applyFont="1" applyFill="1"/>
    <xf numFmtId="164" fontId="7" fillId="0" borderId="0" xfId="6" applyNumberFormat="1" applyFont="1" applyFill="1"/>
    <xf numFmtId="165" fontId="15" fillId="0" borderId="0" xfId="1" applyNumberFormat="1" applyFont="1" applyFill="1" applyBorder="1" applyAlignment="1">
      <alignment vertical="center"/>
    </xf>
    <xf numFmtId="0" fontId="44" fillId="0" borderId="0" xfId="0" applyFont="1" applyAlignment="1">
      <alignment horizontal="left"/>
    </xf>
    <xf numFmtId="0" fontId="1" fillId="0" borderId="0" xfId="0" applyFont="1" applyAlignment="1">
      <alignment horizontal="center"/>
    </xf>
    <xf numFmtId="44" fontId="7" fillId="0" borderId="0" xfId="2" quotePrefix="1" applyFont="1" applyBorder="1"/>
    <xf numFmtId="166" fontId="7" fillId="0" borderId="0" xfId="0" quotePrefix="1" applyNumberFormat="1" applyFont="1"/>
    <xf numFmtId="165" fontId="7" fillId="0" borderId="0" xfId="5" quotePrefix="1" applyNumberFormat="1" applyFont="1" applyFill="1"/>
    <xf numFmtId="166" fontId="10" fillId="0" borderId="0" xfId="0" quotePrefix="1" applyNumberFormat="1" applyFont="1"/>
    <xf numFmtId="165" fontId="10" fillId="0" borderId="0" xfId="1" quotePrefix="1" applyNumberFormat="1" applyFont="1"/>
    <xf numFmtId="165" fontId="10" fillId="0" borderId="0" xfId="1" quotePrefix="1" applyNumberFormat="1" applyFont="1" applyFill="1"/>
    <xf numFmtId="165" fontId="15" fillId="0" borderId="0" xfId="5" quotePrefix="1" applyNumberFormat="1" applyFont="1" applyFill="1"/>
    <xf numFmtId="165" fontId="49" fillId="0" borderId="0" xfId="5" applyNumberFormat="1" applyFont="1" applyAlignment="1">
      <alignment vertical="center"/>
    </xf>
    <xf numFmtId="165" fontId="7" fillId="0" borderId="0" xfId="5" applyNumberFormat="1" applyFont="1" applyFill="1" applyBorder="1" applyAlignment="1">
      <alignment vertical="center"/>
    </xf>
    <xf numFmtId="0" fontId="1" fillId="0" borderId="0" xfId="0" applyFont="1" applyAlignment="1">
      <alignment horizontal="left"/>
    </xf>
    <xf numFmtId="164" fontId="7" fillId="8" borderId="0" xfId="6" applyNumberFormat="1" applyFont="1" applyFill="1"/>
    <xf numFmtId="164" fontId="27" fillId="8" borderId="0" xfId="6" applyNumberFormat="1" applyFont="1" applyFill="1" applyBorder="1"/>
    <xf numFmtId="0" fontId="0" fillId="8" borderId="0" xfId="0" applyFill="1"/>
    <xf numFmtId="164" fontId="15" fillId="0" borderId="0" xfId="6" applyNumberFormat="1" applyFont="1"/>
    <xf numFmtId="0" fontId="4" fillId="0" borderId="3" xfId="0" applyFont="1" applyBorder="1"/>
    <xf numFmtId="0" fontId="4" fillId="0" borderId="4" xfId="0" applyFont="1" applyBorder="1" applyAlignment="1">
      <alignment horizontal="center"/>
    </xf>
    <xf numFmtId="0" fontId="4" fillId="0" borderId="8" xfId="0" applyFont="1" applyBorder="1" applyAlignment="1">
      <alignment horizontal="center"/>
    </xf>
    <xf numFmtId="165" fontId="0" fillId="0" borderId="8" xfId="1" applyNumberFormat="1" applyFont="1" applyBorder="1"/>
    <xf numFmtId="0" fontId="4" fillId="0" borderId="5" xfId="0" applyFont="1" applyBorder="1"/>
    <xf numFmtId="165" fontId="0" fillId="0" borderId="6" xfId="1" applyNumberFormat="1" applyFont="1" applyBorder="1"/>
    <xf numFmtId="0" fontId="45" fillId="0" borderId="0" xfId="5" applyNumberFormat="1" applyFont="1" applyFill="1" applyAlignment="1">
      <alignment horizontal="center"/>
    </xf>
    <xf numFmtId="3" fontId="52" fillId="0" borderId="2" xfId="0" applyNumberFormat="1" applyFont="1" applyBorder="1"/>
    <xf numFmtId="0" fontId="4" fillId="0" borderId="2" xfId="0" applyFont="1" applyBorder="1"/>
    <xf numFmtId="0" fontId="45" fillId="0" borderId="8" xfId="0" applyFont="1" applyBorder="1" applyAlignment="1">
      <alignment horizontal="center"/>
    </xf>
    <xf numFmtId="10" fontId="4" fillId="0" borderId="1" xfId="3" applyNumberFormat="1" applyFont="1" applyBorder="1"/>
    <xf numFmtId="43" fontId="4" fillId="0" borderId="6" xfId="5" applyFont="1" applyBorder="1"/>
    <xf numFmtId="0" fontId="45" fillId="0" borderId="7" xfId="0" applyFont="1" applyBorder="1" applyAlignment="1">
      <alignment horizontal="center"/>
    </xf>
    <xf numFmtId="44" fontId="4" fillId="0" borderId="0" xfId="6" applyFont="1" applyFill="1" applyBorder="1"/>
    <xf numFmtId="44" fontId="4" fillId="0" borderId="8" xfId="0" applyNumberFormat="1" applyFont="1" applyBorder="1"/>
    <xf numFmtId="9" fontId="4" fillId="0" borderId="0" xfId="0" applyNumberFormat="1" applyFont="1"/>
    <xf numFmtId="6" fontId="4" fillId="0" borderId="0" xfId="0" applyNumberFormat="1" applyFont="1"/>
    <xf numFmtId="165" fontId="46" fillId="0" borderId="8" xfId="5" applyNumberFormat="1" applyFont="1" applyBorder="1"/>
    <xf numFmtId="9" fontId="4" fillId="0" borderId="1" xfId="0" applyNumberFormat="1" applyFont="1" applyBorder="1"/>
    <xf numFmtId="6" fontId="4" fillId="0" borderId="1" xfId="0" applyNumberFormat="1" applyFont="1" applyBorder="1"/>
    <xf numFmtId="165" fontId="4" fillId="0" borderId="6" xfId="5" applyNumberFormat="1" applyFont="1" applyBorder="1"/>
    <xf numFmtId="43" fontId="25" fillId="0" borderId="2" xfId="5" applyFont="1" applyFill="1" applyBorder="1" applyAlignment="1">
      <alignment horizontal="right"/>
    </xf>
    <xf numFmtId="165" fontId="4" fillId="0" borderId="2" xfId="5" applyNumberFormat="1" applyFont="1" applyFill="1" applyBorder="1"/>
    <xf numFmtId="43" fontId="25" fillId="0" borderId="0" xfId="5" applyFont="1" applyFill="1" applyBorder="1" applyAlignment="1">
      <alignment horizontal="right"/>
    </xf>
    <xf numFmtId="165" fontId="4" fillId="0" borderId="0" xfId="5" applyNumberFormat="1" applyFont="1" applyFill="1" applyBorder="1"/>
    <xf numFmtId="165" fontId="25" fillId="0" borderId="0" xfId="5" applyNumberFormat="1" applyFont="1" applyFill="1" applyBorder="1" applyAlignment="1">
      <alignment horizontal="right"/>
    </xf>
    <xf numFmtId="165" fontId="46" fillId="0" borderId="0" xfId="5" applyNumberFormat="1" applyFont="1" applyFill="1" applyBorder="1" applyAlignment="1">
      <alignment horizontal="center"/>
    </xf>
    <xf numFmtId="165" fontId="46" fillId="0" borderId="8" xfId="5" applyNumberFormat="1" applyFont="1" applyBorder="1" applyAlignment="1">
      <alignment horizontal="center"/>
    </xf>
    <xf numFmtId="165" fontId="4" fillId="0" borderId="7" xfId="5" applyNumberFormat="1" applyFont="1" applyFill="1" applyBorder="1"/>
    <xf numFmtId="43" fontId="4" fillId="0" borderId="0" xfId="1" applyFont="1" applyFill="1" applyBorder="1"/>
    <xf numFmtId="43" fontId="4" fillId="0" borderId="8" xfId="1" applyFont="1" applyBorder="1"/>
    <xf numFmtId="165" fontId="46" fillId="0" borderId="7" xfId="1" applyNumberFormat="1" applyFont="1" applyFill="1" applyBorder="1"/>
    <xf numFmtId="10" fontId="45" fillId="0" borderId="0" xfId="3" applyNumberFormat="1" applyFont="1" applyFill="1" applyBorder="1"/>
    <xf numFmtId="10" fontId="45" fillId="0" borderId="8" xfId="3" applyNumberFormat="1" applyFont="1" applyBorder="1"/>
    <xf numFmtId="165" fontId="4" fillId="0" borderId="7" xfId="1" applyNumberFormat="1" applyFont="1" applyFill="1" applyBorder="1"/>
    <xf numFmtId="44" fontId="4" fillId="0" borderId="0" xfId="2" applyFont="1" applyFill="1" applyBorder="1"/>
    <xf numFmtId="44" fontId="4" fillId="0" borderId="8" xfId="2" applyFont="1" applyBorder="1"/>
    <xf numFmtId="165" fontId="46" fillId="0" borderId="7" xfId="5" applyNumberFormat="1" applyFont="1" applyFill="1" applyBorder="1"/>
    <xf numFmtId="165" fontId="25" fillId="0" borderId="7" xfId="5" applyNumberFormat="1" applyFont="1" applyFill="1" applyBorder="1"/>
    <xf numFmtId="165" fontId="4" fillId="0" borderId="1" xfId="0" applyNumberFormat="1" applyFont="1" applyBorder="1"/>
    <xf numFmtId="0" fontId="4" fillId="0" borderId="1" xfId="0" applyFont="1" applyBorder="1"/>
    <xf numFmtId="0" fontId="0" fillId="0" borderId="0" xfId="0" applyAlignment="1">
      <alignment horizontal="center" vertical="top"/>
    </xf>
    <xf numFmtId="0" fontId="4" fillId="0" borderId="0" xfId="0" applyFont="1" applyAlignment="1">
      <alignment horizontal="center" vertical="top"/>
    </xf>
    <xf numFmtId="0" fontId="4" fillId="0" borderId="0" xfId="0" applyFont="1" applyAlignment="1">
      <alignment horizontal="left" vertical="top" wrapText="1"/>
    </xf>
    <xf numFmtId="0" fontId="0" fillId="0" borderId="0" xfId="0" applyAlignment="1">
      <alignment horizontal="left" vertical="top"/>
    </xf>
    <xf numFmtId="0" fontId="4" fillId="0" borderId="0" xfId="0" applyFont="1" applyAlignment="1">
      <alignment vertical="top" wrapText="1"/>
    </xf>
    <xf numFmtId="0" fontId="0" fillId="0" borderId="0" xfId="0" applyAlignment="1">
      <alignment vertical="top"/>
    </xf>
    <xf numFmtId="165" fontId="6" fillId="0" borderId="2" xfId="5" applyNumberFormat="1" applyFont="1" applyBorder="1" applyAlignment="1">
      <alignment horizontal="center"/>
    </xf>
    <xf numFmtId="43" fontId="7" fillId="0" borderId="2" xfId="5" applyFont="1" applyBorder="1"/>
    <xf numFmtId="165" fontId="11" fillId="0" borderId="0" xfId="1" applyNumberFormat="1" applyFont="1" applyAlignment="1">
      <alignment horizontal="left"/>
    </xf>
    <xf numFmtId="165" fontId="7" fillId="0" borderId="0" xfId="0" applyNumberFormat="1" applyFont="1" applyAlignment="1">
      <alignment horizontal="center"/>
    </xf>
    <xf numFmtId="44" fontId="7" fillId="2" borderId="0" xfId="6" applyFont="1" applyFill="1" applyBorder="1"/>
    <xf numFmtId="165" fontId="7" fillId="0" borderId="0" xfId="5" applyNumberFormat="1" applyFont="1" applyBorder="1" applyAlignment="1">
      <alignment horizontal="center"/>
    </xf>
    <xf numFmtId="165" fontId="7" fillId="0" borderId="8" xfId="5" applyNumberFormat="1" applyFont="1" applyBorder="1" applyAlignment="1">
      <alignment horizontal="center"/>
    </xf>
    <xf numFmtId="165" fontId="7" fillId="0" borderId="7" xfId="5" applyNumberFormat="1" applyFont="1" applyBorder="1" applyAlignment="1">
      <alignment horizontal="center"/>
    </xf>
    <xf numFmtId="3" fontId="19" fillId="0" borderId="2" xfId="0" applyNumberFormat="1" applyFont="1" applyBorder="1" applyAlignment="1">
      <alignment horizontal="center"/>
    </xf>
    <xf numFmtId="3" fontId="8" fillId="0" borderId="4" xfId="0" applyNumberFormat="1" applyFont="1" applyBorder="1" applyAlignment="1">
      <alignment horizontal="center" vertical="center"/>
    </xf>
    <xf numFmtId="167" fontId="7" fillId="0" borderId="8" xfId="3" applyNumberFormat="1" applyFont="1" applyBorder="1"/>
    <xf numFmtId="167" fontId="7" fillId="2" borderId="8" xfId="3" applyNumberFormat="1" applyFont="1" applyFill="1" applyBorder="1"/>
    <xf numFmtId="43" fontId="7" fillId="2" borderId="0" xfId="5" quotePrefix="1" applyFont="1" applyFill="1" applyBorder="1"/>
    <xf numFmtId="43" fontId="7" fillId="0" borderId="0" xfId="5" quotePrefix="1" applyFont="1" applyFill="1" applyBorder="1"/>
    <xf numFmtId="43" fontId="7" fillId="0" borderId="11" xfId="5" applyFont="1" applyBorder="1"/>
    <xf numFmtId="43" fontId="7" fillId="2" borderId="11" xfId="5" quotePrefix="1" applyFont="1" applyFill="1" applyBorder="1"/>
    <xf numFmtId="43" fontId="7" fillId="0" borderId="11" xfId="5" quotePrefix="1" applyFont="1" applyFill="1" applyBorder="1"/>
    <xf numFmtId="43" fontId="7" fillId="0" borderId="12" xfId="5" applyFont="1" applyBorder="1"/>
    <xf numFmtId="165" fontId="0" fillId="0" borderId="0" xfId="1" applyNumberFormat="1" applyFont="1" applyBorder="1"/>
    <xf numFmtId="165" fontId="7" fillId="0" borderId="7" xfId="5" applyNumberFormat="1" applyFont="1" applyFill="1" applyBorder="1" applyAlignment="1">
      <alignment horizontal="left"/>
    </xf>
    <xf numFmtId="165" fontId="14" fillId="0" borderId="0" xfId="0" applyNumberFormat="1" applyFont="1"/>
    <xf numFmtId="165" fontId="7" fillId="0" borderId="0" xfId="5" applyNumberFormat="1" applyFont="1" applyFill="1" applyAlignment="1">
      <alignment horizontal="right"/>
    </xf>
    <xf numFmtId="165" fontId="7" fillId="3" borderId="6" xfId="5" applyNumberFormat="1" applyFont="1" applyFill="1" applyBorder="1"/>
    <xf numFmtId="165" fontId="7" fillId="3" borderId="8" xfId="5" applyNumberFormat="1" applyFont="1" applyFill="1" applyBorder="1"/>
    <xf numFmtId="165" fontId="7" fillId="0" borderId="1" xfId="1" applyNumberFormat="1" applyFont="1" applyFill="1" applyBorder="1" applyAlignment="1">
      <alignment horizontal="center"/>
    </xf>
    <xf numFmtId="165" fontId="11" fillId="0" borderId="0" xfId="5" applyNumberFormat="1" applyFont="1" applyFill="1" applyBorder="1" applyAlignment="1">
      <alignment vertical="center"/>
    </xf>
    <xf numFmtId="175" fontId="7" fillId="0" borderId="0" xfId="2" applyNumberFormat="1" applyFont="1"/>
    <xf numFmtId="165" fontId="14" fillId="0" borderId="0" xfId="1" applyNumberFormat="1" applyFont="1" applyFill="1"/>
    <xf numFmtId="165" fontId="0" fillId="0" borderId="0" xfId="1" applyNumberFormat="1" applyFont="1" applyFill="1"/>
    <xf numFmtId="165" fontId="7" fillId="0" borderId="1" xfId="0" applyNumberFormat="1" applyFont="1" applyBorder="1"/>
    <xf numFmtId="44" fontId="7" fillId="0" borderId="0" xfId="6" applyFont="1" applyFill="1" applyBorder="1" applyAlignment="1"/>
    <xf numFmtId="43" fontId="7" fillId="0" borderId="0" xfId="5" applyFont="1" applyFill="1" applyBorder="1" applyAlignment="1"/>
    <xf numFmtId="43" fontId="7" fillId="0" borderId="0" xfId="1" quotePrefix="1" applyFont="1"/>
    <xf numFmtId="44" fontId="7" fillId="0" borderId="0" xfId="1" quotePrefix="1" applyNumberFormat="1" applyFont="1"/>
    <xf numFmtId="0" fontId="7" fillId="2" borderId="0" xfId="0" applyFont="1" applyFill="1"/>
    <xf numFmtId="43" fontId="7" fillId="2" borderId="0" xfId="1" quotePrefix="1" applyFont="1" applyFill="1"/>
    <xf numFmtId="43" fontId="7" fillId="2" borderId="0" xfId="0" applyNumberFormat="1" applyFont="1" applyFill="1"/>
    <xf numFmtId="44" fontId="7" fillId="0" borderId="0" xfId="0" quotePrefix="1" applyNumberFormat="1" applyFont="1"/>
    <xf numFmtId="3" fontId="19" fillId="0" borderId="0" xfId="0" applyNumberFormat="1" applyFont="1" applyAlignment="1">
      <alignment horizontal="center" vertical="center"/>
    </xf>
    <xf numFmtId="3" fontId="8" fillId="0" borderId="8" xfId="0" applyNumberFormat="1" applyFont="1" applyBorder="1" applyAlignment="1">
      <alignment horizontal="center" vertical="center"/>
    </xf>
    <xf numFmtId="0" fontId="8" fillId="0" borderId="1" xfId="0" applyFont="1" applyBorder="1" applyAlignment="1">
      <alignment horizontal="center"/>
    </xf>
    <xf numFmtId="44" fontId="7" fillId="0" borderId="0" xfId="5" applyNumberFormat="1" applyFont="1" applyFill="1" applyBorder="1" applyAlignment="1"/>
    <xf numFmtId="165" fontId="15" fillId="0" borderId="0" xfId="5" applyNumberFormat="1" applyFont="1" applyFill="1" applyAlignment="1">
      <alignment vertical="center"/>
    </xf>
    <xf numFmtId="3" fontId="20" fillId="0" borderId="0" xfId="0" applyNumberFormat="1" applyFont="1" applyAlignment="1">
      <alignment horizontal="centerContinuous" vertical="center"/>
    </xf>
    <xf numFmtId="3" fontId="18" fillId="0" borderId="0" xfId="0" applyNumberFormat="1" applyFont="1" applyAlignment="1">
      <alignment horizontal="centerContinuous" vertical="center"/>
    </xf>
    <xf numFmtId="1" fontId="18" fillId="0" borderId="0" xfId="0" applyNumberFormat="1" applyFont="1" applyAlignment="1">
      <alignment horizontal="center" vertical="center"/>
    </xf>
    <xf numFmtId="1" fontId="18" fillId="0" borderId="0" xfId="0" applyNumberFormat="1" applyFont="1" applyAlignment="1">
      <alignment horizontal="centerContinuous" vertical="center"/>
    </xf>
    <xf numFmtId="3" fontId="35" fillId="0" borderId="0" xfId="0" applyNumberFormat="1" applyFont="1" applyAlignment="1">
      <alignment horizontal="center" vertical="center"/>
    </xf>
    <xf numFmtId="3" fontId="13" fillId="0" borderId="0" xfId="0" applyNumberFormat="1" applyFont="1" applyAlignment="1">
      <alignment horizontal="center" vertical="center"/>
    </xf>
    <xf numFmtId="3" fontId="36" fillId="0" borderId="0" xfId="0" applyNumberFormat="1" applyFont="1" applyAlignment="1">
      <alignment horizontal="center" vertical="center"/>
    </xf>
    <xf numFmtId="3" fontId="10" fillId="0" borderId="0" xfId="0" applyNumberFormat="1" applyFont="1" applyAlignment="1">
      <alignment vertical="center"/>
    </xf>
    <xf numFmtId="3" fontId="37" fillId="0" borderId="0" xfId="0" applyNumberFormat="1" applyFont="1" applyAlignment="1">
      <alignment horizontal="center" vertical="center"/>
    </xf>
    <xf numFmtId="44" fontId="7" fillId="0" borderId="0" xfId="0" applyNumberFormat="1" applyFont="1" applyAlignment="1">
      <alignment vertical="center"/>
    </xf>
    <xf numFmtId="3" fontId="11" fillId="3" borderId="0" xfId="0" applyNumberFormat="1" applyFont="1" applyFill="1" applyAlignment="1">
      <alignment vertical="center"/>
    </xf>
    <xf numFmtId="3" fontId="7" fillId="3" borderId="0" xfId="0" applyNumberFormat="1" applyFont="1" applyFill="1" applyAlignment="1">
      <alignment vertical="center"/>
    </xf>
    <xf numFmtId="3" fontId="7" fillId="3" borderId="0" xfId="0" applyNumberFormat="1" applyFont="1" applyFill="1"/>
    <xf numFmtId="3" fontId="35" fillId="3" borderId="0" xfId="0" applyNumberFormat="1" applyFont="1" applyFill="1" applyAlignment="1">
      <alignment horizontal="center"/>
    </xf>
    <xf numFmtId="0" fontId="35" fillId="3" borderId="0" xfId="0" applyFont="1" applyFill="1" applyAlignment="1">
      <alignment horizontal="center"/>
    </xf>
    <xf numFmtId="10" fontId="7" fillId="3" borderId="0" xfId="0" applyNumberFormat="1" applyFont="1" applyFill="1" applyAlignment="1">
      <alignment vertical="center"/>
    </xf>
    <xf numFmtId="165" fontId="21" fillId="0" borderId="0" xfId="5" applyNumberFormat="1" applyFont="1" applyBorder="1" applyAlignment="1">
      <alignment vertical="center"/>
    </xf>
    <xf numFmtId="3" fontId="21" fillId="0" borderId="0" xfId="0" applyNumberFormat="1" applyFont="1" applyAlignment="1">
      <alignment horizontal="left"/>
    </xf>
    <xf numFmtId="10" fontId="18" fillId="0" borderId="0" xfId="7" applyNumberFormat="1" applyFont="1" applyBorder="1"/>
    <xf numFmtId="174" fontId="38" fillId="0" borderId="0" xfId="1" applyNumberFormat="1" applyFont="1" applyBorder="1"/>
    <xf numFmtId="174" fontId="7" fillId="0" borderId="0" xfId="1" applyNumberFormat="1" applyFont="1" applyBorder="1" applyAlignment="1"/>
    <xf numFmtId="3" fontId="11" fillId="0" borderId="0" xfId="0" applyNumberFormat="1" applyFont="1" applyAlignment="1">
      <alignment horizontal="center" vertical="center"/>
    </xf>
    <xf numFmtId="3" fontId="10" fillId="0" borderId="0" xfId="0" applyNumberFormat="1" applyFont="1" applyAlignment="1">
      <alignment horizontal="center" vertical="center"/>
    </xf>
    <xf numFmtId="3" fontId="10" fillId="0" borderId="8" xfId="0" applyNumberFormat="1" applyFont="1" applyBorder="1" applyAlignment="1">
      <alignment horizontal="center" vertical="center"/>
    </xf>
    <xf numFmtId="9" fontId="7" fillId="0" borderId="8" xfId="3" applyFont="1" applyBorder="1"/>
    <xf numFmtId="44" fontId="7" fillId="0" borderId="1" xfId="0" applyNumberFormat="1" applyFont="1" applyBorder="1"/>
    <xf numFmtId="9" fontId="7" fillId="0" borderId="6" xfId="3" applyFont="1" applyBorder="1"/>
    <xf numFmtId="0" fontId="13" fillId="0" borderId="7" xfId="0" applyFont="1" applyBorder="1"/>
    <xf numFmtId="0" fontId="58" fillId="0" borderId="8" xfId="0" applyFont="1" applyBorder="1" applyAlignment="1">
      <alignment horizontal="center"/>
    </xf>
    <xf numFmtId="0" fontId="7" fillId="0" borderId="7" xfId="0" applyFont="1" applyBorder="1" applyAlignment="1">
      <alignment horizontal="right"/>
    </xf>
    <xf numFmtId="165" fontId="7" fillId="0" borderId="7" xfId="5" applyNumberFormat="1" applyFont="1" applyBorder="1" applyAlignment="1"/>
    <xf numFmtId="0" fontId="7" fillId="0" borderId="7" xfId="0" applyFont="1" applyBorder="1" applyAlignment="1">
      <alignment horizontal="left"/>
    </xf>
    <xf numFmtId="0" fontId="13" fillId="0" borderId="7" xfId="0" applyFont="1" applyBorder="1" applyAlignment="1">
      <alignment horizontal="left"/>
    </xf>
    <xf numFmtId="0" fontId="7" fillId="0" borderId="5" xfId="0" applyFont="1" applyBorder="1" applyAlignment="1">
      <alignment horizontal="right"/>
    </xf>
    <xf numFmtId="175" fontId="7" fillId="0" borderId="1" xfId="5" applyNumberFormat="1" applyFont="1" applyBorder="1" applyAlignment="1"/>
    <xf numFmtId="174" fontId="38" fillId="0" borderId="1" xfId="1" applyNumberFormat="1" applyFont="1" applyBorder="1"/>
    <xf numFmtId="0" fontId="4" fillId="0" borderId="0" xfId="0" applyFont="1" applyAlignment="1">
      <alignment vertical="top"/>
    </xf>
    <xf numFmtId="176" fontId="7" fillId="0" borderId="1" xfId="0" applyNumberFormat="1" applyFont="1" applyBorder="1"/>
    <xf numFmtId="3" fontId="8" fillId="0" borderId="7" xfId="0" applyNumberFormat="1" applyFont="1" applyBorder="1" applyAlignment="1">
      <alignment horizontal="center" vertical="center"/>
    </xf>
    <xf numFmtId="44" fontId="7" fillId="0" borderId="8" xfId="2" applyFont="1" applyBorder="1"/>
    <xf numFmtId="43" fontId="7" fillId="0" borderId="6" xfId="1" applyFont="1" applyBorder="1"/>
    <xf numFmtId="0" fontId="10" fillId="0" borderId="7" xfId="0" applyFont="1" applyBorder="1"/>
    <xf numFmtId="0" fontId="8" fillId="0" borderId="5" xfId="0" applyFont="1" applyBorder="1" applyAlignment="1">
      <alignment horizontal="center"/>
    </xf>
    <xf numFmtId="0" fontId="8" fillId="0" borderId="6" xfId="0" applyFont="1" applyBorder="1" applyAlignment="1">
      <alignment horizontal="center"/>
    </xf>
    <xf numFmtId="164" fontId="7" fillId="0" borderId="0" xfId="6" applyNumberFormat="1" applyFont="1" applyBorder="1" applyAlignment="1">
      <alignment horizontal="center"/>
    </xf>
    <xf numFmtId="165" fontId="7" fillId="0" borderId="7" xfId="5" applyNumberFormat="1" applyFont="1" applyBorder="1" applyAlignment="1">
      <alignment horizontal="right" vertical="center"/>
    </xf>
    <xf numFmtId="37" fontId="7" fillId="0" borderId="8" xfId="0" applyNumberFormat="1" applyFont="1" applyBorder="1"/>
    <xf numFmtId="165" fontId="7" fillId="0" borderId="0" xfId="1" applyNumberFormat="1" applyFont="1" applyBorder="1" applyAlignment="1">
      <alignment horizontal="left"/>
    </xf>
    <xf numFmtId="165" fontId="11" fillId="0" borderId="5" xfId="5" applyNumberFormat="1" applyFont="1" applyBorder="1" applyAlignment="1">
      <alignment vertical="center"/>
    </xf>
    <xf numFmtId="165" fontId="10" fillId="0" borderId="0" xfId="1" applyNumberFormat="1" applyFont="1" applyBorder="1" applyAlignment="1"/>
    <xf numFmtId="43" fontId="15" fillId="0" borderId="0" xfId="5" applyFont="1" applyBorder="1" applyAlignment="1">
      <alignment horizontal="center"/>
    </xf>
    <xf numFmtId="165" fontId="7" fillId="0" borderId="0" xfId="1" quotePrefix="1" applyNumberFormat="1" applyFont="1" applyBorder="1" applyAlignment="1">
      <alignment horizontal="center"/>
    </xf>
    <xf numFmtId="165" fontId="11" fillId="0" borderId="7" xfId="5" applyNumberFormat="1" applyFont="1" applyBorder="1" applyAlignment="1">
      <alignment vertical="center"/>
    </xf>
    <xf numFmtId="175" fontId="7" fillId="0" borderId="0" xfId="2" applyNumberFormat="1" applyFont="1" applyBorder="1"/>
    <xf numFmtId="165" fontId="11" fillId="0" borderId="7" xfId="5" applyNumberFormat="1" applyFont="1" applyFill="1" applyBorder="1" applyAlignment="1">
      <alignment vertical="center"/>
    </xf>
    <xf numFmtId="174" fontId="7" fillId="0" borderId="0" xfId="1" applyNumberFormat="1" applyFont="1" applyBorder="1"/>
    <xf numFmtId="44" fontId="7" fillId="0" borderId="1" xfId="2" applyFont="1" applyBorder="1"/>
    <xf numFmtId="165" fontId="7" fillId="0" borderId="1" xfId="5" applyNumberFormat="1" applyFont="1" applyBorder="1" applyAlignment="1">
      <alignment horizontal="right"/>
    </xf>
    <xf numFmtId="43" fontId="7" fillId="0" borderId="1" xfId="5" applyFont="1" applyBorder="1" applyAlignment="1"/>
    <xf numFmtId="0" fontId="7" fillId="0" borderId="1" xfId="0" applyFont="1" applyBorder="1" applyAlignment="1">
      <alignment horizontal="right"/>
    </xf>
    <xf numFmtId="43" fontId="7" fillId="0" borderId="1" xfId="5" applyFont="1" applyFill="1" applyBorder="1" applyAlignment="1"/>
    <xf numFmtId="0" fontId="0" fillId="0" borderId="7" xfId="0" applyBorder="1" applyAlignment="1">
      <alignment horizontal="center" vertical="top"/>
    </xf>
    <xf numFmtId="0" fontId="56" fillId="0" borderId="8" xfId="0" applyFont="1" applyBorder="1" applyAlignment="1">
      <alignment horizontal="center" wrapText="1"/>
    </xf>
    <xf numFmtId="0" fontId="4" fillId="0" borderId="7" xfId="0" applyFont="1" applyBorder="1" applyAlignment="1">
      <alignment horizontal="center" vertical="top"/>
    </xf>
    <xf numFmtId="0" fontId="4" fillId="0" borderId="8" xfId="0" applyFont="1" applyBorder="1" applyAlignment="1">
      <alignment horizontal="left" vertical="top"/>
    </xf>
    <xf numFmtId="0" fontId="57" fillId="0" borderId="8" xfId="0" applyFont="1" applyBorder="1" applyAlignment="1">
      <alignment horizontal="left" vertical="top" wrapText="1"/>
    </xf>
    <xf numFmtId="0" fontId="4" fillId="0" borderId="8" xfId="0" applyFont="1" applyBorder="1" applyAlignment="1">
      <alignment horizontal="left" vertical="top" wrapText="1"/>
    </xf>
    <xf numFmtId="0" fontId="0" fillId="0" borderId="8" xfId="0" applyBorder="1" applyAlignment="1">
      <alignment horizontal="left" vertical="top"/>
    </xf>
    <xf numFmtId="0" fontId="4" fillId="0" borderId="8" xfId="0" applyFont="1" applyBorder="1" applyAlignment="1">
      <alignment vertical="top" wrapText="1"/>
    </xf>
    <xf numFmtId="0" fontId="0" fillId="0" borderId="8" xfId="0" applyBorder="1" applyAlignment="1">
      <alignment horizontal="left" vertical="top" wrapText="1"/>
    </xf>
    <xf numFmtId="165" fontId="4" fillId="0" borderId="8" xfId="5" applyNumberFormat="1" applyFont="1" applyFill="1" applyBorder="1" applyAlignment="1">
      <alignment horizontal="left" vertical="top"/>
    </xf>
    <xf numFmtId="0" fontId="0" fillId="0" borderId="7" xfId="0" applyBorder="1" applyAlignment="1">
      <alignment vertical="top"/>
    </xf>
    <xf numFmtId="0" fontId="0" fillId="0" borderId="7" xfId="0" applyBorder="1" applyAlignment="1">
      <alignment horizontal="center"/>
    </xf>
    <xf numFmtId="0" fontId="4" fillId="0" borderId="5" xfId="0" applyFont="1" applyBorder="1" applyAlignment="1">
      <alignment horizontal="center" vertical="top"/>
    </xf>
    <xf numFmtId="0" fontId="4" fillId="0" borderId="6" xfId="0" applyFont="1" applyBorder="1" applyAlignment="1">
      <alignment vertical="top" wrapText="1"/>
    </xf>
    <xf numFmtId="165" fontId="38" fillId="0" borderId="8" xfId="5" quotePrefix="1" applyNumberFormat="1" applyFont="1" applyBorder="1" applyAlignment="1">
      <alignment horizontal="center"/>
    </xf>
    <xf numFmtId="164" fontId="11" fillId="0" borderId="8" xfId="6" applyNumberFormat="1" applyFont="1" applyBorder="1"/>
    <xf numFmtId="165" fontId="39" fillId="0" borderId="11" xfId="5" quotePrefix="1" applyNumberFormat="1" applyFont="1" applyBorder="1" applyAlignment="1">
      <alignment horizontal="left"/>
    </xf>
    <xf numFmtId="165" fontId="11" fillId="0" borderId="8" xfId="5" applyNumberFormat="1" applyFont="1" applyBorder="1" applyAlignment="1">
      <alignment horizontal="right"/>
    </xf>
    <xf numFmtId="164" fontId="7" fillId="0" borderId="8" xfId="6" applyNumberFormat="1" applyFont="1" applyBorder="1"/>
    <xf numFmtId="165" fontId="7" fillId="0" borderId="6" xfId="5" applyNumberFormat="1" applyFont="1" applyBorder="1" applyAlignment="1">
      <alignment horizontal="center"/>
    </xf>
    <xf numFmtId="165" fontId="11" fillId="0" borderId="8" xfId="5" applyNumberFormat="1" applyFont="1" applyBorder="1" applyAlignment="1">
      <alignment horizontal="centerContinuous"/>
    </xf>
    <xf numFmtId="165" fontId="13" fillId="0" borderId="8" xfId="5" applyNumberFormat="1" applyFont="1" applyBorder="1" applyAlignment="1">
      <alignment horizontal="centerContinuous"/>
    </xf>
    <xf numFmtId="165" fontId="7" fillId="0" borderId="8" xfId="5" applyNumberFormat="1" applyFont="1" applyBorder="1" applyAlignment="1">
      <alignment horizontal="centerContinuous"/>
    </xf>
    <xf numFmtId="165" fontId="7" fillId="0" borderId="6" xfId="5" applyNumberFormat="1" applyFont="1" applyBorder="1" applyAlignment="1">
      <alignment horizontal="centerContinuous"/>
    </xf>
    <xf numFmtId="0" fontId="39" fillId="0" borderId="0" xfId="0" applyFont="1" applyAlignment="1">
      <alignment horizontal="center"/>
    </xf>
    <xf numFmtId="0" fontId="58" fillId="0" borderId="0" xfId="0" applyFont="1" applyAlignment="1">
      <alignment horizontal="center"/>
    </xf>
    <xf numFmtId="44" fontId="38" fillId="0" borderId="0" xfId="0" applyNumberFormat="1" applyFont="1"/>
    <xf numFmtId="175" fontId="38" fillId="0" borderId="0" xfId="0" applyNumberFormat="1" applyFont="1"/>
    <xf numFmtId="167" fontId="38" fillId="0" borderId="8" xfId="3" applyNumberFormat="1" applyFont="1" applyBorder="1"/>
    <xf numFmtId="167" fontId="0" fillId="0" borderId="8" xfId="0" applyNumberFormat="1" applyBorder="1"/>
    <xf numFmtId="167" fontId="38" fillId="0" borderId="6" xfId="3" applyNumberFormat="1" applyFont="1" applyBorder="1"/>
    <xf numFmtId="165" fontId="7" fillId="0" borderId="11" xfId="5" applyNumberFormat="1" applyFont="1" applyBorder="1" applyAlignment="1">
      <alignment horizontal="center"/>
    </xf>
    <xf numFmtId="165" fontId="15" fillId="0" borderId="11" xfId="5" applyNumberFormat="1" applyFont="1" applyBorder="1" applyAlignment="1">
      <alignment horizontal="center"/>
    </xf>
    <xf numFmtId="43" fontId="33" fillId="0" borderId="3" xfId="1" applyFont="1" applyBorder="1" applyAlignment="1">
      <alignment horizontal="center"/>
    </xf>
    <xf numFmtId="43" fontId="33" fillId="0" borderId="2" xfId="1" applyFont="1" applyBorder="1" applyAlignment="1">
      <alignment horizontal="center"/>
    </xf>
    <xf numFmtId="167" fontId="18" fillId="3" borderId="0" xfId="3" applyNumberFormat="1" applyFont="1" applyFill="1"/>
    <xf numFmtId="174" fontId="7" fillId="0" borderId="0" xfId="1" applyNumberFormat="1" applyFont="1" applyFill="1" applyBorder="1" applyAlignment="1"/>
    <xf numFmtId="0" fontId="18" fillId="0" borderId="0" xfId="0" applyFont="1" applyAlignment="1">
      <alignment horizontal="center"/>
    </xf>
    <xf numFmtId="0" fontId="59" fillId="0" borderId="0" xfId="0" applyFont="1" applyAlignment="1">
      <alignment horizontal="center"/>
    </xf>
    <xf numFmtId="174" fontId="38" fillId="0" borderId="0" xfId="1" applyNumberFormat="1" applyFont="1"/>
    <xf numFmtId="175" fontId="38" fillId="0" borderId="0" xfId="2" applyNumberFormat="1" applyFont="1"/>
    <xf numFmtId="44" fontId="7" fillId="0" borderId="0" xfId="2" applyFont="1" applyBorder="1" applyAlignment="1"/>
    <xf numFmtId="0" fontId="7" fillId="0" borderId="5" xfId="0" applyFont="1" applyBorder="1" applyAlignment="1">
      <alignment horizontal="left"/>
    </xf>
    <xf numFmtId="174" fontId="7" fillId="0" borderId="1" xfId="1" applyNumberFormat="1" applyFont="1" applyBorder="1" applyAlignment="1"/>
    <xf numFmtId="44" fontId="7" fillId="0" borderId="11" xfId="5" quotePrefix="1" applyNumberFormat="1" applyFont="1" applyFill="1" applyBorder="1"/>
    <xf numFmtId="167" fontId="18" fillId="0" borderId="0" xfId="3" applyNumberFormat="1" applyFont="1" applyFill="1"/>
    <xf numFmtId="43" fontId="7" fillId="0" borderId="0" xfId="1" applyFont="1" applyFill="1" applyAlignment="1"/>
    <xf numFmtId="43" fontId="7" fillId="0" borderId="1" xfId="0" applyNumberFormat="1" applyFont="1" applyBorder="1"/>
    <xf numFmtId="167" fontId="7" fillId="0" borderId="1" xfId="3" applyNumberFormat="1" applyFont="1" applyBorder="1"/>
    <xf numFmtId="3" fontId="11" fillId="0" borderId="7" xfId="0" applyNumberFormat="1" applyFont="1" applyBorder="1" applyAlignment="1">
      <alignment horizontal="center" vertical="center"/>
    </xf>
    <xf numFmtId="0" fontId="7" fillId="0" borderId="7" xfId="0" applyFont="1" applyBorder="1" applyAlignment="1">
      <alignment horizontal="center"/>
    </xf>
    <xf numFmtId="44" fontId="7" fillId="0" borderId="0" xfId="6" quotePrefix="1" applyFont="1" applyFill="1" applyBorder="1" applyAlignment="1"/>
    <xf numFmtId="43" fontId="18" fillId="0" borderId="2" xfId="1" applyFont="1" applyBorder="1" applyAlignment="1">
      <alignment horizontal="center"/>
    </xf>
    <xf numFmtId="43" fontId="7" fillId="0" borderId="11" xfId="5" quotePrefix="1" applyFont="1" applyBorder="1"/>
    <xf numFmtId="44" fontId="7" fillId="0" borderId="11" xfId="2" applyFont="1" applyBorder="1"/>
    <xf numFmtId="43" fontId="7" fillId="0" borderId="11" xfId="1" applyFont="1" applyBorder="1"/>
    <xf numFmtId="43" fontId="7" fillId="2" borderId="11" xfId="1" quotePrefix="1" applyFont="1" applyFill="1" applyBorder="1"/>
    <xf numFmtId="43" fontId="7" fillId="2" borderId="0" xfId="1" applyFont="1" applyFill="1" applyBorder="1"/>
    <xf numFmtId="43" fontId="7" fillId="0" borderId="11" xfId="1" quotePrefix="1" applyFont="1" applyFill="1" applyBorder="1"/>
    <xf numFmtId="44" fontId="7" fillId="0" borderId="11" xfId="2" quotePrefix="1" applyFont="1" applyBorder="1"/>
    <xf numFmtId="0" fontId="10" fillId="0" borderId="7" xfId="0" applyFont="1" applyBorder="1" applyAlignment="1">
      <alignment horizontal="center"/>
    </xf>
    <xf numFmtId="44" fontId="7" fillId="0" borderId="7" xfId="2" applyFont="1" applyBorder="1"/>
    <xf numFmtId="43" fontId="7" fillId="0" borderId="7" xfId="1" applyFont="1" applyBorder="1"/>
    <xf numFmtId="43" fontId="7" fillId="0" borderId="7" xfId="0" applyNumberFormat="1" applyFont="1" applyBorder="1"/>
    <xf numFmtId="43" fontId="7" fillId="0" borderId="5" xfId="0" applyNumberFormat="1" applyFont="1" applyBorder="1"/>
    <xf numFmtId="167" fontId="7" fillId="0" borderId="6" xfId="3" applyNumberFormat="1" applyFont="1" applyBorder="1"/>
    <xf numFmtId="0" fontId="25" fillId="0" borderId="7" xfId="0" applyFont="1" applyBorder="1" applyAlignment="1">
      <alignment horizontal="left" vertical="top"/>
    </xf>
    <xf numFmtId="165" fontId="7" fillId="0" borderId="0" xfId="5" applyNumberFormat="1" applyFont="1" applyFill="1" applyAlignment="1">
      <alignment vertical="center"/>
    </xf>
    <xf numFmtId="0" fontId="25" fillId="0" borderId="0" xfId="0" applyFont="1" applyAlignment="1">
      <alignment horizontal="left"/>
    </xf>
    <xf numFmtId="174" fontId="7" fillId="0" borderId="0" xfId="1" applyNumberFormat="1" applyFont="1" applyAlignment="1"/>
    <xf numFmtId="175" fontId="7" fillId="0" borderId="1" xfId="5" applyNumberFormat="1" applyFont="1" applyFill="1" applyBorder="1" applyAlignment="1"/>
    <xf numFmtId="172" fontId="41" fillId="0" borderId="0" xfId="5" applyNumberFormat="1" applyFont="1" applyBorder="1" applyAlignment="1">
      <alignment horizontal="center"/>
    </xf>
    <xf numFmtId="165" fontId="6" fillId="0" borderId="0" xfId="5" applyNumberFormat="1" applyFont="1" applyBorder="1" applyAlignment="1">
      <alignment horizontal="center"/>
    </xf>
    <xf numFmtId="165" fontId="13" fillId="0" borderId="0" xfId="5" applyNumberFormat="1" applyFont="1" applyBorder="1" applyAlignment="1">
      <alignment horizontal="center" vertical="center"/>
    </xf>
    <xf numFmtId="165" fontId="40" fillId="0" borderId="0" xfId="5" applyNumberFormat="1" applyFont="1" applyBorder="1" applyAlignment="1">
      <alignment horizontal="center"/>
    </xf>
    <xf numFmtId="165" fontId="13" fillId="0" borderId="8" xfId="5" applyNumberFormat="1" applyFont="1" applyBorder="1" applyAlignment="1">
      <alignment horizontal="center" vertical="center"/>
    </xf>
    <xf numFmtId="165" fontId="10" fillId="0" borderId="7" xfId="5" applyNumberFormat="1" applyFont="1" applyBorder="1" applyAlignment="1">
      <alignment vertical="center"/>
    </xf>
    <xf numFmtId="165" fontId="7" fillId="0" borderId="7" xfId="5" applyNumberFormat="1" applyFont="1" applyBorder="1" applyAlignment="1">
      <alignment vertical="center"/>
    </xf>
    <xf numFmtId="165" fontId="6" fillId="0" borderId="0" xfId="5" applyNumberFormat="1" applyFont="1" applyFill="1" applyBorder="1" applyAlignment="1">
      <alignment horizontal="center"/>
    </xf>
    <xf numFmtId="165" fontId="15" fillId="0" borderId="8" xfId="5" applyNumberFormat="1" applyFont="1" applyBorder="1"/>
    <xf numFmtId="165" fontId="7" fillId="0" borderId="8" xfId="5" applyNumberFormat="1" applyFont="1" applyFill="1" applyBorder="1"/>
    <xf numFmtId="165" fontId="15" fillId="0" borderId="8" xfId="5" applyNumberFormat="1" applyFont="1" applyFill="1" applyBorder="1"/>
    <xf numFmtId="165" fontId="7" fillId="0" borderId="1" xfId="5" applyNumberFormat="1" applyFont="1" applyBorder="1" applyAlignment="1">
      <alignment vertical="center"/>
    </xf>
    <xf numFmtId="165" fontId="6" fillId="0" borderId="1" xfId="5" applyNumberFormat="1" applyFont="1" applyBorder="1" applyAlignment="1">
      <alignment horizontal="center"/>
    </xf>
    <xf numFmtId="167" fontId="7" fillId="0" borderId="6" xfId="7" applyNumberFormat="1" applyFont="1" applyBorder="1"/>
    <xf numFmtId="165" fontId="7" fillId="0" borderId="7" xfId="5" applyNumberFormat="1" applyFont="1" applyBorder="1" applyAlignment="1">
      <alignment horizontal="center" vertical="center"/>
    </xf>
    <xf numFmtId="165" fontId="7" fillId="0" borderId="8" xfId="5" applyNumberFormat="1" applyFont="1" applyBorder="1" applyAlignment="1">
      <alignment horizontal="center" vertical="center"/>
    </xf>
    <xf numFmtId="0" fontId="0" fillId="0" borderId="8" xfId="0" applyBorder="1" applyAlignment="1">
      <alignment horizontal="center"/>
    </xf>
    <xf numFmtId="164" fontId="0" fillId="0" borderId="0" xfId="0" applyNumberFormat="1"/>
    <xf numFmtId="49" fontId="0" fillId="0" borderId="0" xfId="0" applyNumberFormat="1"/>
    <xf numFmtId="165" fontId="0" fillId="0" borderId="8" xfId="0" applyNumberFormat="1" applyBorder="1"/>
    <xf numFmtId="165" fontId="0" fillId="0" borderId="6" xfId="0" applyNumberFormat="1" applyBorder="1"/>
    <xf numFmtId="44" fontId="0" fillId="0" borderId="0" xfId="0" applyNumberFormat="1" applyAlignment="1">
      <alignment horizontal="center"/>
    </xf>
    <xf numFmtId="173" fontId="0" fillId="0" borderId="0" xfId="0" applyNumberFormat="1"/>
    <xf numFmtId="37" fontId="0" fillId="0" borderId="0" xfId="0" applyNumberFormat="1"/>
    <xf numFmtId="43" fontId="33" fillId="0" borderId="0" xfId="1" applyFont="1" applyBorder="1" applyAlignment="1">
      <alignment horizontal="center" vertical="center"/>
    </xf>
    <xf numFmtId="3" fontId="8" fillId="0" borderId="0" xfId="0" applyNumberFormat="1" applyFont="1" applyAlignment="1">
      <alignment horizontal="center" vertical="center"/>
    </xf>
    <xf numFmtId="3" fontId="17" fillId="0" borderId="0" xfId="0" applyNumberFormat="1" applyFont="1" applyAlignment="1">
      <alignment horizontal="center" vertical="center"/>
    </xf>
    <xf numFmtId="165" fontId="8" fillId="0" borderId="3" xfId="5" applyNumberFormat="1" applyFont="1" applyBorder="1" applyAlignment="1">
      <alignment horizontal="center" vertical="center"/>
    </xf>
    <xf numFmtId="165" fontId="8" fillId="0" borderId="2" xfId="5" applyNumberFormat="1" applyFont="1" applyBorder="1" applyAlignment="1">
      <alignment horizontal="center" vertical="center"/>
    </xf>
    <xf numFmtId="165" fontId="8" fillId="0" borderId="4" xfId="5" applyNumberFormat="1" applyFont="1" applyBorder="1" applyAlignment="1">
      <alignment horizontal="center" vertical="center"/>
    </xf>
    <xf numFmtId="165" fontId="8" fillId="0" borderId="7" xfId="5" applyNumberFormat="1" applyFont="1" applyBorder="1" applyAlignment="1">
      <alignment horizontal="center" vertical="center"/>
    </xf>
    <xf numFmtId="165" fontId="8" fillId="0" borderId="0" xfId="5" applyNumberFormat="1" applyFont="1" applyBorder="1" applyAlignment="1">
      <alignment horizontal="center" vertical="center"/>
    </xf>
    <xf numFmtId="165" fontId="8" fillId="0" borderId="8" xfId="5" applyNumberFormat="1" applyFont="1" applyBorder="1" applyAlignment="1">
      <alignment horizontal="center" vertical="center"/>
    </xf>
    <xf numFmtId="3" fontId="19" fillId="0" borderId="7" xfId="0" applyNumberFormat="1" applyFont="1" applyBorder="1" applyAlignment="1">
      <alignment horizontal="center" vertical="center"/>
    </xf>
    <xf numFmtId="3" fontId="19" fillId="0" borderId="0" xfId="0" applyNumberFormat="1" applyFont="1" applyAlignment="1">
      <alignment horizontal="center" vertical="center"/>
    </xf>
    <xf numFmtId="3" fontId="19" fillId="0" borderId="8" xfId="0" applyNumberFormat="1" applyFont="1" applyBorder="1" applyAlignment="1">
      <alignment horizontal="center" vertical="center"/>
    </xf>
    <xf numFmtId="43" fontId="33" fillId="0" borderId="7" xfId="1" applyFont="1" applyBorder="1" applyAlignment="1">
      <alignment horizontal="center" vertical="center"/>
    </xf>
    <xf numFmtId="43" fontId="33" fillId="0" borderId="8" xfId="1" applyFont="1" applyBorder="1" applyAlignment="1">
      <alignment horizontal="center" vertical="center"/>
    </xf>
    <xf numFmtId="0" fontId="0" fillId="0" borderId="3" xfId="0" applyBorder="1" applyAlignment="1">
      <alignment horizontal="center" vertical="top"/>
    </xf>
    <xf numFmtId="0" fontId="0" fillId="0" borderId="4" xfId="0" applyBorder="1" applyAlignment="1">
      <alignment horizontal="center"/>
    </xf>
    <xf numFmtId="43" fontId="46" fillId="0" borderId="7" xfId="1" applyFont="1" applyFill="1" applyBorder="1" applyAlignment="1">
      <alignment horizontal="center"/>
    </xf>
    <xf numFmtId="43" fontId="46" fillId="0" borderId="0" xfId="1" applyFont="1" applyFill="1" applyBorder="1" applyAlignment="1">
      <alignment horizontal="center"/>
    </xf>
    <xf numFmtId="165" fontId="11" fillId="0" borderId="7" xfId="5" applyNumberFormat="1" applyFont="1" applyBorder="1" applyAlignment="1">
      <alignment horizontal="left"/>
    </xf>
    <xf numFmtId="165" fontId="11" fillId="0" borderId="0" xfId="5" applyNumberFormat="1" applyFont="1" applyBorder="1" applyAlignment="1">
      <alignment horizontal="left"/>
    </xf>
    <xf numFmtId="165" fontId="11" fillId="0" borderId="7" xfId="5" applyNumberFormat="1" applyFont="1" applyFill="1" applyBorder="1" applyAlignment="1">
      <alignment horizontal="left"/>
    </xf>
    <xf numFmtId="165" fontId="11" fillId="0" borderId="0" xfId="5" applyNumberFormat="1" applyFont="1" applyFill="1" applyBorder="1" applyAlignment="1">
      <alignment horizontal="left"/>
    </xf>
    <xf numFmtId="165" fontId="16" fillId="0" borderId="7" xfId="5" applyNumberFormat="1" applyFont="1" applyBorder="1" applyAlignment="1">
      <alignment horizontal="center"/>
    </xf>
    <xf numFmtId="165" fontId="16" fillId="0" borderId="0" xfId="5" applyNumberFormat="1" applyFont="1" applyBorder="1" applyAlignment="1">
      <alignment horizontal="center"/>
    </xf>
    <xf numFmtId="165" fontId="9" fillId="0" borderId="7" xfId="5" applyNumberFormat="1" applyFont="1" applyBorder="1" applyAlignment="1">
      <alignment horizontal="center"/>
    </xf>
    <xf numFmtId="165" fontId="9" fillId="0" borderId="0" xfId="5" applyNumberFormat="1" applyFont="1" applyBorder="1" applyAlignment="1">
      <alignment horizontal="center"/>
    </xf>
    <xf numFmtId="165" fontId="9" fillId="0" borderId="8" xfId="5" applyNumberFormat="1" applyFont="1" applyBorder="1" applyAlignment="1">
      <alignment horizontal="center"/>
    </xf>
    <xf numFmtId="0" fontId="0" fillId="0" borderId="3" xfId="0" applyBorder="1" applyAlignment="1">
      <alignment horizontal="center"/>
    </xf>
    <xf numFmtId="0" fontId="0" fillId="0" borderId="2" xfId="0" applyBorder="1" applyAlignment="1">
      <alignment horizontal="center"/>
    </xf>
    <xf numFmtId="165" fontId="8" fillId="0" borderId="7" xfId="5" applyNumberFormat="1" applyFont="1" applyBorder="1" applyAlignment="1">
      <alignment horizontal="center"/>
    </xf>
    <xf numFmtId="165" fontId="8" fillId="0" borderId="0" xfId="5" applyNumberFormat="1" applyFont="1" applyBorder="1" applyAlignment="1">
      <alignment horizontal="center"/>
    </xf>
    <xf numFmtId="165" fontId="8" fillId="0" borderId="8" xfId="5" applyNumberFormat="1" applyFont="1" applyBorder="1" applyAlignment="1">
      <alignment horizontal="center"/>
    </xf>
    <xf numFmtId="165" fontId="16" fillId="0" borderId="3" xfId="5" applyNumberFormat="1" applyFont="1" applyBorder="1" applyAlignment="1">
      <alignment horizontal="center" vertical="center"/>
    </xf>
    <xf numFmtId="165" fontId="16" fillId="0" borderId="4" xfId="5" applyNumberFormat="1" applyFont="1" applyBorder="1" applyAlignment="1">
      <alignment horizontal="center" vertical="center"/>
    </xf>
    <xf numFmtId="165" fontId="8" fillId="0" borderId="3" xfId="5" applyNumberFormat="1" applyFont="1" applyBorder="1" applyAlignment="1">
      <alignment horizontal="center"/>
    </xf>
    <xf numFmtId="165" fontId="8" fillId="0" borderId="2" xfId="5" applyNumberFormat="1" applyFont="1" applyBorder="1" applyAlignment="1">
      <alignment horizontal="center"/>
    </xf>
    <xf numFmtId="165" fontId="8" fillId="0" borderId="4" xfId="5" applyNumberFormat="1" applyFont="1" applyBorder="1" applyAlignment="1">
      <alignment horizontal="center"/>
    </xf>
    <xf numFmtId="165" fontId="16" fillId="0" borderId="7" xfId="5" applyNumberFormat="1" applyFont="1" applyBorder="1" applyAlignment="1">
      <alignment horizontal="center" vertical="center"/>
    </xf>
    <xf numFmtId="165" fontId="16" fillId="0" borderId="8" xfId="5" applyNumberFormat="1" applyFont="1" applyBorder="1" applyAlignment="1">
      <alignment horizontal="center" vertical="center"/>
    </xf>
    <xf numFmtId="0" fontId="27" fillId="0" borderId="3" xfId="0" applyFont="1" applyBorder="1" applyAlignment="1">
      <alignment horizontal="center"/>
    </xf>
    <xf numFmtId="0" fontId="27" fillId="0" borderId="2" xfId="0" applyFont="1" applyBorder="1" applyAlignment="1">
      <alignment horizontal="center"/>
    </xf>
    <xf numFmtId="0" fontId="27" fillId="0" borderId="4" xfId="0" applyFont="1" applyBorder="1" applyAlignment="1">
      <alignment horizontal="center"/>
    </xf>
    <xf numFmtId="0" fontId="13" fillId="0" borderId="7" xfId="0" applyFont="1" applyBorder="1" applyAlignment="1">
      <alignment horizontal="center"/>
    </xf>
    <xf numFmtId="0" fontId="13" fillId="0" borderId="0" xfId="0" applyFont="1" applyAlignment="1">
      <alignment horizontal="center"/>
    </xf>
    <xf numFmtId="0" fontId="13" fillId="0" borderId="8" xfId="0" applyFont="1" applyBorder="1" applyAlignment="1">
      <alignment horizontal="center"/>
    </xf>
    <xf numFmtId="43" fontId="7" fillId="0" borderId="0" xfId="1" applyFont="1" applyAlignment="1">
      <alignment horizontal="center"/>
    </xf>
    <xf numFmtId="0" fontId="8" fillId="0" borderId="3" xfId="0" applyFont="1" applyBorder="1" applyAlignment="1">
      <alignment horizontal="center"/>
    </xf>
    <xf numFmtId="0" fontId="8" fillId="0" borderId="2" xfId="0" applyFont="1" applyBorder="1" applyAlignment="1">
      <alignment horizontal="center"/>
    </xf>
    <xf numFmtId="0" fontId="8" fillId="0" borderId="4" xfId="0" applyFont="1" applyBorder="1" applyAlignment="1">
      <alignment horizontal="center"/>
    </xf>
    <xf numFmtId="3" fontId="8" fillId="0" borderId="7" xfId="0" applyNumberFormat="1" applyFont="1" applyBorder="1" applyAlignment="1">
      <alignment horizontal="center"/>
    </xf>
    <xf numFmtId="0" fontId="8" fillId="0" borderId="0" xfId="0" applyFont="1" applyAlignment="1">
      <alignment horizontal="center"/>
    </xf>
    <xf numFmtId="0" fontId="8" fillId="0" borderId="8" xfId="0" applyFont="1" applyBorder="1" applyAlignment="1">
      <alignment horizontal="center"/>
    </xf>
    <xf numFmtId="3" fontId="8" fillId="0" borderId="7" xfId="0" applyNumberFormat="1" applyFont="1" applyBorder="1" applyAlignment="1">
      <alignment horizontal="center" vertical="center"/>
    </xf>
    <xf numFmtId="3" fontId="8" fillId="0" borderId="8" xfId="0" applyNumberFormat="1" applyFont="1" applyBorder="1" applyAlignment="1">
      <alignment horizontal="center" vertical="center"/>
    </xf>
    <xf numFmtId="0" fontId="11" fillId="0" borderId="0" xfId="0" applyFont="1" applyAlignment="1">
      <alignment horizontal="center"/>
    </xf>
    <xf numFmtId="0" fontId="11" fillId="0" borderId="8" xfId="0" applyFont="1" applyBorder="1" applyAlignment="1">
      <alignment horizontal="center"/>
    </xf>
    <xf numFmtId="3" fontId="8" fillId="0" borderId="3" xfId="0" applyNumberFormat="1" applyFont="1" applyBorder="1" applyAlignment="1">
      <alignment horizontal="center"/>
    </xf>
    <xf numFmtId="43" fontId="8" fillId="0" borderId="3" xfId="1" applyFont="1" applyFill="1" applyBorder="1" applyAlignment="1">
      <alignment horizontal="center"/>
    </xf>
    <xf numFmtId="43" fontId="8" fillId="0" borderId="2" xfId="1" applyFont="1" applyFill="1" applyBorder="1" applyAlignment="1">
      <alignment horizontal="center"/>
    </xf>
    <xf numFmtId="43" fontId="8" fillId="0" borderId="4" xfId="1" applyFont="1" applyFill="1" applyBorder="1" applyAlignment="1">
      <alignment horizontal="center"/>
    </xf>
    <xf numFmtId="0" fontId="8" fillId="0" borderId="7" xfId="0" applyFont="1" applyBorder="1" applyAlignment="1">
      <alignment horizontal="center"/>
    </xf>
    <xf numFmtId="3" fontId="8" fillId="0" borderId="0" xfId="0" applyNumberFormat="1" applyFont="1" applyAlignment="1">
      <alignment horizontal="center"/>
    </xf>
    <xf numFmtId="0" fontId="11" fillId="0" borderId="2" xfId="0" applyFont="1" applyBorder="1" applyAlignment="1">
      <alignment horizontal="center"/>
    </xf>
    <xf numFmtId="0" fontId="11" fillId="0" borderId="4" xfId="0" applyFont="1" applyBorder="1" applyAlignment="1">
      <alignment horizontal="center"/>
    </xf>
    <xf numFmtId="0" fontId="25" fillId="0" borderId="7" xfId="0" applyFont="1" applyBorder="1" applyAlignment="1">
      <alignment horizontal="center"/>
    </xf>
    <xf numFmtId="0" fontId="25" fillId="0" borderId="0" xfId="0" applyFont="1" applyAlignment="1">
      <alignment horizontal="center"/>
    </xf>
    <xf numFmtId="0" fontId="25" fillId="0" borderId="8" xfId="0" applyFont="1" applyBorder="1" applyAlignment="1">
      <alignment horizontal="center"/>
    </xf>
    <xf numFmtId="0" fontId="25" fillId="0" borderId="3" xfId="0" applyFont="1" applyBorder="1" applyAlignment="1">
      <alignment horizontal="center"/>
    </xf>
    <xf numFmtId="0" fontId="25" fillId="0" borderId="2" xfId="0" applyFont="1" applyBorder="1" applyAlignment="1">
      <alignment horizontal="center"/>
    </xf>
    <xf numFmtId="0" fontId="25" fillId="0" borderId="4" xfId="0" applyFont="1" applyBorder="1" applyAlignment="1">
      <alignment horizontal="center"/>
    </xf>
    <xf numFmtId="0" fontId="11" fillId="0" borderId="7" xfId="0" applyFont="1" applyBorder="1" applyAlignment="1">
      <alignment horizontal="center"/>
    </xf>
    <xf numFmtId="3" fontId="11" fillId="0" borderId="7" xfId="0" applyNumberFormat="1" applyFont="1" applyBorder="1" applyAlignment="1">
      <alignment horizontal="center"/>
    </xf>
    <xf numFmtId="3" fontId="11" fillId="0" borderId="0" xfId="0" applyNumberFormat="1" applyFont="1" applyAlignment="1">
      <alignment horizontal="center"/>
    </xf>
    <xf numFmtId="3" fontId="11" fillId="0" borderId="8" xfId="0" applyNumberFormat="1" applyFont="1" applyBorder="1" applyAlignment="1">
      <alignment horizontal="center"/>
    </xf>
    <xf numFmtId="3" fontId="11" fillId="0" borderId="7"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8" xfId="0" applyNumberFormat="1" applyFont="1" applyBorder="1" applyAlignment="1">
      <alignment horizontal="center" vertical="center"/>
    </xf>
    <xf numFmtId="0" fontId="11" fillId="0" borderId="3" xfId="0" applyFont="1" applyBorder="1" applyAlignment="1">
      <alignment horizontal="center"/>
    </xf>
    <xf numFmtId="3" fontId="11" fillId="0" borderId="3" xfId="0" applyNumberFormat="1" applyFont="1" applyBorder="1" applyAlignment="1">
      <alignment horizontal="center" vertical="center"/>
    </xf>
    <xf numFmtId="3" fontId="11" fillId="0" borderId="2" xfId="0" applyNumberFormat="1" applyFont="1" applyBorder="1" applyAlignment="1">
      <alignment horizontal="center" vertical="center"/>
    </xf>
    <xf numFmtId="3" fontId="11" fillId="0" borderId="4" xfId="0" applyNumberFormat="1" applyFont="1" applyBorder="1" applyAlignment="1">
      <alignment horizontal="center" vertical="center"/>
    </xf>
    <xf numFmtId="165" fontId="8" fillId="0" borderId="0" xfId="5" applyNumberFormat="1" applyFont="1" applyFill="1" applyBorder="1" applyAlignment="1">
      <alignment horizontal="center"/>
    </xf>
    <xf numFmtId="165" fontId="8" fillId="0" borderId="8" xfId="5" applyNumberFormat="1" applyFont="1" applyFill="1" applyBorder="1" applyAlignment="1">
      <alignment horizontal="center"/>
    </xf>
    <xf numFmtId="0" fontId="9" fillId="0" borderId="0" xfId="0" applyFont="1" applyAlignment="1">
      <alignment horizontal="center"/>
    </xf>
    <xf numFmtId="0" fontId="9" fillId="0" borderId="8" xfId="0" applyFont="1" applyBorder="1" applyAlignment="1">
      <alignment horizontal="center"/>
    </xf>
    <xf numFmtId="43" fontId="33" fillId="0" borderId="3" xfId="1" applyFont="1" applyBorder="1" applyAlignment="1">
      <alignment horizontal="center"/>
    </xf>
    <xf numFmtId="43" fontId="33" fillId="0" borderId="2" xfId="1" applyFont="1" applyBorder="1" applyAlignment="1">
      <alignment horizontal="center"/>
    </xf>
    <xf numFmtId="43" fontId="8" fillId="0" borderId="0" xfId="5" applyFont="1" applyAlignment="1">
      <alignment horizontal="center"/>
    </xf>
    <xf numFmtId="43" fontId="26" fillId="0" borderId="0" xfId="5" applyFont="1" applyAlignment="1">
      <alignment horizontal="center"/>
    </xf>
    <xf numFmtId="43" fontId="26" fillId="0" borderId="0" xfId="5" applyFont="1" applyBorder="1" applyAlignment="1">
      <alignment horizontal="center"/>
    </xf>
    <xf numFmtId="165" fontId="8" fillId="0" borderId="2" xfId="5" applyNumberFormat="1" applyFont="1" applyFill="1" applyBorder="1" applyAlignment="1">
      <alignment horizontal="center"/>
    </xf>
    <xf numFmtId="165" fontId="8" fillId="0" borderId="4" xfId="5" applyNumberFormat="1" applyFont="1" applyFill="1" applyBorder="1" applyAlignment="1">
      <alignment horizontal="center"/>
    </xf>
    <xf numFmtId="3" fontId="9" fillId="0" borderId="0" xfId="0" applyNumberFormat="1" applyFont="1" applyAlignment="1">
      <alignment horizontal="center" vertical="center"/>
    </xf>
    <xf numFmtId="3" fontId="9" fillId="0" borderId="8" xfId="0" applyNumberFormat="1" applyFont="1" applyBorder="1" applyAlignment="1">
      <alignment horizontal="center" vertical="center"/>
    </xf>
    <xf numFmtId="3" fontId="19" fillId="3" borderId="0" xfId="0" applyNumberFormat="1" applyFont="1" applyFill="1" applyAlignment="1">
      <alignment horizontal="center" vertical="center"/>
    </xf>
    <xf numFmtId="3" fontId="19" fillId="3" borderId="8" xfId="0" applyNumberFormat="1" applyFont="1" applyFill="1" applyBorder="1" applyAlignment="1">
      <alignment horizontal="center" vertical="center"/>
    </xf>
    <xf numFmtId="0" fontId="9" fillId="0" borderId="2" xfId="0" applyFont="1" applyBorder="1" applyAlignment="1">
      <alignment horizontal="center"/>
    </xf>
    <xf numFmtId="0" fontId="9" fillId="0" borderId="4" xfId="0" applyFont="1" applyBorder="1" applyAlignment="1">
      <alignment horizontal="center"/>
    </xf>
    <xf numFmtId="165" fontId="7" fillId="0" borderId="0" xfId="1" applyNumberFormat="1" applyFont="1" applyBorder="1" applyAlignment="1">
      <alignment horizontal="center"/>
    </xf>
    <xf numFmtId="0" fontId="8" fillId="0" borderId="1" xfId="0" applyFont="1" applyBorder="1" applyAlignment="1">
      <alignment horizontal="center"/>
    </xf>
    <xf numFmtId="165" fontId="33" fillId="0" borderId="0" xfId="5" applyNumberFormat="1" applyFont="1" applyBorder="1" applyAlignment="1">
      <alignment horizontal="center" vertical="center"/>
    </xf>
    <xf numFmtId="165" fontId="16" fillId="0" borderId="0" xfId="5" applyNumberFormat="1" applyFont="1" applyBorder="1" applyAlignment="1">
      <alignment horizontal="left" vertical="center"/>
    </xf>
    <xf numFmtId="0" fontId="7" fillId="0" borderId="0" xfId="0" applyFont="1" applyAlignment="1">
      <alignment horizontal="center"/>
    </xf>
    <xf numFmtId="165" fontId="16" fillId="0" borderId="7" xfId="5" applyNumberFormat="1" applyFont="1" applyBorder="1" applyAlignment="1">
      <alignment horizontal="left" vertical="center"/>
    </xf>
    <xf numFmtId="0" fontId="7" fillId="0" borderId="7" xfId="0" applyFont="1" applyBorder="1" applyAlignment="1">
      <alignment horizontal="center"/>
    </xf>
    <xf numFmtId="0" fontId="7" fillId="0" borderId="8"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3" fontId="0" fillId="0" borderId="7" xfId="0" applyNumberFormat="1" applyBorder="1" applyAlignment="1">
      <alignment horizontal="center"/>
    </xf>
    <xf numFmtId="3" fontId="0" fillId="0" borderId="0" xfId="0" applyNumberFormat="1" applyAlignment="1">
      <alignment horizontal="center"/>
    </xf>
    <xf numFmtId="3" fontId="0" fillId="0" borderId="8" xfId="0" applyNumberFormat="1" applyBorder="1" applyAlignment="1">
      <alignment horizontal="center"/>
    </xf>
    <xf numFmtId="0" fontId="0" fillId="0" borderId="7"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45" fillId="0" borderId="7" xfId="0" applyFont="1" applyBorder="1" applyAlignment="1">
      <alignment horizontal="center"/>
    </xf>
    <xf numFmtId="0" fontId="45" fillId="0" borderId="0" xfId="0" applyFont="1" applyAlignment="1">
      <alignment horizontal="center"/>
    </xf>
    <xf numFmtId="0" fontId="4" fillId="0" borderId="3" xfId="0" applyFont="1" applyBorder="1" applyAlignment="1">
      <alignment horizontal="center"/>
    </xf>
  </cellXfs>
  <cellStyles count="8">
    <cellStyle name="Comma" xfId="1" builtinId="3"/>
    <cellStyle name="Comma 2" xfId="5" xr:uid="{00000000-0005-0000-0000-000001000000}"/>
    <cellStyle name="Currency" xfId="2" builtinId="4"/>
    <cellStyle name="Currency 2" xfId="6" xr:uid="{00000000-0005-0000-0000-000003000000}"/>
    <cellStyle name="Normal" xfId="0" builtinId="0"/>
    <cellStyle name="Normal 2" xfId="4" xr:uid="{00000000-0005-0000-0000-000005000000}"/>
    <cellStyle name="Percent" xfId="3" builtinId="5"/>
    <cellStyle name="Percent 2" xfId="7" xr:uid="{00000000-0005-0000-0000-000007000000}"/>
  </cellStyles>
  <dxfs count="0"/>
  <tableStyles count="0" defaultTableStyle="TableStyleMedium9" defaultPivotStyle="PivotStyleLight16"/>
  <colors>
    <mruColors>
      <color rgb="FFFFFFCC"/>
      <color rgb="FFA0FE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C2:P96"/>
  <sheetViews>
    <sheetView showGridLines="0" topLeftCell="A51" zoomScaleNormal="100" workbookViewId="0">
      <selection activeCell="B3" sqref="B3:I84"/>
    </sheetView>
  </sheetViews>
  <sheetFormatPr defaultColWidth="8.765625" defaultRowHeight="15.5" x14ac:dyDescent="0.35"/>
  <cols>
    <col min="1" max="1" width="8.765625" style="27"/>
    <col min="2" max="2" width="1" style="27" customWidth="1"/>
    <col min="3" max="3" width="3.69140625" style="27" customWidth="1"/>
    <col min="4" max="4" width="1.3046875" style="27" customWidth="1"/>
    <col min="5" max="5" width="33.07421875" style="27" customWidth="1"/>
    <col min="6" max="6" width="11.4609375" style="27" bestFit="1" customWidth="1"/>
    <col min="7" max="7" width="10.4609375" style="27" customWidth="1"/>
    <col min="8" max="8" width="4.765625" style="135" customWidth="1"/>
    <col min="9" max="9" width="12.07421875" style="27" customWidth="1"/>
    <col min="10" max="10" width="0.84375" style="27" customWidth="1"/>
    <col min="11" max="11" width="13.61328125" style="27" customWidth="1"/>
    <col min="12" max="12" width="19.3828125" style="27" customWidth="1"/>
    <col min="13" max="13" width="14.84375" style="27" customWidth="1"/>
    <col min="14" max="14" width="24.07421875" style="27" customWidth="1"/>
    <col min="15" max="15" width="10.84375" style="27" customWidth="1"/>
    <col min="16" max="16384" width="8.765625" style="27"/>
  </cols>
  <sheetData>
    <row r="2" spans="3:15" ht="10" customHeight="1" x14ac:dyDescent="0.35"/>
    <row r="3" spans="3:15" ht="18.5" x14ac:dyDescent="0.35">
      <c r="C3" s="737" t="s">
        <v>33</v>
      </c>
      <c r="D3" s="737"/>
      <c r="E3" s="737"/>
      <c r="F3" s="737"/>
      <c r="G3" s="737"/>
      <c r="H3" s="737"/>
      <c r="I3" s="737"/>
      <c r="J3" s="122"/>
      <c r="K3" s="36"/>
      <c r="L3" s="36"/>
      <c r="M3" s="36"/>
      <c r="N3" s="36"/>
    </row>
    <row r="4" spans="3:15" ht="18.5" x14ac:dyDescent="0.35">
      <c r="C4" s="737" t="s">
        <v>127</v>
      </c>
      <c r="D4" s="737"/>
      <c r="E4" s="737"/>
      <c r="F4" s="737"/>
      <c r="G4" s="737"/>
      <c r="H4" s="737"/>
      <c r="I4" s="737"/>
      <c r="J4" s="122"/>
      <c r="K4" s="36"/>
      <c r="L4" s="36"/>
      <c r="M4" s="36"/>
      <c r="N4" s="36"/>
    </row>
    <row r="5" spans="3:15" ht="17.5" customHeight="1" x14ac:dyDescent="0.35">
      <c r="C5" s="737" t="s">
        <v>625</v>
      </c>
      <c r="D5" s="737"/>
      <c r="E5" s="737"/>
      <c r="F5" s="737"/>
      <c r="G5" s="737"/>
      <c r="H5" s="737"/>
      <c r="I5" s="737"/>
      <c r="J5" s="122"/>
      <c r="K5" s="36"/>
      <c r="L5" s="36"/>
      <c r="M5" s="36"/>
      <c r="N5" s="36"/>
    </row>
    <row r="6" spans="3:15" ht="16" customHeight="1" x14ac:dyDescent="0.45">
      <c r="C6" s="141"/>
      <c r="D6" s="580"/>
      <c r="E6" s="581"/>
      <c r="F6" s="582">
        <v>2023</v>
      </c>
      <c r="G6" s="583"/>
      <c r="H6" s="584"/>
      <c r="I6" s="581"/>
      <c r="J6" s="581"/>
      <c r="K6" s="36"/>
      <c r="L6" s="36"/>
      <c r="M6" s="36"/>
      <c r="N6" s="36"/>
    </row>
    <row r="7" spans="3:15" x14ac:dyDescent="0.35">
      <c r="C7" s="37"/>
      <c r="D7" s="37"/>
      <c r="E7" s="37"/>
      <c r="F7" s="585" t="s">
        <v>34</v>
      </c>
      <c r="G7" s="585" t="s">
        <v>35</v>
      </c>
      <c r="H7" s="586" t="s">
        <v>36</v>
      </c>
      <c r="I7" s="585" t="s">
        <v>37</v>
      </c>
      <c r="J7" s="585"/>
      <c r="K7" s="81"/>
      <c r="L7" s="32"/>
      <c r="M7" s="32"/>
      <c r="N7" s="32"/>
    </row>
    <row r="8" spans="3:15" x14ac:dyDescent="0.35">
      <c r="C8" s="587" t="s">
        <v>16</v>
      </c>
      <c r="D8" s="37"/>
      <c r="E8" s="37"/>
      <c r="F8" s="37"/>
      <c r="G8" s="37"/>
      <c r="H8" s="584"/>
      <c r="I8" s="37"/>
      <c r="J8" s="37"/>
      <c r="K8" s="81"/>
      <c r="L8" s="32"/>
      <c r="M8" s="32"/>
      <c r="N8" s="32"/>
    </row>
    <row r="9" spans="3:15" x14ac:dyDescent="0.35">
      <c r="C9" s="37"/>
      <c r="D9" s="37" t="s">
        <v>162</v>
      </c>
      <c r="E9" s="37"/>
      <c r="F9" s="136">
        <v>2847130.06</v>
      </c>
      <c r="G9" s="136"/>
      <c r="H9" s="584"/>
      <c r="I9" s="136"/>
      <c r="J9" s="136"/>
      <c r="K9" s="596"/>
      <c r="L9" s="32"/>
      <c r="M9" s="32"/>
      <c r="N9" s="32"/>
      <c r="O9" s="27">
        <f>G9/F9</f>
        <v>0</v>
      </c>
    </row>
    <row r="10" spans="3:15" x14ac:dyDescent="0.35">
      <c r="C10" s="37"/>
      <c r="D10" s="37" t="s">
        <v>163</v>
      </c>
      <c r="E10" s="37"/>
      <c r="F10" s="137">
        <v>289374.65000000002</v>
      </c>
      <c r="G10" s="298"/>
      <c r="H10" s="584"/>
      <c r="I10" s="298"/>
      <c r="J10" s="137"/>
      <c r="K10" s="596"/>
      <c r="L10" s="32"/>
      <c r="M10" s="32"/>
      <c r="N10" s="32"/>
    </row>
    <row r="11" spans="3:15" x14ac:dyDescent="0.35">
      <c r="C11" s="37"/>
      <c r="D11" s="37" t="s">
        <v>164</v>
      </c>
      <c r="E11" s="37"/>
      <c r="F11" s="137">
        <v>67410.460000000006</v>
      </c>
      <c r="G11" s="138"/>
      <c r="H11" s="584"/>
      <c r="I11" s="298"/>
      <c r="J11" s="137"/>
      <c r="K11" s="596"/>
      <c r="L11" s="32"/>
      <c r="M11" s="289"/>
      <c r="N11" s="289"/>
      <c r="O11" s="157"/>
    </row>
    <row r="12" spans="3:15" x14ac:dyDescent="0.35">
      <c r="C12" s="37"/>
      <c r="D12" s="37" t="s">
        <v>165</v>
      </c>
      <c r="E12" s="37"/>
      <c r="F12" s="137">
        <v>1252809.7</v>
      </c>
      <c r="G12" s="138"/>
      <c r="H12" s="584"/>
      <c r="I12" s="137"/>
      <c r="J12" s="137"/>
      <c r="K12" s="81"/>
      <c r="L12" s="32"/>
      <c r="M12" s="289">
        <f>SUM(F9:F12)</f>
        <v>4456724.87</v>
      </c>
      <c r="N12" s="289" t="s">
        <v>438</v>
      </c>
    </row>
    <row r="13" spans="3:15" x14ac:dyDescent="0.35">
      <c r="C13" s="37"/>
      <c r="D13" s="37"/>
      <c r="E13" s="37"/>
      <c r="F13" s="137"/>
      <c r="G13" s="138">
        <f>ExBAw!G15</f>
        <v>124160.25999999978</v>
      </c>
      <c r="H13" s="584" t="s">
        <v>82</v>
      </c>
      <c r="I13" s="137">
        <f>SUM(F9:F12)+G13</f>
        <v>4580885.13</v>
      </c>
      <c r="J13" s="137"/>
      <c r="K13" s="596"/>
      <c r="L13" s="32" t="s">
        <v>443</v>
      </c>
      <c r="M13" s="32"/>
      <c r="N13" s="32"/>
    </row>
    <row r="14" spans="3:15" x14ac:dyDescent="0.35">
      <c r="C14" s="37"/>
      <c r="D14" s="37" t="s">
        <v>17</v>
      </c>
      <c r="E14" s="37"/>
      <c r="F14" s="137"/>
      <c r="G14" s="138"/>
      <c r="H14" s="584"/>
      <c r="I14" s="137"/>
      <c r="J14" s="137"/>
      <c r="K14" s="596"/>
      <c r="L14" s="32"/>
      <c r="M14" s="32"/>
      <c r="N14" s="32"/>
    </row>
    <row r="15" spans="3:15" x14ac:dyDescent="0.35">
      <c r="C15" s="37"/>
      <c r="D15" s="37" t="s">
        <v>18</v>
      </c>
      <c r="E15" s="37"/>
      <c r="F15" s="137"/>
      <c r="G15" s="138"/>
      <c r="H15" s="584"/>
      <c r="I15" s="137"/>
      <c r="J15" s="137"/>
      <c r="K15" s="596"/>
      <c r="L15" s="32"/>
      <c r="M15" s="32"/>
      <c r="N15" s="32"/>
    </row>
    <row r="16" spans="3:15" x14ac:dyDescent="0.35">
      <c r="C16" s="37"/>
      <c r="D16" s="37"/>
      <c r="E16" s="37" t="s">
        <v>56</v>
      </c>
      <c r="F16" s="137"/>
      <c r="G16" s="138"/>
      <c r="H16" s="584"/>
      <c r="I16" s="137">
        <f t="shared" ref="I16:I18" si="0">F16+G16</f>
        <v>0</v>
      </c>
      <c r="J16" s="137"/>
      <c r="K16" s="596"/>
      <c r="L16" s="32"/>
      <c r="M16" s="32"/>
      <c r="N16" s="32"/>
    </row>
    <row r="17" spans="3:16" x14ac:dyDescent="0.35">
      <c r="C17" s="37"/>
      <c r="D17" s="37"/>
      <c r="E17" s="37" t="s">
        <v>166</v>
      </c>
      <c r="F17" s="137">
        <v>147599.41</v>
      </c>
      <c r="G17" s="138"/>
      <c r="H17" s="584"/>
      <c r="I17" s="137">
        <f t="shared" si="0"/>
        <v>147599.41</v>
      </c>
      <c r="J17" s="137"/>
      <c r="K17" s="596"/>
      <c r="L17" s="32"/>
      <c r="M17" s="32"/>
      <c r="N17" s="32"/>
    </row>
    <row r="18" spans="3:16" x14ac:dyDescent="0.35">
      <c r="C18" s="37"/>
      <c r="D18" s="37"/>
      <c r="E18" s="37" t="s">
        <v>167</v>
      </c>
      <c r="F18" s="137">
        <v>57977.78</v>
      </c>
      <c r="G18" s="138"/>
      <c r="H18" s="584"/>
      <c r="I18" s="137">
        <f t="shared" si="0"/>
        <v>57977.78</v>
      </c>
      <c r="J18" s="137"/>
      <c r="K18" s="596"/>
      <c r="L18" s="32"/>
      <c r="M18" s="32"/>
      <c r="N18" s="32"/>
    </row>
    <row r="19" spans="3:16" ht="16" x14ac:dyDescent="0.35">
      <c r="C19" s="37"/>
      <c r="D19" s="37"/>
      <c r="E19" s="37"/>
      <c r="F19" s="139"/>
      <c r="G19" s="138"/>
      <c r="H19" s="584"/>
      <c r="I19" s="139"/>
      <c r="J19" s="139"/>
      <c r="K19" s="596"/>
      <c r="L19" s="32"/>
      <c r="M19" s="32"/>
      <c r="N19" s="32"/>
    </row>
    <row r="20" spans="3:16" x14ac:dyDescent="0.35">
      <c r="C20" s="142" t="s">
        <v>19</v>
      </c>
      <c r="D20" s="37"/>
      <c r="E20" s="37"/>
      <c r="F20" s="136">
        <f>SUM(F9:F19)</f>
        <v>4662302.0600000005</v>
      </c>
      <c r="G20" s="136"/>
      <c r="H20" s="584"/>
      <c r="I20" s="136">
        <f>SUM(I9:I19)</f>
        <v>4786462.32</v>
      </c>
      <c r="J20" s="136"/>
      <c r="K20" s="81"/>
      <c r="M20" s="32"/>
      <c r="N20" s="32"/>
    </row>
    <row r="21" spans="3:16" x14ac:dyDescent="0.35">
      <c r="C21" s="37"/>
      <c r="D21" s="37"/>
      <c r="E21" s="37"/>
      <c r="F21" s="138"/>
      <c r="G21" s="37"/>
      <c r="H21" s="584"/>
      <c r="I21" s="138"/>
      <c r="J21" s="138"/>
      <c r="K21" s="81"/>
      <c r="L21" s="32"/>
      <c r="M21" s="32"/>
      <c r="N21" s="32"/>
    </row>
    <row r="22" spans="3:16" x14ac:dyDescent="0.35">
      <c r="C22" s="587" t="s">
        <v>20</v>
      </c>
      <c r="D22" s="37"/>
      <c r="E22" s="37"/>
      <c r="F22" s="138"/>
      <c r="G22" s="37"/>
      <c r="H22" s="584"/>
      <c r="I22" s="138"/>
      <c r="J22" s="138"/>
      <c r="K22" s="81"/>
      <c r="L22" s="32"/>
      <c r="M22" s="32"/>
      <c r="N22" s="32"/>
    </row>
    <row r="23" spans="3:16" x14ac:dyDescent="0.35">
      <c r="C23" s="37"/>
      <c r="D23" s="37" t="s">
        <v>38</v>
      </c>
      <c r="E23" s="37"/>
      <c r="F23" s="137"/>
      <c r="G23" s="37"/>
      <c r="H23" s="584"/>
      <c r="I23" s="138"/>
      <c r="J23" s="138"/>
      <c r="K23" s="81"/>
      <c r="L23" s="32"/>
      <c r="M23" s="32"/>
      <c r="N23" s="32"/>
    </row>
    <row r="24" spans="3:16" x14ac:dyDescent="0.35">
      <c r="C24" s="37"/>
      <c r="D24" s="37"/>
      <c r="E24" s="37" t="s">
        <v>2</v>
      </c>
      <c r="F24" s="137">
        <v>1030048.92</v>
      </c>
      <c r="G24" s="484">
        <f>Wages!I63</f>
        <v>156421.40037299984</v>
      </c>
      <c r="H24" s="134" t="s">
        <v>593</v>
      </c>
      <c r="I24" s="81"/>
      <c r="J24" s="81"/>
      <c r="K24" s="596"/>
      <c r="L24" s="27" t="s">
        <v>548</v>
      </c>
      <c r="P24" s="29"/>
    </row>
    <row r="25" spans="3:16" x14ac:dyDescent="0.35">
      <c r="C25" s="37"/>
      <c r="D25" s="37"/>
      <c r="E25" s="37"/>
      <c r="F25" s="137"/>
      <c r="G25" s="81">
        <f>-Adj!U8</f>
        <v>-13920</v>
      </c>
      <c r="H25" s="134" t="s">
        <v>111</v>
      </c>
      <c r="I25" s="81">
        <f>F24+G24+G25</f>
        <v>1172550.3203729999</v>
      </c>
      <c r="J25" s="81"/>
      <c r="K25" s="596"/>
      <c r="L25" s="315" t="s">
        <v>454</v>
      </c>
      <c r="M25" s="32"/>
      <c r="N25" s="32"/>
      <c r="O25" s="29" t="s">
        <v>455</v>
      </c>
    </row>
    <row r="26" spans="3:16" x14ac:dyDescent="0.35">
      <c r="C26" s="37"/>
      <c r="D26" s="37"/>
      <c r="E26" s="37" t="s">
        <v>3</v>
      </c>
      <c r="F26" s="137">
        <v>153654.10999999999</v>
      </c>
      <c r="G26" s="484">
        <f>Wages!I67</f>
        <v>47857.890000000014</v>
      </c>
      <c r="H26" s="584" t="s">
        <v>112</v>
      </c>
      <c r="I26" s="81">
        <f t="shared" ref="I26" si="1">F26+G26</f>
        <v>201512</v>
      </c>
      <c r="J26" s="81"/>
      <c r="K26" s="596"/>
      <c r="L26" s="27" t="s">
        <v>553</v>
      </c>
      <c r="M26" s="38"/>
      <c r="N26" s="38"/>
      <c r="O26" s="27" t="s">
        <v>552</v>
      </c>
    </row>
    <row r="27" spans="3:16" x14ac:dyDescent="0.35">
      <c r="C27" s="37"/>
      <c r="D27" s="37"/>
      <c r="E27" s="37"/>
      <c r="F27" s="137"/>
      <c r="G27" s="81"/>
      <c r="H27" s="584"/>
      <c r="I27" s="81"/>
      <c r="J27" s="81"/>
      <c r="K27" s="596"/>
      <c r="L27" s="38"/>
      <c r="M27" s="38"/>
      <c r="N27" s="38"/>
    </row>
    <row r="28" spans="3:16" x14ac:dyDescent="0.35">
      <c r="C28" s="37"/>
      <c r="D28" s="37"/>
      <c r="E28" s="37" t="s">
        <v>4</v>
      </c>
      <c r="F28" s="137">
        <v>451927.68</v>
      </c>
      <c r="G28" s="81">
        <f>Wages!I80</f>
        <v>38388.445589485375</v>
      </c>
      <c r="H28" s="134" t="s">
        <v>113</v>
      </c>
      <c r="I28" s="81"/>
      <c r="J28" s="81"/>
      <c r="K28" s="596"/>
      <c r="L28" s="32" t="s">
        <v>559</v>
      </c>
      <c r="M28" s="32"/>
      <c r="N28" s="32"/>
      <c r="O28" s="27" t="s">
        <v>561</v>
      </c>
    </row>
    <row r="29" spans="3:16" x14ac:dyDescent="0.35">
      <c r="C29" s="37"/>
      <c r="D29" s="37"/>
      <c r="E29" s="37"/>
      <c r="F29" s="137"/>
      <c r="G29" s="81">
        <f>Medical!J43</f>
        <v>34449.011359199998</v>
      </c>
      <c r="H29" s="584" t="s">
        <v>114</v>
      </c>
      <c r="I29" s="81">
        <f>SUM(F28:G29)</f>
        <v>524765.13694868539</v>
      </c>
      <c r="J29" s="81"/>
      <c r="K29" s="596"/>
      <c r="L29" s="32" t="s">
        <v>531</v>
      </c>
      <c r="M29" s="32"/>
      <c r="N29" s="32"/>
      <c r="O29" s="27" t="s">
        <v>652</v>
      </c>
    </row>
    <row r="30" spans="3:16" x14ac:dyDescent="0.35">
      <c r="C30" s="37"/>
      <c r="D30" s="37"/>
      <c r="E30" s="37" t="s">
        <v>87</v>
      </c>
      <c r="F30" s="137"/>
      <c r="G30" s="81">
        <f>Adj!E45</f>
        <v>0</v>
      </c>
      <c r="H30" s="584"/>
      <c r="I30" s="137">
        <f t="shared" ref="I30:I45" si="2">F30+G30</f>
        <v>0</v>
      </c>
      <c r="J30" s="137"/>
      <c r="K30" s="596"/>
      <c r="L30" s="32"/>
      <c r="M30" s="32"/>
      <c r="N30" s="32"/>
    </row>
    <row r="31" spans="3:16" x14ac:dyDescent="0.35">
      <c r="C31" s="37"/>
      <c r="D31" s="37"/>
      <c r="E31" s="37" t="s">
        <v>5</v>
      </c>
      <c r="F31" s="137">
        <v>388925.57</v>
      </c>
      <c r="G31" s="81"/>
      <c r="H31" s="584"/>
      <c r="I31" s="137">
        <f t="shared" si="2"/>
        <v>388925.57</v>
      </c>
      <c r="J31" s="137"/>
      <c r="K31" s="597"/>
      <c r="L31" s="32"/>
      <c r="M31" s="32"/>
      <c r="N31" s="32"/>
    </row>
    <row r="32" spans="3:16" x14ac:dyDescent="0.35">
      <c r="C32" s="37"/>
      <c r="D32" s="37"/>
      <c r="E32" s="37" t="s">
        <v>27</v>
      </c>
      <c r="F32" s="137">
        <v>180331.07</v>
      </c>
      <c r="G32" s="81"/>
      <c r="H32" s="584"/>
      <c r="I32" s="137">
        <f t="shared" si="2"/>
        <v>180331.07</v>
      </c>
      <c r="J32" s="137"/>
      <c r="K32" s="597"/>
      <c r="L32" s="32"/>
      <c r="M32" s="32"/>
      <c r="N32" s="32"/>
    </row>
    <row r="33" spans="3:16" x14ac:dyDescent="0.35">
      <c r="C33" s="37"/>
      <c r="D33" s="37"/>
      <c r="E33" s="37" t="s">
        <v>6</v>
      </c>
      <c r="F33" s="137">
        <v>350321.12</v>
      </c>
      <c r="G33" s="81">
        <f>-Adj!U9</f>
        <v>-32479.999999999996</v>
      </c>
      <c r="H33" s="134" t="s">
        <v>111</v>
      </c>
      <c r="I33" s="137">
        <f t="shared" si="2"/>
        <v>317841.12</v>
      </c>
      <c r="J33" s="137"/>
      <c r="K33" s="596"/>
      <c r="L33" s="315" t="s">
        <v>453</v>
      </c>
      <c r="M33" s="32"/>
      <c r="N33" s="32"/>
      <c r="O33" s="29" t="s">
        <v>456</v>
      </c>
      <c r="P33" s="29"/>
    </row>
    <row r="34" spans="3:16" x14ac:dyDescent="0.35">
      <c r="C34" s="37"/>
      <c r="D34" s="37"/>
      <c r="E34" s="37" t="s">
        <v>171</v>
      </c>
      <c r="F34" s="137">
        <v>39700</v>
      </c>
      <c r="G34" s="81"/>
      <c r="H34" s="584"/>
      <c r="I34" s="137">
        <f t="shared" si="2"/>
        <v>39700</v>
      </c>
      <c r="J34" s="137"/>
      <c r="K34" s="596"/>
      <c r="L34" s="32"/>
      <c r="M34" s="32"/>
      <c r="N34" s="32"/>
    </row>
    <row r="35" spans="3:16" x14ac:dyDescent="0.35">
      <c r="C35" s="37"/>
      <c r="D35" s="37"/>
      <c r="E35" s="37" t="s">
        <v>172</v>
      </c>
      <c r="F35" s="137">
        <v>21144.03</v>
      </c>
      <c r="G35" s="81"/>
      <c r="H35" s="584"/>
      <c r="I35" s="137">
        <f t="shared" si="2"/>
        <v>21144.03</v>
      </c>
      <c r="J35" s="137"/>
      <c r="K35" s="596"/>
      <c r="L35" s="32"/>
      <c r="M35" s="32"/>
      <c r="N35" s="32"/>
    </row>
    <row r="36" spans="3:16" x14ac:dyDescent="0.35">
      <c r="C36" s="37"/>
      <c r="D36" s="37"/>
      <c r="E36" s="37" t="s">
        <v>168</v>
      </c>
      <c r="F36" s="137">
        <v>1607.96</v>
      </c>
      <c r="G36" s="81"/>
      <c r="H36" s="584"/>
      <c r="I36" s="137">
        <f t="shared" si="2"/>
        <v>1607.96</v>
      </c>
      <c r="J36" s="137"/>
      <c r="K36" s="596"/>
      <c r="L36" s="32"/>
      <c r="M36" s="32"/>
      <c r="N36" s="32"/>
    </row>
    <row r="37" spans="3:16" x14ac:dyDescent="0.35">
      <c r="C37" s="37"/>
      <c r="D37" s="37"/>
      <c r="E37" s="37" t="s">
        <v>169</v>
      </c>
      <c r="F37" s="137">
        <v>1472.08</v>
      </c>
      <c r="G37" s="81"/>
      <c r="H37" s="584"/>
      <c r="I37" s="137">
        <f t="shared" si="2"/>
        <v>1472.08</v>
      </c>
      <c r="J37" s="137"/>
      <c r="K37" s="596"/>
      <c r="L37" s="32"/>
      <c r="M37" s="32"/>
      <c r="N37" s="32"/>
    </row>
    <row r="38" spans="3:16" x14ac:dyDescent="0.35">
      <c r="C38" s="37"/>
      <c r="D38" s="37"/>
      <c r="E38" s="37" t="s">
        <v>170</v>
      </c>
      <c r="F38" s="137">
        <v>382888.52</v>
      </c>
      <c r="G38" s="81"/>
      <c r="H38" s="584"/>
      <c r="I38" s="137">
        <f t="shared" si="2"/>
        <v>382888.52</v>
      </c>
      <c r="J38" s="137"/>
      <c r="K38" s="596"/>
      <c r="L38" s="32"/>
      <c r="M38" s="32"/>
      <c r="N38" s="32"/>
    </row>
    <row r="39" spans="3:16" x14ac:dyDescent="0.35">
      <c r="C39" s="37"/>
      <c r="D39" s="37"/>
      <c r="E39" s="37" t="s">
        <v>8</v>
      </c>
      <c r="F39" s="137">
        <v>131475.41</v>
      </c>
      <c r="G39" s="81"/>
      <c r="H39" s="134"/>
      <c r="I39" s="137">
        <f t="shared" si="2"/>
        <v>131475.41</v>
      </c>
      <c r="J39" s="137"/>
      <c r="K39" s="596"/>
      <c r="L39" s="32"/>
      <c r="M39" s="32"/>
      <c r="N39" s="32"/>
    </row>
    <row r="40" spans="3:16" x14ac:dyDescent="0.35">
      <c r="C40" s="37"/>
      <c r="D40" s="37"/>
      <c r="E40" s="37" t="s">
        <v>173</v>
      </c>
      <c r="F40" s="137">
        <v>25786.27</v>
      </c>
      <c r="G40" s="81"/>
      <c r="H40" s="584"/>
      <c r="I40" s="137">
        <f t="shared" si="2"/>
        <v>25786.27</v>
      </c>
      <c r="J40" s="137"/>
      <c r="K40" s="81"/>
      <c r="L40" s="32"/>
      <c r="M40" s="32"/>
      <c r="N40" s="32"/>
    </row>
    <row r="41" spans="3:16" x14ac:dyDescent="0.35">
      <c r="C41" s="37"/>
      <c r="D41" s="37"/>
      <c r="E41" s="37" t="s">
        <v>174</v>
      </c>
      <c r="F41" s="137">
        <v>24948.400000000001</v>
      </c>
      <c r="G41" s="81"/>
      <c r="H41" s="584"/>
      <c r="I41" s="137">
        <f t="shared" si="2"/>
        <v>24948.400000000001</v>
      </c>
      <c r="J41" s="137"/>
      <c r="K41" s="81"/>
      <c r="L41" s="32"/>
      <c r="M41" s="32"/>
      <c r="N41" s="32"/>
    </row>
    <row r="42" spans="3:16" x14ac:dyDescent="0.35">
      <c r="C42" s="37"/>
      <c r="D42" s="37"/>
      <c r="E42" s="37" t="s">
        <v>175</v>
      </c>
      <c r="F42" s="137">
        <v>47597.67</v>
      </c>
      <c r="G42" s="81"/>
      <c r="H42" s="584"/>
      <c r="I42" s="137">
        <f t="shared" si="2"/>
        <v>47597.67</v>
      </c>
      <c r="J42" s="137"/>
      <c r="K42" s="81"/>
      <c r="L42" s="32"/>
      <c r="M42" s="32"/>
      <c r="N42" s="32"/>
    </row>
    <row r="43" spans="3:16" x14ac:dyDescent="0.35">
      <c r="C43" s="37"/>
      <c r="D43" s="37"/>
      <c r="E43" s="37" t="s">
        <v>79</v>
      </c>
      <c r="F43" s="137">
        <v>16580.55</v>
      </c>
      <c r="G43" s="81"/>
      <c r="H43" s="584"/>
      <c r="I43" s="137">
        <f t="shared" si="2"/>
        <v>16580.55</v>
      </c>
      <c r="J43" s="137"/>
      <c r="K43" s="81"/>
      <c r="L43" s="32"/>
      <c r="M43" s="32"/>
      <c r="N43" s="32"/>
    </row>
    <row r="44" spans="3:16" x14ac:dyDescent="0.35">
      <c r="C44" s="37"/>
      <c r="D44" s="37"/>
      <c r="E44" s="37" t="s">
        <v>504</v>
      </c>
      <c r="F44" s="137">
        <v>1083.76</v>
      </c>
      <c r="G44" s="81">
        <f>Adj!T21</f>
        <v>2898</v>
      </c>
      <c r="H44" s="584" t="s">
        <v>115</v>
      </c>
      <c r="I44" s="137">
        <f t="shared" si="2"/>
        <v>3981.76</v>
      </c>
      <c r="J44" s="137"/>
      <c r="K44" s="81"/>
      <c r="L44" s="32" t="s">
        <v>536</v>
      </c>
      <c r="M44" s="32"/>
      <c r="N44" s="32"/>
      <c r="O44" s="29" t="s">
        <v>537</v>
      </c>
    </row>
    <row r="45" spans="3:16" ht="16" x14ac:dyDescent="0.35">
      <c r="C45" s="37"/>
      <c r="D45" s="37"/>
      <c r="E45" s="37" t="s">
        <v>7</v>
      </c>
      <c r="F45" s="139">
        <v>142282.69</v>
      </c>
      <c r="G45" s="140"/>
      <c r="H45" s="588"/>
      <c r="I45" s="139">
        <f t="shared" si="2"/>
        <v>142282.69</v>
      </c>
      <c r="J45" s="139"/>
      <c r="K45" s="81"/>
      <c r="L45" s="32"/>
      <c r="M45" s="32"/>
      <c r="N45" s="32"/>
    </row>
    <row r="46" spans="3:16" x14ac:dyDescent="0.35">
      <c r="C46" s="37"/>
      <c r="D46" s="37" t="s">
        <v>39</v>
      </c>
      <c r="E46" s="37"/>
      <c r="F46" s="168">
        <f>SUM(F24:F45)</f>
        <v>3391775.8099999996</v>
      </c>
      <c r="G46" s="138">
        <f>SUM(G24:G45)</f>
        <v>233614.74732168519</v>
      </c>
      <c r="H46" s="584"/>
      <c r="I46" s="138">
        <f>SUM(I24:I45)</f>
        <v>3625390.5573216844</v>
      </c>
      <c r="J46" s="138"/>
      <c r="K46" s="81"/>
      <c r="L46" s="32"/>
      <c r="M46" s="708"/>
      <c r="N46" s="32"/>
    </row>
    <row r="47" spans="3:16" ht="4" customHeight="1" x14ac:dyDescent="0.35">
      <c r="C47" s="37"/>
      <c r="D47" s="37"/>
      <c r="E47" s="37"/>
      <c r="F47" s="137"/>
      <c r="G47" s="81"/>
      <c r="H47" s="584"/>
      <c r="I47" s="138"/>
      <c r="J47" s="138"/>
      <c r="K47" s="81"/>
      <c r="L47" s="32"/>
      <c r="M47" s="32"/>
      <c r="N47" s="32"/>
    </row>
    <row r="48" spans="3:16" x14ac:dyDescent="0.35">
      <c r="C48" s="37"/>
      <c r="D48" s="37" t="s">
        <v>21</v>
      </c>
      <c r="E48" s="37"/>
      <c r="F48" s="137">
        <v>1088577</v>
      </c>
      <c r="G48" s="81">
        <f>Depr!J42</f>
        <v>-21558.533857142851</v>
      </c>
      <c r="H48" s="134" t="s">
        <v>116</v>
      </c>
      <c r="I48" s="138">
        <f>F48+G48</f>
        <v>1067018.4661428572</v>
      </c>
      <c r="J48" s="138"/>
      <c r="K48" s="596"/>
      <c r="L48" s="32"/>
      <c r="M48" s="32"/>
    </row>
    <row r="49" spans="3:15" x14ac:dyDescent="0.35">
      <c r="C49" s="37"/>
      <c r="D49" s="37" t="s">
        <v>1</v>
      </c>
      <c r="E49" s="37"/>
      <c r="F49" s="137">
        <v>95021.86</v>
      </c>
      <c r="G49" s="81">
        <f>Wages!I74</f>
        <v>11158.787508534486</v>
      </c>
      <c r="H49" s="134" t="s">
        <v>117</v>
      </c>
      <c r="I49" s="138">
        <f>F49+G49</f>
        <v>106180.64750853449</v>
      </c>
      <c r="J49" s="138"/>
      <c r="K49" s="596"/>
      <c r="L49" s="32" t="s">
        <v>544</v>
      </c>
      <c r="M49" s="32"/>
    </row>
    <row r="50" spans="3:15" ht="16" x14ac:dyDescent="0.35">
      <c r="C50" s="37"/>
      <c r="D50" s="37" t="s">
        <v>494</v>
      </c>
      <c r="E50" s="37"/>
      <c r="F50" s="473">
        <v>32302.68</v>
      </c>
      <c r="G50" s="81">
        <v>-32303</v>
      </c>
      <c r="H50" s="134" t="s">
        <v>598</v>
      </c>
      <c r="I50" s="139">
        <f>F50+G50</f>
        <v>-0.31999999999970896</v>
      </c>
      <c r="J50" s="139"/>
      <c r="K50" s="596"/>
      <c r="L50" s="32" t="s">
        <v>635</v>
      </c>
      <c r="M50" s="32"/>
      <c r="N50" s="32"/>
    </row>
    <row r="51" spans="3:15" x14ac:dyDescent="0.35">
      <c r="C51" s="142" t="s">
        <v>0</v>
      </c>
      <c r="D51" s="37"/>
      <c r="E51" s="37"/>
      <c r="F51" s="589">
        <f>SUM(F46:F50)</f>
        <v>4607677.3499999996</v>
      </c>
      <c r="G51" s="136">
        <f>SUM(G46:G50)</f>
        <v>190912.00097307685</v>
      </c>
      <c r="H51" s="584"/>
      <c r="I51" s="136">
        <f>SUM(I46:I50)</f>
        <v>4798589.3509730762</v>
      </c>
      <c r="J51" s="136"/>
      <c r="K51" s="81"/>
      <c r="M51" s="708"/>
      <c r="N51" s="32"/>
    </row>
    <row r="52" spans="3:15" ht="4" customHeight="1" x14ac:dyDescent="0.35">
      <c r="C52" s="142"/>
      <c r="D52" s="37"/>
      <c r="E52" s="37"/>
      <c r="F52" s="138"/>
      <c r="G52" s="37"/>
      <c r="H52" s="584"/>
      <c r="I52" s="138"/>
      <c r="J52" s="138"/>
      <c r="K52" s="81"/>
      <c r="L52" s="32"/>
      <c r="M52" s="32"/>
      <c r="N52" s="32"/>
    </row>
    <row r="53" spans="3:15" x14ac:dyDescent="0.35">
      <c r="C53" s="142" t="s">
        <v>22</v>
      </c>
      <c r="D53" s="37"/>
      <c r="E53" s="37"/>
      <c r="F53" s="589">
        <f>F20-F51</f>
        <v>54624.710000000894</v>
      </c>
      <c r="G53" s="136"/>
      <c r="H53" s="584"/>
      <c r="I53" s="136">
        <f>I20-I51</f>
        <v>-12127.030973075889</v>
      </c>
      <c r="J53" s="136"/>
      <c r="K53" s="81"/>
      <c r="L53" s="32"/>
      <c r="N53" s="32"/>
      <c r="O53" s="64"/>
    </row>
    <row r="54" spans="3:15" hidden="1" x14ac:dyDescent="0.35">
      <c r="C54" s="37"/>
      <c r="D54" s="37"/>
      <c r="E54" s="37"/>
      <c r="F54" s="138"/>
      <c r="G54" s="37"/>
      <c r="H54" s="584"/>
      <c r="I54" s="138"/>
      <c r="J54" s="138"/>
      <c r="K54" s="81"/>
      <c r="L54" s="32"/>
      <c r="M54" s="32"/>
      <c r="N54" s="32"/>
    </row>
    <row r="55" spans="3:15" ht="18.5" hidden="1" x14ac:dyDescent="0.35">
      <c r="C55" s="736" t="s">
        <v>23</v>
      </c>
      <c r="D55" s="736"/>
      <c r="E55" s="736"/>
      <c r="F55" s="736"/>
      <c r="G55" s="736"/>
      <c r="H55" s="736"/>
      <c r="I55" s="736"/>
      <c r="J55" s="575"/>
      <c r="K55" s="81"/>
      <c r="L55" s="32"/>
      <c r="M55" s="32"/>
      <c r="N55" s="32"/>
    </row>
    <row r="56" spans="3:15" ht="14.5" hidden="1" customHeight="1" x14ac:dyDescent="0.35">
      <c r="C56" s="37"/>
      <c r="D56" s="37"/>
      <c r="E56" s="37" t="s">
        <v>539</v>
      </c>
      <c r="F56" s="138"/>
      <c r="G56" s="585"/>
      <c r="H56" s="586"/>
      <c r="I56" s="138"/>
      <c r="J56" s="138"/>
      <c r="K56" s="81"/>
      <c r="L56" s="32"/>
      <c r="M56" s="32"/>
      <c r="N56" s="32"/>
    </row>
    <row r="57" spans="3:15" hidden="1" x14ac:dyDescent="0.35">
      <c r="C57" s="590" t="s">
        <v>40</v>
      </c>
      <c r="D57" s="591"/>
      <c r="E57" s="591"/>
      <c r="F57" s="592"/>
      <c r="G57" s="591"/>
      <c r="H57" s="593"/>
      <c r="I57" s="370">
        <f>I51</f>
        <v>4798589.3509730762</v>
      </c>
      <c r="J57" s="84"/>
      <c r="K57" s="38"/>
      <c r="L57" s="84"/>
    </row>
    <row r="58" spans="3:15" hidden="1" x14ac:dyDescent="0.35">
      <c r="C58" s="591" t="s">
        <v>88</v>
      </c>
      <c r="D58" s="591"/>
      <c r="E58" s="591"/>
      <c r="F58" s="592"/>
      <c r="G58" s="591"/>
      <c r="H58" s="594"/>
      <c r="I58" s="371">
        <v>0.88</v>
      </c>
      <c r="J58" s="97"/>
      <c r="K58" s="38"/>
      <c r="L58" s="97"/>
    </row>
    <row r="59" spans="3:15" hidden="1" x14ac:dyDescent="0.35">
      <c r="C59" s="591" t="s">
        <v>89</v>
      </c>
      <c r="D59" s="592"/>
      <c r="E59" s="592"/>
      <c r="F59" s="592"/>
      <c r="G59" s="591"/>
      <c r="H59" s="593"/>
      <c r="I59" s="184">
        <f>I57/I58</f>
        <v>5452942.444287587</v>
      </c>
      <c r="J59" s="12"/>
      <c r="K59" s="38"/>
      <c r="L59" s="12">
        <f>I59-I57</f>
        <v>654353.09331451077</v>
      </c>
      <c r="N59" s="64"/>
    </row>
    <row r="60" spans="3:15" ht="17" hidden="1" x14ac:dyDescent="0.5">
      <c r="C60" s="591" t="s">
        <v>24</v>
      </c>
      <c r="D60" s="591"/>
      <c r="E60" s="591" t="s">
        <v>90</v>
      </c>
      <c r="F60" s="592"/>
      <c r="G60" s="591"/>
      <c r="H60" s="594"/>
      <c r="I60" s="372">
        <f>'Debt Serv'!M34</f>
        <v>209867.61449500002</v>
      </c>
      <c r="J60" s="18"/>
      <c r="K60" s="38"/>
      <c r="L60" s="18">
        <f>L59+I60</f>
        <v>864220.70780951076</v>
      </c>
      <c r="M60" s="27" t="s">
        <v>653</v>
      </c>
    </row>
    <row r="61" spans="3:15" hidden="1" x14ac:dyDescent="0.35">
      <c r="C61" s="590" t="s">
        <v>91</v>
      </c>
      <c r="D61" s="591"/>
      <c r="E61" s="591"/>
      <c r="F61" s="592"/>
      <c r="G61" s="591"/>
      <c r="H61" s="593"/>
      <c r="I61" s="184">
        <f>I59+I60</f>
        <v>5662810.0587825868</v>
      </c>
      <c r="J61" s="12"/>
      <c r="K61" s="38"/>
      <c r="L61" s="12"/>
    </row>
    <row r="62" spans="3:15" hidden="1" x14ac:dyDescent="0.35">
      <c r="C62" s="591" t="s">
        <v>25</v>
      </c>
      <c r="D62" s="591"/>
      <c r="E62" s="591" t="s">
        <v>26</v>
      </c>
      <c r="F62" s="592"/>
      <c r="G62" s="591"/>
      <c r="H62" s="593"/>
      <c r="I62" s="184">
        <f>-SUM(I17:I18)</f>
        <v>-205577.19</v>
      </c>
      <c r="J62" s="12"/>
      <c r="L62" s="12"/>
      <c r="N62" s="38"/>
    </row>
    <row r="63" spans="3:15" ht="17" hidden="1" x14ac:dyDescent="0.5">
      <c r="C63" s="591"/>
      <c r="D63" s="591"/>
      <c r="E63" s="591" t="s">
        <v>10</v>
      </c>
      <c r="F63" s="373"/>
      <c r="G63" s="356"/>
      <c r="H63" s="593"/>
      <c r="I63" s="372">
        <v>-41485.51</v>
      </c>
      <c r="J63" s="18"/>
      <c r="K63" s="368"/>
      <c r="L63" s="18"/>
      <c r="M63" s="38" t="s">
        <v>445</v>
      </c>
      <c r="N63" s="38"/>
    </row>
    <row r="64" spans="3:15" hidden="1" x14ac:dyDescent="0.35">
      <c r="C64" s="590" t="s">
        <v>92</v>
      </c>
      <c r="D64" s="591"/>
      <c r="E64" s="591"/>
      <c r="F64" s="592"/>
      <c r="G64" s="591"/>
      <c r="H64" s="593"/>
      <c r="I64" s="184">
        <f>SUM(I61:I63)</f>
        <v>5415747.3587825866</v>
      </c>
      <c r="J64" s="12"/>
      <c r="K64" s="598"/>
      <c r="L64" s="12"/>
      <c r="M64" s="38"/>
      <c r="N64" s="38"/>
    </row>
    <row r="65" spans="3:14" hidden="1" x14ac:dyDescent="0.35">
      <c r="C65" s="591" t="s">
        <v>25</v>
      </c>
      <c r="D65" s="591"/>
      <c r="E65" s="591" t="s">
        <v>93</v>
      </c>
      <c r="F65" s="592"/>
      <c r="G65" s="591"/>
      <c r="H65" s="593"/>
      <c r="I65" s="374">
        <f>I13</f>
        <v>4580885.13</v>
      </c>
      <c r="J65" s="100"/>
      <c r="K65" s="598"/>
      <c r="L65" s="100"/>
      <c r="M65" s="38"/>
      <c r="N65" s="38"/>
    </row>
    <row r="66" spans="3:14" hidden="1" x14ac:dyDescent="0.35">
      <c r="C66" s="590" t="s">
        <v>94</v>
      </c>
      <c r="D66" s="591"/>
      <c r="E66" s="591"/>
      <c r="F66" s="592"/>
      <c r="G66" s="591"/>
      <c r="H66" s="593"/>
      <c r="I66" s="370">
        <f>I64-I65</f>
        <v>834862.22878258675</v>
      </c>
      <c r="J66" s="84"/>
      <c r="K66" s="38"/>
      <c r="L66" s="84"/>
      <c r="M66" s="38"/>
      <c r="N66" s="38"/>
    </row>
    <row r="67" spans="3:14" ht="6" hidden="1" customHeight="1" x14ac:dyDescent="0.35">
      <c r="C67" s="591"/>
      <c r="D67" s="591"/>
      <c r="E67" s="591"/>
      <c r="F67" s="592"/>
      <c r="G67" s="591"/>
      <c r="H67" s="593"/>
      <c r="I67" s="591"/>
      <c r="J67" s="37"/>
      <c r="K67" s="38"/>
      <c r="L67" s="37"/>
      <c r="M67" s="38"/>
      <c r="N67" s="38"/>
    </row>
    <row r="68" spans="3:14" hidden="1" x14ac:dyDescent="0.35">
      <c r="C68" s="590" t="s">
        <v>95</v>
      </c>
      <c r="D68" s="591"/>
      <c r="E68" s="591"/>
      <c r="F68" s="592"/>
      <c r="G68" s="591"/>
      <c r="H68" s="593"/>
      <c r="I68" s="595">
        <f>ROUND(I66/I65,4)</f>
        <v>0.1822</v>
      </c>
      <c r="J68" s="79"/>
      <c r="K68" s="38"/>
      <c r="L68" s="79"/>
      <c r="M68" s="38"/>
      <c r="N68" s="38"/>
    </row>
    <row r="69" spans="3:14" ht="8.15" customHeight="1" x14ac:dyDescent="0.35">
      <c r="C69" s="38"/>
      <c r="D69" s="38"/>
      <c r="E69" s="38"/>
      <c r="F69" s="38"/>
      <c r="G69" s="38"/>
      <c r="H69" s="134"/>
      <c r="I69" s="38"/>
      <c r="J69" s="38"/>
      <c r="K69" s="38"/>
      <c r="L69" s="38"/>
      <c r="M69" s="38"/>
      <c r="N69" s="38"/>
    </row>
    <row r="70" spans="3:14" hidden="1" x14ac:dyDescent="0.35">
      <c r="C70" s="38"/>
      <c r="D70" s="38"/>
      <c r="E70" s="38"/>
      <c r="F70" s="38"/>
      <c r="G70" s="38"/>
      <c r="H70" s="134"/>
      <c r="I70" s="38"/>
      <c r="J70" s="38"/>
      <c r="K70" s="38"/>
      <c r="L70" s="38"/>
      <c r="M70" s="38"/>
      <c r="N70" s="38"/>
    </row>
    <row r="71" spans="3:14" hidden="1" x14ac:dyDescent="0.35">
      <c r="C71" s="38"/>
      <c r="D71" s="38"/>
      <c r="E71" s="38"/>
      <c r="F71" s="38"/>
      <c r="G71" s="38"/>
      <c r="H71" s="134"/>
      <c r="I71" s="38"/>
      <c r="J71" s="38"/>
      <c r="K71" s="38"/>
      <c r="L71" s="38"/>
      <c r="M71" s="38"/>
      <c r="N71" s="38"/>
    </row>
    <row r="72" spans="3:14" hidden="1" x14ac:dyDescent="0.35">
      <c r="C72" s="38"/>
      <c r="D72" s="38"/>
      <c r="E72" s="38"/>
      <c r="F72" s="38"/>
      <c r="G72" s="38"/>
      <c r="H72" s="134"/>
      <c r="I72" s="38"/>
      <c r="J72" s="38"/>
      <c r="K72" s="38"/>
      <c r="L72" s="38"/>
      <c r="M72" s="38"/>
      <c r="N72" s="38"/>
    </row>
    <row r="73" spans="3:14" x14ac:dyDescent="0.35">
      <c r="C73" s="738" t="s">
        <v>340</v>
      </c>
      <c r="D73" s="738"/>
      <c r="E73" s="738"/>
      <c r="F73" s="738"/>
      <c r="G73" s="738"/>
      <c r="H73" s="738"/>
      <c r="I73" s="738"/>
      <c r="J73" s="38"/>
      <c r="K73" s="38"/>
      <c r="L73" s="38"/>
      <c r="M73" s="38"/>
      <c r="N73" s="38"/>
    </row>
    <row r="74" spans="3:14" x14ac:dyDescent="0.35">
      <c r="C74" s="142" t="s">
        <v>40</v>
      </c>
      <c r="D74" s="37"/>
      <c r="E74" s="37"/>
      <c r="F74" s="5"/>
      <c r="G74" s="37"/>
      <c r="H74" s="248"/>
      <c r="I74" s="136">
        <f>I51</f>
        <v>4798589.3509730762</v>
      </c>
      <c r="J74" s="38"/>
      <c r="K74" s="38"/>
      <c r="L74" s="38"/>
      <c r="M74" s="38"/>
      <c r="N74" s="38"/>
    </row>
    <row r="75" spans="3:14" x14ac:dyDescent="0.35">
      <c r="C75" s="37" t="s">
        <v>154</v>
      </c>
      <c r="D75" s="37"/>
      <c r="E75" s="37" t="s">
        <v>331</v>
      </c>
      <c r="F75" s="5"/>
      <c r="G75" s="37"/>
      <c r="H75" s="249" t="s">
        <v>126</v>
      </c>
      <c r="I75" s="138">
        <f>'Debt Serv'!M30</f>
        <v>649110.232495</v>
      </c>
      <c r="J75" s="38"/>
      <c r="K75" s="38"/>
      <c r="L75" s="38"/>
      <c r="M75" s="38"/>
      <c r="N75" s="38"/>
    </row>
    <row r="76" spans="3:14" ht="16" x14ac:dyDescent="0.35">
      <c r="C76" s="37"/>
      <c r="D76" s="37"/>
      <c r="E76" s="37" t="s">
        <v>156</v>
      </c>
      <c r="F76" s="5"/>
      <c r="G76" s="37"/>
      <c r="H76" s="249" t="s">
        <v>153</v>
      </c>
      <c r="I76" s="99">
        <f>'Debt Serv'!M32</f>
        <v>129822.046499</v>
      </c>
      <c r="J76" s="38"/>
      <c r="K76" s="38"/>
      <c r="L76" s="38"/>
      <c r="M76" s="38"/>
      <c r="N76" s="38"/>
    </row>
    <row r="77" spans="3:14" x14ac:dyDescent="0.35">
      <c r="C77" s="142" t="s">
        <v>91</v>
      </c>
      <c r="D77" s="37"/>
      <c r="E77" s="37"/>
      <c r="F77" s="5"/>
      <c r="G77" s="37"/>
      <c r="H77" s="250"/>
      <c r="I77" s="136">
        <f>SUM(I74:I76)</f>
        <v>5577521.6299670758</v>
      </c>
      <c r="J77" s="38"/>
      <c r="K77" s="38"/>
      <c r="L77" s="38"/>
      <c r="M77" s="38"/>
      <c r="N77" s="38"/>
    </row>
    <row r="78" spans="3:14" x14ac:dyDescent="0.35">
      <c r="C78" s="37" t="s">
        <v>157</v>
      </c>
      <c r="D78" s="37"/>
      <c r="E78" s="37" t="s">
        <v>26</v>
      </c>
      <c r="F78" s="5"/>
      <c r="G78" s="37"/>
      <c r="H78" s="250"/>
      <c r="I78" s="251">
        <f>-SUM(I16:I18)</f>
        <v>-205577.19</v>
      </c>
      <c r="J78" s="38"/>
      <c r="K78" s="38"/>
      <c r="L78" s="38"/>
      <c r="M78" s="38"/>
      <c r="N78" s="38"/>
    </row>
    <row r="79" spans="3:14" x14ac:dyDescent="0.35">
      <c r="C79" s="37"/>
      <c r="D79" s="37"/>
      <c r="E79" s="37" t="s">
        <v>332</v>
      </c>
      <c r="F79" s="5"/>
      <c r="G79" s="37"/>
      <c r="H79" s="250"/>
      <c r="I79" s="251">
        <f>-F79</f>
        <v>0</v>
      </c>
      <c r="J79" s="38"/>
      <c r="K79" s="38"/>
      <c r="L79" s="38"/>
      <c r="M79" s="38"/>
      <c r="N79" s="38"/>
    </row>
    <row r="80" spans="3:14" ht="16" x14ac:dyDescent="0.35">
      <c r="C80" s="37"/>
      <c r="D80" s="37"/>
      <c r="E80" s="37" t="s">
        <v>10</v>
      </c>
      <c r="F80" s="5"/>
      <c r="G80" s="37"/>
      <c r="H80" s="250"/>
      <c r="I80" s="99">
        <v>-41486</v>
      </c>
      <c r="J80" s="38"/>
      <c r="K80" s="38"/>
      <c r="L80" s="38" t="s">
        <v>445</v>
      </c>
      <c r="M80" s="38"/>
      <c r="N80" s="38"/>
    </row>
    <row r="81" spans="3:14" x14ac:dyDescent="0.35">
      <c r="C81" s="142" t="s">
        <v>333</v>
      </c>
      <c r="D81" s="37"/>
      <c r="E81" s="37"/>
      <c r="F81" s="5"/>
      <c r="G81" s="37"/>
      <c r="H81" s="248"/>
      <c r="I81" s="252">
        <f>I77+SUM(I78:I80)</f>
        <v>5330458.4399670754</v>
      </c>
      <c r="J81" s="38"/>
      <c r="K81" s="38"/>
      <c r="L81" s="38"/>
      <c r="M81" s="38"/>
      <c r="N81" s="38"/>
    </row>
    <row r="82" spans="3:14" ht="16" x14ac:dyDescent="0.35">
      <c r="C82" s="37" t="s">
        <v>157</v>
      </c>
      <c r="D82" s="37"/>
      <c r="E82" s="37" t="s">
        <v>161</v>
      </c>
      <c r="F82" s="5"/>
      <c r="G82" s="37"/>
      <c r="H82" s="248"/>
      <c r="I82" s="579">
        <f>I13</f>
        <v>4580885.13</v>
      </c>
      <c r="J82" s="38"/>
      <c r="K82" s="38"/>
      <c r="L82" s="38"/>
      <c r="M82" s="38"/>
      <c r="N82" s="38"/>
    </row>
    <row r="83" spans="3:14" x14ac:dyDescent="0.35">
      <c r="C83" s="142" t="s">
        <v>94</v>
      </c>
      <c r="D83" s="37"/>
      <c r="E83" s="37"/>
      <c r="F83" s="5"/>
      <c r="G83" s="37"/>
      <c r="H83" s="248"/>
      <c r="I83" s="136">
        <f>I81-I82</f>
        <v>749573.30996707547</v>
      </c>
      <c r="J83" s="38"/>
      <c r="K83" s="38"/>
      <c r="L83" s="38"/>
      <c r="M83" s="38"/>
      <c r="N83" s="38"/>
    </row>
    <row r="84" spans="3:14" x14ac:dyDescent="0.35">
      <c r="C84" s="142" t="s">
        <v>95</v>
      </c>
      <c r="D84" s="37"/>
      <c r="E84" s="37"/>
      <c r="F84" s="5"/>
      <c r="G84" s="37"/>
      <c r="H84" s="248"/>
      <c r="I84" s="79">
        <f>ROUND(I83/I82,3)</f>
        <v>0.16400000000000001</v>
      </c>
      <c r="J84" s="38"/>
      <c r="K84" s="38"/>
      <c r="L84" s="38"/>
      <c r="M84" s="38"/>
      <c r="N84" s="38"/>
    </row>
    <row r="85" spans="3:14" x14ac:dyDescent="0.35">
      <c r="C85" s="5"/>
      <c r="D85" s="5"/>
      <c r="E85" s="5"/>
      <c r="F85" s="5"/>
      <c r="G85" s="5"/>
      <c r="H85" s="5"/>
      <c r="I85" s="5"/>
      <c r="J85" s="38"/>
      <c r="K85" s="38"/>
      <c r="L85" s="38"/>
      <c r="M85" s="38"/>
      <c r="N85" s="38"/>
    </row>
    <row r="86" spans="3:14" x14ac:dyDescent="0.35">
      <c r="C86" s="38"/>
      <c r="D86" s="38"/>
      <c r="E86" s="253" t="s">
        <v>562</v>
      </c>
      <c r="F86" s="254"/>
      <c r="G86" s="254"/>
      <c r="H86" s="253"/>
      <c r="I86" s="255">
        <f>SAOs!G59</f>
        <v>2312660.26252928</v>
      </c>
      <c r="J86" s="38"/>
      <c r="K86" s="38"/>
      <c r="L86" s="38"/>
      <c r="M86" s="38"/>
      <c r="N86" s="38"/>
    </row>
    <row r="87" spans="3:14" x14ac:dyDescent="0.35">
      <c r="C87" s="38"/>
      <c r="D87" s="38"/>
      <c r="E87" s="253" t="s">
        <v>563</v>
      </c>
      <c r="F87" s="254"/>
      <c r="G87" s="254"/>
      <c r="H87" s="253"/>
      <c r="I87" s="256">
        <f>I81+I86</f>
        <v>7643118.7024963554</v>
      </c>
    </row>
    <row r="88" spans="3:14" x14ac:dyDescent="0.35">
      <c r="C88" s="38"/>
      <c r="D88" s="38"/>
      <c r="E88" s="253"/>
      <c r="F88" s="254"/>
      <c r="G88" s="257"/>
      <c r="H88" s="253"/>
      <c r="I88" s="256"/>
    </row>
    <row r="89" spans="3:14" x14ac:dyDescent="0.35">
      <c r="C89" s="38"/>
      <c r="D89" s="38"/>
      <c r="E89" s="253" t="s">
        <v>334</v>
      </c>
      <c r="F89" s="253"/>
      <c r="G89" s="253"/>
      <c r="H89" s="253"/>
      <c r="I89" s="256">
        <f>SAOs!G61</f>
        <v>70066.022529279813</v>
      </c>
    </row>
    <row r="90" spans="3:14" x14ac:dyDescent="0.35">
      <c r="C90" s="38"/>
      <c r="D90" s="38"/>
      <c r="E90" s="253" t="s">
        <v>335</v>
      </c>
      <c r="F90" s="253"/>
      <c r="G90" s="253"/>
      <c r="H90" s="253"/>
      <c r="I90" s="256">
        <f>I83+I89</f>
        <v>819639.33249635529</v>
      </c>
    </row>
    <row r="91" spans="3:14" x14ac:dyDescent="0.35">
      <c r="C91" s="38"/>
      <c r="D91" s="38"/>
      <c r="E91" s="253"/>
      <c r="F91" s="253"/>
      <c r="G91" s="253"/>
      <c r="H91" s="253"/>
      <c r="I91" s="253"/>
    </row>
    <row r="92" spans="3:14" x14ac:dyDescent="0.35">
      <c r="C92" s="38"/>
      <c r="D92" s="38"/>
      <c r="E92" s="253" t="s">
        <v>336</v>
      </c>
      <c r="F92" s="253">
        <f>Adj!I7</f>
        <v>6285</v>
      </c>
      <c r="G92" s="253"/>
      <c r="H92" s="253"/>
      <c r="I92" s="253"/>
    </row>
    <row r="93" spans="3:14" x14ac:dyDescent="0.35">
      <c r="C93" s="38"/>
      <c r="D93" s="38"/>
      <c r="E93" s="253" t="s">
        <v>337</v>
      </c>
      <c r="F93" s="258">
        <f>Adj!J7</f>
        <v>1305</v>
      </c>
      <c r="G93" s="253"/>
      <c r="H93" s="253"/>
      <c r="I93" s="253"/>
    </row>
    <row r="94" spans="3:14" x14ac:dyDescent="0.35">
      <c r="C94" s="38"/>
      <c r="D94" s="38"/>
      <c r="E94" s="253" t="s">
        <v>338</v>
      </c>
      <c r="F94" s="253">
        <f>F92+F93</f>
        <v>7590</v>
      </c>
      <c r="G94" s="253"/>
      <c r="H94" s="253"/>
      <c r="I94" s="253"/>
    </row>
    <row r="95" spans="3:14" x14ac:dyDescent="0.35">
      <c r="C95" s="38"/>
      <c r="D95" s="38"/>
      <c r="E95" s="38"/>
      <c r="F95" s="38"/>
      <c r="G95" s="38"/>
      <c r="H95" s="38"/>
      <c r="I95" s="38"/>
    </row>
    <row r="96" spans="3:14" x14ac:dyDescent="0.35">
      <c r="C96" s="38"/>
      <c r="D96" s="38"/>
      <c r="E96" s="38"/>
      <c r="F96" s="38" t="s">
        <v>339</v>
      </c>
      <c r="G96" s="38"/>
      <c r="H96" s="38"/>
      <c r="I96" s="38">
        <f>I89+I83</f>
        <v>819639.33249635529</v>
      </c>
    </row>
  </sheetData>
  <mergeCells count="5">
    <mergeCell ref="C55:I55"/>
    <mergeCell ref="C4:I4"/>
    <mergeCell ref="C3:I3"/>
    <mergeCell ref="C73:I73"/>
    <mergeCell ref="C5:I5"/>
  </mergeCells>
  <printOptions horizontalCentered="1" verticalCentered="1"/>
  <pageMargins left="0.45" right="0" top="0.5" bottom="0.5" header="0.3" footer="0.3"/>
  <pageSetup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C4:W99"/>
  <sheetViews>
    <sheetView topLeftCell="A22" workbookViewId="0">
      <selection activeCell="C27" sqref="C27:J37"/>
    </sheetView>
  </sheetViews>
  <sheetFormatPr defaultRowHeight="15.5" x14ac:dyDescent="0.35"/>
  <cols>
    <col min="4" max="4" width="8.4609375" bestFit="1" customWidth="1"/>
    <col min="5" max="5" width="5.61328125" bestFit="1" customWidth="1"/>
    <col min="7" max="7" width="10" bestFit="1" customWidth="1"/>
    <col min="8" max="8" width="9.765625" customWidth="1"/>
    <col min="9" max="9" width="9.84375" bestFit="1" customWidth="1"/>
    <col min="10" max="10" width="8.61328125" bestFit="1" customWidth="1"/>
    <col min="12" max="12" width="20" customWidth="1"/>
    <col min="13" max="13" width="12.69140625" bestFit="1" customWidth="1"/>
    <col min="14" max="14" width="11.15234375" bestFit="1" customWidth="1"/>
    <col min="15" max="17" width="11.15234375" customWidth="1"/>
    <col min="18" max="18" width="12.15234375" bestFit="1" customWidth="1"/>
    <col min="19" max="19" width="12.3828125" customWidth="1"/>
    <col min="20" max="20" width="8" customWidth="1"/>
  </cols>
  <sheetData>
    <row r="4" spans="3:23" ht="15" customHeight="1" x14ac:dyDescent="0.35">
      <c r="C4" s="803"/>
      <c r="D4" s="804"/>
      <c r="E4" s="804"/>
      <c r="F4" s="804"/>
      <c r="G4" s="804"/>
      <c r="H4" s="804"/>
      <c r="I4" s="804"/>
      <c r="J4" s="805"/>
    </row>
    <row r="5" spans="3:23" ht="15" customHeight="1" x14ac:dyDescent="0.45">
      <c r="C5" s="806" t="s">
        <v>665</v>
      </c>
      <c r="D5" s="790"/>
      <c r="E5" s="790"/>
      <c r="F5" s="790"/>
      <c r="G5" s="790"/>
      <c r="H5" s="790"/>
      <c r="I5" s="790"/>
      <c r="J5" s="791"/>
      <c r="K5" s="125"/>
      <c r="U5" s="125"/>
      <c r="V5" s="125"/>
      <c r="W5" s="125"/>
    </row>
    <row r="6" spans="3:23" ht="15" customHeight="1" x14ac:dyDescent="0.45">
      <c r="C6" s="807" t="s">
        <v>127</v>
      </c>
      <c r="D6" s="808"/>
      <c r="E6" s="808"/>
      <c r="F6" s="808"/>
      <c r="G6" s="808"/>
      <c r="H6" s="808"/>
      <c r="I6" s="808"/>
      <c r="J6" s="809"/>
      <c r="K6" s="125"/>
      <c r="L6" s="813" t="s">
        <v>677</v>
      </c>
      <c r="M6" s="798"/>
      <c r="N6" s="798"/>
      <c r="O6" s="798"/>
      <c r="P6" s="798"/>
      <c r="Q6" s="798"/>
      <c r="R6" s="798"/>
      <c r="S6" s="798"/>
      <c r="T6" s="799"/>
    </row>
    <row r="7" spans="3:23" ht="15" customHeight="1" x14ac:dyDescent="0.35">
      <c r="C7" s="810" t="s">
        <v>293</v>
      </c>
      <c r="D7" s="811"/>
      <c r="E7" s="811"/>
      <c r="F7" s="811"/>
      <c r="G7" s="811"/>
      <c r="H7" s="811"/>
      <c r="I7" s="811"/>
      <c r="J7" s="812"/>
      <c r="K7" s="122"/>
      <c r="L7" s="690"/>
      <c r="N7" s="814" t="s">
        <v>679</v>
      </c>
      <c r="O7" s="815"/>
      <c r="P7" s="815"/>
      <c r="Q7" s="816"/>
      <c r="R7" s="814" t="s">
        <v>678</v>
      </c>
      <c r="S7" s="815"/>
      <c r="T7" s="816"/>
      <c r="U7" s="601"/>
      <c r="V7" s="601"/>
    </row>
    <row r="8" spans="3:23" ht="15" customHeight="1" x14ac:dyDescent="0.35">
      <c r="C8" s="387"/>
      <c r="F8" s="665" t="s">
        <v>643</v>
      </c>
      <c r="H8" s="665" t="s">
        <v>9</v>
      </c>
      <c r="J8" s="9"/>
      <c r="L8" s="68"/>
      <c r="M8" s="47" t="s">
        <v>645</v>
      </c>
      <c r="N8" s="691" t="s">
        <v>30</v>
      </c>
      <c r="O8" s="47" t="s">
        <v>668</v>
      </c>
      <c r="P8" s="47" t="s">
        <v>647</v>
      </c>
      <c r="Q8" s="153" t="s">
        <v>648</v>
      </c>
      <c r="R8" s="691" t="s">
        <v>669</v>
      </c>
      <c r="S8" s="47" t="s">
        <v>647</v>
      </c>
      <c r="T8" s="153" t="s">
        <v>648</v>
      </c>
    </row>
    <row r="9" spans="3:23" ht="15" customHeight="1" x14ac:dyDescent="0.35">
      <c r="C9" s="607" t="s">
        <v>277</v>
      </c>
      <c r="D9" s="1"/>
      <c r="E9" s="1"/>
      <c r="F9" s="666" t="s">
        <v>258</v>
      </c>
      <c r="G9" s="1"/>
      <c r="H9" s="666" t="s">
        <v>258</v>
      </c>
      <c r="I9" s="666" t="s">
        <v>644</v>
      </c>
      <c r="J9" s="608" t="s">
        <v>514</v>
      </c>
      <c r="L9" s="68"/>
      <c r="M9" s="602" t="s">
        <v>15</v>
      </c>
      <c r="N9" s="701" t="s">
        <v>437</v>
      </c>
      <c r="O9" s="33" t="s">
        <v>646</v>
      </c>
      <c r="P9" s="602" t="s">
        <v>31</v>
      </c>
      <c r="Q9" s="603" t="s">
        <v>31</v>
      </c>
      <c r="R9" s="701" t="s">
        <v>646</v>
      </c>
      <c r="S9" s="602" t="s">
        <v>31</v>
      </c>
      <c r="T9" s="603" t="s">
        <v>31</v>
      </c>
    </row>
    <row r="10" spans="3:23" ht="15" customHeight="1" x14ac:dyDescent="0.35">
      <c r="C10" s="609" t="s">
        <v>11</v>
      </c>
      <c r="D10" s="75">
        <v>2000</v>
      </c>
      <c r="E10" s="1" t="s">
        <v>296</v>
      </c>
      <c r="F10" s="156">
        <v>24.42</v>
      </c>
      <c r="G10" s="1" t="s">
        <v>297</v>
      </c>
      <c r="H10" s="667">
        <f>Rates!L37</f>
        <v>28.424880000000002</v>
      </c>
      <c r="I10" s="667">
        <f>H10-F10</f>
        <v>4.00488</v>
      </c>
      <c r="J10" s="669">
        <f>I10/F10</f>
        <v>0.16399999999999998</v>
      </c>
      <c r="L10" s="68" t="s">
        <v>277</v>
      </c>
      <c r="M10" s="12">
        <v>4000</v>
      </c>
      <c r="N10" s="702">
        <f>Bills!E16</f>
        <v>44.5</v>
      </c>
      <c r="O10" s="187">
        <f>Bills!F115</f>
        <v>48.149000000000008</v>
      </c>
      <c r="P10" s="187">
        <f>O10-N10</f>
        <v>3.649000000000008</v>
      </c>
      <c r="Q10" s="547">
        <f>P10/N10</f>
        <v>8.2000000000000184E-2</v>
      </c>
      <c r="R10" s="702">
        <f>Bills!F16</f>
        <v>51.798000000000002</v>
      </c>
      <c r="S10" s="104">
        <f>R10-O10</f>
        <v>3.6489999999999938</v>
      </c>
      <c r="T10" s="547">
        <f>S10/O10</f>
        <v>7.5785582255083042E-2</v>
      </c>
    </row>
    <row r="11" spans="3:23" ht="15" customHeight="1" x14ac:dyDescent="0.35">
      <c r="C11" s="609" t="s">
        <v>12</v>
      </c>
      <c r="D11" s="75">
        <v>2000</v>
      </c>
      <c r="E11" s="1" t="s">
        <v>296</v>
      </c>
      <c r="F11" s="195">
        <v>1.004E-2</v>
      </c>
      <c r="G11" s="1" t="s">
        <v>298</v>
      </c>
      <c r="H11" s="599">
        <f>Rates!L38</f>
        <v>1.168656E-2</v>
      </c>
      <c r="I11" s="599">
        <f>H11-F11</f>
        <v>1.64656E-3</v>
      </c>
      <c r="J11" s="669">
        <f>I11/F11</f>
        <v>0.16400000000000001</v>
      </c>
      <c r="L11" s="68" t="s">
        <v>281</v>
      </c>
      <c r="M11" s="12">
        <f>Bills!C66</f>
        <v>9500000</v>
      </c>
      <c r="N11" s="704">
        <f>Bills!E25</f>
        <v>75075.930000000008</v>
      </c>
      <c r="O11" s="61">
        <f>Bills!F124</f>
        <v>81232.156260000003</v>
      </c>
      <c r="P11" s="61">
        <f>O11-N11</f>
        <v>6156.2262599999958</v>
      </c>
      <c r="Q11" s="547">
        <f t="shared" ref="Q11:Q13" si="0">P11/N11</f>
        <v>8.1999999999999934E-2</v>
      </c>
      <c r="R11" s="703">
        <f>Bills!F25</f>
        <v>87388.382519999999</v>
      </c>
      <c r="S11" s="25">
        <f>R11-O11</f>
        <v>6156.2262599999958</v>
      </c>
      <c r="T11" s="547">
        <f t="shared" ref="T11:T13" si="1">S11/O11</f>
        <v>7.5785582255083125E-2</v>
      </c>
    </row>
    <row r="12" spans="3:23" ht="15" customHeight="1" x14ac:dyDescent="0.35">
      <c r="C12" s="610"/>
      <c r="D12" s="1"/>
      <c r="E12" s="1"/>
      <c r="F12" s="1"/>
      <c r="G12" s="1"/>
      <c r="H12" s="326"/>
      <c r="I12" s="326"/>
      <c r="J12" s="669"/>
      <c r="L12" s="68" t="s">
        <v>282</v>
      </c>
      <c r="M12" s="12">
        <f>Bills!C62</f>
        <v>700000</v>
      </c>
      <c r="N12" s="704">
        <f>Bills!E28</f>
        <v>5537.98</v>
      </c>
      <c r="O12" s="61">
        <f>Bills!F128</f>
        <v>5992.0943600000001</v>
      </c>
      <c r="P12" s="61">
        <f t="shared" ref="P12:P13" si="2">O12-N12</f>
        <v>454.11436000000049</v>
      </c>
      <c r="Q12" s="547">
        <f t="shared" si="0"/>
        <v>8.2000000000000101E-2</v>
      </c>
      <c r="R12" s="703">
        <f>Bills!F28</f>
        <v>6446.2087199999987</v>
      </c>
      <c r="S12" s="25">
        <f t="shared" ref="S12:S13" si="3">R12-O12</f>
        <v>454.11435999999867</v>
      </c>
      <c r="T12" s="547">
        <f t="shared" si="1"/>
        <v>7.5785582255082959E-2</v>
      </c>
    </row>
    <row r="13" spans="3:23" ht="15" customHeight="1" x14ac:dyDescent="0.35">
      <c r="C13" s="607" t="s">
        <v>281</v>
      </c>
      <c r="D13" s="1"/>
      <c r="E13" s="1"/>
      <c r="F13" s="1"/>
      <c r="G13" s="1"/>
      <c r="H13" s="326"/>
      <c r="I13" s="326"/>
      <c r="J13" s="669"/>
      <c r="L13" s="68" t="s">
        <v>299</v>
      </c>
      <c r="M13" s="1">
        <f>Bills!C32</f>
        <v>350000</v>
      </c>
      <c r="N13" s="705">
        <f>Bills!E32</f>
        <v>2765.0000000000005</v>
      </c>
      <c r="O13" s="688">
        <f>Bills!F132</f>
        <v>2991.7300000000005</v>
      </c>
      <c r="P13" s="688">
        <f t="shared" si="2"/>
        <v>226.73000000000002</v>
      </c>
      <c r="Q13" s="706">
        <f t="shared" si="0"/>
        <v>8.199999999999999E-2</v>
      </c>
      <c r="R13" s="705">
        <f>Bills!F32</f>
        <v>3218.46</v>
      </c>
      <c r="S13" s="292">
        <f t="shared" si="3"/>
        <v>226.72999999999956</v>
      </c>
      <c r="T13" s="706">
        <f t="shared" si="1"/>
        <v>7.5785582255083028E-2</v>
      </c>
    </row>
    <row r="14" spans="3:23" ht="15" customHeight="1" x14ac:dyDescent="0.35">
      <c r="C14" s="609" t="s">
        <v>11</v>
      </c>
      <c r="D14" s="75">
        <v>1950000</v>
      </c>
      <c r="E14" s="1" t="s">
        <v>296</v>
      </c>
      <c r="F14" s="156">
        <v>15430.93</v>
      </c>
      <c r="G14" s="1" t="s">
        <v>297</v>
      </c>
      <c r="H14" s="667">
        <f>Rates!L41</f>
        <v>17961.60252</v>
      </c>
      <c r="I14" s="667">
        <f t="shared" ref="I14:I15" si="4">H14-F14</f>
        <v>2530.6725200000001</v>
      </c>
      <c r="J14" s="669">
        <f t="shared" ref="J14:J15" si="5">I14/F14</f>
        <v>0.16400000000000001</v>
      </c>
      <c r="L14" s="68"/>
      <c r="M14" s="1"/>
      <c r="N14" s="1"/>
      <c r="O14" s="1"/>
      <c r="P14" s="1"/>
      <c r="Q14" s="1"/>
      <c r="R14" s="1"/>
      <c r="S14" s="1"/>
      <c r="T14" s="78"/>
    </row>
    <row r="15" spans="3:23" ht="15" customHeight="1" x14ac:dyDescent="0.35">
      <c r="C15" s="609" t="s">
        <v>12</v>
      </c>
      <c r="D15" s="75">
        <v>1950000</v>
      </c>
      <c r="E15" s="1" t="s">
        <v>296</v>
      </c>
      <c r="F15" s="195">
        <v>7.9000000000000008E-3</v>
      </c>
      <c r="G15" s="1" t="s">
        <v>298</v>
      </c>
      <c r="H15" s="599">
        <f>Rates!L42</f>
        <v>9.1956E-3</v>
      </c>
      <c r="I15" s="599">
        <f t="shared" si="4"/>
        <v>1.2955999999999992E-3</v>
      </c>
      <c r="J15" s="669">
        <f t="shared" si="5"/>
        <v>0.16399999999999987</v>
      </c>
      <c r="L15" s="810" t="s">
        <v>304</v>
      </c>
      <c r="M15" s="811"/>
      <c r="N15" s="811"/>
      <c r="O15" s="811"/>
      <c r="P15" s="811"/>
      <c r="Q15" s="811"/>
      <c r="R15" s="811"/>
      <c r="S15" s="811"/>
      <c r="T15" s="812"/>
    </row>
    <row r="16" spans="3:23" ht="15" customHeight="1" x14ac:dyDescent="0.35">
      <c r="C16" s="610"/>
      <c r="D16" s="1"/>
      <c r="E16" s="1"/>
      <c r="F16" s="1"/>
      <c r="G16" s="1"/>
      <c r="H16" s="326"/>
      <c r="I16" s="326"/>
      <c r="J16" s="669"/>
      <c r="L16" s="68" t="s">
        <v>277</v>
      </c>
      <c r="M16" s="12">
        <v>4000</v>
      </c>
      <c r="N16" s="61">
        <f>Bills!E87</f>
        <v>50.99</v>
      </c>
      <c r="O16" s="61">
        <f>Bills!F87</f>
        <v>52.59</v>
      </c>
      <c r="P16" s="61">
        <f>O16-N16</f>
        <v>1.6000000000000014</v>
      </c>
      <c r="Q16" s="73">
        <f>P16/N16</f>
        <v>3.1378701706216934E-2</v>
      </c>
      <c r="R16" s="61"/>
      <c r="S16" s="25"/>
      <c r="T16" s="604"/>
    </row>
    <row r="17" spans="3:20" ht="15" customHeight="1" x14ac:dyDescent="0.35">
      <c r="C17" s="607" t="s">
        <v>282</v>
      </c>
      <c r="D17" s="1"/>
      <c r="E17" s="1"/>
      <c r="F17" s="1"/>
      <c r="G17" s="1"/>
      <c r="H17" s="326"/>
      <c r="I17" s="326"/>
      <c r="J17" s="669"/>
      <c r="L17" s="72" t="s">
        <v>281</v>
      </c>
      <c r="M17" s="11">
        <v>9500000</v>
      </c>
      <c r="N17" s="292">
        <f>Bills!E97</f>
        <v>97980.27</v>
      </c>
      <c r="O17" s="292">
        <f>Bills!F97</f>
        <v>101062.57</v>
      </c>
      <c r="P17" s="688">
        <f>O17-N17</f>
        <v>3082.3000000000029</v>
      </c>
      <c r="Q17" s="689">
        <f>P17/N17</f>
        <v>3.1458374221667307E-2</v>
      </c>
      <c r="R17" s="605"/>
      <c r="S17" s="292"/>
      <c r="T17" s="606"/>
    </row>
    <row r="18" spans="3:20" ht="15" customHeight="1" x14ac:dyDescent="0.35">
      <c r="C18" s="609" t="s">
        <v>11</v>
      </c>
      <c r="D18" s="75">
        <v>600000</v>
      </c>
      <c r="E18" s="1" t="s">
        <v>296</v>
      </c>
      <c r="F18" s="156">
        <v>4747.9799999999996</v>
      </c>
      <c r="G18" s="1" t="s">
        <v>297</v>
      </c>
      <c r="H18" s="667">
        <f>Rates!L45</f>
        <v>5526.6487199999992</v>
      </c>
      <c r="I18" s="667">
        <f t="shared" ref="I18:I19" si="6">H18-F18</f>
        <v>778.66871999999967</v>
      </c>
      <c r="J18" s="669">
        <f t="shared" ref="J18:J19" si="7">I18/F18</f>
        <v>0.16399999999999995</v>
      </c>
    </row>
    <row r="19" spans="3:20" ht="15" customHeight="1" x14ac:dyDescent="0.35">
      <c r="C19" s="609" t="s">
        <v>12</v>
      </c>
      <c r="D19" s="75">
        <v>600000</v>
      </c>
      <c r="E19" s="1" t="s">
        <v>296</v>
      </c>
      <c r="F19" s="195">
        <v>7.9000000000000008E-3</v>
      </c>
      <c r="G19" s="1" t="s">
        <v>298</v>
      </c>
      <c r="H19" s="599">
        <f>Rates!L46</f>
        <v>9.1956E-3</v>
      </c>
      <c r="I19" s="599">
        <f t="shared" si="6"/>
        <v>1.2955999999999992E-3</v>
      </c>
      <c r="J19" s="669">
        <f t="shared" si="7"/>
        <v>0.16399999999999987</v>
      </c>
    </row>
    <row r="20" spans="3:20" ht="15" customHeight="1" x14ac:dyDescent="0.35">
      <c r="C20" s="609"/>
      <c r="D20" s="75"/>
      <c r="E20" s="1"/>
      <c r="F20" s="76"/>
      <c r="G20" s="1"/>
      <c r="H20" s="599"/>
      <c r="I20" s="668"/>
      <c r="J20" s="669"/>
    </row>
    <row r="21" spans="3:20" ht="15" customHeight="1" x14ac:dyDescent="0.35">
      <c r="C21" s="607" t="s">
        <v>299</v>
      </c>
      <c r="D21" s="1"/>
      <c r="E21" s="1"/>
      <c r="F21" s="1"/>
      <c r="G21" s="1"/>
      <c r="H21" s="599"/>
      <c r="I21" s="668"/>
      <c r="J21" s="669"/>
    </row>
    <row r="22" spans="3:20" ht="15" customHeight="1" x14ac:dyDescent="0.35">
      <c r="C22" s="611" t="s">
        <v>284</v>
      </c>
      <c r="D22" s="75"/>
      <c r="E22" s="1"/>
      <c r="F22" s="600">
        <v>7.9000000000000008E-3</v>
      </c>
      <c r="G22" s="1" t="s">
        <v>298</v>
      </c>
      <c r="H22" s="599">
        <f>Rates!L49</f>
        <v>9.1956E-3</v>
      </c>
      <c r="I22" s="599">
        <f t="shared" ref="I22:I26" si="8">H22-F22</f>
        <v>1.2955999999999992E-3</v>
      </c>
      <c r="J22" s="669">
        <f t="shared" ref="J22:J26" si="9">I22/F22</f>
        <v>0.16399999999999987</v>
      </c>
    </row>
    <row r="23" spans="3:20" ht="15" customHeight="1" x14ac:dyDescent="0.35">
      <c r="C23" s="611" t="s">
        <v>300</v>
      </c>
      <c r="D23" s="75"/>
      <c r="E23" s="1"/>
      <c r="F23" s="600">
        <v>7.9000000000000008E-3</v>
      </c>
      <c r="G23" s="1" t="s">
        <v>298</v>
      </c>
      <c r="H23" s="599">
        <f>Rates!L50</f>
        <v>9.1956E-3</v>
      </c>
      <c r="I23" s="599">
        <f t="shared" si="8"/>
        <v>1.2955999999999992E-3</v>
      </c>
      <c r="J23" s="669">
        <f t="shared" si="9"/>
        <v>0.16399999999999987</v>
      </c>
    </row>
    <row r="24" spans="3:20" ht="15" customHeight="1" x14ac:dyDescent="0.35">
      <c r="C24" s="611" t="s">
        <v>301</v>
      </c>
      <c r="D24" s="75"/>
      <c r="E24" s="1"/>
      <c r="F24" s="600">
        <v>7.9000000000000008E-3</v>
      </c>
      <c r="G24" s="1" t="s">
        <v>298</v>
      </c>
      <c r="H24" s="599">
        <f>Rates!L51</f>
        <v>9.1956E-3</v>
      </c>
      <c r="I24" s="599">
        <f t="shared" si="8"/>
        <v>1.2955999999999992E-3</v>
      </c>
      <c r="J24" s="669">
        <f t="shared" si="9"/>
        <v>0.16399999999999987</v>
      </c>
    </row>
    <row r="25" spans="3:20" ht="15" customHeight="1" x14ac:dyDescent="0.35">
      <c r="C25" s="611" t="s">
        <v>302</v>
      </c>
      <c r="D25" s="75"/>
      <c r="E25" s="1"/>
      <c r="F25" s="600">
        <v>7.9000000000000008E-3</v>
      </c>
      <c r="G25" s="1" t="s">
        <v>298</v>
      </c>
      <c r="H25" s="599">
        <f>Rates!L52</f>
        <v>9.1956E-3</v>
      </c>
      <c r="I25" s="599">
        <f t="shared" si="8"/>
        <v>1.2955999999999992E-3</v>
      </c>
      <c r="J25" s="669">
        <f t="shared" si="9"/>
        <v>0.16399999999999987</v>
      </c>
    </row>
    <row r="26" spans="3:20" ht="15" customHeight="1" x14ac:dyDescent="0.35">
      <c r="C26" s="683" t="s">
        <v>303</v>
      </c>
      <c r="D26" s="200"/>
      <c r="E26" s="54"/>
      <c r="F26" s="684">
        <v>7.9000000000000008E-3</v>
      </c>
      <c r="G26" s="54" t="s">
        <v>298</v>
      </c>
      <c r="H26" s="615">
        <f>Rates!L53</f>
        <v>9.1956E-3</v>
      </c>
      <c r="I26" s="615">
        <f t="shared" si="8"/>
        <v>1.2955999999999992E-3</v>
      </c>
      <c r="J26" s="671">
        <f t="shared" si="9"/>
        <v>0.16399999999999987</v>
      </c>
    </row>
    <row r="27" spans="3:20" ht="15" customHeight="1" x14ac:dyDescent="0.35">
      <c r="C27" s="387"/>
      <c r="J27" s="9"/>
    </row>
    <row r="28" spans="3:20" ht="15" customHeight="1" x14ac:dyDescent="0.35">
      <c r="C28" s="800" t="s">
        <v>127</v>
      </c>
      <c r="D28" s="801"/>
      <c r="E28" s="801"/>
      <c r="F28" s="801"/>
      <c r="G28" s="801"/>
      <c r="H28" s="801"/>
      <c r="I28" s="801"/>
      <c r="J28" s="802"/>
    </row>
    <row r="29" spans="3:20" ht="15" customHeight="1" x14ac:dyDescent="0.35">
      <c r="C29" s="800" t="s">
        <v>304</v>
      </c>
      <c r="D29" s="801"/>
      <c r="E29" s="801"/>
      <c r="F29" s="801"/>
      <c r="G29" s="801"/>
      <c r="H29" s="801"/>
      <c r="I29" s="801"/>
      <c r="J29" s="802"/>
    </row>
    <row r="30" spans="3:20" ht="15" customHeight="1" x14ac:dyDescent="0.35">
      <c r="C30" s="607" t="s">
        <v>306</v>
      </c>
      <c r="D30" s="1"/>
      <c r="E30" s="1"/>
      <c r="F30" s="666" t="s">
        <v>643</v>
      </c>
      <c r="G30" s="176"/>
      <c r="H30" s="666" t="s">
        <v>9</v>
      </c>
      <c r="I30" s="666" t="s">
        <v>644</v>
      </c>
      <c r="J30" s="608" t="s">
        <v>514</v>
      </c>
    </row>
    <row r="31" spans="3:20" ht="15" customHeight="1" x14ac:dyDescent="0.35">
      <c r="C31" s="609" t="s">
        <v>11</v>
      </c>
      <c r="D31" s="75">
        <v>2000</v>
      </c>
      <c r="E31" s="1" t="s">
        <v>296</v>
      </c>
      <c r="F31" s="156">
        <v>30.03</v>
      </c>
      <c r="G31" s="1" t="s">
        <v>297</v>
      </c>
      <c r="H31" s="667">
        <f>Rates!L14</f>
        <v>30.97</v>
      </c>
      <c r="I31" s="668">
        <f t="shared" ref="I31:I33" si="10">H31-F31</f>
        <v>0.93999999999999773</v>
      </c>
      <c r="J31" s="669">
        <f t="shared" ref="J31:J33" si="11">I31/F31</f>
        <v>3.1302031302031227E-2</v>
      </c>
    </row>
    <row r="32" spans="3:20" ht="15" customHeight="1" x14ac:dyDescent="0.35">
      <c r="C32" s="609" t="s">
        <v>287</v>
      </c>
      <c r="D32" s="75">
        <v>18000</v>
      </c>
      <c r="E32" s="1" t="s">
        <v>296</v>
      </c>
      <c r="F32" s="198">
        <v>1.048E-2</v>
      </c>
      <c r="G32" s="1" t="s">
        <v>307</v>
      </c>
      <c r="H32" s="599">
        <f>Rates!L15</f>
        <v>1.081E-2</v>
      </c>
      <c r="I32" s="599">
        <f t="shared" si="10"/>
        <v>3.3000000000000043E-4</v>
      </c>
      <c r="J32" s="669">
        <f t="shared" si="11"/>
        <v>3.1488549618320649E-2</v>
      </c>
    </row>
    <row r="33" spans="3:10" ht="15" customHeight="1" x14ac:dyDescent="0.35">
      <c r="C33" s="609" t="s">
        <v>12</v>
      </c>
      <c r="D33" s="75">
        <v>20000</v>
      </c>
      <c r="E33" s="1" t="s">
        <v>296</v>
      </c>
      <c r="F33" s="203">
        <v>9.3100000000000006E-3</v>
      </c>
      <c r="G33" s="1" t="s">
        <v>307</v>
      </c>
      <c r="H33" s="599">
        <f>Rates!L16</f>
        <v>9.5999999999999992E-3</v>
      </c>
      <c r="I33" s="599">
        <f t="shared" si="10"/>
        <v>2.8999999999999859E-4</v>
      </c>
      <c r="J33" s="669">
        <f t="shared" si="11"/>
        <v>3.1149301825993403E-2</v>
      </c>
    </row>
    <row r="34" spans="3:10" ht="15" customHeight="1" x14ac:dyDescent="0.35">
      <c r="C34" s="609"/>
      <c r="D34" s="75"/>
      <c r="E34" s="1"/>
      <c r="F34" s="203"/>
      <c r="G34" s="1"/>
      <c r="H34" s="326"/>
      <c r="J34" s="670"/>
    </row>
    <row r="35" spans="3:10" ht="15" customHeight="1" x14ac:dyDescent="0.35">
      <c r="C35" s="612" t="s">
        <v>281</v>
      </c>
      <c r="D35" s="75"/>
      <c r="E35" s="1"/>
      <c r="F35" s="203"/>
      <c r="G35" s="1"/>
      <c r="H35" s="326"/>
      <c r="J35" s="670"/>
    </row>
    <row r="36" spans="3:10" ht="15" customHeight="1" x14ac:dyDescent="0.35">
      <c r="C36" s="609" t="s">
        <v>11</v>
      </c>
      <c r="D36" s="75">
        <v>1300000</v>
      </c>
      <c r="E36" s="1" t="s">
        <v>296</v>
      </c>
      <c r="F36" s="205">
        <v>12044.27</v>
      </c>
      <c r="G36" s="1" t="s">
        <v>297</v>
      </c>
      <c r="H36" s="667">
        <f>Rates!L19</f>
        <v>12420.57</v>
      </c>
      <c r="I36" s="668">
        <f t="shared" ref="I36:I37" si="12">H36-F36</f>
        <v>376.29999999999927</v>
      </c>
      <c r="J36" s="669">
        <f t="shared" ref="J36:J37" si="13">I36/F36</f>
        <v>3.1243072431953057E-2</v>
      </c>
    </row>
    <row r="37" spans="3:10" ht="15" customHeight="1" x14ac:dyDescent="0.35">
      <c r="C37" s="613" t="s">
        <v>12</v>
      </c>
      <c r="D37" s="200">
        <v>1300000</v>
      </c>
      <c r="E37" s="54" t="s">
        <v>296</v>
      </c>
      <c r="F37" s="614">
        <v>1.048E-2</v>
      </c>
      <c r="G37" s="54" t="s">
        <v>307</v>
      </c>
      <c r="H37" s="615">
        <f>Rates!L20</f>
        <v>1.081E-2</v>
      </c>
      <c r="I37" s="615">
        <f t="shared" si="12"/>
        <v>3.3000000000000043E-4</v>
      </c>
      <c r="J37" s="671">
        <f t="shared" si="13"/>
        <v>3.1488549618320649E-2</v>
      </c>
    </row>
    <row r="38" spans="3:10" ht="15" customHeight="1" x14ac:dyDescent="0.35"/>
    <row r="39" spans="3:10" ht="15" customHeight="1" x14ac:dyDescent="0.35"/>
    <row r="40" spans="3:10" ht="15" customHeight="1" x14ac:dyDescent="0.35">
      <c r="C40" s="803" t="s">
        <v>664</v>
      </c>
      <c r="D40" s="804"/>
      <c r="E40" s="804"/>
      <c r="F40" s="804"/>
      <c r="G40" s="804"/>
      <c r="H40" s="804"/>
      <c r="I40" s="804"/>
      <c r="J40" s="805"/>
    </row>
    <row r="41" spans="3:10" ht="15" customHeight="1" x14ac:dyDescent="0.35">
      <c r="C41" s="806" t="s">
        <v>666</v>
      </c>
      <c r="D41" s="790"/>
      <c r="E41" s="790"/>
      <c r="F41" s="790"/>
      <c r="G41" s="790"/>
      <c r="H41" s="790"/>
      <c r="I41" s="790"/>
      <c r="J41" s="791"/>
    </row>
    <row r="42" spans="3:10" ht="15" customHeight="1" x14ac:dyDescent="0.35">
      <c r="C42" s="807" t="s">
        <v>127</v>
      </c>
      <c r="D42" s="808"/>
      <c r="E42" s="808"/>
      <c r="F42" s="808"/>
      <c r="G42" s="808"/>
      <c r="H42" s="808"/>
      <c r="I42" s="808"/>
      <c r="J42" s="809"/>
    </row>
    <row r="43" spans="3:10" ht="15" customHeight="1" x14ac:dyDescent="0.35">
      <c r="C43" s="810" t="s">
        <v>293</v>
      </c>
      <c r="D43" s="811"/>
      <c r="E43" s="811"/>
      <c r="F43" s="811"/>
      <c r="G43" s="811"/>
      <c r="H43" s="811"/>
      <c r="I43" s="811"/>
      <c r="J43" s="812"/>
    </row>
    <row r="44" spans="3:10" ht="15" customHeight="1" x14ac:dyDescent="0.35">
      <c r="C44" s="387"/>
      <c r="F44" s="665" t="s">
        <v>643</v>
      </c>
      <c r="H44" s="665" t="s">
        <v>9</v>
      </c>
      <c r="J44" s="9"/>
    </row>
    <row r="45" spans="3:10" ht="15" customHeight="1" x14ac:dyDescent="0.35">
      <c r="C45" s="607" t="s">
        <v>277</v>
      </c>
      <c r="D45" s="1"/>
      <c r="E45" s="1"/>
      <c r="F45" s="666" t="s">
        <v>258</v>
      </c>
      <c r="G45" s="1"/>
      <c r="H45" s="666" t="s">
        <v>258</v>
      </c>
      <c r="I45" s="666" t="s">
        <v>644</v>
      </c>
      <c r="J45" s="608" t="s">
        <v>514</v>
      </c>
    </row>
    <row r="46" spans="3:10" ht="15" customHeight="1" x14ac:dyDescent="0.35">
      <c r="C46" s="609" t="s">
        <v>11</v>
      </c>
      <c r="D46" s="75">
        <v>2000</v>
      </c>
      <c r="E46" s="1" t="s">
        <v>296</v>
      </c>
      <c r="F46" s="156">
        <v>24.42</v>
      </c>
      <c r="G46" s="1" t="s">
        <v>297</v>
      </c>
      <c r="H46" s="667">
        <f>Rates!L69</f>
        <v>26.422440000000005</v>
      </c>
      <c r="I46" s="667">
        <f>H46-F46</f>
        <v>2.0024400000000036</v>
      </c>
      <c r="J46" s="669">
        <f>I46/F46</f>
        <v>8.2000000000000142E-2</v>
      </c>
    </row>
    <row r="47" spans="3:10" ht="15" customHeight="1" x14ac:dyDescent="0.35">
      <c r="C47" s="609" t="s">
        <v>12</v>
      </c>
      <c r="D47" s="75">
        <v>2000</v>
      </c>
      <c r="E47" s="1" t="s">
        <v>296</v>
      </c>
      <c r="F47" s="195">
        <v>1.004E-2</v>
      </c>
      <c r="G47" s="1" t="s">
        <v>298</v>
      </c>
      <c r="H47" s="680">
        <f>Rates!L70</f>
        <v>1.0863280000000001E-2</v>
      </c>
      <c r="I47" s="599">
        <f>H47-F47</f>
        <v>8.2328000000000089E-4</v>
      </c>
      <c r="J47" s="669">
        <f>I47/F47</f>
        <v>8.2000000000000087E-2</v>
      </c>
    </row>
    <row r="48" spans="3:10" ht="15" customHeight="1" x14ac:dyDescent="0.35">
      <c r="C48" s="610"/>
      <c r="D48" s="1"/>
      <c r="E48" s="1"/>
      <c r="F48" s="1"/>
      <c r="G48" s="1"/>
      <c r="H48" s="326"/>
      <c r="I48" s="326"/>
      <c r="J48" s="669"/>
    </row>
    <row r="49" spans="3:10" ht="15" customHeight="1" x14ac:dyDescent="0.35">
      <c r="C49" s="607" t="s">
        <v>281</v>
      </c>
      <c r="D49" s="1"/>
      <c r="E49" s="1"/>
      <c r="F49" s="1"/>
      <c r="G49" s="1"/>
      <c r="H49" s="326"/>
      <c r="I49" s="326"/>
      <c r="J49" s="669"/>
    </row>
    <row r="50" spans="3:10" ht="15" customHeight="1" x14ac:dyDescent="0.35">
      <c r="C50" s="609" t="s">
        <v>11</v>
      </c>
      <c r="D50" s="75">
        <v>1950000</v>
      </c>
      <c r="E50" s="1" t="s">
        <v>296</v>
      </c>
      <c r="F50" s="156">
        <v>15430.93</v>
      </c>
      <c r="G50" s="1" t="s">
        <v>297</v>
      </c>
      <c r="H50" s="667">
        <f>Rates!L73</f>
        <v>16696.26626</v>
      </c>
      <c r="I50" s="667">
        <f t="shared" ref="I50:I51" si="14">H50-F50</f>
        <v>1265.33626</v>
      </c>
      <c r="J50" s="669">
        <f t="shared" ref="J50:J51" si="15">I50/F50</f>
        <v>8.2000000000000003E-2</v>
      </c>
    </row>
    <row r="51" spans="3:10" ht="15" customHeight="1" x14ac:dyDescent="0.35">
      <c r="C51" s="609" t="s">
        <v>12</v>
      </c>
      <c r="D51" s="75">
        <v>1950000</v>
      </c>
      <c r="E51" s="1" t="s">
        <v>296</v>
      </c>
      <c r="F51" s="195">
        <v>7.9000000000000008E-3</v>
      </c>
      <c r="G51" s="1" t="s">
        <v>298</v>
      </c>
      <c r="H51" s="680">
        <f>Rates!L74</f>
        <v>8.5478000000000012E-3</v>
      </c>
      <c r="I51" s="599">
        <f t="shared" si="14"/>
        <v>6.4780000000000046E-4</v>
      </c>
      <c r="J51" s="669">
        <f t="shared" si="15"/>
        <v>8.2000000000000045E-2</v>
      </c>
    </row>
    <row r="52" spans="3:10" x14ac:dyDescent="0.35">
      <c r="C52" s="610"/>
      <c r="D52" s="1"/>
      <c r="E52" s="1"/>
      <c r="F52" s="1"/>
      <c r="G52" s="1"/>
      <c r="H52" s="326"/>
      <c r="I52" s="326"/>
      <c r="J52" s="669"/>
    </row>
    <row r="53" spans="3:10" x14ac:dyDescent="0.35">
      <c r="C53" s="607" t="s">
        <v>282</v>
      </c>
      <c r="D53" s="1"/>
      <c r="E53" s="1"/>
      <c r="F53" s="1"/>
      <c r="G53" s="1"/>
      <c r="H53" s="326"/>
      <c r="I53" s="326"/>
      <c r="J53" s="669"/>
    </row>
    <row r="54" spans="3:10" x14ac:dyDescent="0.35">
      <c r="C54" s="609" t="s">
        <v>11</v>
      </c>
      <c r="D54" s="75">
        <v>600000</v>
      </c>
      <c r="E54" s="1" t="s">
        <v>296</v>
      </c>
      <c r="F54" s="156">
        <v>4747.9799999999996</v>
      </c>
      <c r="G54" s="1" t="s">
        <v>297</v>
      </c>
      <c r="H54" s="667">
        <f>Rates!L77</f>
        <v>5137.3143600000003</v>
      </c>
      <c r="I54" s="667">
        <f t="shared" ref="I54:I55" si="16">H54-F54</f>
        <v>389.33436000000074</v>
      </c>
      <c r="J54" s="669">
        <f t="shared" ref="J54:J55" si="17">I54/F54</f>
        <v>8.200000000000017E-2</v>
      </c>
    </row>
    <row r="55" spans="3:10" x14ac:dyDescent="0.35">
      <c r="C55" s="609" t="s">
        <v>12</v>
      </c>
      <c r="D55" s="75">
        <v>600000</v>
      </c>
      <c r="E55" s="1" t="s">
        <v>296</v>
      </c>
      <c r="F55" s="195">
        <v>7.9000000000000008E-3</v>
      </c>
      <c r="G55" s="1" t="s">
        <v>298</v>
      </c>
      <c r="H55" s="680">
        <f>Rates!L78</f>
        <v>8.5478000000000012E-3</v>
      </c>
      <c r="I55" s="599">
        <f t="shared" si="16"/>
        <v>6.4780000000000046E-4</v>
      </c>
      <c r="J55" s="669">
        <f t="shared" si="17"/>
        <v>8.2000000000000045E-2</v>
      </c>
    </row>
    <row r="56" spans="3:10" x14ac:dyDescent="0.35">
      <c r="C56" s="609"/>
      <c r="D56" s="75"/>
      <c r="E56" s="1"/>
      <c r="F56" s="76"/>
      <c r="G56" s="1"/>
      <c r="H56" s="599"/>
      <c r="I56" s="668"/>
      <c r="J56" s="669"/>
    </row>
    <row r="57" spans="3:10" x14ac:dyDescent="0.35">
      <c r="C57" s="607" t="s">
        <v>299</v>
      </c>
      <c r="D57" s="1"/>
      <c r="E57" s="1"/>
      <c r="F57" s="1"/>
      <c r="G57" s="1"/>
      <c r="H57" s="599"/>
      <c r="I57" s="668"/>
      <c r="J57" s="669"/>
    </row>
    <row r="58" spans="3:10" x14ac:dyDescent="0.35">
      <c r="C58" s="611" t="s">
        <v>284</v>
      </c>
      <c r="D58" s="75"/>
      <c r="E58" s="1"/>
      <c r="F58" s="600">
        <v>7.9000000000000008E-3</v>
      </c>
      <c r="G58" s="1" t="s">
        <v>298</v>
      </c>
      <c r="H58" s="681">
        <f>Rates!L81</f>
        <v>8.5478000000000012E-3</v>
      </c>
      <c r="I58" s="599">
        <f t="shared" ref="I58:I62" si="18">H58-F58</f>
        <v>6.4780000000000046E-4</v>
      </c>
      <c r="J58" s="669">
        <f t="shared" ref="J58:J62" si="19">I58/F58</f>
        <v>8.2000000000000045E-2</v>
      </c>
    </row>
    <row r="59" spans="3:10" x14ac:dyDescent="0.35">
      <c r="C59" s="611" t="s">
        <v>300</v>
      </c>
      <c r="D59" s="75"/>
      <c r="E59" s="1"/>
      <c r="F59" s="600">
        <v>7.9000000000000008E-3</v>
      </c>
      <c r="G59" s="1" t="s">
        <v>298</v>
      </c>
      <c r="H59" s="680">
        <f>Rates!L82</f>
        <v>8.5478000000000012E-3</v>
      </c>
      <c r="I59" s="599">
        <f t="shared" si="18"/>
        <v>6.4780000000000046E-4</v>
      </c>
      <c r="J59" s="669">
        <f t="shared" si="19"/>
        <v>8.2000000000000045E-2</v>
      </c>
    </row>
    <row r="60" spans="3:10" x14ac:dyDescent="0.35">
      <c r="C60" s="611" t="s">
        <v>301</v>
      </c>
      <c r="D60" s="75"/>
      <c r="E60" s="1"/>
      <c r="F60" s="600">
        <v>7.9000000000000008E-3</v>
      </c>
      <c r="G60" s="1" t="s">
        <v>298</v>
      </c>
      <c r="H60" s="680">
        <f>Rates!L83</f>
        <v>8.5478000000000012E-3</v>
      </c>
      <c r="I60" s="599">
        <f t="shared" si="18"/>
        <v>6.4780000000000046E-4</v>
      </c>
      <c r="J60" s="669">
        <f t="shared" si="19"/>
        <v>8.2000000000000045E-2</v>
      </c>
    </row>
    <row r="61" spans="3:10" x14ac:dyDescent="0.35">
      <c r="C61" s="611" t="s">
        <v>302</v>
      </c>
      <c r="D61" s="75"/>
      <c r="E61" s="1"/>
      <c r="F61" s="600">
        <v>7.9000000000000008E-3</v>
      </c>
      <c r="G61" s="1" t="s">
        <v>298</v>
      </c>
      <c r="H61" s="680">
        <f>Rates!L84</f>
        <v>8.5478000000000012E-3</v>
      </c>
      <c r="I61" s="599">
        <f t="shared" si="18"/>
        <v>6.4780000000000046E-4</v>
      </c>
      <c r="J61" s="669">
        <f t="shared" si="19"/>
        <v>8.2000000000000045E-2</v>
      </c>
    </row>
    <row r="62" spans="3:10" x14ac:dyDescent="0.35">
      <c r="C62" s="611" t="s">
        <v>303</v>
      </c>
      <c r="D62" s="75"/>
      <c r="E62" s="1"/>
      <c r="F62" s="600">
        <v>7.9000000000000008E-3</v>
      </c>
      <c r="G62" s="1" t="s">
        <v>298</v>
      </c>
      <c r="H62" s="680">
        <f>Rates!L85</f>
        <v>8.5478000000000012E-3</v>
      </c>
      <c r="I62" s="599">
        <f t="shared" si="18"/>
        <v>6.4780000000000046E-4</v>
      </c>
      <c r="J62" s="669">
        <f t="shared" si="19"/>
        <v>8.2000000000000045E-2</v>
      </c>
    </row>
    <row r="63" spans="3:10" x14ac:dyDescent="0.35">
      <c r="C63" s="387"/>
      <c r="J63" s="9"/>
    </row>
    <row r="64" spans="3:10" x14ac:dyDescent="0.35">
      <c r="C64" s="800" t="s">
        <v>127</v>
      </c>
      <c r="D64" s="801"/>
      <c r="E64" s="801"/>
      <c r="F64" s="801"/>
      <c r="G64" s="801"/>
      <c r="H64" s="801"/>
      <c r="I64" s="801"/>
      <c r="J64" s="802"/>
    </row>
    <row r="65" spans="3:10" x14ac:dyDescent="0.35">
      <c r="C65" s="800" t="s">
        <v>304</v>
      </c>
      <c r="D65" s="801"/>
      <c r="E65" s="801"/>
      <c r="F65" s="801"/>
      <c r="G65" s="801"/>
      <c r="H65" s="801"/>
      <c r="I65" s="801"/>
      <c r="J65" s="802"/>
    </row>
    <row r="66" spans="3:10" x14ac:dyDescent="0.35">
      <c r="C66" s="607" t="s">
        <v>306</v>
      </c>
      <c r="D66" s="1"/>
      <c r="E66" s="1"/>
      <c r="F66" s="666" t="s">
        <v>643</v>
      </c>
      <c r="G66" s="176"/>
      <c r="H66" s="666" t="s">
        <v>9</v>
      </c>
      <c r="I66" s="666" t="s">
        <v>644</v>
      </c>
      <c r="J66" s="608" t="s">
        <v>514</v>
      </c>
    </row>
    <row r="67" spans="3:10" x14ac:dyDescent="0.35">
      <c r="C67" s="609" t="s">
        <v>11</v>
      </c>
      <c r="D67" s="75">
        <v>2000</v>
      </c>
      <c r="E67" s="1" t="s">
        <v>296</v>
      </c>
      <c r="F67" s="156">
        <v>30.03</v>
      </c>
      <c r="G67" s="1" t="s">
        <v>297</v>
      </c>
      <c r="H67" s="667">
        <f>Rates!L14</f>
        <v>30.97</v>
      </c>
      <c r="I67" s="668">
        <f t="shared" ref="I67:I69" si="20">H67-F67</f>
        <v>0.93999999999999773</v>
      </c>
      <c r="J67" s="669">
        <f t="shared" ref="J67:J69" si="21">I67/F67</f>
        <v>3.1302031302031227E-2</v>
      </c>
    </row>
    <row r="68" spans="3:10" x14ac:dyDescent="0.35">
      <c r="C68" s="609" t="s">
        <v>287</v>
      </c>
      <c r="D68" s="75">
        <v>18000</v>
      </c>
      <c r="E68" s="1" t="s">
        <v>296</v>
      </c>
      <c r="F68" s="198">
        <v>1.048E-2</v>
      </c>
      <c r="G68" s="1" t="s">
        <v>307</v>
      </c>
      <c r="H68" s="680">
        <f>Rates!L15</f>
        <v>1.081E-2</v>
      </c>
      <c r="I68" s="599">
        <f t="shared" si="20"/>
        <v>3.3000000000000043E-4</v>
      </c>
      <c r="J68" s="669">
        <f t="shared" si="21"/>
        <v>3.1488549618320649E-2</v>
      </c>
    </row>
    <row r="69" spans="3:10" x14ac:dyDescent="0.35">
      <c r="C69" s="609" t="s">
        <v>12</v>
      </c>
      <c r="D69" s="75">
        <v>20000</v>
      </c>
      <c r="E69" s="1" t="s">
        <v>296</v>
      </c>
      <c r="F69" s="203">
        <v>9.3100000000000006E-3</v>
      </c>
      <c r="G69" s="1" t="s">
        <v>307</v>
      </c>
      <c r="H69" s="680">
        <f>Rates!L16</f>
        <v>9.5999999999999992E-3</v>
      </c>
      <c r="I69" s="599">
        <f t="shared" si="20"/>
        <v>2.8999999999999859E-4</v>
      </c>
      <c r="J69" s="669">
        <f t="shared" si="21"/>
        <v>3.1149301825993403E-2</v>
      </c>
    </row>
    <row r="70" spans="3:10" x14ac:dyDescent="0.35">
      <c r="C70" s="609"/>
      <c r="D70" s="75"/>
      <c r="E70" s="1"/>
      <c r="F70" s="203"/>
      <c r="G70" s="1"/>
      <c r="H70" s="326"/>
      <c r="J70" s="670"/>
    </row>
    <row r="71" spans="3:10" x14ac:dyDescent="0.35">
      <c r="C71" s="612" t="s">
        <v>281</v>
      </c>
      <c r="D71" s="75"/>
      <c r="E71" s="1"/>
      <c r="F71" s="203"/>
      <c r="G71" s="1"/>
      <c r="H71" s="326"/>
      <c r="J71" s="670"/>
    </row>
    <row r="72" spans="3:10" x14ac:dyDescent="0.35">
      <c r="C72" s="609" t="s">
        <v>11</v>
      </c>
      <c r="D72" s="75">
        <v>1300000</v>
      </c>
      <c r="E72" s="1" t="s">
        <v>296</v>
      </c>
      <c r="F72" s="205">
        <v>12044.27</v>
      </c>
      <c r="G72" s="1" t="s">
        <v>297</v>
      </c>
      <c r="H72" s="667">
        <f>Rates!L19</f>
        <v>12420.57</v>
      </c>
      <c r="I72" s="668">
        <f t="shared" ref="I72:I73" si="22">H72-F72</f>
        <v>376.29999999999927</v>
      </c>
      <c r="J72" s="669">
        <f t="shared" ref="J72:J73" si="23">I72/F72</f>
        <v>3.1243072431953057E-2</v>
      </c>
    </row>
    <row r="73" spans="3:10" x14ac:dyDescent="0.35">
      <c r="C73" s="613" t="s">
        <v>12</v>
      </c>
      <c r="D73" s="200">
        <v>1300000</v>
      </c>
      <c r="E73" s="54" t="s">
        <v>296</v>
      </c>
      <c r="F73" s="614">
        <v>1.048E-2</v>
      </c>
      <c r="G73" s="54" t="s">
        <v>307</v>
      </c>
      <c r="H73" s="615">
        <f>Rates!L20</f>
        <v>1.081E-2</v>
      </c>
      <c r="I73" s="615">
        <f t="shared" si="22"/>
        <v>3.3000000000000043E-4</v>
      </c>
      <c r="J73" s="671">
        <f t="shared" si="23"/>
        <v>3.1488549618320649E-2</v>
      </c>
    </row>
    <row r="77" spans="3:10" x14ac:dyDescent="0.35">
      <c r="C77" s="803" t="s">
        <v>664</v>
      </c>
      <c r="D77" s="804"/>
      <c r="E77" s="804"/>
      <c r="F77" s="804"/>
      <c r="G77" s="804"/>
      <c r="H77" s="804"/>
      <c r="I77" s="804"/>
      <c r="J77" s="805"/>
    </row>
    <row r="78" spans="3:10" x14ac:dyDescent="0.35">
      <c r="C78" s="806" t="s">
        <v>667</v>
      </c>
      <c r="D78" s="790"/>
      <c r="E78" s="790"/>
      <c r="F78" s="790"/>
      <c r="G78" s="790"/>
      <c r="H78" s="790"/>
      <c r="I78" s="790"/>
      <c r="J78" s="791"/>
    </row>
    <row r="79" spans="3:10" x14ac:dyDescent="0.35">
      <c r="C79" s="807" t="s">
        <v>127</v>
      </c>
      <c r="D79" s="808"/>
      <c r="E79" s="808"/>
      <c r="F79" s="808"/>
      <c r="G79" s="808"/>
      <c r="H79" s="808"/>
      <c r="I79" s="808"/>
      <c r="J79" s="809"/>
    </row>
    <row r="80" spans="3:10" x14ac:dyDescent="0.35">
      <c r="C80" s="810" t="s">
        <v>293</v>
      </c>
      <c r="D80" s="811"/>
      <c r="E80" s="811"/>
      <c r="F80" s="811"/>
      <c r="G80" s="811"/>
      <c r="H80" s="811"/>
      <c r="I80" s="811"/>
      <c r="J80" s="812"/>
    </row>
    <row r="81" spans="3:10" x14ac:dyDescent="0.35">
      <c r="C81" s="387"/>
      <c r="F81" s="665" t="s">
        <v>668</v>
      </c>
      <c r="H81" s="665" t="s">
        <v>669</v>
      </c>
      <c r="J81" s="9"/>
    </row>
    <row r="82" spans="3:10" x14ac:dyDescent="0.35">
      <c r="C82" s="607" t="s">
        <v>277</v>
      </c>
      <c r="D82" s="1"/>
      <c r="E82" s="1"/>
      <c r="F82" s="666" t="s">
        <v>258</v>
      </c>
      <c r="G82" s="1"/>
      <c r="H82" s="666" t="s">
        <v>258</v>
      </c>
      <c r="I82" s="666" t="s">
        <v>644</v>
      </c>
      <c r="J82" s="608" t="s">
        <v>514</v>
      </c>
    </row>
    <row r="83" spans="3:10" x14ac:dyDescent="0.35">
      <c r="C83" s="609" t="s">
        <v>11</v>
      </c>
      <c r="D83" s="75">
        <v>2000</v>
      </c>
      <c r="E83" s="1" t="s">
        <v>296</v>
      </c>
      <c r="F83" s="156">
        <f>H46</f>
        <v>26.422440000000005</v>
      </c>
      <c r="G83" s="1" t="s">
        <v>297</v>
      </c>
      <c r="H83" s="667">
        <f>H10</f>
        <v>28.424880000000002</v>
      </c>
      <c r="I83" s="667">
        <f>H83-F83</f>
        <v>2.0024399999999964</v>
      </c>
      <c r="J83" s="669">
        <f>I83/F83</f>
        <v>7.5785582255083028E-2</v>
      </c>
    </row>
    <row r="84" spans="3:10" x14ac:dyDescent="0.35">
      <c r="C84" s="609" t="s">
        <v>12</v>
      </c>
      <c r="D84" s="75">
        <v>2000</v>
      </c>
      <c r="E84" s="1" t="s">
        <v>296</v>
      </c>
      <c r="F84" s="600">
        <f>H47</f>
        <v>1.0863280000000001E-2</v>
      </c>
      <c r="G84" s="1" t="s">
        <v>298</v>
      </c>
      <c r="H84" s="599">
        <f>H11</f>
        <v>1.168656E-2</v>
      </c>
      <c r="I84" s="599">
        <f>H84-F84</f>
        <v>8.2327999999999915E-4</v>
      </c>
      <c r="J84" s="669">
        <f>I84/F84</f>
        <v>7.5785582255083098E-2</v>
      </c>
    </row>
    <row r="85" spans="3:10" x14ac:dyDescent="0.35">
      <c r="C85" s="610"/>
      <c r="D85" s="1"/>
      <c r="E85" s="1"/>
      <c r="F85" s="1"/>
      <c r="G85" s="1"/>
      <c r="H85" s="326"/>
      <c r="I85" s="326"/>
      <c r="J85" s="669"/>
    </row>
    <row r="86" spans="3:10" x14ac:dyDescent="0.35">
      <c r="C86" s="607" t="s">
        <v>281</v>
      </c>
      <c r="D86" s="1"/>
      <c r="E86" s="1"/>
      <c r="F86" s="1"/>
      <c r="G86" s="1"/>
      <c r="H86" s="326"/>
      <c r="I86" s="326"/>
      <c r="J86" s="669"/>
    </row>
    <row r="87" spans="3:10" x14ac:dyDescent="0.35">
      <c r="C87" s="609" t="s">
        <v>11</v>
      </c>
      <c r="D87" s="75">
        <v>1950000</v>
      </c>
      <c r="E87" s="1" t="s">
        <v>296</v>
      </c>
      <c r="F87" s="156">
        <f t="shared" ref="F87:F88" si="24">H50</f>
        <v>16696.26626</v>
      </c>
      <c r="G87" s="1" t="s">
        <v>297</v>
      </c>
      <c r="H87" s="667">
        <f>H14</f>
        <v>17961.60252</v>
      </c>
      <c r="I87" s="667">
        <f t="shared" ref="I87:I88" si="25">H87-F87</f>
        <v>1265.33626</v>
      </c>
      <c r="J87" s="669">
        <f t="shared" ref="J87:J88" si="26">I87/F87</f>
        <v>7.5785582255083181E-2</v>
      </c>
    </row>
    <row r="88" spans="3:10" x14ac:dyDescent="0.35">
      <c r="C88" s="609" t="s">
        <v>12</v>
      </c>
      <c r="D88" s="75">
        <v>1950000</v>
      </c>
      <c r="E88" s="1" t="s">
        <v>296</v>
      </c>
      <c r="F88" s="600">
        <f t="shared" si="24"/>
        <v>8.5478000000000012E-3</v>
      </c>
      <c r="G88" s="1" t="s">
        <v>298</v>
      </c>
      <c r="H88" s="599">
        <f>H15</f>
        <v>9.1956E-3</v>
      </c>
      <c r="I88" s="599">
        <f t="shared" si="25"/>
        <v>6.4779999999999872E-4</v>
      </c>
      <c r="J88" s="669">
        <f t="shared" si="26"/>
        <v>7.5785582255083014E-2</v>
      </c>
    </row>
    <row r="89" spans="3:10" x14ac:dyDescent="0.35">
      <c r="C89" s="610"/>
      <c r="D89" s="1"/>
      <c r="E89" s="1"/>
      <c r="F89" s="1"/>
      <c r="G89" s="1"/>
      <c r="H89" s="326"/>
      <c r="I89" s="326"/>
      <c r="J89" s="669"/>
    </row>
    <row r="90" spans="3:10" x14ac:dyDescent="0.35">
      <c r="C90" s="607" t="s">
        <v>282</v>
      </c>
      <c r="D90" s="1"/>
      <c r="E90" s="1"/>
      <c r="F90" s="1"/>
      <c r="G90" s="1"/>
      <c r="H90" s="326"/>
      <c r="I90" s="326"/>
      <c r="J90" s="669"/>
    </row>
    <row r="91" spans="3:10" x14ac:dyDescent="0.35">
      <c r="C91" s="609" t="s">
        <v>11</v>
      </c>
      <c r="D91" s="75">
        <v>600000</v>
      </c>
      <c r="E91" s="1" t="s">
        <v>296</v>
      </c>
      <c r="F91" s="156">
        <f t="shared" ref="F91:F92" si="27">H54</f>
        <v>5137.3143600000003</v>
      </c>
      <c r="G91" s="1" t="s">
        <v>297</v>
      </c>
      <c r="H91" s="667">
        <f>H18</f>
        <v>5526.6487199999992</v>
      </c>
      <c r="I91" s="667">
        <f t="shared" ref="I91:I92" si="28">H91-F91</f>
        <v>389.33435999999892</v>
      </c>
      <c r="J91" s="669">
        <f t="shared" ref="J91:J92" si="29">I91/F91</f>
        <v>7.5785582255082959E-2</v>
      </c>
    </row>
    <row r="92" spans="3:10" x14ac:dyDescent="0.35">
      <c r="C92" s="609" t="s">
        <v>12</v>
      </c>
      <c r="D92" s="75">
        <v>600000</v>
      </c>
      <c r="E92" s="1" t="s">
        <v>296</v>
      </c>
      <c r="F92" s="600">
        <f t="shared" si="27"/>
        <v>8.5478000000000012E-3</v>
      </c>
      <c r="G92" s="1" t="s">
        <v>298</v>
      </c>
      <c r="H92" s="599">
        <f>H19</f>
        <v>9.1956E-3</v>
      </c>
      <c r="I92" s="599">
        <f t="shared" si="28"/>
        <v>6.4779999999999872E-4</v>
      </c>
      <c r="J92" s="669">
        <f t="shared" si="29"/>
        <v>7.5785582255083014E-2</v>
      </c>
    </row>
    <row r="93" spans="3:10" x14ac:dyDescent="0.35">
      <c r="C93" s="609"/>
      <c r="D93" s="75"/>
      <c r="E93" s="1"/>
      <c r="F93" s="76"/>
      <c r="G93" s="1"/>
      <c r="H93" s="599"/>
      <c r="I93" s="668"/>
      <c r="J93" s="669"/>
    </row>
    <row r="94" spans="3:10" x14ac:dyDescent="0.35">
      <c r="C94" s="607" t="s">
        <v>299</v>
      </c>
      <c r="D94" s="1"/>
      <c r="E94" s="1"/>
      <c r="F94" s="1"/>
      <c r="G94" s="1"/>
      <c r="H94" s="599"/>
      <c r="I94" s="668"/>
      <c r="J94" s="669"/>
    </row>
    <row r="95" spans="3:10" x14ac:dyDescent="0.35">
      <c r="C95" s="611" t="s">
        <v>284</v>
      </c>
      <c r="D95" s="75"/>
      <c r="E95" s="1"/>
      <c r="F95" s="682">
        <f t="shared" ref="F95:F99" si="30">H58</f>
        <v>8.5478000000000012E-3</v>
      </c>
      <c r="G95" s="1" t="s">
        <v>298</v>
      </c>
      <c r="H95" s="599">
        <f t="shared" ref="H95:H99" si="31">H22</f>
        <v>9.1956E-3</v>
      </c>
      <c r="I95" s="599">
        <f t="shared" ref="I95:I99" si="32">H95-F95</f>
        <v>6.4779999999999872E-4</v>
      </c>
      <c r="J95" s="669">
        <f t="shared" ref="J95:J99" si="33">I95/F95</f>
        <v>7.5785582255083014E-2</v>
      </c>
    </row>
    <row r="96" spans="3:10" x14ac:dyDescent="0.35">
      <c r="C96" s="611" t="s">
        <v>300</v>
      </c>
      <c r="D96" s="75"/>
      <c r="E96" s="1"/>
      <c r="F96" s="600">
        <f t="shared" si="30"/>
        <v>8.5478000000000012E-3</v>
      </c>
      <c r="G96" s="1" t="s">
        <v>298</v>
      </c>
      <c r="H96" s="599">
        <f t="shared" si="31"/>
        <v>9.1956E-3</v>
      </c>
      <c r="I96" s="599">
        <f t="shared" si="32"/>
        <v>6.4779999999999872E-4</v>
      </c>
      <c r="J96" s="669">
        <f t="shared" si="33"/>
        <v>7.5785582255083014E-2</v>
      </c>
    </row>
    <row r="97" spans="3:10" x14ac:dyDescent="0.35">
      <c r="C97" s="611" t="s">
        <v>301</v>
      </c>
      <c r="D97" s="75"/>
      <c r="E97" s="1"/>
      <c r="F97" s="600">
        <f t="shared" si="30"/>
        <v>8.5478000000000012E-3</v>
      </c>
      <c r="G97" s="1" t="s">
        <v>298</v>
      </c>
      <c r="H97" s="599">
        <f t="shared" si="31"/>
        <v>9.1956E-3</v>
      </c>
      <c r="I97" s="599">
        <f t="shared" si="32"/>
        <v>6.4779999999999872E-4</v>
      </c>
      <c r="J97" s="669">
        <f t="shared" si="33"/>
        <v>7.5785582255083014E-2</v>
      </c>
    </row>
    <row r="98" spans="3:10" x14ac:dyDescent="0.35">
      <c r="C98" s="611" t="s">
        <v>302</v>
      </c>
      <c r="D98" s="75"/>
      <c r="E98" s="1"/>
      <c r="F98" s="600">
        <f t="shared" si="30"/>
        <v>8.5478000000000012E-3</v>
      </c>
      <c r="G98" s="1" t="s">
        <v>298</v>
      </c>
      <c r="H98" s="599">
        <f t="shared" si="31"/>
        <v>9.1956E-3</v>
      </c>
      <c r="I98" s="599">
        <f t="shared" si="32"/>
        <v>6.4779999999999872E-4</v>
      </c>
      <c r="J98" s="669">
        <f t="shared" si="33"/>
        <v>7.5785582255083014E-2</v>
      </c>
    </row>
    <row r="99" spans="3:10" x14ac:dyDescent="0.35">
      <c r="C99" s="683" t="s">
        <v>303</v>
      </c>
      <c r="D99" s="200"/>
      <c r="E99" s="54"/>
      <c r="F99" s="684">
        <f t="shared" si="30"/>
        <v>8.5478000000000012E-3</v>
      </c>
      <c r="G99" s="54" t="s">
        <v>298</v>
      </c>
      <c r="H99" s="615">
        <f t="shared" si="31"/>
        <v>9.1956E-3</v>
      </c>
      <c r="I99" s="615">
        <f t="shared" si="32"/>
        <v>6.4779999999999872E-4</v>
      </c>
      <c r="J99" s="671">
        <f t="shared" si="33"/>
        <v>7.5785582255083014E-2</v>
      </c>
    </row>
  </sheetData>
  <mergeCells count="20">
    <mergeCell ref="C28:J28"/>
    <mergeCell ref="C29:J29"/>
    <mergeCell ref="C4:J4"/>
    <mergeCell ref="L15:T15"/>
    <mergeCell ref="L6:T6"/>
    <mergeCell ref="C5:J5"/>
    <mergeCell ref="C6:J6"/>
    <mergeCell ref="C7:J7"/>
    <mergeCell ref="R7:T7"/>
    <mergeCell ref="N7:Q7"/>
    <mergeCell ref="C40:J40"/>
    <mergeCell ref="C41:J41"/>
    <mergeCell ref="C42:J42"/>
    <mergeCell ref="C43:J43"/>
    <mergeCell ref="C64:J64"/>
    <mergeCell ref="C65:J65"/>
    <mergeCell ref="C77:J77"/>
    <mergeCell ref="C78:J78"/>
    <mergeCell ref="C79:J79"/>
    <mergeCell ref="C80:J8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A1:O169"/>
  <sheetViews>
    <sheetView topLeftCell="A134" zoomScale="98" zoomScaleNormal="98" workbookViewId="0">
      <selection activeCell="L144" sqref="L144"/>
    </sheetView>
  </sheetViews>
  <sheetFormatPr defaultColWidth="8.84375" defaultRowHeight="14.5" x14ac:dyDescent="0.35"/>
  <cols>
    <col min="1" max="1" width="9" style="1" customWidth="1"/>
    <col min="2" max="2" width="1.765625" style="1" customWidth="1"/>
    <col min="3" max="3" width="9.765625" style="1" customWidth="1"/>
    <col min="4" max="4" width="2.61328125" style="1" customWidth="1"/>
    <col min="5" max="5" width="11.4609375" style="1" customWidth="1"/>
    <col min="6" max="6" width="14.15234375" style="1" customWidth="1"/>
    <col min="7" max="7" width="9.765625" style="1" customWidth="1"/>
    <col min="8" max="8" width="0.84375" style="1" customWidth="1"/>
    <col min="9" max="9" width="9.921875" style="1" customWidth="1"/>
    <col min="10" max="12" width="8.84375" style="1"/>
    <col min="13" max="13" width="10.84375" style="1" bestFit="1" customWidth="1"/>
    <col min="14" max="16384" width="8.84375" style="1"/>
  </cols>
  <sheetData>
    <row r="1" spans="1:15" ht="18.5" x14ac:dyDescent="0.45">
      <c r="B1" s="823" t="s">
        <v>125</v>
      </c>
      <c r="C1" s="823"/>
      <c r="D1" s="823"/>
      <c r="E1" s="823"/>
      <c r="F1" s="823"/>
      <c r="G1" s="823"/>
      <c r="H1" s="823"/>
    </row>
    <row r="2" spans="1:15" ht="18.5" x14ac:dyDescent="0.45">
      <c r="B2" s="823"/>
      <c r="C2" s="823"/>
      <c r="D2" s="823"/>
      <c r="E2" s="823"/>
      <c r="F2" s="823"/>
      <c r="G2" s="823"/>
      <c r="H2" s="823"/>
    </row>
    <row r="3" spans="1:15" ht="18.5" x14ac:dyDescent="0.45">
      <c r="B3" s="824"/>
      <c r="C3" s="824"/>
      <c r="D3" s="824"/>
      <c r="E3" s="824"/>
      <c r="F3" s="824"/>
      <c r="G3" s="824"/>
      <c r="H3" s="824"/>
    </row>
    <row r="5" spans="1:15" x14ac:dyDescent="0.35">
      <c r="A5" s="29"/>
      <c r="B5" s="39"/>
      <c r="C5" s="40"/>
      <c r="D5" s="40"/>
      <c r="E5" s="40"/>
      <c r="F5" s="40"/>
      <c r="G5" s="40"/>
      <c r="H5" s="40"/>
      <c r="I5" s="41"/>
    </row>
    <row r="6" spans="1:15" ht="18.5" x14ac:dyDescent="0.45">
      <c r="A6" s="29"/>
      <c r="B6" s="39"/>
      <c r="C6" s="826" t="s">
        <v>633</v>
      </c>
      <c r="D6" s="826"/>
      <c r="E6" s="826"/>
      <c r="F6" s="826"/>
      <c r="G6" s="826"/>
      <c r="H6" s="826"/>
      <c r="I6" s="827"/>
    </row>
    <row r="7" spans="1:15" ht="18.5" x14ac:dyDescent="0.45">
      <c r="A7" s="29"/>
      <c r="B7" s="44"/>
      <c r="C7" s="819" t="s">
        <v>634</v>
      </c>
      <c r="D7" s="819"/>
      <c r="E7" s="819"/>
      <c r="F7" s="819"/>
      <c r="G7" s="819"/>
      <c r="H7" s="819"/>
      <c r="I7" s="820"/>
    </row>
    <row r="8" spans="1:15" ht="18.5" x14ac:dyDescent="0.35">
      <c r="A8" s="29"/>
      <c r="B8" s="44"/>
      <c r="C8" s="828" t="s">
        <v>670</v>
      </c>
      <c r="D8" s="828"/>
      <c r="E8" s="828"/>
      <c r="F8" s="828"/>
      <c r="G8" s="828"/>
      <c r="H8" s="828"/>
      <c r="I8" s="829"/>
    </row>
    <row r="9" spans="1:15" ht="18.5" x14ac:dyDescent="0.45">
      <c r="A9" s="29"/>
      <c r="B9" s="44"/>
      <c r="C9" s="825"/>
      <c r="D9" s="825"/>
      <c r="E9" s="825"/>
      <c r="F9" s="825"/>
      <c r="G9" s="825"/>
      <c r="H9" s="825"/>
      <c r="I9" s="152"/>
    </row>
    <row r="10" spans="1:15" x14ac:dyDescent="0.35">
      <c r="A10" s="29"/>
      <c r="B10" s="91"/>
      <c r="C10" s="52"/>
      <c r="D10" s="52"/>
      <c r="E10" s="56"/>
      <c r="F10" s="56"/>
      <c r="G10" s="56"/>
      <c r="H10" s="56"/>
      <c r="I10" s="152"/>
    </row>
    <row r="11" spans="1:15" ht="22" customHeight="1" x14ac:dyDescent="0.65">
      <c r="A11" s="29"/>
      <c r="B11" s="44"/>
      <c r="C11" s="56"/>
      <c r="D11" s="152"/>
      <c r="E11" s="821"/>
      <c r="F11" s="822"/>
      <c r="G11" s="822"/>
      <c r="H11" s="545"/>
      <c r="I11" s="546"/>
    </row>
    <row r="12" spans="1:15" ht="16" x14ac:dyDescent="0.5">
      <c r="A12" s="29"/>
      <c r="B12" s="44"/>
      <c r="C12" s="542" t="s">
        <v>15</v>
      </c>
      <c r="D12" s="543"/>
      <c r="E12" s="544" t="s">
        <v>30</v>
      </c>
      <c r="F12" s="542" t="s">
        <v>9</v>
      </c>
      <c r="G12" s="151"/>
      <c r="H12" s="151"/>
      <c r="I12" s="543" t="s">
        <v>514</v>
      </c>
    </row>
    <row r="13" spans="1:15" ht="16" x14ac:dyDescent="0.5">
      <c r="A13" s="29"/>
      <c r="B13" s="44"/>
      <c r="C13" s="151" t="s">
        <v>86</v>
      </c>
      <c r="D13" s="87"/>
      <c r="E13" s="88" t="s">
        <v>84</v>
      </c>
      <c r="F13" s="151" t="s">
        <v>84</v>
      </c>
      <c r="G13" s="151" t="s">
        <v>31</v>
      </c>
      <c r="H13" s="151"/>
      <c r="I13" s="87" t="s">
        <v>31</v>
      </c>
    </row>
    <row r="14" spans="1:15" x14ac:dyDescent="0.35">
      <c r="A14" s="29"/>
      <c r="B14" s="44"/>
      <c r="C14" s="77">
        <v>0</v>
      </c>
      <c r="D14" s="154"/>
      <c r="E14" s="695">
        <f>Rates!F37</f>
        <v>24.42</v>
      </c>
      <c r="F14" s="695">
        <f>Rates!L37</f>
        <v>28.424880000000002</v>
      </c>
      <c r="G14" s="71">
        <f>F14-E14</f>
        <v>4.00488</v>
      </c>
      <c r="H14" s="71"/>
      <c r="I14" s="547">
        <f t="shared" ref="I14:I22" si="0">G14/E14</f>
        <v>0.16399999999999998</v>
      </c>
      <c r="K14" s="73"/>
      <c r="M14" s="73"/>
      <c r="O14" s="73"/>
    </row>
    <row r="15" spans="1:15" x14ac:dyDescent="0.35">
      <c r="A15" s="29"/>
      <c r="B15" s="44"/>
      <c r="C15" s="56">
        <v>2000</v>
      </c>
      <c r="D15" s="154"/>
      <c r="E15" s="696">
        <f>Rates!F37</f>
        <v>24.42</v>
      </c>
      <c r="F15" s="696">
        <f>Rates!L37</f>
        <v>28.424880000000002</v>
      </c>
      <c r="G15" s="25">
        <f t="shared" ref="G15:G22" si="1">F15-E15</f>
        <v>4.00488</v>
      </c>
      <c r="H15" s="77"/>
      <c r="I15" s="547">
        <f t="shared" si="0"/>
        <v>0.16399999999999998</v>
      </c>
      <c r="K15" s="73"/>
      <c r="M15" s="73"/>
      <c r="O15" s="73"/>
    </row>
    <row r="16" spans="1:15" x14ac:dyDescent="0.35">
      <c r="A16" s="29"/>
      <c r="B16" s="44"/>
      <c r="C16" s="89">
        <v>4000</v>
      </c>
      <c r="D16" s="155"/>
      <c r="E16" s="697">
        <f>Rates!F37+(2000*Rates!F38)</f>
        <v>44.5</v>
      </c>
      <c r="F16" s="697">
        <f>Rates!L37+(2000*Rates!L38)</f>
        <v>51.798000000000002</v>
      </c>
      <c r="G16" s="698">
        <f t="shared" si="1"/>
        <v>7.2980000000000018</v>
      </c>
      <c r="H16" s="90"/>
      <c r="I16" s="548">
        <f t="shared" si="0"/>
        <v>0.16400000000000003</v>
      </c>
      <c r="K16" s="73"/>
      <c r="M16" s="73"/>
      <c r="O16" s="73"/>
    </row>
    <row r="17" spans="1:15" x14ac:dyDescent="0.35">
      <c r="A17" s="29"/>
      <c r="B17" s="44"/>
      <c r="C17" s="56">
        <v>6000</v>
      </c>
      <c r="D17" s="154"/>
      <c r="E17" s="699">
        <f>Rates!F37+(4000*Rates!F38)</f>
        <v>64.580000000000013</v>
      </c>
      <c r="F17" s="699">
        <f>Rates!L37+(4000*Rates!L38)</f>
        <v>75.171120000000002</v>
      </c>
      <c r="G17" s="25">
        <f t="shared" si="1"/>
        <v>10.591119999999989</v>
      </c>
      <c r="H17" s="77"/>
      <c r="I17" s="547">
        <f t="shared" si="0"/>
        <v>0.16399999999999981</v>
      </c>
      <c r="K17" s="73"/>
      <c r="M17" s="73"/>
      <c r="O17" s="73"/>
    </row>
    <row r="18" spans="1:15" x14ac:dyDescent="0.35">
      <c r="A18" s="29"/>
      <c r="B18" s="44"/>
      <c r="C18" s="56">
        <v>8000</v>
      </c>
      <c r="D18" s="154"/>
      <c r="E18" s="699">
        <f>Rates!F37+(6000*Rates!F38)</f>
        <v>84.66</v>
      </c>
      <c r="F18" s="699">
        <f>Rates!L37+(6000*Rates!L38)</f>
        <v>98.544240000000002</v>
      </c>
      <c r="G18" s="25">
        <f t="shared" si="1"/>
        <v>13.884240000000005</v>
      </c>
      <c r="H18" s="77"/>
      <c r="I18" s="547">
        <f t="shared" si="0"/>
        <v>0.16400000000000006</v>
      </c>
      <c r="K18" s="73"/>
      <c r="M18" s="73"/>
      <c r="O18" s="73"/>
    </row>
    <row r="19" spans="1:15" x14ac:dyDescent="0.35">
      <c r="A19" s="29"/>
      <c r="B19" s="44"/>
      <c r="C19" s="56">
        <v>10000</v>
      </c>
      <c r="D19" s="154"/>
      <c r="E19" s="699">
        <f>Rates!F37+(8000*Rates!F38)</f>
        <v>104.74000000000001</v>
      </c>
      <c r="F19" s="699">
        <f>Rates!L37+(8000*Rates!L38)</f>
        <v>121.91736</v>
      </c>
      <c r="G19" s="25">
        <f t="shared" si="1"/>
        <v>17.177359999999993</v>
      </c>
      <c r="H19" s="77"/>
      <c r="I19" s="547">
        <f t="shared" si="0"/>
        <v>0.16399999999999992</v>
      </c>
      <c r="K19" s="73"/>
      <c r="M19" s="73"/>
      <c r="O19" s="73"/>
    </row>
    <row r="20" spans="1:15" x14ac:dyDescent="0.35">
      <c r="A20" s="29"/>
      <c r="B20" s="44"/>
      <c r="C20" s="56">
        <v>15000</v>
      </c>
      <c r="D20" s="154"/>
      <c r="E20" s="699">
        <f>Rates!F37+(13000*Rates!F38)</f>
        <v>154.94</v>
      </c>
      <c r="F20" s="699">
        <f>Rates!L37+(13000*Rates!L38)</f>
        <v>180.35016000000002</v>
      </c>
      <c r="G20" s="25">
        <f t="shared" si="1"/>
        <v>25.410160000000019</v>
      </c>
      <c r="H20" s="77"/>
      <c r="I20" s="547">
        <f t="shared" si="0"/>
        <v>0.16400000000000012</v>
      </c>
      <c r="K20" s="73"/>
      <c r="M20" s="73"/>
      <c r="O20" s="73"/>
    </row>
    <row r="21" spans="1:15" x14ac:dyDescent="0.35">
      <c r="A21" s="29"/>
      <c r="B21" s="44"/>
      <c r="C21" s="56">
        <v>20000</v>
      </c>
      <c r="D21" s="154"/>
      <c r="E21" s="699">
        <f>Rates!F37+(18000*Rates!F38)</f>
        <v>205.14</v>
      </c>
      <c r="F21" s="699">
        <f>Rates!L37+(18000*Rates!L38)</f>
        <v>238.78296</v>
      </c>
      <c r="G21" s="25">
        <f t="shared" si="1"/>
        <v>33.642960000000016</v>
      </c>
      <c r="H21" s="77"/>
      <c r="I21" s="547">
        <f t="shared" si="0"/>
        <v>0.16400000000000009</v>
      </c>
      <c r="K21" s="73"/>
      <c r="M21" s="73"/>
      <c r="O21" s="73"/>
    </row>
    <row r="22" spans="1:15" x14ac:dyDescent="0.35">
      <c r="A22" s="29"/>
      <c r="B22" s="44"/>
      <c r="C22" s="56">
        <v>50000</v>
      </c>
      <c r="D22" s="153"/>
      <c r="E22" s="699">
        <f>Rates!F37+(48000*Rates!F38)</f>
        <v>506.34000000000003</v>
      </c>
      <c r="F22" s="699">
        <f>Rates!L37+(48000*Rates!L38)</f>
        <v>589.37976000000003</v>
      </c>
      <c r="G22" s="25">
        <f t="shared" si="1"/>
        <v>83.039760000000001</v>
      </c>
      <c r="H22" s="77"/>
      <c r="I22" s="547">
        <f t="shared" si="0"/>
        <v>0.16399999999999998</v>
      </c>
      <c r="K22" s="73"/>
      <c r="M22" s="73"/>
      <c r="O22" s="73"/>
    </row>
    <row r="23" spans="1:15" x14ac:dyDescent="0.35">
      <c r="A23" s="29"/>
      <c r="B23" s="44"/>
      <c r="C23" s="56"/>
      <c r="D23" s="153"/>
      <c r="E23" s="553"/>
      <c r="F23" s="550"/>
      <c r="G23" s="71"/>
      <c r="H23" s="77"/>
      <c r="I23" s="547"/>
      <c r="K23" s="73"/>
      <c r="M23" s="73"/>
      <c r="O23" s="73"/>
    </row>
    <row r="24" spans="1:15" x14ac:dyDescent="0.35">
      <c r="A24" s="29"/>
      <c r="B24" s="44"/>
      <c r="C24" s="192" t="s">
        <v>281</v>
      </c>
      <c r="D24" s="153"/>
      <c r="E24" s="553"/>
      <c r="F24" s="550"/>
      <c r="G24" s="71"/>
      <c r="H24" s="77"/>
      <c r="I24" s="547"/>
      <c r="K24" s="73"/>
      <c r="M24" s="73"/>
      <c r="O24" s="73"/>
    </row>
    <row r="25" spans="1:15" x14ac:dyDescent="0.35">
      <c r="A25" s="29"/>
      <c r="B25" s="44"/>
      <c r="C25" s="56">
        <v>9500000</v>
      </c>
      <c r="D25" s="153"/>
      <c r="E25" s="700">
        <f>Rates!F41+(7550000*Rates!F42)</f>
        <v>75075.930000000008</v>
      </c>
      <c r="F25" s="700">
        <f>Rates!L41+(7550000*Rates!L42)</f>
        <v>87388.382519999999</v>
      </c>
      <c r="G25" s="71">
        <f t="shared" ref="G25" si="2">F25-E25</f>
        <v>12312.452519999992</v>
      </c>
      <c r="H25" s="77"/>
      <c r="I25" s="547">
        <f>G25/E25</f>
        <v>0.16399999999999987</v>
      </c>
      <c r="K25" s="73"/>
      <c r="M25" s="73"/>
      <c r="O25" s="73"/>
    </row>
    <row r="26" spans="1:15" x14ac:dyDescent="0.35">
      <c r="A26" s="29"/>
      <c r="B26" s="44"/>
      <c r="C26" s="56"/>
      <c r="D26" s="153"/>
      <c r="E26" s="551"/>
      <c r="F26" s="77"/>
      <c r="G26" s="77"/>
      <c r="H26" s="77"/>
      <c r="I26" s="547"/>
      <c r="K26" s="73"/>
      <c r="M26" s="73"/>
      <c r="O26" s="73"/>
    </row>
    <row r="27" spans="1:15" x14ac:dyDescent="0.35">
      <c r="A27" s="29"/>
      <c r="B27" s="44"/>
      <c r="C27" s="192" t="s">
        <v>282</v>
      </c>
      <c r="D27" s="153"/>
      <c r="E27" s="551"/>
      <c r="F27" s="77"/>
      <c r="G27" s="77"/>
      <c r="H27" s="77"/>
      <c r="I27" s="547"/>
      <c r="K27" s="73"/>
      <c r="M27" s="73"/>
      <c r="O27" s="73"/>
    </row>
    <row r="28" spans="1:15" x14ac:dyDescent="0.35">
      <c r="A28" s="29"/>
      <c r="B28" s="44"/>
      <c r="C28" s="56">
        <v>700000</v>
      </c>
      <c r="D28" s="153"/>
      <c r="E28" s="695">
        <f>Rates!F45+(Rates!F46*100000)</f>
        <v>5537.98</v>
      </c>
      <c r="F28" s="695">
        <f>Rates!L45+(Rates!L46*100000)</f>
        <v>6446.2087199999987</v>
      </c>
      <c r="G28" s="71">
        <f>F28-E28</f>
        <v>908.22871999999916</v>
      </c>
      <c r="H28" s="77"/>
      <c r="I28" s="547">
        <f>G28/E28</f>
        <v>0.16399999999999987</v>
      </c>
      <c r="K28" s="73"/>
      <c r="M28" s="73"/>
      <c r="O28" s="73"/>
    </row>
    <row r="29" spans="1:15" x14ac:dyDescent="0.35">
      <c r="A29" s="29"/>
      <c r="B29" s="44"/>
      <c r="C29" s="56"/>
      <c r="D29" s="153"/>
      <c r="E29" s="551"/>
      <c r="F29" s="77"/>
      <c r="G29" s="77"/>
      <c r="H29" s="77"/>
      <c r="I29" s="547"/>
      <c r="K29" s="73"/>
      <c r="M29" s="21"/>
      <c r="O29" s="73"/>
    </row>
    <row r="30" spans="1:15" x14ac:dyDescent="0.35">
      <c r="A30" s="29"/>
      <c r="B30" s="44"/>
      <c r="C30" s="192" t="s">
        <v>299</v>
      </c>
      <c r="D30" s="153"/>
      <c r="E30" s="551"/>
      <c r="F30" s="77"/>
      <c r="G30" s="71"/>
      <c r="H30" s="77"/>
      <c r="I30" s="547"/>
      <c r="K30" s="73"/>
      <c r="M30" s="73"/>
      <c r="O30" s="73"/>
    </row>
    <row r="31" spans="1:15" x14ac:dyDescent="0.35">
      <c r="A31" s="29"/>
      <c r="B31" s="44"/>
      <c r="C31" s="56"/>
      <c r="D31" s="153"/>
      <c r="E31" s="551"/>
      <c r="F31" s="77"/>
      <c r="G31" s="71"/>
      <c r="H31" s="77"/>
      <c r="I31" s="547"/>
      <c r="K31" s="73"/>
      <c r="M31" s="73"/>
      <c r="O31" s="73"/>
    </row>
    <row r="32" spans="1:15" x14ac:dyDescent="0.35">
      <c r="A32" s="29"/>
      <c r="B32" s="44"/>
      <c r="C32" s="56">
        <v>350000</v>
      </c>
      <c r="D32" s="153"/>
      <c r="E32" s="695">
        <f>C32*Rates!F49</f>
        <v>2765.0000000000005</v>
      </c>
      <c r="F32" s="187">
        <f>C32*Rates!L49</f>
        <v>3218.46</v>
      </c>
      <c r="G32" s="71">
        <f t="shared" ref="G32" si="3">F32-E32</f>
        <v>453.45999999999958</v>
      </c>
      <c r="H32" s="77"/>
      <c r="I32" s="547">
        <f>G32/E32</f>
        <v>0.16399999999999981</v>
      </c>
      <c r="K32" s="73"/>
      <c r="M32" s="73"/>
      <c r="O32" s="73"/>
    </row>
    <row r="33" spans="1:15" hidden="1" x14ac:dyDescent="0.35">
      <c r="A33" s="29"/>
      <c r="B33" s="44"/>
      <c r="C33" s="56"/>
      <c r="D33" s="153"/>
      <c r="E33" s="551"/>
      <c r="F33" s="77"/>
      <c r="G33" s="71"/>
      <c r="H33" s="77"/>
      <c r="I33" s="547"/>
      <c r="K33" s="73"/>
      <c r="M33" s="73"/>
      <c r="O33" s="73"/>
    </row>
    <row r="34" spans="1:15" hidden="1" x14ac:dyDescent="0.35">
      <c r="A34" s="29"/>
      <c r="B34" s="44"/>
      <c r="C34" s="56"/>
      <c r="D34" s="153"/>
      <c r="E34" s="551"/>
      <c r="F34" s="77"/>
      <c r="G34" s="71"/>
      <c r="H34" s="77"/>
      <c r="I34" s="547"/>
      <c r="K34" s="73"/>
      <c r="M34" s="73"/>
      <c r="O34" s="73"/>
    </row>
    <row r="35" spans="1:15" hidden="1" x14ac:dyDescent="0.35">
      <c r="A35" s="29"/>
      <c r="B35" s="44"/>
      <c r="C35" s="56"/>
      <c r="D35" s="153"/>
      <c r="E35" s="551"/>
      <c r="F35" s="77"/>
      <c r="G35" s="71"/>
      <c r="H35" s="77"/>
      <c r="I35" s="547"/>
      <c r="K35" s="73"/>
      <c r="M35" s="73"/>
      <c r="O35" s="73"/>
    </row>
    <row r="36" spans="1:15" ht="15.5" x14ac:dyDescent="0.35">
      <c r="A36" s="29"/>
      <c r="B36" s="91"/>
      <c r="C36" s="52"/>
      <c r="D36" s="10"/>
      <c r="E36" s="554"/>
      <c r="F36" s="55"/>
      <c r="G36" s="55"/>
      <c r="H36" s="55"/>
      <c r="I36" s="42"/>
    </row>
    <row r="37" spans="1:15" x14ac:dyDescent="0.35">
      <c r="A37" s="29"/>
      <c r="B37" s="29"/>
      <c r="C37" s="29"/>
      <c r="D37" s="29"/>
      <c r="E37" s="29"/>
      <c r="F37" s="29"/>
      <c r="G37" s="29"/>
      <c r="H37" s="29"/>
      <c r="I37" s="29"/>
    </row>
    <row r="38" spans="1:15" x14ac:dyDescent="0.35">
      <c r="A38" s="29"/>
      <c r="B38" s="29"/>
      <c r="C38" s="29"/>
      <c r="D38" s="93" t="s">
        <v>85</v>
      </c>
      <c r="E38" s="29"/>
      <c r="F38" s="29"/>
      <c r="G38" s="29"/>
      <c r="H38" s="29"/>
      <c r="I38" s="29"/>
    </row>
    <row r="40" spans="1:15" hidden="1" x14ac:dyDescent="0.35"/>
    <row r="41" spans="1:15" hidden="1" x14ac:dyDescent="0.35"/>
    <row r="42" spans="1:15" hidden="1" x14ac:dyDescent="0.35">
      <c r="B42" s="39"/>
      <c r="C42" s="40"/>
      <c r="D42" s="40"/>
      <c r="E42" s="40"/>
      <c r="F42" s="40"/>
      <c r="G42" s="40"/>
      <c r="H42" s="40"/>
      <c r="I42" s="41"/>
    </row>
    <row r="43" spans="1:15" ht="18.5" hidden="1" x14ac:dyDescent="0.45">
      <c r="B43" s="44"/>
      <c r="C43" s="817" t="s">
        <v>633</v>
      </c>
      <c r="D43" s="817"/>
      <c r="E43" s="817"/>
      <c r="F43" s="817"/>
      <c r="G43" s="817"/>
      <c r="H43" s="817"/>
      <c r="I43" s="818"/>
    </row>
    <row r="44" spans="1:15" ht="18.5" hidden="1" x14ac:dyDescent="0.45">
      <c r="B44" s="44"/>
      <c r="C44" s="819" t="s">
        <v>632</v>
      </c>
      <c r="D44" s="819"/>
      <c r="E44" s="819"/>
      <c r="F44" s="819"/>
      <c r="G44" s="819"/>
      <c r="H44" s="819"/>
      <c r="I44" s="820"/>
    </row>
    <row r="45" spans="1:15" hidden="1" x14ac:dyDescent="0.35">
      <c r="B45" s="44"/>
    </row>
    <row r="46" spans="1:15" ht="15.5" hidden="1" x14ac:dyDescent="0.35">
      <c r="B46" s="44"/>
      <c r="C46" s="830" t="s">
        <v>680</v>
      </c>
      <c r="D46" s="830"/>
      <c r="E46" s="830"/>
      <c r="F46" s="830"/>
      <c r="G46" s="830"/>
      <c r="H46" s="830"/>
      <c r="I46" s="831"/>
    </row>
    <row r="47" spans="1:15" hidden="1" x14ac:dyDescent="0.35">
      <c r="B47" s="91"/>
      <c r="C47" s="52"/>
      <c r="D47" s="52"/>
      <c r="E47" s="56"/>
      <c r="F47" s="56"/>
      <c r="G47" s="56"/>
      <c r="H47" s="56"/>
      <c r="I47" s="152"/>
    </row>
    <row r="48" spans="1:15" ht="18.5" hidden="1" x14ac:dyDescent="0.65">
      <c r="B48" s="44"/>
      <c r="C48" s="56"/>
      <c r="D48" s="152"/>
      <c r="E48" s="821"/>
      <c r="F48" s="822"/>
      <c r="G48" s="822"/>
      <c r="H48" s="545"/>
      <c r="I48" s="546"/>
    </row>
    <row r="49" spans="2:9" ht="16" hidden="1" x14ac:dyDescent="0.5">
      <c r="B49" s="44"/>
      <c r="C49" s="542" t="s">
        <v>15</v>
      </c>
      <c r="D49" s="543"/>
      <c r="E49" s="544" t="s">
        <v>30</v>
      </c>
      <c r="F49" s="542" t="s">
        <v>9</v>
      </c>
      <c r="G49" s="151"/>
      <c r="H49" s="151"/>
      <c r="I49" s="543" t="s">
        <v>514</v>
      </c>
    </row>
    <row r="50" spans="2:9" ht="16" hidden="1" x14ac:dyDescent="0.5">
      <c r="B50" s="44"/>
      <c r="C50" s="151" t="s">
        <v>86</v>
      </c>
      <c r="D50" s="87"/>
      <c r="E50" s="88" t="s">
        <v>84</v>
      </c>
      <c r="F50" s="151" t="s">
        <v>84</v>
      </c>
      <c r="G50" s="151" t="s">
        <v>31</v>
      </c>
      <c r="H50" s="151"/>
      <c r="I50" s="87" t="s">
        <v>31</v>
      </c>
    </row>
    <row r="51" spans="2:9" hidden="1" x14ac:dyDescent="0.35">
      <c r="B51" s="44"/>
      <c r="C51" s="77">
        <v>0</v>
      </c>
      <c r="D51" s="154"/>
      <c r="E51" s="551"/>
      <c r="F51" s="77"/>
      <c r="G51" s="71">
        <f>F51-E51</f>
        <v>0</v>
      </c>
      <c r="H51" s="71"/>
      <c r="I51" s="547" t="e">
        <f t="shared" ref="I51:I59" si="4">G51/E51</f>
        <v>#DIV/0!</v>
      </c>
    </row>
    <row r="52" spans="2:9" hidden="1" x14ac:dyDescent="0.35">
      <c r="B52" s="44"/>
      <c r="C52" s="56">
        <v>2000</v>
      </c>
      <c r="D52" s="154"/>
      <c r="E52" s="551"/>
      <c r="F52" s="77"/>
      <c r="G52" s="71">
        <f t="shared" ref="G52:G59" si="5">F52-E52</f>
        <v>0</v>
      </c>
      <c r="H52" s="77"/>
      <c r="I52" s="547" t="e">
        <f t="shared" si="4"/>
        <v>#DIV/0!</v>
      </c>
    </row>
    <row r="53" spans="2:9" hidden="1" x14ac:dyDescent="0.35">
      <c r="B53" s="44"/>
      <c r="C53" s="89">
        <v>4000</v>
      </c>
      <c r="D53" s="155"/>
      <c r="E53" s="552"/>
      <c r="F53" s="549"/>
      <c r="G53" s="541">
        <f t="shared" si="5"/>
        <v>0</v>
      </c>
      <c r="H53" s="90"/>
      <c r="I53" s="548" t="e">
        <f t="shared" si="4"/>
        <v>#DIV/0!</v>
      </c>
    </row>
    <row r="54" spans="2:9" hidden="1" x14ac:dyDescent="0.35">
      <c r="B54" s="44"/>
      <c r="C54" s="56">
        <v>6000</v>
      </c>
      <c r="D54" s="154"/>
      <c r="E54" s="553"/>
      <c r="F54" s="550"/>
      <c r="G54" s="71">
        <f>F54-E54</f>
        <v>0</v>
      </c>
      <c r="H54" s="77"/>
      <c r="I54" s="547" t="e">
        <f t="shared" si="4"/>
        <v>#DIV/0!</v>
      </c>
    </row>
    <row r="55" spans="2:9" hidden="1" x14ac:dyDescent="0.35">
      <c r="B55" s="44"/>
      <c r="C55" s="56">
        <v>8000</v>
      </c>
      <c r="D55" s="154"/>
      <c r="E55" s="553"/>
      <c r="F55" s="550"/>
      <c r="G55" s="71">
        <f t="shared" si="5"/>
        <v>0</v>
      </c>
      <c r="H55" s="77"/>
      <c r="I55" s="547" t="e">
        <f t="shared" si="4"/>
        <v>#DIV/0!</v>
      </c>
    </row>
    <row r="56" spans="2:9" hidden="1" x14ac:dyDescent="0.35">
      <c r="B56" s="44"/>
      <c r="C56" s="56">
        <v>10000</v>
      </c>
      <c r="D56" s="154"/>
      <c r="E56" s="553"/>
      <c r="F56" s="550"/>
      <c r="G56" s="71">
        <f t="shared" si="5"/>
        <v>0</v>
      </c>
      <c r="H56" s="77"/>
      <c r="I56" s="547" t="e">
        <f t="shared" si="4"/>
        <v>#DIV/0!</v>
      </c>
    </row>
    <row r="57" spans="2:9" hidden="1" x14ac:dyDescent="0.35">
      <c r="B57" s="44"/>
      <c r="C57" s="56">
        <v>15000</v>
      </c>
      <c r="D57" s="154"/>
      <c r="E57" s="553"/>
      <c r="F57" s="550"/>
      <c r="G57" s="71">
        <f t="shared" si="5"/>
        <v>0</v>
      </c>
      <c r="H57" s="77"/>
      <c r="I57" s="547" t="e">
        <f t="shared" si="4"/>
        <v>#DIV/0!</v>
      </c>
    </row>
    <row r="58" spans="2:9" hidden="1" x14ac:dyDescent="0.35">
      <c r="B58" s="44"/>
      <c r="C58" s="56">
        <v>20000</v>
      </c>
      <c r="D58" s="154"/>
      <c r="E58" s="553"/>
      <c r="F58" s="550"/>
      <c r="G58" s="71">
        <f t="shared" si="5"/>
        <v>0</v>
      </c>
      <c r="H58" s="77"/>
      <c r="I58" s="547" t="e">
        <f t="shared" si="4"/>
        <v>#DIV/0!</v>
      </c>
    </row>
    <row r="59" spans="2:9" hidden="1" x14ac:dyDescent="0.35">
      <c r="B59" s="44"/>
      <c r="C59" s="56">
        <v>50000</v>
      </c>
      <c r="D59" s="153"/>
      <c r="E59" s="553"/>
      <c r="F59" s="550"/>
      <c r="G59" s="71">
        <f t="shared" si="5"/>
        <v>0</v>
      </c>
      <c r="H59" s="77"/>
      <c r="I59" s="547" t="e">
        <f t="shared" si="4"/>
        <v>#DIV/0!</v>
      </c>
    </row>
    <row r="60" spans="2:9" hidden="1" x14ac:dyDescent="0.35">
      <c r="B60" s="44"/>
      <c r="C60" s="56"/>
      <c r="D60" s="153"/>
      <c r="E60" s="551"/>
      <c r="F60" s="77"/>
      <c r="G60" s="77"/>
      <c r="H60" s="77"/>
      <c r="I60" s="547"/>
    </row>
    <row r="61" spans="2:9" hidden="1" x14ac:dyDescent="0.35">
      <c r="B61" s="44"/>
      <c r="C61" s="192" t="s">
        <v>282</v>
      </c>
      <c r="D61" s="153"/>
      <c r="E61" s="551"/>
      <c r="F61" s="77"/>
      <c r="G61" s="77"/>
      <c r="H61" s="77"/>
      <c r="I61" s="547"/>
    </row>
    <row r="62" spans="2:9" hidden="1" x14ac:dyDescent="0.35">
      <c r="B62" s="44"/>
      <c r="C62" s="56">
        <v>700000</v>
      </c>
      <c r="D62" s="153"/>
      <c r="E62" s="551"/>
      <c r="F62" s="77"/>
      <c r="G62" s="71">
        <f t="shared" ref="G62" si="6">F62-E62</f>
        <v>0</v>
      </c>
      <c r="H62" s="77"/>
      <c r="I62" s="547" t="e">
        <f t="shared" ref="I62" si="7">G62/E62</f>
        <v>#DIV/0!</v>
      </c>
    </row>
    <row r="63" spans="2:9" hidden="1" x14ac:dyDescent="0.35">
      <c r="B63" s="44"/>
      <c r="C63" s="56"/>
      <c r="D63" s="153"/>
      <c r="E63" s="551"/>
      <c r="F63" s="77"/>
      <c r="G63" s="77"/>
      <c r="H63" s="77"/>
      <c r="I63" s="547"/>
    </row>
    <row r="64" spans="2:9" hidden="1" x14ac:dyDescent="0.35">
      <c r="B64" s="44"/>
      <c r="C64" s="192" t="s">
        <v>281</v>
      </c>
      <c r="D64" s="153"/>
      <c r="E64" s="551"/>
      <c r="F64" s="77"/>
      <c r="G64" s="77"/>
      <c r="H64" s="77"/>
      <c r="I64" s="547"/>
    </row>
    <row r="65" spans="2:9" hidden="1" x14ac:dyDescent="0.35">
      <c r="B65" s="44"/>
      <c r="C65" s="56"/>
      <c r="D65" s="153"/>
      <c r="E65" s="551"/>
      <c r="F65" s="77"/>
      <c r="G65" s="71"/>
      <c r="H65" s="77"/>
      <c r="I65" s="547"/>
    </row>
    <row r="66" spans="2:9" hidden="1" x14ac:dyDescent="0.35">
      <c r="B66" s="44"/>
      <c r="C66" s="56">
        <v>9500000</v>
      </c>
      <c r="D66" s="153"/>
      <c r="E66" s="551"/>
      <c r="F66" s="77"/>
      <c r="G66" s="71">
        <f t="shared" ref="G66" si="8">F66-E66</f>
        <v>0</v>
      </c>
      <c r="H66" s="77"/>
      <c r="I66" s="547" t="e">
        <f>G66/E66</f>
        <v>#DIV/0!</v>
      </c>
    </row>
    <row r="67" spans="2:9" hidden="1" x14ac:dyDescent="0.35">
      <c r="B67" s="44"/>
      <c r="C67" s="56"/>
      <c r="D67" s="153"/>
      <c r="E67" s="551"/>
      <c r="F67" s="77"/>
      <c r="G67" s="71"/>
      <c r="H67" s="77"/>
      <c r="I67" s="547"/>
    </row>
    <row r="68" spans="2:9" hidden="1" x14ac:dyDescent="0.35">
      <c r="B68" s="44"/>
      <c r="C68" s="192" t="s">
        <v>299</v>
      </c>
      <c r="D68" s="153"/>
      <c r="E68" s="551"/>
      <c r="F68" s="77"/>
      <c r="G68" s="71"/>
      <c r="H68" s="77"/>
      <c r="I68" s="547"/>
    </row>
    <row r="69" spans="2:9" hidden="1" x14ac:dyDescent="0.35">
      <c r="B69" s="44"/>
      <c r="C69" s="56"/>
      <c r="D69" s="153"/>
      <c r="E69" s="551"/>
      <c r="F69" s="77"/>
      <c r="G69" s="71"/>
      <c r="H69" s="77"/>
      <c r="I69" s="547"/>
    </row>
    <row r="70" spans="2:9" hidden="1" x14ac:dyDescent="0.35">
      <c r="B70" s="44"/>
      <c r="C70" s="56">
        <v>350000</v>
      </c>
      <c r="D70" s="153"/>
      <c r="E70" s="551"/>
      <c r="F70" s="77"/>
      <c r="G70" s="71">
        <f t="shared" ref="G70" si="9">F70-E70</f>
        <v>0</v>
      </c>
      <c r="H70" s="77"/>
      <c r="I70" s="547" t="e">
        <f>G70/E70</f>
        <v>#DIV/0!</v>
      </c>
    </row>
    <row r="71" spans="2:9" hidden="1" x14ac:dyDescent="0.35">
      <c r="B71" s="44"/>
      <c r="C71" s="56"/>
      <c r="D71" s="153"/>
      <c r="E71" s="551"/>
      <c r="F71" s="77"/>
      <c r="G71" s="71"/>
      <c r="H71" s="77"/>
      <c r="I71" s="547"/>
    </row>
    <row r="72" spans="2:9" ht="15.5" hidden="1" x14ac:dyDescent="0.35">
      <c r="B72" s="91"/>
      <c r="C72" s="52"/>
      <c r="D72" s="10"/>
      <c r="E72" s="554"/>
      <c r="F72" s="55"/>
      <c r="G72" s="55"/>
      <c r="H72" s="55"/>
      <c r="I72" s="42"/>
    </row>
    <row r="73" spans="2:9" hidden="1" x14ac:dyDescent="0.35">
      <c r="B73" s="29"/>
      <c r="C73" s="29"/>
      <c r="D73" s="29"/>
      <c r="E73" s="29"/>
      <c r="F73" s="29"/>
      <c r="G73" s="29"/>
      <c r="H73" s="29"/>
      <c r="I73" s="29"/>
    </row>
    <row r="74" spans="2:9" hidden="1" x14ac:dyDescent="0.35">
      <c r="B74" s="29"/>
      <c r="C74" s="29"/>
      <c r="D74" s="93" t="s">
        <v>85</v>
      </c>
      <c r="E74" s="29"/>
      <c r="F74" s="29"/>
      <c r="G74" s="29"/>
      <c r="H74" s="29"/>
      <c r="I74" s="29"/>
    </row>
    <row r="76" spans="2:9" x14ac:dyDescent="0.35">
      <c r="B76" s="39"/>
      <c r="C76" s="40"/>
      <c r="D76" s="40"/>
      <c r="E76" s="40"/>
      <c r="F76" s="40"/>
      <c r="G76" s="40"/>
      <c r="H76" s="40"/>
      <c r="I76" s="41"/>
    </row>
    <row r="77" spans="2:9" ht="18.5" x14ac:dyDescent="0.45">
      <c r="B77" s="44"/>
      <c r="C77" s="766" t="s">
        <v>633</v>
      </c>
      <c r="D77" s="766"/>
      <c r="E77" s="766"/>
      <c r="F77" s="766"/>
      <c r="G77" s="766"/>
      <c r="H77" s="766"/>
      <c r="I77" s="767"/>
    </row>
    <row r="78" spans="2:9" ht="18.5" x14ac:dyDescent="0.45">
      <c r="B78" s="39"/>
      <c r="C78" s="832" t="s">
        <v>649</v>
      </c>
      <c r="D78" s="832"/>
      <c r="E78" s="832"/>
      <c r="F78" s="832"/>
      <c r="G78" s="832"/>
      <c r="H78" s="832"/>
      <c r="I78" s="833"/>
    </row>
    <row r="79" spans="2:9" ht="15.5" x14ac:dyDescent="0.35">
      <c r="B79" s="44"/>
      <c r="C79" s="746" t="s">
        <v>628</v>
      </c>
      <c r="D79" s="746"/>
      <c r="E79" s="746"/>
      <c r="F79" s="746"/>
      <c r="G79" s="746"/>
      <c r="H79" s="746"/>
      <c r="I79" s="747"/>
    </row>
    <row r="80" spans="2:9" ht="18.5" hidden="1" x14ac:dyDescent="0.45">
      <c r="B80" s="44"/>
      <c r="C80" s="825"/>
      <c r="D80" s="825"/>
      <c r="E80" s="825"/>
      <c r="F80" s="825"/>
      <c r="G80" s="825"/>
      <c r="H80" s="825"/>
      <c r="I80" s="152"/>
    </row>
    <row r="81" spans="2:9" hidden="1" x14ac:dyDescent="0.35">
      <c r="B81" s="91"/>
      <c r="C81" s="52"/>
      <c r="D81" s="52"/>
      <c r="E81" s="52"/>
      <c r="F81" s="52"/>
      <c r="G81" s="52"/>
      <c r="H81" s="52"/>
      <c r="I81" s="42"/>
    </row>
    <row r="82" spans="2:9" ht="18.5" hidden="1" x14ac:dyDescent="0.65">
      <c r="B82" s="44"/>
      <c r="C82" s="56"/>
      <c r="D82" s="152"/>
      <c r="E82" s="821"/>
      <c r="F82" s="822"/>
      <c r="G82" s="822"/>
      <c r="H82" s="545"/>
      <c r="I82" s="546"/>
    </row>
    <row r="83" spans="2:9" ht="16" x14ac:dyDescent="0.5">
      <c r="B83" s="44"/>
      <c r="C83" s="542" t="s">
        <v>15</v>
      </c>
      <c r="D83" s="543"/>
      <c r="E83" s="672" t="s">
        <v>30</v>
      </c>
      <c r="F83" s="542" t="s">
        <v>9</v>
      </c>
      <c r="G83" s="151"/>
      <c r="H83" s="151"/>
      <c r="I83" s="543" t="s">
        <v>514</v>
      </c>
    </row>
    <row r="84" spans="2:9" ht="16" x14ac:dyDescent="0.5">
      <c r="B84" s="44"/>
      <c r="C84" s="151" t="s">
        <v>86</v>
      </c>
      <c r="D84" s="87"/>
      <c r="E84" s="673" t="s">
        <v>84</v>
      </c>
      <c r="F84" s="151" t="s">
        <v>84</v>
      </c>
      <c r="G84" s="151" t="s">
        <v>31</v>
      </c>
      <c r="H84" s="151"/>
      <c r="I84" s="87" t="s">
        <v>31</v>
      </c>
    </row>
    <row r="85" spans="2:9" x14ac:dyDescent="0.35">
      <c r="B85" s="68"/>
      <c r="C85" s="77">
        <v>0</v>
      </c>
      <c r="E85" s="35">
        <f>Rates!F14</f>
        <v>30.03</v>
      </c>
      <c r="F85" s="35">
        <f>Rates!L14</f>
        <v>30.97</v>
      </c>
      <c r="G85" s="61">
        <f>F85-E85</f>
        <v>0.93999999999999773</v>
      </c>
      <c r="I85" s="547">
        <f>G85/E85</f>
        <v>3.1302031302031227E-2</v>
      </c>
    </row>
    <row r="86" spans="2:9" x14ac:dyDescent="0.35">
      <c r="B86" s="68"/>
      <c r="C86" s="56">
        <v>2000</v>
      </c>
      <c r="E86" s="21">
        <f>Rates!F14</f>
        <v>30.03</v>
      </c>
      <c r="F86" s="21">
        <f>Rates!L14</f>
        <v>30.97</v>
      </c>
      <c r="G86" s="61">
        <f t="shared" ref="G86:G93" si="10">F86-E86</f>
        <v>0.93999999999999773</v>
      </c>
      <c r="I86" s="547">
        <f t="shared" ref="I86:I93" si="11">G86/E86</f>
        <v>3.1302031302031227E-2</v>
      </c>
    </row>
    <row r="87" spans="2:9" x14ac:dyDescent="0.35">
      <c r="B87" s="68"/>
      <c r="C87" s="89">
        <v>4000</v>
      </c>
      <c r="D87" s="571"/>
      <c r="E87" s="572">
        <f>Rates!F14+(2000*Rates!F15)</f>
        <v>50.99</v>
      </c>
      <c r="F87" s="572">
        <f>Rates!L14+(2000*Rates!L15)</f>
        <v>52.59</v>
      </c>
      <c r="G87" s="573">
        <f t="shared" si="10"/>
        <v>1.6000000000000014</v>
      </c>
      <c r="H87" s="571"/>
      <c r="I87" s="548">
        <f t="shared" si="11"/>
        <v>3.1378701706216934E-2</v>
      </c>
    </row>
    <row r="88" spans="2:9" x14ac:dyDescent="0.35">
      <c r="B88" s="68"/>
      <c r="C88" s="56">
        <v>6000</v>
      </c>
      <c r="E88" s="569">
        <f>Rates!F14+(4000*Rates!F15)</f>
        <v>71.95</v>
      </c>
      <c r="F88" s="570">
        <f>Rates!L14+(4000*Rates!L15)</f>
        <v>74.210000000000008</v>
      </c>
      <c r="G88" s="61">
        <f t="shared" si="10"/>
        <v>2.2600000000000051</v>
      </c>
      <c r="I88" s="547">
        <f t="shared" si="11"/>
        <v>3.1410701876303057E-2</v>
      </c>
    </row>
    <row r="89" spans="2:9" x14ac:dyDescent="0.35">
      <c r="B89" s="68"/>
      <c r="C89" s="56">
        <v>8000</v>
      </c>
      <c r="E89" s="569">
        <f>Rates!F14+(6000*Rates!F15)</f>
        <v>92.91</v>
      </c>
      <c r="F89" s="570">
        <f>Rates!L14+(6000*Rates!L15)</f>
        <v>95.83</v>
      </c>
      <c r="G89" s="61">
        <f t="shared" si="10"/>
        <v>2.9200000000000017</v>
      </c>
      <c r="I89" s="547">
        <f t="shared" si="11"/>
        <v>3.1428263911312045E-2</v>
      </c>
    </row>
    <row r="90" spans="2:9" x14ac:dyDescent="0.35">
      <c r="B90" s="68"/>
      <c r="C90" s="56">
        <v>10000</v>
      </c>
      <c r="E90" s="569">
        <f>Rates!F14+(8000*Rates!F15)</f>
        <v>113.87</v>
      </c>
      <c r="F90" s="570">
        <f>Rates!L14+(8000*Rates!L15)</f>
        <v>117.45</v>
      </c>
      <c r="G90" s="61">
        <f t="shared" si="10"/>
        <v>3.5799999999999983</v>
      </c>
      <c r="I90" s="547">
        <f t="shared" si="11"/>
        <v>3.1439360674453305E-2</v>
      </c>
    </row>
    <row r="91" spans="2:9" x14ac:dyDescent="0.35">
      <c r="B91" s="68"/>
      <c r="C91" s="56">
        <v>15000</v>
      </c>
      <c r="E91" s="569">
        <f>Rates!F14+(13000*Rates!F15)</f>
        <v>166.27</v>
      </c>
      <c r="F91" s="570">
        <f>Rates!L14+(13000*Rates!L15)</f>
        <v>171.5</v>
      </c>
      <c r="G91" s="61">
        <f t="shared" si="10"/>
        <v>5.2299999999999898</v>
      </c>
      <c r="I91" s="547">
        <f t="shared" si="11"/>
        <v>3.1454862572923493E-2</v>
      </c>
    </row>
    <row r="92" spans="2:9" x14ac:dyDescent="0.35">
      <c r="B92" s="68"/>
      <c r="C92" s="56">
        <v>20000</v>
      </c>
      <c r="E92" s="569">
        <f>Rates!F14+(18000*Rates!F15)</f>
        <v>218.67</v>
      </c>
      <c r="F92" s="570">
        <f>Rates!L14+(18000*Rates!L15)</f>
        <v>225.55</v>
      </c>
      <c r="G92" s="61">
        <f t="shared" si="10"/>
        <v>6.8800000000000239</v>
      </c>
      <c r="I92" s="547">
        <f t="shared" si="11"/>
        <v>3.1462935016234622E-2</v>
      </c>
    </row>
    <row r="93" spans="2:9" x14ac:dyDescent="0.35">
      <c r="B93" s="68"/>
      <c r="C93" s="56">
        <v>50000</v>
      </c>
      <c r="E93" s="569">
        <f>Rates!F14+(18000*Rates!F15)+(30000*Rates!F16)</f>
        <v>497.97</v>
      </c>
      <c r="F93" s="570">
        <f>Rates!L14+(18000*Rates!L15)+(30000*Rates!L16)</f>
        <v>513.54999999999995</v>
      </c>
      <c r="G93" s="61">
        <f t="shared" si="10"/>
        <v>15.579999999999927</v>
      </c>
      <c r="I93" s="547">
        <f t="shared" si="11"/>
        <v>3.1287025322810462E-2</v>
      </c>
    </row>
    <row r="94" spans="2:9" x14ac:dyDescent="0.35">
      <c r="B94" s="68"/>
      <c r="I94" s="78"/>
    </row>
    <row r="95" spans="2:9" x14ac:dyDescent="0.35">
      <c r="B95" s="68"/>
      <c r="C95" s="192" t="s">
        <v>281</v>
      </c>
      <c r="I95" s="78"/>
    </row>
    <row r="96" spans="2:9" x14ac:dyDescent="0.35">
      <c r="B96" s="68"/>
      <c r="I96" s="78"/>
    </row>
    <row r="97" spans="2:9" x14ac:dyDescent="0.35">
      <c r="B97" s="68"/>
      <c r="C97" s="13">
        <v>9500000</v>
      </c>
      <c r="E97" s="574">
        <f>Rates!F19+((9500000-1300000)*Rates!F20)</f>
        <v>97980.27</v>
      </c>
      <c r="F97" s="574">
        <f>Rates!L19+((9500000-1300000)*Rates!L20)</f>
        <v>101062.57</v>
      </c>
      <c r="G97" s="61">
        <f t="shared" ref="G97" si="12">F97-E97</f>
        <v>3082.3000000000029</v>
      </c>
      <c r="I97" s="547">
        <f t="shared" ref="I97" si="13">G97/E97</f>
        <v>3.1458374221667307E-2</v>
      </c>
    </row>
    <row r="98" spans="2:9" hidden="1" x14ac:dyDescent="0.35">
      <c r="B98" s="68"/>
      <c r="I98" s="78"/>
    </row>
    <row r="99" spans="2:9" x14ac:dyDescent="0.35">
      <c r="B99" s="72"/>
      <c r="C99" s="54"/>
      <c r="D99" s="54"/>
      <c r="E99" s="54"/>
      <c r="F99" s="54"/>
      <c r="G99" s="54"/>
      <c r="H99" s="54"/>
      <c r="I99" s="80"/>
    </row>
    <row r="101" spans="2:9" x14ac:dyDescent="0.35">
      <c r="D101" s="93" t="s">
        <v>85</v>
      </c>
    </row>
    <row r="104" spans="2:9" x14ac:dyDescent="0.35">
      <c r="B104" s="39"/>
      <c r="C104" s="40"/>
      <c r="D104" s="40"/>
      <c r="E104" s="40"/>
      <c r="F104" s="40"/>
      <c r="G104" s="40"/>
      <c r="H104" s="40"/>
      <c r="I104" s="41"/>
    </row>
    <row r="105" spans="2:9" ht="18.5" x14ac:dyDescent="0.45">
      <c r="B105" s="39"/>
      <c r="C105" s="826" t="s">
        <v>633</v>
      </c>
      <c r="D105" s="826"/>
      <c r="E105" s="826"/>
      <c r="F105" s="826"/>
      <c r="G105" s="826"/>
      <c r="H105" s="826"/>
      <c r="I105" s="827"/>
    </row>
    <row r="106" spans="2:9" ht="18.5" x14ac:dyDescent="0.45">
      <c r="B106" s="44"/>
      <c r="C106" s="819" t="s">
        <v>634</v>
      </c>
      <c r="D106" s="819"/>
      <c r="E106" s="819"/>
      <c r="F106" s="819"/>
      <c r="G106" s="819"/>
      <c r="H106" s="819"/>
      <c r="I106" s="820"/>
    </row>
    <row r="107" spans="2:9" ht="18.5" x14ac:dyDescent="0.35">
      <c r="B107" s="44"/>
      <c r="C107" s="828" t="s">
        <v>681</v>
      </c>
      <c r="D107" s="828"/>
      <c r="E107" s="828"/>
      <c r="F107" s="828"/>
      <c r="G107" s="828"/>
      <c r="H107" s="828"/>
      <c r="I107" s="829"/>
    </row>
    <row r="108" spans="2:9" ht="18.5" x14ac:dyDescent="0.45">
      <c r="B108" s="44"/>
      <c r="C108" s="825"/>
      <c r="D108" s="825"/>
      <c r="E108" s="825"/>
      <c r="F108" s="825"/>
      <c r="G108" s="825"/>
      <c r="H108" s="825"/>
      <c r="I108" s="152"/>
    </row>
    <row r="109" spans="2:9" x14ac:dyDescent="0.35">
      <c r="B109" s="91"/>
      <c r="C109" s="52"/>
      <c r="D109" s="52"/>
      <c r="E109" s="56"/>
      <c r="F109" s="56"/>
      <c r="G109" s="56"/>
      <c r="H109" s="56"/>
      <c r="I109" s="152"/>
    </row>
    <row r="110" spans="2:9" ht="18.5" x14ac:dyDescent="0.65">
      <c r="B110" s="44"/>
      <c r="C110" s="56"/>
      <c r="D110" s="152"/>
      <c r="E110" s="674"/>
      <c r="F110" s="693" t="s">
        <v>9</v>
      </c>
      <c r="G110" s="675"/>
      <c r="H110" s="545"/>
      <c r="I110" s="546"/>
    </row>
    <row r="111" spans="2:9" ht="16" x14ac:dyDescent="0.5">
      <c r="B111" s="44"/>
      <c r="C111" s="542" t="s">
        <v>15</v>
      </c>
      <c r="D111" s="543"/>
      <c r="E111" s="544" t="s">
        <v>30</v>
      </c>
      <c r="F111" s="542" t="s">
        <v>676</v>
      </c>
      <c r="G111" s="151"/>
      <c r="H111" s="151"/>
      <c r="I111" s="543" t="s">
        <v>514</v>
      </c>
    </row>
    <row r="112" spans="2:9" ht="16" x14ac:dyDescent="0.5">
      <c r="B112" s="44"/>
      <c r="C112" s="151" t="s">
        <v>86</v>
      </c>
      <c r="D112" s="87"/>
      <c r="E112" s="88" t="s">
        <v>84</v>
      </c>
      <c r="F112" s="151" t="s">
        <v>84</v>
      </c>
      <c r="G112" s="151" t="s">
        <v>31</v>
      </c>
      <c r="H112" s="151"/>
      <c r="I112" s="87" t="s">
        <v>31</v>
      </c>
    </row>
    <row r="113" spans="2:9" x14ac:dyDescent="0.35">
      <c r="B113" s="44"/>
      <c r="C113" s="77">
        <v>0</v>
      </c>
      <c r="D113" s="154"/>
      <c r="E113" s="551">
        <f t="shared" ref="E113:E121" si="14">E14</f>
        <v>24.42</v>
      </c>
      <c r="F113" s="551">
        <f>Rates!L69</f>
        <v>26.422440000000005</v>
      </c>
      <c r="G113" s="71">
        <f>F113-E113</f>
        <v>2.0024400000000036</v>
      </c>
      <c r="H113" s="71"/>
      <c r="I113" s="547">
        <f t="shared" ref="I113:I121" si="15">G113/E113</f>
        <v>8.2000000000000142E-2</v>
      </c>
    </row>
    <row r="114" spans="2:9" x14ac:dyDescent="0.35">
      <c r="B114" s="44"/>
      <c r="C114" s="56">
        <v>2000</v>
      </c>
      <c r="D114" s="154"/>
      <c r="E114" s="551">
        <f t="shared" si="14"/>
        <v>24.42</v>
      </c>
      <c r="F114" s="551">
        <f>Rates!L69</f>
        <v>26.422440000000005</v>
      </c>
      <c r="G114" s="71">
        <f t="shared" ref="G114:G121" si="16">F114-E114</f>
        <v>2.0024400000000036</v>
      </c>
      <c r="H114" s="77"/>
      <c r="I114" s="547">
        <f t="shared" si="15"/>
        <v>8.2000000000000142E-2</v>
      </c>
    </row>
    <row r="115" spans="2:9" x14ac:dyDescent="0.35">
      <c r="B115" s="44"/>
      <c r="C115" s="89">
        <v>4000</v>
      </c>
      <c r="D115" s="155"/>
      <c r="E115" s="551">
        <f t="shared" si="14"/>
        <v>44.5</v>
      </c>
      <c r="F115" s="552">
        <f>Rates!L69+(2000*Rates!L70)</f>
        <v>48.149000000000008</v>
      </c>
      <c r="G115" s="541">
        <f t="shared" si="16"/>
        <v>3.649000000000008</v>
      </c>
      <c r="H115" s="90"/>
      <c r="I115" s="548">
        <f t="shared" si="15"/>
        <v>8.2000000000000184E-2</v>
      </c>
    </row>
    <row r="116" spans="2:9" x14ac:dyDescent="0.35">
      <c r="B116" s="44"/>
      <c r="C116" s="56">
        <v>6000</v>
      </c>
      <c r="D116" s="154"/>
      <c r="E116" s="551">
        <f t="shared" si="14"/>
        <v>64.580000000000013</v>
      </c>
      <c r="F116" s="553">
        <f>Rates!L69+(4000*Rates!L70)</f>
        <v>69.875560000000007</v>
      </c>
      <c r="G116" s="71">
        <f t="shared" si="16"/>
        <v>5.2955599999999947</v>
      </c>
      <c r="H116" s="77"/>
      <c r="I116" s="547">
        <f t="shared" si="15"/>
        <v>8.1999999999999906E-2</v>
      </c>
    </row>
    <row r="117" spans="2:9" x14ac:dyDescent="0.35">
      <c r="B117" s="44"/>
      <c r="C117" s="56">
        <v>8000</v>
      </c>
      <c r="D117" s="154"/>
      <c r="E117" s="551">
        <f t="shared" si="14"/>
        <v>84.66</v>
      </c>
      <c r="F117" s="553">
        <f>Rates!L69+(6000*Rates!L70)</f>
        <v>91.602120000000014</v>
      </c>
      <c r="G117" s="71">
        <f t="shared" si="16"/>
        <v>6.9421200000000169</v>
      </c>
      <c r="H117" s="77"/>
      <c r="I117" s="547">
        <f t="shared" si="15"/>
        <v>8.2000000000000198E-2</v>
      </c>
    </row>
    <row r="118" spans="2:9" x14ac:dyDescent="0.35">
      <c r="B118" s="44"/>
      <c r="C118" s="56">
        <v>10000</v>
      </c>
      <c r="D118" s="154"/>
      <c r="E118" s="551">
        <f t="shared" si="14"/>
        <v>104.74000000000001</v>
      </c>
      <c r="F118" s="553">
        <f>Rates!L69+(8000*Rates!L70)</f>
        <v>113.32868000000002</v>
      </c>
      <c r="G118" s="71">
        <f t="shared" si="16"/>
        <v>8.5886800000000108</v>
      </c>
      <c r="H118" s="77"/>
      <c r="I118" s="547">
        <f t="shared" si="15"/>
        <v>8.2000000000000101E-2</v>
      </c>
    </row>
    <row r="119" spans="2:9" x14ac:dyDescent="0.35">
      <c r="B119" s="44"/>
      <c r="C119" s="56">
        <v>15000</v>
      </c>
      <c r="D119" s="154"/>
      <c r="E119" s="551">
        <f t="shared" si="14"/>
        <v>154.94</v>
      </c>
      <c r="F119" s="553">
        <f>Rates!L69+(13000*Rates!L70)</f>
        <v>167.64508000000001</v>
      </c>
      <c r="G119" s="71">
        <f t="shared" si="16"/>
        <v>12.705080000000009</v>
      </c>
      <c r="H119" s="77"/>
      <c r="I119" s="547">
        <f t="shared" si="15"/>
        <v>8.2000000000000059E-2</v>
      </c>
    </row>
    <row r="120" spans="2:9" x14ac:dyDescent="0.35">
      <c r="B120" s="44"/>
      <c r="C120" s="56">
        <v>20000</v>
      </c>
      <c r="D120" s="154"/>
      <c r="E120" s="551">
        <f t="shared" si="14"/>
        <v>205.14</v>
      </c>
      <c r="F120" s="685">
        <f>Rates!L69+(18000*Rates!L70)</f>
        <v>221.96148000000002</v>
      </c>
      <c r="G120" s="71">
        <f t="shared" si="16"/>
        <v>16.821480000000037</v>
      </c>
      <c r="H120" s="77"/>
      <c r="I120" s="547">
        <f t="shared" si="15"/>
        <v>8.2000000000000184E-2</v>
      </c>
    </row>
    <row r="121" spans="2:9" x14ac:dyDescent="0.35">
      <c r="B121" s="44"/>
      <c r="C121" s="56">
        <v>50000</v>
      </c>
      <c r="D121" s="153"/>
      <c r="E121" s="551">
        <f t="shared" si="14"/>
        <v>506.34000000000003</v>
      </c>
      <c r="F121" s="553">
        <f>Rates!L69+(48000*Rates!L70)</f>
        <v>547.85988000000009</v>
      </c>
      <c r="G121" s="71">
        <f t="shared" si="16"/>
        <v>41.519880000000057</v>
      </c>
      <c r="H121" s="77"/>
      <c r="I121" s="547">
        <f t="shared" si="15"/>
        <v>8.2000000000000114E-2</v>
      </c>
    </row>
    <row r="122" spans="2:9" x14ac:dyDescent="0.35">
      <c r="B122" s="44"/>
      <c r="C122" s="56"/>
      <c r="D122" s="153"/>
      <c r="E122" s="551"/>
      <c r="F122" s="77"/>
      <c r="G122" s="77"/>
      <c r="H122" s="77"/>
      <c r="I122" s="547"/>
    </row>
    <row r="123" spans="2:9" x14ac:dyDescent="0.35">
      <c r="B123" s="44"/>
      <c r="C123" s="192" t="s">
        <v>281</v>
      </c>
      <c r="D123" s="153"/>
      <c r="E123" s="551"/>
      <c r="F123" s="77"/>
      <c r="G123" s="77"/>
      <c r="H123" s="77"/>
      <c r="I123" s="547"/>
    </row>
    <row r="124" spans="2:9" x14ac:dyDescent="0.35">
      <c r="B124" s="44"/>
      <c r="C124" s="56">
        <v>9500000</v>
      </c>
      <c r="D124" s="153"/>
      <c r="E124" s="551">
        <f>E25</f>
        <v>75075.930000000008</v>
      </c>
      <c r="F124" s="694">
        <f>Rates!L73+(7550000*Rates!L74)</f>
        <v>81232.156260000003</v>
      </c>
      <c r="G124" s="71">
        <f>F124-E124</f>
        <v>6156.2262599999958</v>
      </c>
      <c r="H124" s="77"/>
      <c r="I124" s="547">
        <f>G124/E124</f>
        <v>8.1999999999999934E-2</v>
      </c>
    </row>
    <row r="125" spans="2:9" x14ac:dyDescent="0.35">
      <c r="B125" s="44"/>
      <c r="C125" s="56"/>
      <c r="D125" s="153"/>
      <c r="E125" s="551"/>
      <c r="F125" s="77"/>
      <c r="G125" s="77"/>
      <c r="H125" s="77"/>
      <c r="I125" s="547"/>
    </row>
    <row r="126" spans="2:9" x14ac:dyDescent="0.35">
      <c r="B126" s="44"/>
      <c r="C126" s="192"/>
      <c r="D126" s="153"/>
      <c r="E126" s="551"/>
      <c r="F126" s="77"/>
      <c r="G126" s="77"/>
      <c r="H126" s="77"/>
      <c r="I126" s="547"/>
    </row>
    <row r="127" spans="2:9" x14ac:dyDescent="0.35">
      <c r="B127" s="44"/>
      <c r="C127" s="192" t="s">
        <v>282</v>
      </c>
      <c r="D127" s="153"/>
      <c r="E127" s="551"/>
      <c r="F127" s="77"/>
      <c r="G127" s="71"/>
      <c r="H127" s="77"/>
      <c r="I127" s="547"/>
    </row>
    <row r="128" spans="2:9" x14ac:dyDescent="0.35">
      <c r="B128" s="44"/>
      <c r="C128" s="1">
        <v>700000</v>
      </c>
      <c r="D128" s="153"/>
      <c r="E128" s="551">
        <f>E28</f>
        <v>5537.98</v>
      </c>
      <c r="F128" s="551">
        <f>Rates!L77+(100000*Rates!L78)</f>
        <v>5992.0943600000001</v>
      </c>
      <c r="G128" s="71">
        <f t="shared" ref="G128" si="17">F128-E128</f>
        <v>454.11436000000049</v>
      </c>
      <c r="H128" s="77"/>
      <c r="I128" s="547">
        <f>G128/E128</f>
        <v>8.2000000000000101E-2</v>
      </c>
    </row>
    <row r="129" spans="2:9" x14ac:dyDescent="0.35">
      <c r="B129" s="44"/>
      <c r="C129" s="56"/>
      <c r="D129" s="153"/>
      <c r="E129" s="551"/>
      <c r="F129" s="77"/>
      <c r="G129" s="71"/>
      <c r="H129" s="77"/>
      <c r="I129" s="547"/>
    </row>
    <row r="130" spans="2:9" x14ac:dyDescent="0.35">
      <c r="B130" s="44"/>
      <c r="C130" s="192" t="s">
        <v>299</v>
      </c>
      <c r="D130" s="153"/>
      <c r="E130" s="551"/>
      <c r="F130" s="77"/>
      <c r="G130" s="71"/>
      <c r="H130" s="77"/>
      <c r="I130" s="547"/>
    </row>
    <row r="131" spans="2:9" x14ac:dyDescent="0.35">
      <c r="B131" s="44"/>
      <c r="C131" s="56"/>
      <c r="D131" s="153"/>
      <c r="E131" s="551"/>
      <c r="F131" s="77"/>
      <c r="G131" s="71"/>
      <c r="H131" s="77"/>
      <c r="I131" s="547"/>
    </row>
    <row r="132" spans="2:9" x14ac:dyDescent="0.35">
      <c r="B132" s="44"/>
      <c r="C132" s="56">
        <v>350000</v>
      </c>
      <c r="D132" s="153"/>
      <c r="E132" s="551">
        <f t="shared" ref="E132" si="18">E32</f>
        <v>2765.0000000000005</v>
      </c>
      <c r="F132" s="77">
        <f>C132*Rates!L81</f>
        <v>2991.7300000000005</v>
      </c>
      <c r="G132" s="71">
        <f t="shared" ref="G132" si="19">F132-E132</f>
        <v>226.73000000000002</v>
      </c>
      <c r="H132" s="77"/>
      <c r="I132" s="547">
        <f>G132/E132</f>
        <v>8.199999999999999E-2</v>
      </c>
    </row>
    <row r="133" spans="2:9" ht="15.5" x14ac:dyDescent="0.35">
      <c r="B133" s="91"/>
      <c r="C133" s="52"/>
      <c r="D133" s="10"/>
      <c r="E133" s="554"/>
      <c r="F133" s="55"/>
      <c r="G133" s="55"/>
      <c r="H133" s="55"/>
      <c r="I133" s="42"/>
    </row>
    <row r="134" spans="2:9" x14ac:dyDescent="0.35">
      <c r="B134" s="29"/>
      <c r="C134" s="29"/>
      <c r="D134" s="29"/>
      <c r="E134" s="29"/>
      <c r="F134" s="29"/>
      <c r="G134" s="29"/>
      <c r="H134" s="29"/>
      <c r="I134" s="29"/>
    </row>
    <row r="135" spans="2:9" x14ac:dyDescent="0.35">
      <c r="B135" s="29"/>
      <c r="C135" s="29"/>
      <c r="D135" s="93" t="s">
        <v>85</v>
      </c>
      <c r="E135" s="29"/>
      <c r="F135" s="29"/>
      <c r="G135" s="29"/>
      <c r="H135" s="29"/>
      <c r="I135" s="29"/>
    </row>
    <row r="138" spans="2:9" x14ac:dyDescent="0.35">
      <c r="B138" s="39"/>
      <c r="C138" s="40"/>
      <c r="D138" s="40"/>
      <c r="E138" s="40"/>
      <c r="F138" s="40"/>
      <c r="G138" s="40"/>
      <c r="H138" s="40"/>
      <c r="I138" s="41"/>
    </row>
    <row r="139" spans="2:9" ht="18.5" x14ac:dyDescent="0.45">
      <c r="B139" s="39"/>
      <c r="C139" s="826" t="s">
        <v>633</v>
      </c>
      <c r="D139" s="826"/>
      <c r="E139" s="826"/>
      <c r="F139" s="826"/>
      <c r="G139" s="826"/>
      <c r="H139" s="826"/>
      <c r="I139" s="827"/>
    </row>
    <row r="140" spans="2:9" ht="18.5" x14ac:dyDescent="0.45">
      <c r="B140" s="44"/>
      <c r="C140" s="819" t="s">
        <v>634</v>
      </c>
      <c r="D140" s="819"/>
      <c r="E140" s="819"/>
      <c r="F140" s="819"/>
      <c r="G140" s="819"/>
      <c r="H140" s="819"/>
      <c r="I140" s="820"/>
    </row>
    <row r="141" spans="2:9" ht="18.5" x14ac:dyDescent="0.35">
      <c r="B141" s="44"/>
      <c r="C141" s="828" t="s">
        <v>675</v>
      </c>
      <c r="D141" s="828"/>
      <c r="E141" s="828"/>
      <c r="F141" s="828"/>
      <c r="G141" s="828"/>
      <c r="H141" s="828"/>
      <c r="I141" s="829"/>
    </row>
    <row r="142" spans="2:9" ht="18.5" x14ac:dyDescent="0.45">
      <c r="B142" s="44"/>
      <c r="C142" s="825"/>
      <c r="D142" s="825"/>
      <c r="E142" s="825"/>
      <c r="F142" s="825"/>
      <c r="G142" s="825"/>
      <c r="H142" s="825"/>
      <c r="I142" s="152"/>
    </row>
    <row r="143" spans="2:9" x14ac:dyDescent="0.35">
      <c r="B143" s="91"/>
      <c r="C143" s="52"/>
      <c r="D143" s="52"/>
      <c r="E143" s="56"/>
      <c r="F143" s="56"/>
      <c r="G143" s="56"/>
      <c r="H143" s="56"/>
      <c r="I143" s="152"/>
    </row>
    <row r="144" spans="2:9" ht="18.5" x14ac:dyDescent="0.65">
      <c r="B144" s="44"/>
      <c r="C144" s="56"/>
      <c r="D144" s="152"/>
      <c r="E144" s="674"/>
      <c r="F144" s="675"/>
      <c r="G144" s="675"/>
      <c r="H144" s="545"/>
      <c r="I144" s="546"/>
    </row>
    <row r="145" spans="2:9" ht="16" x14ac:dyDescent="0.5">
      <c r="B145" s="44"/>
      <c r="C145" s="542" t="s">
        <v>15</v>
      </c>
      <c r="D145" s="543"/>
      <c r="E145" s="544" t="s">
        <v>668</v>
      </c>
      <c r="F145" s="542" t="s">
        <v>669</v>
      </c>
      <c r="G145" s="151"/>
      <c r="H145" s="151"/>
      <c r="I145" s="543" t="s">
        <v>514</v>
      </c>
    </row>
    <row r="146" spans="2:9" ht="16" x14ac:dyDescent="0.5">
      <c r="B146" s="44"/>
      <c r="C146" s="151" t="s">
        <v>86</v>
      </c>
      <c r="D146" s="87"/>
      <c r="E146" s="88" t="s">
        <v>84</v>
      </c>
      <c r="F146" s="151" t="s">
        <v>84</v>
      </c>
      <c r="G146" s="151" t="s">
        <v>31</v>
      </c>
      <c r="H146" s="151"/>
      <c r="I146" s="87" t="s">
        <v>31</v>
      </c>
    </row>
    <row r="147" spans="2:9" x14ac:dyDescent="0.35">
      <c r="B147" s="44"/>
      <c r="C147" s="77">
        <v>0</v>
      </c>
      <c r="D147" s="154"/>
      <c r="E147" s="551">
        <f>F113</f>
        <v>26.422440000000005</v>
      </c>
      <c r="F147" s="551">
        <f t="shared" ref="F147:F155" si="20">F14</f>
        <v>28.424880000000002</v>
      </c>
      <c r="G147" s="71">
        <f>F147-E147</f>
        <v>2.0024399999999964</v>
      </c>
      <c r="H147" s="71"/>
      <c r="I147" s="547">
        <f t="shared" ref="I147:I155" si="21">G147/E147</f>
        <v>7.5785582255083028E-2</v>
      </c>
    </row>
    <row r="148" spans="2:9" x14ac:dyDescent="0.35">
      <c r="B148" s="44"/>
      <c r="C148" s="56">
        <v>2000</v>
      </c>
      <c r="D148" s="154"/>
      <c r="E148" s="551">
        <f>F114</f>
        <v>26.422440000000005</v>
      </c>
      <c r="F148" s="551">
        <f t="shared" si="20"/>
        <v>28.424880000000002</v>
      </c>
      <c r="G148" s="71">
        <f t="shared" ref="G148:G155" si="22">F148-E148</f>
        <v>2.0024399999999964</v>
      </c>
      <c r="H148" s="77"/>
      <c r="I148" s="547">
        <f t="shared" si="21"/>
        <v>7.5785582255083028E-2</v>
      </c>
    </row>
    <row r="149" spans="2:9" x14ac:dyDescent="0.35">
      <c r="B149" s="44"/>
      <c r="C149" s="89">
        <v>4000</v>
      </c>
      <c r="D149" s="155"/>
      <c r="E149" s="551">
        <f>F115</f>
        <v>48.149000000000008</v>
      </c>
      <c r="F149" s="551">
        <f t="shared" si="20"/>
        <v>51.798000000000002</v>
      </c>
      <c r="G149" s="541">
        <f t="shared" si="22"/>
        <v>3.6489999999999938</v>
      </c>
      <c r="H149" s="90"/>
      <c r="I149" s="548">
        <f t="shared" si="21"/>
        <v>7.5785582255083042E-2</v>
      </c>
    </row>
    <row r="150" spans="2:9" x14ac:dyDescent="0.35">
      <c r="B150" s="44"/>
      <c r="C150" s="56">
        <v>6000</v>
      </c>
      <c r="D150" s="154"/>
      <c r="E150" s="551">
        <f t="shared" ref="E150:E155" si="23">F116</f>
        <v>69.875560000000007</v>
      </c>
      <c r="F150" s="551">
        <f t="shared" si="20"/>
        <v>75.171120000000002</v>
      </c>
      <c r="G150" s="71">
        <f t="shared" si="22"/>
        <v>5.2955599999999947</v>
      </c>
      <c r="H150" s="77"/>
      <c r="I150" s="547">
        <f t="shared" si="21"/>
        <v>7.5785582255083098E-2</v>
      </c>
    </row>
    <row r="151" spans="2:9" x14ac:dyDescent="0.35">
      <c r="B151" s="44"/>
      <c r="C151" s="56">
        <v>8000</v>
      </c>
      <c r="D151" s="154"/>
      <c r="E151" s="551">
        <f t="shared" si="23"/>
        <v>91.602120000000014</v>
      </c>
      <c r="F151" s="551">
        <f t="shared" si="20"/>
        <v>98.544240000000002</v>
      </c>
      <c r="G151" s="71">
        <f t="shared" si="22"/>
        <v>6.9421199999999885</v>
      </c>
      <c r="H151" s="77"/>
      <c r="I151" s="547">
        <f t="shared" si="21"/>
        <v>7.5785582255083042E-2</v>
      </c>
    </row>
    <row r="152" spans="2:9" x14ac:dyDescent="0.35">
      <c r="B152" s="44"/>
      <c r="C152" s="56">
        <v>10000</v>
      </c>
      <c r="D152" s="154"/>
      <c r="E152" s="551">
        <f t="shared" si="23"/>
        <v>113.32868000000002</v>
      </c>
      <c r="F152" s="551">
        <f t="shared" si="20"/>
        <v>121.91736</v>
      </c>
      <c r="G152" s="71">
        <f t="shared" si="22"/>
        <v>8.5886799999999823</v>
      </c>
      <c r="H152" s="77"/>
      <c r="I152" s="547">
        <f t="shared" si="21"/>
        <v>7.5785582255083014E-2</v>
      </c>
    </row>
    <row r="153" spans="2:9" x14ac:dyDescent="0.35">
      <c r="B153" s="44"/>
      <c r="C153" s="56">
        <v>15000</v>
      </c>
      <c r="D153" s="154"/>
      <c r="E153" s="551">
        <f t="shared" si="23"/>
        <v>167.64508000000001</v>
      </c>
      <c r="F153" s="551">
        <f t="shared" si="20"/>
        <v>180.35016000000002</v>
      </c>
      <c r="G153" s="71">
        <f t="shared" si="22"/>
        <v>12.705080000000009</v>
      </c>
      <c r="H153" s="77"/>
      <c r="I153" s="547">
        <f t="shared" si="21"/>
        <v>7.5785582255083236E-2</v>
      </c>
    </row>
    <row r="154" spans="2:9" x14ac:dyDescent="0.35">
      <c r="B154" s="44"/>
      <c r="C154" s="56">
        <v>20000</v>
      </c>
      <c r="D154" s="154"/>
      <c r="E154" s="551">
        <f t="shared" si="23"/>
        <v>221.96148000000002</v>
      </c>
      <c r="F154" s="551">
        <f t="shared" si="20"/>
        <v>238.78296</v>
      </c>
      <c r="G154" s="71">
        <f t="shared" si="22"/>
        <v>16.82147999999998</v>
      </c>
      <c r="H154" s="77"/>
      <c r="I154" s="547">
        <f t="shared" si="21"/>
        <v>7.5785582255083084E-2</v>
      </c>
    </row>
    <row r="155" spans="2:9" x14ac:dyDescent="0.35">
      <c r="B155" s="44"/>
      <c r="C155" s="56">
        <v>50000</v>
      </c>
      <c r="D155" s="153"/>
      <c r="E155" s="551">
        <f t="shared" si="23"/>
        <v>547.85988000000009</v>
      </c>
      <c r="F155" s="551">
        <f t="shared" si="20"/>
        <v>589.37976000000003</v>
      </c>
      <c r="G155" s="71">
        <f t="shared" si="22"/>
        <v>41.519879999999944</v>
      </c>
      <c r="H155" s="77"/>
      <c r="I155" s="547">
        <f t="shared" si="21"/>
        <v>7.578558225508307E-2</v>
      </c>
    </row>
    <row r="156" spans="2:9" x14ac:dyDescent="0.35">
      <c r="B156" s="44"/>
      <c r="C156" s="56"/>
      <c r="D156" s="153"/>
      <c r="E156" s="551"/>
      <c r="F156" s="77"/>
      <c r="G156" s="77"/>
      <c r="H156" s="77"/>
      <c r="I156" s="547"/>
    </row>
    <row r="157" spans="2:9" x14ac:dyDescent="0.35">
      <c r="B157" s="44"/>
      <c r="C157" s="192" t="s">
        <v>282</v>
      </c>
      <c r="D157" s="153"/>
      <c r="E157" s="551"/>
      <c r="F157" s="77"/>
      <c r="G157" s="77"/>
      <c r="H157" s="77"/>
      <c r="I157" s="547"/>
    </row>
    <row r="158" spans="2:9" x14ac:dyDescent="0.35">
      <c r="B158" s="44"/>
      <c r="C158" s="56">
        <v>700000</v>
      </c>
      <c r="D158" s="153"/>
      <c r="E158" s="551">
        <f>F124</f>
        <v>81232.156260000003</v>
      </c>
      <c r="F158" s="551">
        <f>F25</f>
        <v>87388.382519999999</v>
      </c>
      <c r="G158" s="71">
        <f>F158-E158</f>
        <v>6156.2262599999958</v>
      </c>
      <c r="H158" s="77"/>
      <c r="I158" s="547">
        <f>G158/E158</f>
        <v>7.5785582255083125E-2</v>
      </c>
    </row>
    <row r="159" spans="2:9" x14ac:dyDescent="0.35">
      <c r="B159" s="44"/>
      <c r="C159" s="56"/>
      <c r="D159" s="153"/>
      <c r="E159" s="551"/>
      <c r="F159" s="77"/>
      <c r="G159" s="77"/>
      <c r="H159" s="77"/>
      <c r="I159" s="547"/>
    </row>
    <row r="160" spans="2:9" x14ac:dyDescent="0.35">
      <c r="B160" s="44"/>
      <c r="C160" s="192" t="s">
        <v>281</v>
      </c>
      <c r="D160" s="153"/>
      <c r="E160" s="551"/>
      <c r="F160" s="77"/>
      <c r="G160" s="77"/>
      <c r="H160" s="77"/>
      <c r="I160" s="547"/>
    </row>
    <row r="161" spans="2:9" x14ac:dyDescent="0.35">
      <c r="B161" s="44"/>
      <c r="C161" s="56"/>
      <c r="D161" s="153"/>
      <c r="E161" s="551"/>
      <c r="F161" s="77"/>
      <c r="G161" s="71"/>
      <c r="H161" s="77"/>
      <c r="I161" s="547"/>
    </row>
    <row r="162" spans="2:9" x14ac:dyDescent="0.35">
      <c r="B162" s="44"/>
      <c r="C162" s="56">
        <v>9500000</v>
      </c>
      <c r="D162" s="153"/>
      <c r="E162" s="551">
        <f>F128</f>
        <v>5992.0943600000001</v>
      </c>
      <c r="F162" s="551">
        <f>F28</f>
        <v>6446.2087199999987</v>
      </c>
      <c r="G162" s="71">
        <f t="shared" ref="G162" si="24">F162-E162</f>
        <v>454.11435999999867</v>
      </c>
      <c r="H162" s="77"/>
      <c r="I162" s="547">
        <f>G162/E162</f>
        <v>7.5785582255082959E-2</v>
      </c>
    </row>
    <row r="163" spans="2:9" x14ac:dyDescent="0.35">
      <c r="B163" s="44"/>
      <c r="C163" s="56"/>
      <c r="D163" s="153"/>
      <c r="E163" s="551"/>
      <c r="F163" s="77"/>
      <c r="G163" s="71"/>
      <c r="H163" s="77"/>
      <c r="I163" s="547"/>
    </row>
    <row r="164" spans="2:9" x14ac:dyDescent="0.35">
      <c r="B164" s="44"/>
      <c r="C164" s="192" t="s">
        <v>299</v>
      </c>
      <c r="D164" s="153"/>
      <c r="E164" s="551"/>
      <c r="F164" s="77"/>
      <c r="G164" s="71"/>
      <c r="H164" s="77"/>
      <c r="I164" s="547"/>
    </row>
    <row r="165" spans="2:9" x14ac:dyDescent="0.35">
      <c r="B165" s="44"/>
      <c r="C165" s="56"/>
      <c r="D165" s="153"/>
      <c r="E165" s="551"/>
      <c r="F165" s="77"/>
      <c r="G165" s="71"/>
      <c r="H165" s="77"/>
      <c r="I165" s="547"/>
    </row>
    <row r="166" spans="2:9" x14ac:dyDescent="0.35">
      <c r="B166" s="44"/>
      <c r="C166" s="56">
        <v>350000</v>
      </c>
      <c r="D166" s="153"/>
      <c r="E166" s="551">
        <f>F132</f>
        <v>2991.7300000000005</v>
      </c>
      <c r="F166" s="551">
        <f>F32</f>
        <v>3218.46</v>
      </c>
      <c r="G166" s="71">
        <f t="shared" ref="G166" si="25">F166-E166</f>
        <v>226.72999999999956</v>
      </c>
      <c r="H166" s="77"/>
      <c r="I166" s="547">
        <f>G166/E166</f>
        <v>7.5785582255083028E-2</v>
      </c>
    </row>
    <row r="167" spans="2:9" ht="15.5" x14ac:dyDescent="0.35">
      <c r="B167" s="91"/>
      <c r="C167" s="52"/>
      <c r="D167" s="10"/>
      <c r="E167" s="554"/>
      <c r="F167" s="55"/>
      <c r="G167" s="55"/>
      <c r="H167" s="55"/>
      <c r="I167" s="42"/>
    </row>
    <row r="168" spans="2:9" x14ac:dyDescent="0.35">
      <c r="B168" s="29"/>
      <c r="C168" s="29"/>
      <c r="D168" s="29"/>
      <c r="E168" s="29"/>
      <c r="F168" s="29"/>
      <c r="G168" s="29"/>
      <c r="H168" s="29"/>
      <c r="I168" s="29"/>
    </row>
    <row r="169" spans="2:9" x14ac:dyDescent="0.35">
      <c r="B169" s="29"/>
      <c r="C169" s="29"/>
      <c r="D169" s="93" t="s">
        <v>85</v>
      </c>
      <c r="E169" s="29"/>
      <c r="F169" s="29"/>
      <c r="G169" s="29"/>
      <c r="H169" s="29"/>
      <c r="I169" s="29"/>
    </row>
  </sheetData>
  <mergeCells count="25">
    <mergeCell ref="C139:I139"/>
    <mergeCell ref="C140:I140"/>
    <mergeCell ref="C141:I141"/>
    <mergeCell ref="C142:H142"/>
    <mergeCell ref="C105:I105"/>
    <mergeCell ref="C106:I106"/>
    <mergeCell ref="C107:I107"/>
    <mergeCell ref="C108:H108"/>
    <mergeCell ref="C77:I77"/>
    <mergeCell ref="C78:I78"/>
    <mergeCell ref="C79:I79"/>
    <mergeCell ref="C80:H80"/>
    <mergeCell ref="E82:G82"/>
    <mergeCell ref="C43:I43"/>
    <mergeCell ref="C44:I44"/>
    <mergeCell ref="E48:G48"/>
    <mergeCell ref="B1:H1"/>
    <mergeCell ref="B2:H2"/>
    <mergeCell ref="B3:H3"/>
    <mergeCell ref="E11:G11"/>
    <mergeCell ref="C9:H9"/>
    <mergeCell ref="C6:I6"/>
    <mergeCell ref="C7:I7"/>
    <mergeCell ref="C8:I8"/>
    <mergeCell ref="C46:I46"/>
  </mergeCells>
  <printOptions horizontalCentered="1"/>
  <pageMargins left="0.95" right="0.7" top="1.25" bottom="0.75" header="0.3" footer="0.3"/>
  <pageSetup scale="8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2:R126"/>
  <sheetViews>
    <sheetView topLeftCell="A42" workbookViewId="0">
      <selection activeCell="A2" sqref="A2:G70"/>
    </sheetView>
  </sheetViews>
  <sheetFormatPr defaultColWidth="11.23046875" defaultRowHeight="14.5" x14ac:dyDescent="0.35"/>
  <cols>
    <col min="1" max="1" width="16.84375" style="1" customWidth="1"/>
    <col min="2" max="2" width="10.3828125" style="1" customWidth="1"/>
    <col min="3" max="3" width="10.53515625" style="1" customWidth="1"/>
    <col min="4" max="4" width="13" style="1" customWidth="1"/>
    <col min="5" max="5" width="13.69140625" style="1" customWidth="1"/>
    <col min="6" max="6" width="13" style="1" customWidth="1"/>
    <col min="7" max="8" width="11.765625" style="1" customWidth="1"/>
    <col min="9" max="9" width="11.23046875" style="1"/>
    <col min="10" max="10" width="14.3046875" style="1" customWidth="1"/>
    <col min="11" max="12" width="11.23046875" style="1"/>
    <col min="13" max="13" width="12.69140625" style="1" customWidth="1"/>
    <col min="14" max="14" width="9.23046875" style="1" customWidth="1"/>
    <col min="15" max="16384" width="11.23046875" style="1"/>
  </cols>
  <sheetData>
    <row r="2" spans="1:15" ht="18.75" customHeight="1" x14ac:dyDescent="0.45">
      <c r="A2" s="786" t="s">
        <v>273</v>
      </c>
      <c r="B2" s="786"/>
      <c r="C2" s="786"/>
      <c r="D2" s="786"/>
      <c r="E2" s="786"/>
      <c r="F2" s="786"/>
      <c r="G2" s="786"/>
      <c r="H2" s="125"/>
      <c r="I2" s="13"/>
      <c r="J2" s="13"/>
      <c r="K2" s="13"/>
      <c r="L2" s="13"/>
      <c r="M2" s="13"/>
      <c r="N2" s="13"/>
    </row>
    <row r="3" spans="1:15" ht="18.75" customHeight="1" x14ac:dyDescent="0.35">
      <c r="A3" s="737" t="s">
        <v>685</v>
      </c>
      <c r="B3" s="737"/>
      <c r="C3" s="737"/>
      <c r="D3" s="737"/>
      <c r="E3" s="737"/>
      <c r="F3" s="737"/>
      <c r="G3" s="737"/>
      <c r="H3" s="122"/>
      <c r="I3" s="13"/>
      <c r="J3" s="13"/>
      <c r="K3" s="13"/>
      <c r="L3" s="13"/>
      <c r="M3" s="13"/>
      <c r="N3" s="13"/>
    </row>
    <row r="4" spans="1:15" ht="18.75" customHeight="1" thickBot="1" x14ac:dyDescent="0.4">
      <c r="A4" s="122"/>
      <c r="B4" s="122"/>
      <c r="C4" s="122"/>
      <c r="D4" s="122"/>
      <c r="E4" s="122"/>
      <c r="F4" s="122"/>
      <c r="G4" s="122"/>
      <c r="H4" s="122"/>
      <c r="I4" s="13"/>
      <c r="J4" s="13"/>
      <c r="K4" s="13"/>
      <c r="L4" s="13"/>
      <c r="M4" s="13"/>
      <c r="N4" s="13"/>
    </row>
    <row r="5" spans="1:15" ht="15" thickBot="1" x14ac:dyDescent="0.4">
      <c r="A5" s="57"/>
      <c r="B5" s="3"/>
      <c r="C5" s="838" t="s">
        <v>274</v>
      </c>
      <c r="D5" s="838"/>
      <c r="E5" s="838"/>
      <c r="F5" s="838"/>
      <c r="G5" s="838"/>
      <c r="H5" s="3"/>
      <c r="I5" s="13"/>
      <c r="J5" s="13"/>
      <c r="K5" s="13"/>
      <c r="L5" s="347" t="s">
        <v>440</v>
      </c>
      <c r="M5" s="348"/>
      <c r="N5" s="13"/>
    </row>
    <row r="6" spans="1:15" ht="18.5" x14ac:dyDescent="0.5">
      <c r="B6" s="836"/>
      <c r="C6" s="836"/>
      <c r="D6" s="836"/>
      <c r="E6" s="33" t="s">
        <v>275</v>
      </c>
      <c r="F6" s="33" t="s">
        <v>276</v>
      </c>
      <c r="G6" s="33" t="s">
        <v>78</v>
      </c>
      <c r="I6" s="13"/>
      <c r="J6" s="353" t="s">
        <v>492</v>
      </c>
      <c r="K6" s="13"/>
      <c r="L6" s="349" t="s">
        <v>439</v>
      </c>
      <c r="M6" s="350" t="s">
        <v>441</v>
      </c>
      <c r="N6" s="13"/>
    </row>
    <row r="7" spans="1:15" ht="15" thickBot="1" x14ac:dyDescent="0.4">
      <c r="C7" s="1" t="s">
        <v>277</v>
      </c>
      <c r="D7" s="185"/>
      <c r="E7" s="275">
        <f>C23</f>
        <v>75458</v>
      </c>
      <c r="F7" s="34">
        <f>D23</f>
        <v>283169000</v>
      </c>
      <c r="G7" s="35">
        <f>F29</f>
        <v>3474766.68</v>
      </c>
      <c r="I7" s="13"/>
      <c r="J7" s="354">
        <f>P97</f>
        <v>429791600</v>
      </c>
      <c r="K7" s="13"/>
      <c r="L7" s="351">
        <v>429942000</v>
      </c>
      <c r="M7" s="352">
        <v>6285</v>
      </c>
      <c r="N7" s="13"/>
    </row>
    <row r="8" spans="1:15" ht="15" thickBot="1" x14ac:dyDescent="0.4">
      <c r="C8" s="2" t="s">
        <v>278</v>
      </c>
      <c r="D8" s="2"/>
      <c r="E8" s="2">
        <f>C38</f>
        <v>12</v>
      </c>
      <c r="F8" s="13">
        <f>D38</f>
        <v>114333300</v>
      </c>
      <c r="G8" s="21">
        <f>F44</f>
        <v>903544.2300000001</v>
      </c>
      <c r="I8" s="13"/>
      <c r="J8" s="355">
        <f>P123</f>
        <v>75554</v>
      </c>
      <c r="K8" s="127"/>
      <c r="L8" s="13"/>
      <c r="M8" s="13"/>
      <c r="N8" s="13"/>
    </row>
    <row r="9" spans="1:15" x14ac:dyDescent="0.35">
      <c r="C9" s="2" t="s">
        <v>279</v>
      </c>
      <c r="E9" s="13">
        <f>C57</f>
        <v>12</v>
      </c>
      <c r="F9" s="12">
        <f>D57</f>
        <v>7851200</v>
      </c>
      <c r="G9" s="21">
        <f>F57</f>
        <v>70029.72</v>
      </c>
      <c r="I9" s="13"/>
      <c r="J9" s="126"/>
      <c r="K9" s="127"/>
      <c r="L9" s="13"/>
      <c r="M9" s="13"/>
      <c r="N9" s="13"/>
    </row>
    <row r="10" spans="1:15" ht="15.5" x14ac:dyDescent="0.45">
      <c r="C10" s="2" t="s">
        <v>280</v>
      </c>
      <c r="E10" s="11">
        <f>C70</f>
        <v>72</v>
      </c>
      <c r="F10" s="11">
        <f>D70</f>
        <v>24438100</v>
      </c>
      <c r="G10" s="292">
        <f>F70</f>
        <v>193060.99000000002</v>
      </c>
      <c r="I10" s="13"/>
      <c r="J10" s="126"/>
      <c r="K10" s="128"/>
      <c r="L10" s="13"/>
      <c r="M10" s="126"/>
      <c r="N10" s="127"/>
      <c r="O10" s="126"/>
    </row>
    <row r="11" spans="1:15" x14ac:dyDescent="0.35">
      <c r="C11" s="1" t="s">
        <v>14</v>
      </c>
      <c r="D11" s="2"/>
      <c r="E11" s="101">
        <f>SUM(E7:E10)</f>
        <v>75554</v>
      </c>
      <c r="F11" s="56">
        <f>SUM(F7:F10)</f>
        <v>429791600</v>
      </c>
      <c r="G11" s="35">
        <f>SUM(G7:G10)</f>
        <v>4641401.62</v>
      </c>
      <c r="I11" s="13"/>
      <c r="J11" s="107" t="s">
        <v>493</v>
      </c>
      <c r="K11" s="127"/>
      <c r="L11" s="13"/>
      <c r="M11" s="13"/>
      <c r="N11" s="13"/>
    </row>
    <row r="12" spans="1:15" x14ac:dyDescent="0.35">
      <c r="C12" s="92"/>
      <c r="D12" s="2"/>
      <c r="F12" s="207" t="s">
        <v>434</v>
      </c>
      <c r="G12" s="292">
        <f>-N126</f>
        <v>-60516.490000000013</v>
      </c>
      <c r="I12" s="13"/>
      <c r="J12" s="126">
        <f>SUM(F8:F10)</f>
        <v>146622600</v>
      </c>
      <c r="L12" s="13"/>
      <c r="M12" s="13"/>
      <c r="N12" s="13"/>
    </row>
    <row r="13" spans="1:15" x14ac:dyDescent="0.35">
      <c r="C13" s="2"/>
      <c r="D13" s="2"/>
      <c r="F13" s="207" t="s">
        <v>422</v>
      </c>
      <c r="G13" s="35">
        <f>G11+G12</f>
        <v>4580885.13</v>
      </c>
      <c r="I13" s="13"/>
      <c r="J13" s="13"/>
      <c r="K13" s="21"/>
      <c r="L13" s="13"/>
      <c r="M13" s="13"/>
      <c r="N13" s="13"/>
    </row>
    <row r="14" spans="1:15" x14ac:dyDescent="0.35">
      <c r="C14" s="92"/>
      <c r="D14" s="2"/>
      <c r="F14" s="207" t="s">
        <v>435</v>
      </c>
      <c r="G14" s="292">
        <f>SUM(SAOw!F9:F12)</f>
        <v>4456724.87</v>
      </c>
      <c r="I14" s="13"/>
      <c r="J14" s="13"/>
      <c r="K14" s="13"/>
      <c r="L14" s="13"/>
      <c r="M14" s="13"/>
      <c r="N14" s="13"/>
    </row>
    <row r="15" spans="1:15" x14ac:dyDescent="0.35">
      <c r="C15" s="2"/>
      <c r="D15" s="2"/>
      <c r="F15" s="207"/>
      <c r="G15" s="21">
        <f>G13-G14</f>
        <v>124160.25999999978</v>
      </c>
      <c r="H15" s="47" t="s">
        <v>82</v>
      </c>
      <c r="I15" s="13"/>
      <c r="J15" s="13"/>
      <c r="K15" s="13"/>
      <c r="L15" s="13"/>
      <c r="M15" s="13"/>
      <c r="N15" s="13"/>
    </row>
    <row r="16" spans="1:15" hidden="1" x14ac:dyDescent="0.35">
      <c r="C16" s="92"/>
      <c r="D16" s="2"/>
      <c r="F16" s="207"/>
      <c r="G16" s="21"/>
      <c r="I16" s="13"/>
      <c r="J16" s="105"/>
      <c r="K16" s="13"/>
      <c r="L16" s="13"/>
      <c r="M16" s="13"/>
      <c r="N16" s="13"/>
    </row>
    <row r="17" spans="1:14" x14ac:dyDescent="0.35">
      <c r="C17" s="31"/>
      <c r="D17" s="46"/>
      <c r="I17" s="13"/>
      <c r="J17" s="13"/>
      <c r="K17" s="13"/>
      <c r="L17" s="13"/>
      <c r="M17" s="13"/>
      <c r="N17" s="13"/>
    </row>
    <row r="18" spans="1:14" x14ac:dyDescent="0.35">
      <c r="A18" s="1" t="s">
        <v>277</v>
      </c>
      <c r="C18" s="31"/>
      <c r="D18" s="46"/>
      <c r="I18" s="13"/>
      <c r="J18" s="13"/>
      <c r="K18" s="13"/>
      <c r="L18" s="13"/>
      <c r="M18" s="13"/>
      <c r="N18" s="13"/>
    </row>
    <row r="19" spans="1:14" ht="18.5" x14ac:dyDescent="0.45">
      <c r="A19" s="835"/>
      <c r="B19" s="835"/>
      <c r="C19" s="835"/>
      <c r="D19" s="835"/>
      <c r="E19" s="835" t="s">
        <v>68</v>
      </c>
      <c r="F19" s="835" t="s">
        <v>69</v>
      </c>
      <c r="G19" s="835"/>
      <c r="I19" s="13"/>
      <c r="J19" s="13"/>
      <c r="K19" s="13"/>
      <c r="L19" s="13"/>
      <c r="M19" s="13"/>
      <c r="N19" s="13"/>
    </row>
    <row r="20" spans="1:14" x14ac:dyDescent="0.35">
      <c r="B20" s="47" t="s">
        <v>70</v>
      </c>
      <c r="C20" s="69" t="s">
        <v>71</v>
      </c>
      <c r="D20" s="285" t="s">
        <v>72</v>
      </c>
      <c r="E20" s="47">
        <f>B21</f>
        <v>2000</v>
      </c>
      <c r="F20" s="47">
        <f>B22</f>
        <v>2000</v>
      </c>
      <c r="G20" s="47" t="s">
        <v>73</v>
      </c>
      <c r="I20" s="13"/>
      <c r="J20" s="13"/>
      <c r="K20" s="13"/>
      <c r="L20" s="13"/>
      <c r="M20" s="13"/>
      <c r="N20" s="13"/>
    </row>
    <row r="21" spans="1:14" x14ac:dyDescent="0.35">
      <c r="A21" s="290" t="s">
        <v>68</v>
      </c>
      <c r="B21" s="1">
        <v>2000</v>
      </c>
      <c r="C21" s="13">
        <f>P101+P104+P107+P110</f>
        <v>29165</v>
      </c>
      <c r="D21" s="13">
        <f>P75+P78+P81+P84</f>
        <v>28025000</v>
      </c>
      <c r="E21" s="13">
        <f>D21</f>
        <v>28025000</v>
      </c>
      <c r="F21" s="13">
        <v>0</v>
      </c>
      <c r="G21" s="13">
        <f>SUM(E21:F21)</f>
        <v>28025000</v>
      </c>
      <c r="I21" s="13"/>
      <c r="J21" s="13"/>
      <c r="K21" s="834" t="s">
        <v>629</v>
      </c>
      <c r="L21" s="834"/>
      <c r="M21" s="834"/>
      <c r="N21" s="13"/>
    </row>
    <row r="22" spans="1:14" x14ac:dyDescent="0.35">
      <c r="A22" s="49" t="s">
        <v>69</v>
      </c>
      <c r="B22" s="1">
        <v>2000</v>
      </c>
      <c r="C22" s="11">
        <f>P102+P105+P108+P111</f>
        <v>46293</v>
      </c>
      <c r="D22" s="11">
        <f>P76+P79+P82+P85</f>
        <v>255144000</v>
      </c>
      <c r="E22" s="561">
        <f>2000*C22</f>
        <v>92586000</v>
      </c>
      <c r="F22" s="287">
        <f>D22-E22</f>
        <v>162558000</v>
      </c>
      <c r="G22" s="11">
        <f>SUM(E22:F22)</f>
        <v>255144000</v>
      </c>
      <c r="I22" s="13"/>
      <c r="J22" s="13"/>
      <c r="K22" s="12"/>
      <c r="L22" s="12"/>
      <c r="M22" s="13"/>
      <c r="N22" s="13"/>
    </row>
    <row r="23" spans="1:14" x14ac:dyDescent="0.35">
      <c r="B23" s="47"/>
      <c r="C23" s="22">
        <f>SUM(C21:C22)</f>
        <v>75458</v>
      </c>
      <c r="D23" s="22">
        <f>SUM(D21:D22)</f>
        <v>283169000</v>
      </c>
      <c r="E23" s="22">
        <f>SUM(E21:E22)</f>
        <v>120611000</v>
      </c>
      <c r="F23" s="22">
        <f>SUM(F21:F22)</f>
        <v>162558000</v>
      </c>
      <c r="G23" s="22">
        <f>SUM(G21:G22)</f>
        <v>283169000</v>
      </c>
      <c r="I23" s="13"/>
      <c r="J23" s="13"/>
      <c r="K23" s="1" t="s">
        <v>277</v>
      </c>
      <c r="L23" s="12"/>
      <c r="M23" s="13">
        <f>D23/C23</f>
        <v>3752.67035967028</v>
      </c>
      <c r="N23" s="13"/>
    </row>
    <row r="24" spans="1:14" x14ac:dyDescent="0.35">
      <c r="A24" s="49"/>
      <c r="B24" s="50"/>
      <c r="C24" s="29"/>
      <c r="D24" s="29"/>
      <c r="E24" s="29"/>
      <c r="F24" s="29"/>
      <c r="G24" s="29"/>
      <c r="I24" s="13"/>
      <c r="J24" s="13"/>
      <c r="K24" s="12"/>
      <c r="L24" s="12"/>
      <c r="M24" s="13"/>
      <c r="N24" s="13"/>
    </row>
    <row r="25" spans="1:14" x14ac:dyDescent="0.35">
      <c r="A25" s="1" t="s">
        <v>74</v>
      </c>
      <c r="B25" s="51"/>
      <c r="C25" s="52"/>
      <c r="D25" s="52"/>
      <c r="E25" s="52"/>
      <c r="F25" s="52"/>
      <c r="G25" s="52"/>
      <c r="I25" s="13"/>
      <c r="J25" s="13"/>
      <c r="K25" s="1" t="s">
        <v>281</v>
      </c>
      <c r="L25" s="12"/>
      <c r="M25" s="13">
        <f>D38/C38</f>
        <v>9527775</v>
      </c>
      <c r="N25" s="13"/>
    </row>
    <row r="26" spans="1:14" x14ac:dyDescent="0.35">
      <c r="A26" s="49"/>
      <c r="B26" s="50"/>
      <c r="C26" s="286" t="s">
        <v>71</v>
      </c>
      <c r="D26" s="286" t="s">
        <v>72</v>
      </c>
      <c r="E26" s="286" t="s">
        <v>75</v>
      </c>
      <c r="F26" s="286" t="s">
        <v>76</v>
      </c>
      <c r="G26" s="29"/>
      <c r="I26" s="13"/>
      <c r="J26" s="13"/>
      <c r="K26" s="12"/>
      <c r="L26" s="12"/>
      <c r="M26" s="13"/>
      <c r="N26" s="13"/>
    </row>
    <row r="27" spans="1:14" x14ac:dyDescent="0.35">
      <c r="A27" s="49" t="s">
        <v>68</v>
      </c>
      <c r="B27" s="50">
        <f>B21</f>
        <v>2000</v>
      </c>
      <c r="C27" s="13">
        <f>C23</f>
        <v>75458</v>
      </c>
      <c r="D27" s="50">
        <f>E23</f>
        <v>120611000</v>
      </c>
      <c r="E27" s="35">
        <v>24.42</v>
      </c>
      <c r="F27" s="35">
        <f>E27*C27</f>
        <v>1842684.36</v>
      </c>
      <c r="G27" s="50"/>
      <c r="I27" s="13"/>
      <c r="J27" s="13"/>
      <c r="K27" s="1" t="s">
        <v>282</v>
      </c>
      <c r="L27" s="12"/>
      <c r="M27" s="13">
        <f>D51/C51</f>
        <v>654266.66666666663</v>
      </c>
      <c r="N27" s="13"/>
    </row>
    <row r="28" spans="1:14" x14ac:dyDescent="0.35">
      <c r="A28" s="49" t="s">
        <v>69</v>
      </c>
      <c r="B28" s="288">
        <f>B22</f>
        <v>2000</v>
      </c>
      <c r="D28" s="50">
        <f>F23</f>
        <v>162558000</v>
      </c>
      <c r="E28" s="274">
        <v>1.004E-2</v>
      </c>
      <c r="F28" s="25">
        <f>E28*(D28)</f>
        <v>1632082.32</v>
      </c>
      <c r="G28" s="50"/>
      <c r="I28" s="13"/>
      <c r="J28" s="13"/>
      <c r="K28" s="12"/>
      <c r="L28" s="12"/>
      <c r="M28" s="13"/>
      <c r="N28" s="13"/>
    </row>
    <row r="29" spans="1:14" x14ac:dyDescent="0.35">
      <c r="A29" s="49"/>
      <c r="B29" s="1" t="s">
        <v>73</v>
      </c>
      <c r="C29" s="275">
        <f>SUM(C27:C28)</f>
        <v>75458</v>
      </c>
      <c r="D29" s="4">
        <f>SUM(D27:D28)</f>
        <v>283169000</v>
      </c>
      <c r="E29" s="185"/>
      <c r="F29" s="303">
        <f>SUM(F27:F28)</f>
        <v>3474766.68</v>
      </c>
      <c r="I29" s="13"/>
      <c r="J29" s="13"/>
      <c r="K29" s="1" t="s">
        <v>283</v>
      </c>
      <c r="L29" s="12"/>
      <c r="M29" s="13">
        <f>D70/C70</f>
        <v>339418.05555555556</v>
      </c>
      <c r="N29" s="13"/>
    </row>
    <row r="30" spans="1:14" x14ac:dyDescent="0.35">
      <c r="A30" s="49"/>
      <c r="B30" s="50"/>
      <c r="C30" s="29"/>
      <c r="D30" s="29"/>
      <c r="E30" s="30"/>
      <c r="F30" s="46"/>
      <c r="I30" s="13"/>
      <c r="J30" s="13"/>
      <c r="K30" s="12"/>
      <c r="L30" s="12"/>
      <c r="M30" s="13"/>
      <c r="N30" s="13"/>
    </row>
    <row r="31" spans="1:14" x14ac:dyDescent="0.35">
      <c r="A31" s="49"/>
      <c r="B31" s="50"/>
      <c r="C31" s="2"/>
      <c r="D31" s="56"/>
      <c r="E31" s="77"/>
      <c r="F31" s="56"/>
      <c r="I31" s="13"/>
      <c r="J31" s="13"/>
      <c r="K31" s="12"/>
      <c r="L31" s="12"/>
      <c r="M31" s="13"/>
      <c r="N31" s="13"/>
    </row>
    <row r="32" spans="1:14" x14ac:dyDescent="0.35">
      <c r="A32" s="49"/>
      <c r="B32" s="50"/>
      <c r="C32" s="29"/>
      <c r="D32" s="29"/>
      <c r="F32" s="46"/>
      <c r="K32" s="12"/>
      <c r="L32" s="12"/>
    </row>
    <row r="33" spans="1:12" x14ac:dyDescent="0.35">
      <c r="A33" s="1" t="s">
        <v>281</v>
      </c>
      <c r="K33" s="12"/>
      <c r="L33" s="12"/>
    </row>
    <row r="34" spans="1:12" x14ac:dyDescent="0.35">
      <c r="A34" s="102"/>
      <c r="B34" s="54"/>
      <c r="C34" s="54"/>
      <c r="E34" s="47" t="s">
        <v>68</v>
      </c>
      <c r="F34" s="47" t="s">
        <v>69</v>
      </c>
      <c r="K34" s="12"/>
      <c r="L34" s="12"/>
    </row>
    <row r="35" spans="1:12" x14ac:dyDescent="0.35">
      <c r="B35" s="33" t="s">
        <v>70</v>
      </c>
      <c r="C35" s="33" t="s">
        <v>71</v>
      </c>
      <c r="D35" s="33" t="s">
        <v>72</v>
      </c>
      <c r="E35" s="294">
        <f>B36</f>
        <v>1950000</v>
      </c>
      <c r="F35" s="295">
        <f>B37</f>
        <v>1950000</v>
      </c>
      <c r="G35" s="33" t="s">
        <v>73</v>
      </c>
      <c r="K35" s="12"/>
      <c r="L35" s="12"/>
    </row>
    <row r="36" spans="1:12" x14ac:dyDescent="0.35">
      <c r="A36" s="49" t="s">
        <v>68</v>
      </c>
      <c r="B36" s="34">
        <v>1950000</v>
      </c>
      <c r="C36" s="34">
        <f>P120</f>
        <v>12</v>
      </c>
      <c r="D36" s="34">
        <f>P94</f>
        <v>23400000</v>
      </c>
      <c r="E36" s="34">
        <f>D36</f>
        <v>23400000</v>
      </c>
      <c r="F36" s="13">
        <v>0</v>
      </c>
      <c r="G36" s="13">
        <f>SUM(E36:F36)</f>
        <v>23400000</v>
      </c>
      <c r="K36" s="12"/>
      <c r="L36" s="12"/>
    </row>
    <row r="37" spans="1:12" x14ac:dyDescent="0.35">
      <c r="A37" s="49" t="s">
        <v>69</v>
      </c>
      <c r="B37" s="293">
        <v>1950000</v>
      </c>
      <c r="C37" s="11"/>
      <c r="D37" s="11">
        <f>P95</f>
        <v>90933300</v>
      </c>
      <c r="E37" s="11"/>
      <c r="F37" s="11">
        <f>D37-E37</f>
        <v>90933300</v>
      </c>
      <c r="G37" s="11">
        <f>SUM(E37:F37)</f>
        <v>90933300</v>
      </c>
      <c r="K37" s="12"/>
      <c r="L37" s="12"/>
    </row>
    <row r="38" spans="1:12" x14ac:dyDescent="0.35">
      <c r="B38" s="34"/>
      <c r="C38" s="13">
        <f>SUM(C36:C37)</f>
        <v>12</v>
      </c>
      <c r="D38" s="13">
        <f>SUM(D36:D37)</f>
        <v>114333300</v>
      </c>
      <c r="E38" s="13">
        <f>SUM(E36:E37)</f>
        <v>23400000</v>
      </c>
      <c r="F38" s="13">
        <f>SUM(F36:F37)</f>
        <v>90933300</v>
      </c>
      <c r="G38" s="13">
        <f>SUM(G36:G37)</f>
        <v>114333300</v>
      </c>
      <c r="K38" s="12"/>
      <c r="L38" s="12"/>
    </row>
    <row r="39" spans="1:12" x14ac:dyDescent="0.35">
      <c r="B39" s="34"/>
      <c r="C39" s="13"/>
      <c r="D39" s="28"/>
      <c r="E39" s="29"/>
      <c r="K39" s="12"/>
      <c r="L39" s="12"/>
    </row>
    <row r="40" spans="1:12" x14ac:dyDescent="0.35">
      <c r="A40" s="1" t="s">
        <v>74</v>
      </c>
      <c r="B40" s="34"/>
      <c r="C40" s="13"/>
      <c r="D40" s="28"/>
      <c r="E40" s="29"/>
      <c r="K40" s="12"/>
      <c r="L40" s="12"/>
    </row>
    <row r="41" spans="1:12" ht="16" x14ac:dyDescent="0.5">
      <c r="B41" s="34"/>
      <c r="C41" s="62" t="s">
        <v>71</v>
      </c>
      <c r="D41" s="110" t="s">
        <v>72</v>
      </c>
      <c r="E41" s="151" t="s">
        <v>75</v>
      </c>
      <c r="F41" s="296" t="s">
        <v>76</v>
      </c>
      <c r="K41" s="12"/>
      <c r="L41" s="12"/>
    </row>
    <row r="42" spans="1:12" x14ac:dyDescent="0.35">
      <c r="A42" s="49" t="s">
        <v>68</v>
      </c>
      <c r="B42" s="34">
        <f>B36</f>
        <v>1950000</v>
      </c>
      <c r="C42" s="13">
        <f>C38</f>
        <v>12</v>
      </c>
      <c r="D42" s="29">
        <f>E38</f>
        <v>23400000</v>
      </c>
      <c r="E42" s="35">
        <v>15430.93</v>
      </c>
      <c r="F42" s="35">
        <f>E42*C42</f>
        <v>185171.16</v>
      </c>
      <c r="K42" s="12"/>
      <c r="L42" s="12"/>
    </row>
    <row r="43" spans="1:12" x14ac:dyDescent="0.35">
      <c r="A43" s="49" t="s">
        <v>69</v>
      </c>
      <c r="B43" s="287">
        <f>B37</f>
        <v>1950000</v>
      </c>
      <c r="C43" s="11"/>
      <c r="D43" s="52">
        <f>F38</f>
        <v>90933300</v>
      </c>
      <c r="E43" s="291">
        <v>7.9000000000000008E-3</v>
      </c>
      <c r="F43" s="292">
        <f>E43*(D43)</f>
        <v>718373.07000000007</v>
      </c>
      <c r="K43" s="12"/>
      <c r="L43" s="12"/>
    </row>
    <row r="44" spans="1:12" x14ac:dyDescent="0.35">
      <c r="B44" s="103" t="s">
        <v>73</v>
      </c>
      <c r="C44" s="56">
        <f>SUM(C42:C43)</f>
        <v>12</v>
      </c>
      <c r="D44" s="56">
        <f>SUM(D42:D43)</f>
        <v>114333300</v>
      </c>
      <c r="E44" s="56"/>
      <c r="F44" s="35">
        <f>SUM(F42:F43)</f>
        <v>903544.2300000001</v>
      </c>
    </row>
    <row r="45" spans="1:12" x14ac:dyDescent="0.35">
      <c r="B45" s="47"/>
      <c r="C45" s="29"/>
      <c r="D45" s="29"/>
      <c r="E45" s="46"/>
    </row>
    <row r="46" spans="1:12" x14ac:dyDescent="0.35">
      <c r="A46" s="1" t="s">
        <v>282</v>
      </c>
      <c r="B46" s="47"/>
      <c r="C46" s="29"/>
      <c r="D46" s="29"/>
      <c r="E46" s="46"/>
    </row>
    <row r="47" spans="1:12" ht="16" x14ac:dyDescent="0.35">
      <c r="A47" s="837"/>
      <c r="B47" s="837"/>
      <c r="C47" s="837"/>
      <c r="D47" s="837"/>
      <c r="E47" s="837" t="s">
        <v>68</v>
      </c>
      <c r="F47" s="1" t="s">
        <v>69</v>
      </c>
    </row>
    <row r="48" spans="1:12" x14ac:dyDescent="0.35">
      <c r="B48" s="33" t="s">
        <v>70</v>
      </c>
      <c r="C48" s="33" t="s">
        <v>71</v>
      </c>
      <c r="D48" s="33" t="s">
        <v>72</v>
      </c>
      <c r="E48" s="295">
        <f>B49</f>
        <v>600000</v>
      </c>
      <c r="F48" s="295">
        <f>B50</f>
        <v>600000</v>
      </c>
      <c r="G48" s="33" t="s">
        <v>73</v>
      </c>
    </row>
    <row r="49" spans="1:9" x14ac:dyDescent="0.35">
      <c r="A49" s="1" t="s">
        <v>68</v>
      </c>
      <c r="B49" s="34">
        <v>600000</v>
      </c>
      <c r="C49" s="34">
        <f>P115</f>
        <v>7</v>
      </c>
      <c r="D49" s="34">
        <f>D89+E89+F89+G89+M89+N89+O89</f>
        <v>3198800</v>
      </c>
      <c r="E49" s="34">
        <f>D49</f>
        <v>3198800</v>
      </c>
      <c r="F49" s="13">
        <v>0</v>
      </c>
      <c r="G49" s="13">
        <f>SUM(E49:F49)</f>
        <v>3198800</v>
      </c>
    </row>
    <row r="50" spans="1:9" x14ac:dyDescent="0.35">
      <c r="A50" s="1" t="s">
        <v>69</v>
      </c>
      <c r="B50" s="287">
        <v>600000</v>
      </c>
      <c r="C50" s="11">
        <f>P116</f>
        <v>5</v>
      </c>
      <c r="D50" s="11">
        <f>SUM(H89:L90)</f>
        <v>4652400</v>
      </c>
      <c r="E50" s="358">
        <f>C50*600000</f>
        <v>3000000</v>
      </c>
      <c r="F50" s="11">
        <f>D50-E50</f>
        <v>1652400</v>
      </c>
      <c r="G50" s="11">
        <f>SUM(E50:F50)</f>
        <v>4652400</v>
      </c>
    </row>
    <row r="51" spans="1:9" x14ac:dyDescent="0.35">
      <c r="B51" s="34"/>
      <c r="C51" s="13">
        <f>SUM(C49:C50)</f>
        <v>12</v>
      </c>
      <c r="D51" s="13">
        <f>SUM(D49:D50)</f>
        <v>7851200</v>
      </c>
      <c r="E51" s="13">
        <f>SUM(E49:E50)</f>
        <v>6198800</v>
      </c>
      <c r="F51" s="13">
        <f>SUM(F49:F50)</f>
        <v>1652400</v>
      </c>
      <c r="G51" s="13">
        <f>SUM(G49:G50)</f>
        <v>7851200</v>
      </c>
    </row>
    <row r="52" spans="1:9" x14ac:dyDescent="0.35">
      <c r="B52" s="34"/>
      <c r="C52" s="13"/>
      <c r="D52" s="13"/>
      <c r="E52" s="29"/>
    </row>
    <row r="53" spans="1:9" x14ac:dyDescent="0.35">
      <c r="A53" s="1" t="s">
        <v>74</v>
      </c>
      <c r="B53" s="160"/>
      <c r="C53" s="13"/>
      <c r="D53" s="13"/>
      <c r="E53" s="29"/>
    </row>
    <row r="54" spans="1:9" ht="16" x14ac:dyDescent="0.5">
      <c r="B54" s="34"/>
      <c r="C54" s="62" t="s">
        <v>71</v>
      </c>
      <c r="D54" s="62" t="s">
        <v>72</v>
      </c>
      <c r="E54" s="146" t="s">
        <v>75</v>
      </c>
      <c r="F54" s="296" t="s">
        <v>76</v>
      </c>
    </row>
    <row r="55" spans="1:9" x14ac:dyDescent="0.35">
      <c r="A55" s="1" t="s">
        <v>68</v>
      </c>
      <c r="B55" s="34">
        <f>B49</f>
        <v>600000</v>
      </c>
      <c r="C55" s="12">
        <f>C51</f>
        <v>12</v>
      </c>
      <c r="D55" s="12">
        <f>E51</f>
        <v>6198800</v>
      </c>
      <c r="E55" s="187">
        <v>4747.9799999999996</v>
      </c>
      <c r="F55" s="35">
        <f>E55*C55</f>
        <v>56975.759999999995</v>
      </c>
    </row>
    <row r="56" spans="1:9" x14ac:dyDescent="0.35">
      <c r="A56" s="1" t="s">
        <v>69</v>
      </c>
      <c r="B56" s="287">
        <f>B50</f>
        <v>600000</v>
      </c>
      <c r="C56" s="11"/>
      <c r="D56" s="11">
        <f>F51</f>
        <v>1652400</v>
      </c>
      <c r="E56" s="297">
        <v>7.9000000000000008E-3</v>
      </c>
      <c r="F56" s="292">
        <f>E56*(D56)</f>
        <v>13053.960000000001</v>
      </c>
    </row>
    <row r="57" spans="1:9" x14ac:dyDescent="0.35">
      <c r="B57" s="34" t="s">
        <v>73</v>
      </c>
      <c r="C57" s="13">
        <f>SUM(C55:C56)</f>
        <v>12</v>
      </c>
      <c r="D57" s="13">
        <f>SUM(D55:D56)</f>
        <v>7851200</v>
      </c>
      <c r="E57" s="46"/>
      <c r="F57" s="35">
        <f>SUM(F55:F56)</f>
        <v>70029.72</v>
      </c>
    </row>
    <row r="58" spans="1:9" x14ac:dyDescent="0.35">
      <c r="A58" s="102"/>
      <c r="B58" s="54"/>
      <c r="C58" s="54"/>
    </row>
    <row r="60" spans="1:9" x14ac:dyDescent="0.35">
      <c r="A60" s="1" t="s">
        <v>283</v>
      </c>
      <c r="C60" s="47"/>
      <c r="D60" s="185"/>
      <c r="E60" s="185"/>
    </row>
    <row r="61" spans="1:9" x14ac:dyDescent="0.35">
      <c r="C61" s="29"/>
      <c r="D61" s="104"/>
      <c r="E61" s="105"/>
      <c r="H61" s="2"/>
      <c r="I61" s="2"/>
    </row>
    <row r="62" spans="1:9" x14ac:dyDescent="0.35">
      <c r="A62" s="1" t="s">
        <v>74</v>
      </c>
    </row>
    <row r="63" spans="1:9" ht="16" x14ac:dyDescent="0.5">
      <c r="C63" s="62" t="s">
        <v>71</v>
      </c>
      <c r="D63" s="33" t="s">
        <v>72</v>
      </c>
      <c r="E63" s="33" t="s">
        <v>75</v>
      </c>
      <c r="F63" s="33" t="s">
        <v>76</v>
      </c>
    </row>
    <row r="64" spans="1:9" ht="18.5" x14ac:dyDescent="0.45">
      <c r="A64" s="835"/>
      <c r="B64" s="835"/>
      <c r="C64" s="835"/>
      <c r="D64" s="835"/>
      <c r="E64" s="835"/>
      <c r="F64" s="835"/>
      <c r="G64" s="835"/>
    </row>
    <row r="65" spans="1:16" x14ac:dyDescent="0.35">
      <c r="B65" s="1" t="s">
        <v>402</v>
      </c>
      <c r="C65" s="2">
        <f>P118</f>
        <v>48</v>
      </c>
      <c r="D65" s="2">
        <f>P92</f>
        <v>15659800</v>
      </c>
      <c r="E65" s="563">
        <v>7.9000000000000008E-3</v>
      </c>
      <c r="F65" s="35">
        <f t="shared" ref="F65:F66" si="0">E65*(D65)</f>
        <v>123712.42000000001</v>
      </c>
    </row>
    <row r="66" spans="1:16" x14ac:dyDescent="0.35">
      <c r="A66" s="562"/>
      <c r="B66" s="54" t="s">
        <v>400</v>
      </c>
      <c r="C66" s="566">
        <f>P113</f>
        <v>24</v>
      </c>
      <c r="D66" s="566">
        <f>P87</f>
        <v>8778300</v>
      </c>
      <c r="E66" s="297">
        <v>7.9000000000000008E-3</v>
      </c>
      <c r="F66" s="292">
        <f t="shared" si="0"/>
        <v>69348.570000000007</v>
      </c>
    </row>
    <row r="67" spans="1:16" hidden="1" x14ac:dyDescent="0.35">
      <c r="E67" s="280">
        <v>7.9000000000000008E-3</v>
      </c>
    </row>
    <row r="68" spans="1:16" hidden="1" x14ac:dyDescent="0.35">
      <c r="B68" s="47"/>
      <c r="C68" s="185"/>
      <c r="D68" s="185"/>
      <c r="E68" s="280">
        <v>7.9000000000000008E-3</v>
      </c>
      <c r="F68" s="50"/>
      <c r="G68" s="47"/>
    </row>
    <row r="69" spans="1:16" hidden="1" x14ac:dyDescent="0.35">
      <c r="B69" s="50"/>
      <c r="C69" s="29"/>
      <c r="D69" s="29"/>
      <c r="E69" s="280">
        <v>7.9000000000000008E-3</v>
      </c>
      <c r="F69" s="29"/>
      <c r="G69" s="29"/>
    </row>
    <row r="70" spans="1:16" x14ac:dyDescent="0.35">
      <c r="A70" s="49"/>
      <c r="B70" s="50" t="s">
        <v>73</v>
      </c>
      <c r="C70" s="56">
        <f>SUM(C65:C69)</f>
        <v>72</v>
      </c>
      <c r="D70" s="56">
        <f>SUM(D65:D69)</f>
        <v>24438100</v>
      </c>
      <c r="E70" s="56"/>
      <c r="F70" s="187">
        <f>SUM(F65:F69)</f>
        <v>193060.99000000002</v>
      </c>
      <c r="G70" s="56"/>
    </row>
    <row r="71" spans="1:16" x14ac:dyDescent="0.35">
      <c r="A71" s="49"/>
      <c r="B71" s="50"/>
      <c r="C71" s="29"/>
      <c r="D71" s="29"/>
      <c r="E71" s="29"/>
      <c r="F71" s="29"/>
      <c r="G71" s="29"/>
    </row>
    <row r="72" spans="1:16" x14ac:dyDescent="0.35">
      <c r="A72" s="278" t="s">
        <v>393</v>
      </c>
      <c r="B72" s="279"/>
      <c r="C72" s="191"/>
      <c r="D72" s="50"/>
      <c r="E72" s="50"/>
      <c r="F72" s="50"/>
      <c r="G72" s="50"/>
    </row>
    <row r="73" spans="1:16" ht="15.5" x14ac:dyDescent="0.35">
      <c r="A73" s="273" t="s">
        <v>603</v>
      </c>
      <c r="B73" s="539">
        <f>SUM(D75:O76)/SUM(D101:O102)</f>
        <v>3575.9648878361431</v>
      </c>
      <c r="D73" s="77" t="s">
        <v>604</v>
      </c>
      <c r="E73" s="50"/>
      <c r="F73" s="50"/>
      <c r="G73" s="50"/>
    </row>
    <row r="74" spans="1:16" x14ac:dyDescent="0.35">
      <c r="A74" s="49" t="s">
        <v>398</v>
      </c>
      <c r="B74" s="1" t="s">
        <v>417</v>
      </c>
      <c r="C74" s="185" t="s">
        <v>397</v>
      </c>
      <c r="D74" s="47" t="s">
        <v>405</v>
      </c>
      <c r="E74" s="47" t="s">
        <v>406</v>
      </c>
      <c r="F74" s="47" t="s">
        <v>407</v>
      </c>
      <c r="G74" s="47" t="s">
        <v>408</v>
      </c>
      <c r="H74" s="47" t="s">
        <v>409</v>
      </c>
      <c r="I74" s="47" t="s">
        <v>410</v>
      </c>
      <c r="J74" s="47" t="s">
        <v>411</v>
      </c>
      <c r="K74" s="47" t="s">
        <v>412</v>
      </c>
      <c r="L74" s="47" t="s">
        <v>413</v>
      </c>
      <c r="M74" s="47" t="s">
        <v>414</v>
      </c>
      <c r="N74" s="47" t="s">
        <v>415</v>
      </c>
      <c r="O74" s="47" t="s">
        <v>416</v>
      </c>
      <c r="P74" s="284" t="s">
        <v>73</v>
      </c>
    </row>
    <row r="75" spans="1:16" x14ac:dyDescent="0.35">
      <c r="A75" s="49"/>
      <c r="B75" s="50"/>
      <c r="C75" s="56" t="s">
        <v>394</v>
      </c>
      <c r="D75" s="12">
        <f>2164100</f>
        <v>2164100</v>
      </c>
      <c r="E75" s="12">
        <v>2244600</v>
      </c>
      <c r="F75" s="12">
        <v>2650000</v>
      </c>
      <c r="G75" s="13">
        <v>2560600</v>
      </c>
      <c r="H75" s="13">
        <v>2737000</v>
      </c>
      <c r="I75" s="13">
        <v>1492100</v>
      </c>
      <c r="J75" s="13">
        <v>2764100</v>
      </c>
      <c r="K75" s="13">
        <v>1869500</v>
      </c>
      <c r="L75" s="13">
        <v>2073500</v>
      </c>
      <c r="M75" s="13">
        <v>2200400</v>
      </c>
      <c r="N75" s="13">
        <v>2001500</v>
      </c>
      <c r="O75" s="13">
        <v>2096600</v>
      </c>
      <c r="P75" s="13">
        <f>SUM(D75:O75)</f>
        <v>26854000</v>
      </c>
    </row>
    <row r="76" spans="1:16" x14ac:dyDescent="0.35">
      <c r="A76" s="49"/>
      <c r="B76" s="50"/>
      <c r="C76" s="2" t="s">
        <v>395</v>
      </c>
      <c r="D76" s="12">
        <f>24734200</f>
        <v>24734200</v>
      </c>
      <c r="E76" s="12">
        <v>21405500</v>
      </c>
      <c r="F76" s="12">
        <v>17444500</v>
      </c>
      <c r="G76" s="13">
        <v>18378700</v>
      </c>
      <c r="H76" s="13">
        <v>13196000</v>
      </c>
      <c r="I76" s="13">
        <v>27101600</v>
      </c>
      <c r="J76" s="13">
        <v>13618600</v>
      </c>
      <c r="K76" s="13">
        <v>20856800</v>
      </c>
      <c r="L76" s="13">
        <v>18396300</v>
      </c>
      <c r="M76" s="13">
        <v>17852000</v>
      </c>
      <c r="N76" s="13">
        <v>18589900</v>
      </c>
      <c r="O76" s="13">
        <v>18218900</v>
      </c>
      <c r="P76" s="13">
        <f>SUM(D76:O76)</f>
        <v>229793000</v>
      </c>
    </row>
    <row r="77" spans="1:16" ht="15.5" x14ac:dyDescent="0.35">
      <c r="A77" s="273" t="s">
        <v>602</v>
      </c>
      <c r="B77" s="50"/>
      <c r="C77" s="56" t="s">
        <v>396</v>
      </c>
      <c r="D77" s="12"/>
      <c r="E77" s="13"/>
      <c r="F77" s="12"/>
      <c r="G77" s="13"/>
      <c r="H77" s="13"/>
      <c r="I77" s="13"/>
      <c r="J77" s="13"/>
      <c r="K77" s="13"/>
      <c r="L77" s="13"/>
      <c r="M77" s="13"/>
      <c r="N77" s="13"/>
      <c r="O77" s="13"/>
      <c r="P77" s="13"/>
    </row>
    <row r="78" spans="1:16" x14ac:dyDescent="0.35">
      <c r="C78" s="56" t="s">
        <v>394</v>
      </c>
      <c r="D78" s="13"/>
      <c r="E78" s="13"/>
      <c r="F78" s="13"/>
      <c r="G78" s="13"/>
      <c r="H78" s="13">
        <v>90600</v>
      </c>
      <c r="I78" s="13">
        <v>79700</v>
      </c>
      <c r="J78" s="13">
        <v>95800</v>
      </c>
      <c r="K78" s="13">
        <v>81700</v>
      </c>
      <c r="L78" s="13">
        <v>84900</v>
      </c>
      <c r="M78" s="13">
        <v>89400</v>
      </c>
      <c r="N78" s="13">
        <v>87300</v>
      </c>
      <c r="O78" s="13">
        <v>78800</v>
      </c>
      <c r="P78" s="13">
        <f t="shared" ref="P78:P79" si="1">SUM(D78:O78)</f>
        <v>688200</v>
      </c>
    </row>
    <row r="79" spans="1:16" x14ac:dyDescent="0.35">
      <c r="A79" s="186"/>
      <c r="C79" s="2" t="s">
        <v>395</v>
      </c>
      <c r="D79" s="13"/>
      <c r="E79" s="13"/>
      <c r="F79" s="13"/>
      <c r="G79" s="13"/>
      <c r="H79" s="13">
        <v>1067800</v>
      </c>
      <c r="I79" s="13">
        <v>1738000</v>
      </c>
      <c r="J79" s="13">
        <v>1074500</v>
      </c>
      <c r="K79" s="13">
        <v>1702300</v>
      </c>
      <c r="L79" s="13">
        <v>1432800</v>
      </c>
      <c r="M79" s="13">
        <v>1305300</v>
      </c>
      <c r="N79" s="13">
        <v>1358900</v>
      </c>
      <c r="O79" s="13">
        <v>1282000</v>
      </c>
      <c r="P79" s="13">
        <f t="shared" si="1"/>
        <v>10961600</v>
      </c>
    </row>
    <row r="80" spans="1:16" x14ac:dyDescent="0.35">
      <c r="C80" s="1" t="s">
        <v>196</v>
      </c>
      <c r="D80" s="13"/>
      <c r="E80" s="13"/>
      <c r="F80" s="13"/>
      <c r="G80" s="13"/>
      <c r="H80" s="13"/>
      <c r="I80" s="13"/>
      <c r="J80" s="13"/>
      <c r="K80" s="13"/>
      <c r="L80" s="13"/>
      <c r="M80" s="13"/>
      <c r="N80" s="13"/>
      <c r="O80" s="13"/>
      <c r="P80" s="13"/>
    </row>
    <row r="81" spans="1:18" x14ac:dyDescent="0.35">
      <c r="B81" s="47"/>
      <c r="C81" s="56" t="s">
        <v>394</v>
      </c>
      <c r="D81" s="34"/>
      <c r="E81" s="34"/>
      <c r="F81" s="13"/>
      <c r="G81" s="13"/>
      <c r="H81" s="13">
        <v>69200</v>
      </c>
      <c r="I81" s="13">
        <v>54400</v>
      </c>
      <c r="J81" s="13">
        <v>52500</v>
      </c>
      <c r="K81" s="13">
        <v>55900</v>
      </c>
      <c r="L81" s="34">
        <v>57600</v>
      </c>
      <c r="M81" s="34">
        <v>53800</v>
      </c>
      <c r="N81" s="13">
        <v>51200</v>
      </c>
      <c r="O81" s="13">
        <v>55700</v>
      </c>
      <c r="P81" s="13">
        <f t="shared" ref="P81:P82" si="2">SUM(D81:O81)</f>
        <v>450300</v>
      </c>
    </row>
    <row r="82" spans="1:18" x14ac:dyDescent="0.35">
      <c r="B82" s="103"/>
      <c r="C82" s="2" t="s">
        <v>395</v>
      </c>
      <c r="D82" s="12"/>
      <c r="E82" s="12"/>
      <c r="F82" s="13"/>
      <c r="G82" s="13"/>
      <c r="H82" s="13">
        <v>848900</v>
      </c>
      <c r="I82" s="13">
        <v>1375600</v>
      </c>
      <c r="J82" s="13">
        <v>705300</v>
      </c>
      <c r="K82" s="13">
        <v>101600</v>
      </c>
      <c r="L82" s="13">
        <v>1274700</v>
      </c>
      <c r="M82" s="13">
        <v>1421800</v>
      </c>
      <c r="N82" s="13">
        <v>1575300</v>
      </c>
      <c r="O82" s="13">
        <v>1042400</v>
      </c>
      <c r="P82" s="13">
        <f t="shared" si="2"/>
        <v>8345600</v>
      </c>
    </row>
    <row r="83" spans="1:18" x14ac:dyDescent="0.35">
      <c r="B83" s="47"/>
      <c r="C83" s="56" t="s">
        <v>399</v>
      </c>
      <c r="D83" s="12"/>
      <c r="E83" s="12"/>
      <c r="F83" s="13"/>
      <c r="G83" s="13"/>
      <c r="H83" s="13"/>
      <c r="I83" s="13"/>
      <c r="J83" s="13"/>
      <c r="K83" s="13"/>
      <c r="L83" s="13"/>
      <c r="M83" s="13"/>
      <c r="N83" s="13"/>
      <c r="O83" s="13"/>
      <c r="P83" s="13"/>
    </row>
    <row r="84" spans="1:18" x14ac:dyDescent="0.35">
      <c r="B84" s="47"/>
      <c r="C84" s="56" t="s">
        <v>394</v>
      </c>
      <c r="D84" s="12"/>
      <c r="E84" s="12"/>
      <c r="F84" s="13"/>
      <c r="G84" s="13"/>
      <c r="H84" s="13">
        <v>3400</v>
      </c>
      <c r="I84" s="13">
        <v>1600</v>
      </c>
      <c r="J84" s="13">
        <v>3000</v>
      </c>
      <c r="K84" s="13">
        <v>3700</v>
      </c>
      <c r="L84" s="13">
        <v>5400</v>
      </c>
      <c r="M84" s="13">
        <v>6200</v>
      </c>
      <c r="N84" s="13">
        <v>4800</v>
      </c>
      <c r="O84" s="13">
        <v>4400</v>
      </c>
      <c r="P84" s="13">
        <f t="shared" ref="P84:P85" si="3">SUM(D84:O84)</f>
        <v>32500</v>
      </c>
    </row>
    <row r="85" spans="1:18" x14ac:dyDescent="0.35">
      <c r="B85" s="47"/>
      <c r="C85" s="2" t="s">
        <v>395</v>
      </c>
      <c r="D85" s="12"/>
      <c r="E85" s="12"/>
      <c r="F85" s="13"/>
      <c r="G85" s="13"/>
      <c r="H85" s="13">
        <v>427800</v>
      </c>
      <c r="I85" s="13">
        <v>933400</v>
      </c>
      <c r="J85" s="13">
        <v>551200</v>
      </c>
      <c r="K85" s="13">
        <v>929600</v>
      </c>
      <c r="L85" s="13">
        <v>705900</v>
      </c>
      <c r="M85" s="13">
        <v>673400</v>
      </c>
      <c r="N85" s="13">
        <v>954300</v>
      </c>
      <c r="O85" s="13">
        <v>868200</v>
      </c>
      <c r="P85" s="13">
        <f t="shared" si="3"/>
        <v>6043800</v>
      </c>
      <c r="Q85" s="47" t="s">
        <v>13</v>
      </c>
    </row>
    <row r="86" spans="1:18" ht="15.5" x14ac:dyDescent="0.35">
      <c r="A86" s="273" t="s">
        <v>602</v>
      </c>
      <c r="B86" s="540">
        <f>SUM(D87:O87)/12</f>
        <v>731525</v>
      </c>
      <c r="C86" s="56" t="s">
        <v>400</v>
      </c>
      <c r="D86" s="12"/>
      <c r="E86" s="12"/>
      <c r="F86" s="13"/>
      <c r="G86" s="13"/>
      <c r="H86" s="13"/>
      <c r="I86" s="13"/>
      <c r="J86" s="13"/>
      <c r="K86" s="13"/>
      <c r="L86" s="13"/>
      <c r="M86" s="13"/>
      <c r="N86" s="13"/>
      <c r="O86" s="13"/>
      <c r="P86" s="13"/>
      <c r="Q86" s="2">
        <f>SUM(P75:P85)</f>
        <v>283169000</v>
      </c>
    </row>
    <row r="87" spans="1:18" x14ac:dyDescent="0.35">
      <c r="B87" s="47"/>
      <c r="C87" s="56"/>
      <c r="D87" s="12">
        <v>933700</v>
      </c>
      <c r="E87" s="12">
        <v>785700</v>
      </c>
      <c r="F87" s="13">
        <v>629000</v>
      </c>
      <c r="G87" s="13">
        <v>671500</v>
      </c>
      <c r="H87" s="13">
        <v>612400</v>
      </c>
      <c r="I87" s="13">
        <v>963900</v>
      </c>
      <c r="J87" s="13">
        <v>516200</v>
      </c>
      <c r="K87" s="13">
        <v>797300</v>
      </c>
      <c r="L87" s="13">
        <v>695600</v>
      </c>
      <c r="M87" s="13">
        <v>793900</v>
      </c>
      <c r="N87" s="13">
        <v>752300</v>
      </c>
      <c r="O87" s="13">
        <v>626800</v>
      </c>
      <c r="P87" s="13">
        <f>SUM(D87:O87)</f>
        <v>8778300</v>
      </c>
    </row>
    <row r="88" spans="1:18" ht="15.5" x14ac:dyDescent="0.35">
      <c r="A88" s="273" t="s">
        <v>602</v>
      </c>
      <c r="B88" s="540">
        <f>SUM(D89:O90)/12</f>
        <v>654266.66666666663</v>
      </c>
      <c r="C88" s="56" t="s">
        <v>401</v>
      </c>
      <c r="D88" s="12"/>
      <c r="E88" s="12"/>
      <c r="F88" s="13"/>
      <c r="G88" s="13"/>
      <c r="H88" s="13"/>
      <c r="I88" s="13"/>
      <c r="J88" s="13"/>
      <c r="K88" s="13"/>
      <c r="L88" s="13"/>
      <c r="M88" s="13"/>
      <c r="N88" s="13"/>
      <c r="O88" s="13"/>
      <c r="P88" s="13"/>
    </row>
    <row r="89" spans="1:18" x14ac:dyDescent="0.35">
      <c r="B89" s="47"/>
      <c r="C89" s="56" t="s">
        <v>418</v>
      </c>
      <c r="D89" s="12">
        <v>483800</v>
      </c>
      <c r="E89" s="12">
        <v>358500</v>
      </c>
      <c r="F89" s="13">
        <v>347300</v>
      </c>
      <c r="G89" s="13">
        <v>520500</v>
      </c>
      <c r="H89" s="13">
        <v>600000</v>
      </c>
      <c r="I89" s="13">
        <v>600000</v>
      </c>
      <c r="J89" s="13">
        <v>600000</v>
      </c>
      <c r="K89" s="13">
        <v>600000</v>
      </c>
      <c r="L89" s="13">
        <v>600000</v>
      </c>
      <c r="M89" s="13">
        <v>593400</v>
      </c>
      <c r="N89" s="13">
        <v>549500</v>
      </c>
      <c r="O89" s="13">
        <v>345800</v>
      </c>
      <c r="P89" s="13">
        <f>SUM(D89:O89)</f>
        <v>6198800</v>
      </c>
    </row>
    <row r="90" spans="1:18" x14ac:dyDescent="0.35">
      <c r="B90" s="47"/>
      <c r="C90" s="56" t="s">
        <v>419</v>
      </c>
      <c r="D90" s="12"/>
      <c r="E90" s="12"/>
      <c r="F90" s="13"/>
      <c r="G90" s="13"/>
      <c r="H90" s="13">
        <v>62600</v>
      </c>
      <c r="I90" s="13">
        <v>680300</v>
      </c>
      <c r="J90" s="13">
        <v>212200</v>
      </c>
      <c r="K90" s="342">
        <v>646700</v>
      </c>
      <c r="L90" s="13">
        <v>50600</v>
      </c>
      <c r="M90" s="13"/>
      <c r="N90" s="13"/>
      <c r="O90" s="13"/>
      <c r="P90" s="13">
        <f>SUM(D90:O90)</f>
        <v>1652400</v>
      </c>
      <c r="Q90" s="2">
        <f>SUM(D89:O90)</f>
        <v>7851200</v>
      </c>
    </row>
    <row r="91" spans="1:18" ht="15.5" x14ac:dyDescent="0.35">
      <c r="A91" s="273"/>
      <c r="C91" s="56" t="s">
        <v>402</v>
      </c>
      <c r="D91" s="12"/>
      <c r="E91" s="12"/>
      <c r="F91" s="13"/>
      <c r="G91" s="13"/>
      <c r="H91" s="13"/>
      <c r="I91" s="13"/>
      <c r="J91" s="13"/>
      <c r="K91" s="13"/>
      <c r="L91" s="13"/>
      <c r="M91" s="13"/>
      <c r="N91" s="13"/>
      <c r="O91" s="13"/>
      <c r="P91" s="13"/>
    </row>
    <row r="92" spans="1:18" ht="16" x14ac:dyDescent="0.35">
      <c r="A92" s="259"/>
      <c r="B92" s="259"/>
      <c r="C92" s="259"/>
      <c r="D92" s="283">
        <v>1607600</v>
      </c>
      <c r="E92" s="283">
        <v>1945400</v>
      </c>
      <c r="F92" s="13">
        <v>1985500</v>
      </c>
      <c r="G92" s="13">
        <v>1467000</v>
      </c>
      <c r="H92" s="13">
        <v>1139200</v>
      </c>
      <c r="I92" s="13">
        <v>1599300</v>
      </c>
      <c r="J92" s="13">
        <v>825200</v>
      </c>
      <c r="K92" s="13">
        <v>874600</v>
      </c>
      <c r="L92" s="13">
        <v>924100</v>
      </c>
      <c r="M92" s="13">
        <v>994400</v>
      </c>
      <c r="N92" s="13">
        <v>1182600</v>
      </c>
      <c r="O92" s="13">
        <v>1114900</v>
      </c>
      <c r="P92" s="13">
        <f>SUM(D92:O92)</f>
        <v>15659800</v>
      </c>
    </row>
    <row r="93" spans="1:18" ht="15.5" x14ac:dyDescent="0.35">
      <c r="A93" s="273" t="s">
        <v>602</v>
      </c>
      <c r="B93" s="2">
        <f>SUM(D94:O95)/12</f>
        <v>9527775</v>
      </c>
      <c r="C93" s="1" t="s">
        <v>403</v>
      </c>
      <c r="D93" s="13"/>
      <c r="E93" s="13"/>
      <c r="F93" s="13"/>
      <c r="G93" s="13"/>
      <c r="H93" s="13"/>
      <c r="I93" s="13"/>
      <c r="J93" s="13"/>
      <c r="K93" s="13"/>
      <c r="L93" s="13"/>
      <c r="M93" s="13"/>
      <c r="N93" s="13"/>
      <c r="O93" s="13"/>
      <c r="P93" s="13"/>
    </row>
    <row r="94" spans="1:18" x14ac:dyDescent="0.35">
      <c r="B94" s="47"/>
      <c r="C94" s="185" t="s">
        <v>420</v>
      </c>
      <c r="D94" s="34">
        <v>1950000</v>
      </c>
      <c r="E94" s="34">
        <v>1950000</v>
      </c>
      <c r="F94" s="13">
        <v>1950000</v>
      </c>
      <c r="G94" s="13">
        <v>1950000</v>
      </c>
      <c r="H94" s="13">
        <v>1950000</v>
      </c>
      <c r="I94" s="13">
        <v>1950000</v>
      </c>
      <c r="J94" s="13">
        <v>1950000</v>
      </c>
      <c r="K94" s="13">
        <v>1950000</v>
      </c>
      <c r="L94" s="34">
        <v>1950000</v>
      </c>
      <c r="M94" s="34">
        <v>1950000</v>
      </c>
      <c r="N94" s="13">
        <v>1950000</v>
      </c>
      <c r="O94" s="13">
        <v>1950000</v>
      </c>
      <c r="P94" s="13">
        <f t="shared" ref="P94:P95" si="4">SUM(D94:O94)</f>
        <v>23400000</v>
      </c>
    </row>
    <row r="95" spans="1:18" x14ac:dyDescent="0.35">
      <c r="B95" s="47"/>
      <c r="C95" s="56" t="s">
        <v>404</v>
      </c>
      <c r="D95" s="12">
        <v>6326200</v>
      </c>
      <c r="E95" s="12">
        <v>6966800</v>
      </c>
      <c r="F95" s="13">
        <v>5109000</v>
      </c>
      <c r="G95" s="13">
        <v>5774200</v>
      </c>
      <c r="H95" s="13">
        <v>6787900</v>
      </c>
      <c r="I95" s="13">
        <v>9913900</v>
      </c>
      <c r="J95" s="13">
        <v>5511300</v>
      </c>
      <c r="K95" s="13">
        <v>7627500</v>
      </c>
      <c r="L95" s="13">
        <v>6654900</v>
      </c>
      <c r="M95" s="13">
        <v>8766100</v>
      </c>
      <c r="N95" s="13">
        <v>11867700</v>
      </c>
      <c r="O95" s="13">
        <v>9627800</v>
      </c>
      <c r="P95" s="13">
        <f t="shared" si="4"/>
        <v>90933300</v>
      </c>
      <c r="R95" s="557">
        <f>P94+P95</f>
        <v>114333300</v>
      </c>
    </row>
    <row r="96" spans="1:18" x14ac:dyDescent="0.35">
      <c r="B96" s="47"/>
      <c r="C96" s="56"/>
      <c r="D96" s="12"/>
      <c r="E96" s="12"/>
      <c r="F96" s="12"/>
      <c r="G96" s="12"/>
      <c r="H96" s="12"/>
      <c r="I96" s="12"/>
      <c r="J96" s="12"/>
      <c r="K96" s="12"/>
      <c r="L96" s="12"/>
      <c r="M96" s="12"/>
      <c r="N96" s="12"/>
      <c r="O96" s="12"/>
      <c r="P96" s="12"/>
    </row>
    <row r="97" spans="1:17" x14ac:dyDescent="0.35">
      <c r="B97" s="47"/>
      <c r="C97" s="40" t="s">
        <v>41</v>
      </c>
      <c r="D97" s="15">
        <f>SUM(D75:D95)</f>
        <v>38199600</v>
      </c>
      <c r="E97" s="15">
        <f t="shared" ref="E97:O97" si="5">SUM(E75:E95)</f>
        <v>35656500</v>
      </c>
      <c r="F97" s="15">
        <f t="shared" si="5"/>
        <v>30115300</v>
      </c>
      <c r="G97" s="15">
        <f t="shared" si="5"/>
        <v>31322500</v>
      </c>
      <c r="H97" s="15">
        <f t="shared" si="5"/>
        <v>29592800</v>
      </c>
      <c r="I97" s="15">
        <f t="shared" si="5"/>
        <v>48483800</v>
      </c>
      <c r="J97" s="15">
        <f t="shared" si="5"/>
        <v>28479900</v>
      </c>
      <c r="K97" s="359">
        <f t="shared" si="5"/>
        <v>38097200</v>
      </c>
      <c r="L97" s="15">
        <f t="shared" si="5"/>
        <v>34906300</v>
      </c>
      <c r="M97" s="15">
        <f t="shared" si="5"/>
        <v>36700100</v>
      </c>
      <c r="N97" s="15">
        <f t="shared" si="5"/>
        <v>40925300</v>
      </c>
      <c r="O97" s="15">
        <f t="shared" si="5"/>
        <v>37312300</v>
      </c>
      <c r="P97" s="15">
        <f>SUM(D97:O97)</f>
        <v>429791600</v>
      </c>
      <c r="Q97" s="375">
        <f>SUM(P75:P95)</f>
        <v>429791600</v>
      </c>
    </row>
    <row r="98" spans="1:17" x14ac:dyDescent="0.35">
      <c r="B98" s="103"/>
      <c r="C98" s="56"/>
      <c r="D98" s="77"/>
      <c r="E98" s="56"/>
      <c r="L98" s="2"/>
      <c r="M98" s="2"/>
    </row>
    <row r="99" spans="1:17" x14ac:dyDescent="0.35">
      <c r="B99" s="47"/>
      <c r="C99" s="56"/>
      <c r="D99" s="77" t="s">
        <v>604</v>
      </c>
      <c r="E99" s="56"/>
      <c r="K99" s="2">
        <f>K97-K98</f>
        <v>38097200</v>
      </c>
      <c r="L99" s="2"/>
      <c r="M99" s="2"/>
    </row>
    <row r="100" spans="1:17" x14ac:dyDescent="0.35">
      <c r="A100" s="49"/>
      <c r="B100" s="1" t="s">
        <v>71</v>
      </c>
      <c r="C100" s="185" t="s">
        <v>397</v>
      </c>
      <c r="D100" s="47" t="s">
        <v>405</v>
      </c>
      <c r="E100" s="47" t="s">
        <v>406</v>
      </c>
      <c r="F100" s="47" t="s">
        <v>407</v>
      </c>
      <c r="G100" s="47" t="s">
        <v>408</v>
      </c>
      <c r="H100" s="47" t="s">
        <v>409</v>
      </c>
      <c r="I100" s="47" t="s">
        <v>410</v>
      </c>
      <c r="J100" s="47" t="s">
        <v>411</v>
      </c>
      <c r="K100" s="47" t="s">
        <v>412</v>
      </c>
      <c r="L100" s="47" t="s">
        <v>413</v>
      </c>
      <c r="M100" s="47" t="s">
        <v>414</v>
      </c>
      <c r="N100" s="47" t="s">
        <v>415</v>
      </c>
      <c r="O100" s="47" t="s">
        <v>416</v>
      </c>
    </row>
    <row r="101" spans="1:17" x14ac:dyDescent="0.35">
      <c r="A101" s="49"/>
      <c r="B101" s="50"/>
      <c r="C101" s="56" t="s">
        <v>394</v>
      </c>
      <c r="D101" s="12">
        <v>2327</v>
      </c>
      <c r="E101" s="12">
        <v>2385</v>
      </c>
      <c r="F101" s="12">
        <v>2745</v>
      </c>
      <c r="G101" s="13">
        <v>2618</v>
      </c>
      <c r="H101" s="13">
        <v>2641</v>
      </c>
      <c r="I101" s="13">
        <v>1542</v>
      </c>
      <c r="J101" s="13">
        <v>2682</v>
      </c>
      <c r="K101" s="13">
        <v>1863</v>
      </c>
      <c r="L101" s="13">
        <v>2069</v>
      </c>
      <c r="M101" s="13">
        <v>2134</v>
      </c>
      <c r="N101" s="13">
        <v>2014</v>
      </c>
      <c r="O101" s="13">
        <v>2079</v>
      </c>
      <c r="P101" s="13">
        <f t="shared" ref="P101:P102" si="6">SUM(D101:O101)</f>
        <v>27099</v>
      </c>
    </row>
    <row r="102" spans="1:17" x14ac:dyDescent="0.35">
      <c r="A102" s="49"/>
      <c r="B102" s="50"/>
      <c r="C102" s="2" t="s">
        <v>395</v>
      </c>
      <c r="D102" s="12">
        <v>3985</v>
      </c>
      <c r="E102" s="12">
        <v>3909</v>
      </c>
      <c r="F102" s="12">
        <v>3518</v>
      </c>
      <c r="G102" s="13">
        <v>3644</v>
      </c>
      <c r="H102" s="13">
        <v>3165</v>
      </c>
      <c r="I102" s="13">
        <v>4285</v>
      </c>
      <c r="J102" s="13">
        <v>3149</v>
      </c>
      <c r="K102" s="13">
        <v>3980</v>
      </c>
      <c r="L102" s="13">
        <v>3762</v>
      </c>
      <c r="M102" s="13">
        <v>3703</v>
      </c>
      <c r="N102" s="13">
        <v>3827</v>
      </c>
      <c r="O102" s="13">
        <v>3744</v>
      </c>
      <c r="P102" s="13">
        <f t="shared" si="6"/>
        <v>44671</v>
      </c>
    </row>
    <row r="103" spans="1:17" x14ac:dyDescent="0.35">
      <c r="A103" s="49"/>
      <c r="B103" s="50"/>
      <c r="C103" s="56" t="s">
        <v>396</v>
      </c>
      <c r="D103" s="12"/>
      <c r="E103" s="13"/>
      <c r="F103" s="12"/>
      <c r="G103" s="13"/>
      <c r="H103" s="13"/>
      <c r="I103" s="13"/>
      <c r="J103" s="13"/>
      <c r="K103" s="13"/>
      <c r="L103" s="13"/>
      <c r="M103" s="13"/>
      <c r="N103" s="13"/>
      <c r="O103" s="13"/>
    </row>
    <row r="104" spans="1:17" x14ac:dyDescent="0.35">
      <c r="C104" s="56" t="s">
        <v>394</v>
      </c>
      <c r="D104" s="13"/>
      <c r="E104" s="13"/>
      <c r="F104" s="13"/>
      <c r="G104" s="13"/>
      <c r="H104" s="13">
        <v>141</v>
      </c>
      <c r="I104" s="13">
        <v>120</v>
      </c>
      <c r="J104" s="13">
        <v>150</v>
      </c>
      <c r="K104" s="13">
        <v>123</v>
      </c>
      <c r="L104" s="13">
        <v>135</v>
      </c>
      <c r="M104" s="13">
        <v>136</v>
      </c>
      <c r="N104" s="13">
        <v>128</v>
      </c>
      <c r="O104" s="13">
        <v>126</v>
      </c>
      <c r="P104" s="13">
        <f t="shared" ref="P104:P105" si="7">SUM(D104:O104)</f>
        <v>1059</v>
      </c>
    </row>
    <row r="105" spans="1:17" x14ac:dyDescent="0.35">
      <c r="A105" s="186"/>
      <c r="C105" s="2" t="s">
        <v>395</v>
      </c>
      <c r="D105" s="13"/>
      <c r="E105" s="13"/>
      <c r="F105" s="13"/>
      <c r="G105" s="13"/>
      <c r="H105" s="13">
        <v>114</v>
      </c>
      <c r="I105" s="13">
        <v>137</v>
      </c>
      <c r="J105" s="13">
        <v>104</v>
      </c>
      <c r="K105" s="13">
        <v>132</v>
      </c>
      <c r="L105" s="13">
        <v>120</v>
      </c>
      <c r="M105" s="13">
        <v>119</v>
      </c>
      <c r="N105" s="13">
        <v>121</v>
      </c>
      <c r="O105" s="13">
        <v>122</v>
      </c>
      <c r="P105" s="13">
        <f t="shared" si="7"/>
        <v>969</v>
      </c>
    </row>
    <row r="106" spans="1:17" x14ac:dyDescent="0.35">
      <c r="C106" s="1" t="s">
        <v>196</v>
      </c>
      <c r="D106" s="13"/>
      <c r="E106" s="13"/>
      <c r="F106" s="13"/>
      <c r="G106" s="13"/>
      <c r="H106" s="13"/>
      <c r="I106" s="13"/>
      <c r="J106" s="13"/>
      <c r="K106" s="13"/>
      <c r="L106" s="13"/>
      <c r="M106" s="13"/>
      <c r="N106" s="13"/>
      <c r="O106" s="13"/>
    </row>
    <row r="107" spans="1:17" x14ac:dyDescent="0.35">
      <c r="B107" s="47"/>
      <c r="C107" s="56" t="s">
        <v>394</v>
      </c>
      <c r="D107" s="34"/>
      <c r="E107" s="34"/>
      <c r="F107" s="13"/>
      <c r="G107" s="13"/>
      <c r="H107" s="13">
        <v>132</v>
      </c>
      <c r="I107" s="13">
        <v>110</v>
      </c>
      <c r="J107" s="13">
        <v>129</v>
      </c>
      <c r="K107" s="13">
        <v>116</v>
      </c>
      <c r="L107" s="34">
        <v>119</v>
      </c>
      <c r="M107" s="34">
        <v>117</v>
      </c>
      <c r="N107" s="13">
        <v>115</v>
      </c>
      <c r="O107" s="13">
        <v>121</v>
      </c>
      <c r="P107" s="13">
        <f t="shared" ref="P107:P108" si="8">SUM(D107:O107)</f>
        <v>959</v>
      </c>
    </row>
    <row r="108" spans="1:17" x14ac:dyDescent="0.35">
      <c r="B108" s="103"/>
      <c r="C108" s="2" t="s">
        <v>395</v>
      </c>
      <c r="D108" s="12"/>
      <c r="E108" s="12"/>
      <c r="F108" s="13"/>
      <c r="G108" s="13"/>
      <c r="H108" s="13">
        <v>49</v>
      </c>
      <c r="I108" s="13">
        <v>71</v>
      </c>
      <c r="J108" s="13">
        <v>52</v>
      </c>
      <c r="K108" s="13">
        <v>66</v>
      </c>
      <c r="L108" s="13">
        <v>63</v>
      </c>
      <c r="M108" s="13">
        <v>65</v>
      </c>
      <c r="N108" s="13">
        <v>66</v>
      </c>
      <c r="O108" s="13">
        <v>60</v>
      </c>
      <c r="P108" s="13">
        <f t="shared" si="8"/>
        <v>492</v>
      </c>
    </row>
    <row r="109" spans="1:17" x14ac:dyDescent="0.35">
      <c r="B109" s="47"/>
      <c r="C109" s="56" t="s">
        <v>399</v>
      </c>
      <c r="D109" s="12"/>
      <c r="E109" s="12"/>
      <c r="F109" s="13"/>
      <c r="G109" s="13"/>
      <c r="H109" s="13"/>
      <c r="I109" s="13"/>
      <c r="J109" s="13"/>
      <c r="K109" s="13"/>
      <c r="L109" s="13"/>
      <c r="M109" s="13"/>
      <c r="N109" s="13"/>
      <c r="O109" s="13"/>
    </row>
    <row r="110" spans="1:17" x14ac:dyDescent="0.35">
      <c r="B110" s="47"/>
      <c r="C110" s="56" t="s">
        <v>394</v>
      </c>
      <c r="D110" s="12"/>
      <c r="E110" s="12"/>
      <c r="F110" s="13"/>
      <c r="G110" s="13"/>
      <c r="H110" s="13">
        <v>5</v>
      </c>
      <c r="I110" s="13">
        <v>4</v>
      </c>
      <c r="J110" s="13">
        <v>6</v>
      </c>
      <c r="K110" s="13">
        <v>6</v>
      </c>
      <c r="L110" s="13">
        <v>7</v>
      </c>
      <c r="M110" s="13">
        <v>7</v>
      </c>
      <c r="N110" s="13">
        <v>7</v>
      </c>
      <c r="O110" s="13">
        <v>6</v>
      </c>
      <c r="P110" s="13">
        <f t="shared" ref="P110:P111" si="9">SUM(D110:O110)</f>
        <v>48</v>
      </c>
    </row>
    <row r="111" spans="1:17" x14ac:dyDescent="0.35">
      <c r="B111" s="47"/>
      <c r="C111" s="2" t="s">
        <v>395</v>
      </c>
      <c r="D111" s="12"/>
      <c r="E111" s="12"/>
      <c r="F111" s="13"/>
      <c r="G111" s="13"/>
      <c r="H111" s="13">
        <v>21</v>
      </c>
      <c r="I111" s="13">
        <v>22</v>
      </c>
      <c r="J111" s="13">
        <v>20</v>
      </c>
      <c r="K111" s="13">
        <v>20</v>
      </c>
      <c r="L111" s="13">
        <v>19</v>
      </c>
      <c r="M111" s="13">
        <v>19</v>
      </c>
      <c r="N111" s="13">
        <v>20</v>
      </c>
      <c r="O111" s="13">
        <v>20</v>
      </c>
      <c r="P111" s="13">
        <f t="shared" si="9"/>
        <v>161</v>
      </c>
    </row>
    <row r="112" spans="1:17" x14ac:dyDescent="0.35">
      <c r="B112" s="47"/>
      <c r="C112" s="56" t="s">
        <v>400</v>
      </c>
      <c r="D112" s="12"/>
      <c r="E112" s="12"/>
      <c r="F112" s="13"/>
      <c r="G112" s="13"/>
      <c r="H112" s="13"/>
      <c r="I112" s="13"/>
      <c r="J112" s="13"/>
      <c r="K112" s="13"/>
      <c r="L112" s="13"/>
      <c r="M112" s="13"/>
      <c r="N112" s="13"/>
      <c r="O112" s="13"/>
    </row>
    <row r="113" spans="1:16" x14ac:dyDescent="0.35">
      <c r="B113" s="47"/>
      <c r="C113" s="56"/>
      <c r="D113" s="12">
        <v>2</v>
      </c>
      <c r="E113" s="12">
        <v>2</v>
      </c>
      <c r="F113" s="13">
        <v>2</v>
      </c>
      <c r="G113" s="13">
        <v>2</v>
      </c>
      <c r="H113" s="13">
        <v>2</v>
      </c>
      <c r="I113" s="13">
        <v>2</v>
      </c>
      <c r="J113" s="13">
        <v>2</v>
      </c>
      <c r="K113" s="13">
        <v>2</v>
      </c>
      <c r="L113" s="13">
        <v>2</v>
      </c>
      <c r="M113" s="13">
        <v>2</v>
      </c>
      <c r="N113" s="13">
        <v>2</v>
      </c>
      <c r="O113" s="13">
        <v>2</v>
      </c>
      <c r="P113" s="13">
        <f>SUM(D113:O113)</f>
        <v>24</v>
      </c>
    </row>
    <row r="114" spans="1:16" x14ac:dyDescent="0.35">
      <c r="B114" s="47"/>
      <c r="C114" s="56" t="s">
        <v>401</v>
      </c>
      <c r="D114" s="12"/>
      <c r="E114" s="12"/>
      <c r="F114" s="13"/>
      <c r="G114" s="13"/>
      <c r="H114" s="13"/>
      <c r="I114" s="13"/>
      <c r="J114" s="13"/>
      <c r="K114" s="13"/>
      <c r="L114" s="13"/>
      <c r="M114" s="13"/>
      <c r="N114" s="13"/>
      <c r="O114" s="13"/>
    </row>
    <row r="115" spans="1:16" x14ac:dyDescent="0.35">
      <c r="B115" s="47"/>
      <c r="C115" s="56" t="s">
        <v>418</v>
      </c>
      <c r="D115" s="12">
        <v>1</v>
      </c>
      <c r="E115" s="12">
        <v>1</v>
      </c>
      <c r="F115" s="13">
        <v>1</v>
      </c>
      <c r="G115" s="13">
        <v>1</v>
      </c>
      <c r="H115" s="13"/>
      <c r="I115" s="13"/>
      <c r="J115" s="13"/>
      <c r="K115" s="13"/>
      <c r="L115" s="13"/>
      <c r="M115" s="13">
        <v>1</v>
      </c>
      <c r="N115" s="13">
        <v>1</v>
      </c>
      <c r="O115" s="13">
        <v>1</v>
      </c>
      <c r="P115" s="13">
        <f>SUM(D115:O115)</f>
        <v>7</v>
      </c>
    </row>
    <row r="116" spans="1:16" x14ac:dyDescent="0.35">
      <c r="B116" s="47"/>
      <c r="C116" s="56" t="s">
        <v>419</v>
      </c>
      <c r="D116" s="12"/>
      <c r="E116" s="12"/>
      <c r="F116" s="13"/>
      <c r="G116" s="13"/>
      <c r="H116" s="13">
        <v>1</v>
      </c>
      <c r="I116" s="13">
        <v>1</v>
      </c>
      <c r="J116" s="13">
        <v>1</v>
      </c>
      <c r="K116" s="13">
        <v>1</v>
      </c>
      <c r="L116" s="13">
        <v>1</v>
      </c>
      <c r="M116" s="13"/>
      <c r="N116" s="13"/>
      <c r="O116" s="13"/>
      <c r="P116" s="13">
        <f>SUM(D116:O116)</f>
        <v>5</v>
      </c>
    </row>
    <row r="117" spans="1:16" x14ac:dyDescent="0.35">
      <c r="C117" s="56" t="s">
        <v>402</v>
      </c>
      <c r="D117" s="12"/>
      <c r="E117" s="12"/>
      <c r="F117" s="13"/>
      <c r="G117" s="13"/>
      <c r="H117" s="13"/>
      <c r="I117" s="13"/>
      <c r="J117" s="13"/>
      <c r="K117" s="13"/>
      <c r="L117" s="13"/>
      <c r="M117" s="13"/>
      <c r="N117" s="13"/>
      <c r="O117" s="13"/>
    </row>
    <row r="118" spans="1:16" ht="16" x14ac:dyDescent="0.35">
      <c r="A118" s="259"/>
      <c r="B118" s="259"/>
      <c r="C118" s="259"/>
      <c r="D118" s="281">
        <v>4</v>
      </c>
      <c r="E118" s="281">
        <v>4</v>
      </c>
      <c r="F118" s="13">
        <v>4</v>
      </c>
      <c r="G118" s="13">
        <v>4</v>
      </c>
      <c r="H118" s="13">
        <v>4</v>
      </c>
      <c r="I118" s="13">
        <v>4</v>
      </c>
      <c r="J118" s="13">
        <v>4</v>
      </c>
      <c r="K118" s="13">
        <v>4</v>
      </c>
      <c r="L118" s="13">
        <v>4</v>
      </c>
      <c r="M118" s="13">
        <v>4</v>
      </c>
      <c r="N118" s="13">
        <v>4</v>
      </c>
      <c r="O118" s="13">
        <v>4</v>
      </c>
      <c r="P118" s="13">
        <f>SUM(D118:O118)</f>
        <v>48</v>
      </c>
    </row>
    <row r="119" spans="1:16" x14ac:dyDescent="0.35">
      <c r="C119" s="1" t="s">
        <v>403</v>
      </c>
      <c r="D119" s="13"/>
      <c r="E119" s="13"/>
      <c r="F119" s="13"/>
      <c r="G119" s="13"/>
      <c r="H119" s="13"/>
      <c r="I119" s="13"/>
      <c r="J119" s="13"/>
      <c r="K119" s="13"/>
      <c r="L119" s="13"/>
      <c r="M119" s="13"/>
      <c r="N119" s="13"/>
      <c r="O119" s="13"/>
    </row>
    <row r="120" spans="1:16" x14ac:dyDescent="0.35">
      <c r="B120" s="47"/>
      <c r="C120" s="185" t="s">
        <v>420</v>
      </c>
      <c r="D120" s="282">
        <v>1</v>
      </c>
      <c r="E120" s="282">
        <v>1</v>
      </c>
      <c r="F120" s="282">
        <v>1</v>
      </c>
      <c r="G120" s="282">
        <v>1</v>
      </c>
      <c r="H120" s="282">
        <v>1</v>
      </c>
      <c r="I120" s="282">
        <v>1</v>
      </c>
      <c r="J120" s="282">
        <v>1</v>
      </c>
      <c r="K120" s="13">
        <v>1</v>
      </c>
      <c r="L120" s="34">
        <v>1</v>
      </c>
      <c r="M120" s="34">
        <v>1</v>
      </c>
      <c r="N120" s="13">
        <v>1</v>
      </c>
      <c r="O120" s="13">
        <v>1</v>
      </c>
      <c r="P120" s="13">
        <f>SUM(D120:O120)</f>
        <v>12</v>
      </c>
    </row>
    <row r="121" spans="1:16" x14ac:dyDescent="0.35">
      <c r="B121" s="47"/>
      <c r="C121" s="56" t="s">
        <v>421</v>
      </c>
      <c r="D121" s="12"/>
      <c r="E121" s="12"/>
      <c r="F121" s="13"/>
      <c r="G121" s="13"/>
      <c r="H121" s="13"/>
      <c r="I121" s="13"/>
      <c r="J121" s="13"/>
      <c r="K121" s="13"/>
      <c r="L121" s="13"/>
      <c r="M121" s="13"/>
      <c r="N121" s="13"/>
      <c r="O121" s="13"/>
    </row>
    <row r="122" spans="1:16" x14ac:dyDescent="0.35">
      <c r="B122" s="47"/>
      <c r="C122" s="56"/>
      <c r="D122" s="12"/>
      <c r="E122" s="12"/>
      <c r="F122" s="13"/>
      <c r="G122" s="13"/>
      <c r="H122" s="13"/>
      <c r="I122" s="13"/>
      <c r="J122" s="13"/>
      <c r="K122" s="13"/>
      <c r="L122" s="13"/>
      <c r="M122" s="13"/>
      <c r="N122" s="13"/>
      <c r="O122" s="13"/>
    </row>
    <row r="123" spans="1:16" x14ac:dyDescent="0.35">
      <c r="B123" s="47"/>
      <c r="C123" s="56" t="s">
        <v>13</v>
      </c>
      <c r="D123" s="15">
        <f>SUM(D101:D122)</f>
        <v>6320</v>
      </c>
      <c r="E123" s="15">
        <f t="shared" ref="E123:O123" si="10">SUM(E101:E122)</f>
        <v>6302</v>
      </c>
      <c r="F123" s="15">
        <f t="shared" si="10"/>
        <v>6271</v>
      </c>
      <c r="G123" s="15">
        <f t="shared" si="10"/>
        <v>6270</v>
      </c>
      <c r="H123" s="15">
        <f t="shared" si="10"/>
        <v>6276</v>
      </c>
      <c r="I123" s="15">
        <f t="shared" si="10"/>
        <v>6299</v>
      </c>
      <c r="J123" s="359">
        <f t="shared" si="10"/>
        <v>6300</v>
      </c>
      <c r="K123" s="15">
        <f t="shared" si="10"/>
        <v>6314</v>
      </c>
      <c r="L123" s="15">
        <f t="shared" si="10"/>
        <v>6302</v>
      </c>
      <c r="M123" s="15">
        <f t="shared" si="10"/>
        <v>6308</v>
      </c>
      <c r="N123" s="15">
        <f t="shared" si="10"/>
        <v>6306</v>
      </c>
      <c r="O123" s="15">
        <f t="shared" si="10"/>
        <v>6286</v>
      </c>
      <c r="P123" s="15">
        <f>SUM(D123:O123)</f>
        <v>75554</v>
      </c>
    </row>
    <row r="125" spans="1:16" x14ac:dyDescent="0.35">
      <c r="A125" s="1" t="s">
        <v>35</v>
      </c>
      <c r="B125" s="47" t="s">
        <v>423</v>
      </c>
      <c r="C125" s="47" t="s">
        <v>424</v>
      </c>
      <c r="D125" s="47" t="s">
        <v>425</v>
      </c>
      <c r="E125" s="47" t="s">
        <v>426</v>
      </c>
      <c r="F125" s="47" t="s">
        <v>409</v>
      </c>
      <c r="G125" s="47" t="s">
        <v>427</v>
      </c>
      <c r="H125" s="47" t="s">
        <v>428</v>
      </c>
      <c r="I125" s="47" t="s">
        <v>429</v>
      </c>
      <c r="J125" s="47" t="s">
        <v>430</v>
      </c>
      <c r="K125" s="47" t="s">
        <v>431</v>
      </c>
      <c r="L125" s="47" t="s">
        <v>432</v>
      </c>
      <c r="M125" s="47" t="s">
        <v>433</v>
      </c>
    </row>
    <row r="126" spans="1:16" x14ac:dyDescent="0.35">
      <c r="B126" s="1">
        <v>6148.77</v>
      </c>
      <c r="C126" s="1">
        <v>18968.7</v>
      </c>
      <c r="D126" s="1">
        <v>4703.45</v>
      </c>
      <c r="E126" s="1">
        <v>1832.28</v>
      </c>
      <c r="F126" s="1">
        <v>1327.7</v>
      </c>
      <c r="G126" s="1">
        <v>594.83000000000004</v>
      </c>
      <c r="H126" s="1">
        <v>2812.07</v>
      </c>
      <c r="I126" s="1">
        <v>1599.26</v>
      </c>
      <c r="J126" s="1">
        <v>2736.33</v>
      </c>
      <c r="K126" s="1">
        <v>7593.23</v>
      </c>
      <c r="L126" s="1">
        <v>5282.25</v>
      </c>
      <c r="M126" s="1">
        <v>6917.62</v>
      </c>
      <c r="N126" s="35">
        <f>SUM(B126:M126)</f>
        <v>60516.490000000013</v>
      </c>
    </row>
  </sheetData>
  <mergeCells count="8">
    <mergeCell ref="K21:M21"/>
    <mergeCell ref="A2:G2"/>
    <mergeCell ref="A3:G3"/>
    <mergeCell ref="A19:G19"/>
    <mergeCell ref="A64:G64"/>
    <mergeCell ref="B6:D6"/>
    <mergeCell ref="A47:E47"/>
    <mergeCell ref="C5:G5"/>
  </mergeCells>
  <phoneticPr fontId="48" type="noConversion"/>
  <printOptions horizontalCentered="1"/>
  <pageMargins left="0.7" right="0.7" top="1" bottom="0.75" header="0.3" footer="0.3"/>
  <pageSetup scale="85" fitToHeight="2" orientation="portrait" r:id="rId1"/>
  <headerFooter>
    <oddFooter>Page &amp;P of &amp;N</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F71CD-C558-4AA8-B110-9F1519FE7A22}">
  <sheetPr>
    <tabColor rgb="FF92D050"/>
  </sheetPr>
  <dimension ref="A1:AU126"/>
  <sheetViews>
    <sheetView workbookViewId="0">
      <selection activeCell="A2" sqref="A2:G70"/>
    </sheetView>
  </sheetViews>
  <sheetFormatPr defaultRowHeight="15.5" x14ac:dyDescent="0.35"/>
  <cols>
    <col min="1" max="1" width="9.61328125" customWidth="1"/>
    <col min="2" max="2" width="9.3828125" customWidth="1"/>
    <col min="3" max="4" width="10.53515625" customWidth="1"/>
    <col min="5" max="5" width="10.84375" customWidth="1"/>
    <col min="6" max="7" width="11.765625" customWidth="1"/>
    <col min="8" max="8" width="11.4609375" bestFit="1" customWidth="1"/>
    <col min="9" max="9" width="10.61328125" bestFit="1" customWidth="1"/>
    <col min="10" max="10" width="11.4609375" bestFit="1" customWidth="1"/>
    <col min="14" max="14" width="11" bestFit="1" customWidth="1"/>
    <col min="16" max="16" width="10.07421875" customWidth="1"/>
  </cols>
  <sheetData>
    <row r="1" spans="1:47" ht="18.75" customHeight="1" x14ac:dyDescent="0.45">
      <c r="A1" s="782"/>
      <c r="B1" s="783"/>
      <c r="C1" s="783"/>
      <c r="D1" s="783"/>
      <c r="E1" s="783"/>
      <c r="F1" s="783"/>
      <c r="G1" s="784"/>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ht="18.75" customHeight="1" x14ac:dyDescent="0.45">
      <c r="A2" s="796" t="s">
        <v>682</v>
      </c>
      <c r="B2" s="786"/>
      <c r="C2" s="786"/>
      <c r="D2" s="786"/>
      <c r="E2" s="786"/>
      <c r="F2" s="786"/>
      <c r="G2" s="787"/>
      <c r="H2" s="125"/>
      <c r="I2" s="13"/>
      <c r="J2" s="13"/>
      <c r="K2" s="13"/>
      <c r="L2" s="13"/>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ht="15" hidden="1" customHeight="1" x14ac:dyDescent="0.35">
      <c r="A3" s="788"/>
      <c r="B3" s="737"/>
      <c r="C3" s="737"/>
      <c r="D3" s="737"/>
      <c r="E3" s="737"/>
      <c r="F3" s="737"/>
      <c r="G3" s="789"/>
      <c r="H3" s="122"/>
      <c r="I3" s="13"/>
      <c r="J3" s="13"/>
      <c r="K3" s="13"/>
      <c r="L3" s="13"/>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ht="15" hidden="1" customHeight="1" x14ac:dyDescent="0.35">
      <c r="A4" s="618"/>
      <c r="B4" s="122"/>
      <c r="C4" s="122"/>
      <c r="D4" s="122"/>
      <c r="E4" s="122"/>
      <c r="F4" s="122"/>
      <c r="G4" s="576"/>
      <c r="H4" s="122"/>
      <c r="I4" s="13"/>
      <c r="J4" s="13"/>
      <c r="K4" s="13"/>
      <c r="L4" s="13"/>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7" ht="15" customHeight="1" x14ac:dyDescent="0.35">
      <c r="A5" s="840" t="s">
        <v>274</v>
      </c>
      <c r="B5" s="838"/>
      <c r="C5" s="838"/>
      <c r="D5" s="838"/>
      <c r="E5" s="838"/>
      <c r="F5" s="838"/>
      <c r="G5" s="841"/>
      <c r="H5" s="3"/>
      <c r="I5" s="13"/>
      <c r="J5" s="13"/>
      <c r="K5" s="13"/>
      <c r="L5" s="13"/>
      <c r="M5" s="13"/>
      <c r="N5" s="13"/>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47" ht="15" customHeight="1" x14ac:dyDescent="0.35">
      <c r="A6" s="68"/>
      <c r="B6" s="836"/>
      <c r="C6" s="836"/>
      <c r="D6" s="836"/>
      <c r="E6" s="33" t="s">
        <v>275</v>
      </c>
      <c r="F6" s="33" t="s">
        <v>276</v>
      </c>
      <c r="G6" s="70" t="s">
        <v>78</v>
      </c>
      <c r="H6" s="1"/>
      <c r="I6" s="13"/>
      <c r="J6" s="13"/>
      <c r="K6" s="13"/>
      <c r="L6" s="13"/>
      <c r="M6" s="13"/>
      <c r="N6" s="13"/>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47" ht="15" customHeight="1" x14ac:dyDescent="0.35">
      <c r="A7" s="68"/>
      <c r="B7" s="1"/>
      <c r="C7" s="1" t="s">
        <v>277</v>
      </c>
      <c r="D7" s="185"/>
      <c r="E7" s="275">
        <f>C23</f>
        <v>75458</v>
      </c>
      <c r="F7" s="22">
        <f>D23</f>
        <v>283169000</v>
      </c>
      <c r="G7" s="619">
        <f>F29</f>
        <v>3759697.5477600005</v>
      </c>
      <c r="H7" s="1"/>
      <c r="I7" s="13"/>
      <c r="J7" s="13">
        <f>P97</f>
        <v>430331600</v>
      </c>
      <c r="K7" s="13" t="s">
        <v>15</v>
      </c>
      <c r="L7" s="13"/>
      <c r="M7" s="13"/>
      <c r="N7" s="13"/>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47" ht="15" customHeight="1" x14ac:dyDescent="0.35">
      <c r="A8" s="68"/>
      <c r="B8" s="1"/>
      <c r="C8" s="2" t="s">
        <v>278</v>
      </c>
      <c r="D8" s="2"/>
      <c r="E8" s="2">
        <f>C38</f>
        <v>12</v>
      </c>
      <c r="F8" s="12">
        <f>D38</f>
        <v>114333300</v>
      </c>
      <c r="G8" s="26">
        <f>F44</f>
        <v>977634.85686000017</v>
      </c>
      <c r="H8" s="1"/>
      <c r="I8" s="13"/>
      <c r="J8" s="126">
        <f>P123</f>
        <v>75554</v>
      </c>
      <c r="K8" s="127" t="s">
        <v>437</v>
      </c>
      <c r="L8" s="13"/>
      <c r="M8" s="13" t="s">
        <v>502</v>
      </c>
      <c r="N8" s="13"/>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47" ht="15" customHeight="1" x14ac:dyDescent="0.35">
      <c r="A9" s="68"/>
      <c r="B9" s="1"/>
      <c r="C9" s="2" t="s">
        <v>279</v>
      </c>
      <c r="D9" s="1"/>
      <c r="E9" s="12">
        <f>C57</f>
        <v>12</v>
      </c>
      <c r="F9" s="12">
        <f>D57</f>
        <v>8391200</v>
      </c>
      <c r="G9" s="26">
        <f>F57</f>
        <v>80387.969040000011</v>
      </c>
      <c r="H9" s="61"/>
      <c r="I9" s="13"/>
      <c r="J9" s="126"/>
      <c r="K9" s="127"/>
      <c r="L9" s="13"/>
      <c r="M9" s="13" t="s">
        <v>503</v>
      </c>
      <c r="N9" s="13"/>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47" ht="15" customHeight="1" x14ac:dyDescent="0.45">
      <c r="A10" s="68"/>
      <c r="B10" s="1"/>
      <c r="C10" s="2" t="s">
        <v>280</v>
      </c>
      <c r="D10" s="1"/>
      <c r="E10" s="11">
        <f>C70</f>
        <v>72</v>
      </c>
      <c r="F10" s="11">
        <f>D70</f>
        <v>24438100</v>
      </c>
      <c r="G10" s="620">
        <f>F70</f>
        <v>208891.99118000001</v>
      </c>
      <c r="H10" s="1"/>
      <c r="I10" s="13"/>
      <c r="J10" s="126"/>
      <c r="K10" s="128"/>
      <c r="L10" s="13"/>
      <c r="M10" s="126">
        <f>SUM(G8:G10)</f>
        <v>1266914.8170800004</v>
      </c>
      <c r="N10" s="127"/>
      <c r="O10" s="126"/>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47" ht="15" customHeight="1" x14ac:dyDescent="0.35">
      <c r="A11" s="68"/>
      <c r="B11" s="1"/>
      <c r="C11" s="1" t="s">
        <v>14</v>
      </c>
      <c r="D11" s="2"/>
      <c r="E11" s="101">
        <f>SUM(E7:E10)</f>
        <v>75554</v>
      </c>
      <c r="F11" s="56">
        <f>SUM(F7:F10)</f>
        <v>430331600</v>
      </c>
      <c r="G11" s="619">
        <f>SUM(G7:G10)</f>
        <v>5026612.3648400009</v>
      </c>
      <c r="H11" s="104"/>
      <c r="I11" s="13"/>
      <c r="J11" s="35"/>
      <c r="K11" s="127"/>
      <c r="L11" s="13"/>
      <c r="M11" s="13"/>
      <c r="N11" s="13"/>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7" x14ac:dyDescent="0.35">
      <c r="A12" s="68"/>
      <c r="B12" s="1"/>
      <c r="C12" s="92"/>
      <c r="D12" s="2"/>
      <c r="E12" s="1"/>
      <c r="F12" s="207" t="s">
        <v>434</v>
      </c>
      <c r="G12" s="620">
        <f>-N126</f>
        <v>-60516.490000000013</v>
      </c>
      <c r="H12" s="61"/>
      <c r="I12" s="13"/>
      <c r="J12" s="126"/>
      <c r="K12" s="1"/>
      <c r="L12" s="13"/>
      <c r="M12" s="13"/>
      <c r="N12" s="13"/>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47" x14ac:dyDescent="0.35">
      <c r="A13" s="68"/>
      <c r="B13" s="1"/>
      <c r="C13" s="2"/>
      <c r="D13" s="2"/>
      <c r="E13" s="1"/>
      <c r="F13" s="207" t="s">
        <v>496</v>
      </c>
      <c r="G13" s="619">
        <f>G11+G12</f>
        <v>4966095.8748400006</v>
      </c>
      <c r="H13" s="104"/>
      <c r="I13" s="13"/>
      <c r="J13" s="13"/>
      <c r="K13" s="21"/>
      <c r="L13" s="564"/>
      <c r="M13" s="13"/>
      <c r="N13" s="13"/>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47" x14ac:dyDescent="0.35">
      <c r="A14" s="68"/>
      <c r="B14" s="1"/>
      <c r="C14" s="92"/>
      <c r="D14" s="2"/>
      <c r="E14" s="1"/>
      <c r="F14" s="207" t="s">
        <v>684</v>
      </c>
      <c r="G14" s="620">
        <f>SAOw!I82*1.082</f>
        <v>4956517.7106600003</v>
      </c>
      <c r="H14" s="61"/>
      <c r="I14" s="13"/>
      <c r="J14" s="13"/>
      <c r="K14" s="127"/>
      <c r="L14" s="342"/>
      <c r="M14" s="13"/>
      <c r="N14" s="13"/>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47" x14ac:dyDescent="0.35">
      <c r="A15" s="68"/>
      <c r="B15" s="1"/>
      <c r="C15" s="2"/>
      <c r="D15" s="2"/>
      <c r="E15" s="1"/>
      <c r="F15" s="207"/>
      <c r="G15" s="26">
        <f>G13-G14</f>
        <v>9578.1641800003126</v>
      </c>
      <c r="H15" s="104"/>
      <c r="I15" s="331">
        <f>G15/G14</f>
        <v>1.9324382034186058E-3</v>
      </c>
      <c r="J15" s="13"/>
      <c r="K15" s="13"/>
      <c r="L15" s="342"/>
      <c r="M15" s="13"/>
      <c r="N15" s="13"/>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47" hidden="1" x14ac:dyDescent="0.35">
      <c r="A16" s="68"/>
      <c r="B16" s="1"/>
      <c r="C16" s="92"/>
      <c r="D16" s="2"/>
      <c r="E16" s="1"/>
      <c r="F16" s="207"/>
      <c r="G16" s="26"/>
      <c r="H16" s="1"/>
      <c r="I16" s="13"/>
      <c r="J16" s="105"/>
      <c r="K16" s="13"/>
      <c r="L16" s="13"/>
      <c r="M16" s="13"/>
      <c r="N16" s="13"/>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1:47" hidden="1" x14ac:dyDescent="0.35">
      <c r="A17" s="68"/>
      <c r="B17" s="1"/>
      <c r="C17" s="31"/>
      <c r="D17" s="84"/>
      <c r="E17" s="1"/>
      <c r="F17" s="1"/>
      <c r="G17" s="78"/>
      <c r="H17" s="1"/>
      <c r="I17" s="13"/>
      <c r="J17" s="13"/>
      <c r="K17" s="13"/>
      <c r="L17" s="13"/>
      <c r="M17" s="13"/>
      <c r="N17" s="13"/>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1:47" x14ac:dyDescent="0.35">
      <c r="A18" s="621" t="s">
        <v>277</v>
      </c>
      <c r="B18" s="1"/>
      <c r="C18" s="31"/>
      <c r="D18" s="84"/>
      <c r="E18" s="1"/>
      <c r="F18" s="1"/>
      <c r="G18" s="78"/>
      <c r="H18" s="1"/>
      <c r="I18" s="13"/>
      <c r="J18" s="13"/>
      <c r="K18" s="13"/>
      <c r="L18" s="13"/>
      <c r="M18" s="13"/>
      <c r="N18" s="13"/>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1:47" ht="18.5" hidden="1" x14ac:dyDescent="0.45">
      <c r="A19" s="842"/>
      <c r="B19" s="835"/>
      <c r="C19" s="835"/>
      <c r="D19" s="835"/>
      <c r="E19" s="835" t="s">
        <v>68</v>
      </c>
      <c r="F19" s="835" t="s">
        <v>69</v>
      </c>
      <c r="G19" s="843"/>
      <c r="H19" s="1"/>
      <c r="I19" s="13"/>
      <c r="J19" s="13"/>
      <c r="K19" s="13"/>
      <c r="L19" s="13"/>
      <c r="M19" s="13"/>
      <c r="N19" s="13"/>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1:47" x14ac:dyDescent="0.35">
      <c r="A20" s="68"/>
      <c r="B20" s="47" t="s">
        <v>70</v>
      </c>
      <c r="C20" s="69" t="s">
        <v>71</v>
      </c>
      <c r="D20" s="624" t="s">
        <v>72</v>
      </c>
      <c r="E20" s="47">
        <f>B21</f>
        <v>2000</v>
      </c>
      <c r="F20" s="47">
        <f>B22</f>
        <v>2000</v>
      </c>
      <c r="G20" s="153" t="s">
        <v>73</v>
      </c>
      <c r="H20" s="1"/>
      <c r="I20" s="13"/>
      <c r="J20" s="13"/>
      <c r="K20" s="13"/>
      <c r="L20" s="13"/>
      <c r="M20" s="13"/>
      <c r="N20" s="13"/>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1:47" x14ac:dyDescent="0.35">
      <c r="A21" s="625" t="s">
        <v>68</v>
      </c>
      <c r="B21" s="1">
        <v>2000</v>
      </c>
      <c r="C21" s="12">
        <f>P101+P104+P107+P110</f>
        <v>29165</v>
      </c>
      <c r="D21" s="12">
        <f>P75+P78+P81+P84</f>
        <v>28025000</v>
      </c>
      <c r="E21" s="12">
        <f>D21</f>
        <v>28025000</v>
      </c>
      <c r="F21" s="12">
        <v>0</v>
      </c>
      <c r="G21" s="17">
        <f>SUM(E21:F21)</f>
        <v>28025000</v>
      </c>
      <c r="H21" s="1"/>
      <c r="I21" s="13"/>
      <c r="J21" s="13"/>
      <c r="K21" s="158"/>
      <c r="L21" s="159"/>
      <c r="M21" s="13"/>
      <c r="N21" s="13"/>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1:47" x14ac:dyDescent="0.35">
      <c r="A22" s="609" t="s">
        <v>69</v>
      </c>
      <c r="B22" s="1">
        <v>2000</v>
      </c>
      <c r="C22" s="11">
        <f>P102+P105+P108+P111</f>
        <v>46293</v>
      </c>
      <c r="D22" s="11">
        <f>P76+P79+P82+P85</f>
        <v>255144000</v>
      </c>
      <c r="E22" s="287">
        <f>2000*C22</f>
        <v>92586000</v>
      </c>
      <c r="F22" s="287">
        <f>D22-E22</f>
        <v>162558000</v>
      </c>
      <c r="G22" s="20">
        <f>SUM(E22:F22)</f>
        <v>255144000</v>
      </c>
      <c r="H22" s="1"/>
      <c r="I22" s="13"/>
      <c r="J22" s="13"/>
      <c r="K22" s="16"/>
      <c r="L22" s="17"/>
      <c r="M22" s="13"/>
      <c r="N22" s="13"/>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1:47" x14ac:dyDescent="0.35">
      <c r="A23" s="68"/>
      <c r="B23" s="47"/>
      <c r="C23" s="22">
        <f>SUM(C21:C22)</f>
        <v>75458</v>
      </c>
      <c r="D23" s="22">
        <f>SUM(D21:D22)</f>
        <v>283169000</v>
      </c>
      <c r="E23" s="22">
        <f>SUM(E21:E22)</f>
        <v>120611000</v>
      </c>
      <c r="F23" s="22">
        <f>SUM(F21:F22)</f>
        <v>162558000</v>
      </c>
      <c r="G23" s="23">
        <f>SUM(G21:G22)</f>
        <v>283169000</v>
      </c>
      <c r="H23" s="1"/>
      <c r="I23" s="13"/>
      <c r="J23" s="13"/>
      <c r="K23" s="16"/>
      <c r="L23" s="17"/>
      <c r="M23" s="13"/>
      <c r="N23" s="13"/>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1:47" x14ac:dyDescent="0.35">
      <c r="A24" s="609"/>
      <c r="B24" s="50"/>
      <c r="C24" s="56"/>
      <c r="D24" s="56"/>
      <c r="E24" s="56"/>
      <c r="F24" s="56"/>
      <c r="G24" s="152"/>
      <c r="H24" s="1"/>
      <c r="I24" s="13"/>
      <c r="J24" s="13"/>
      <c r="K24" s="16"/>
      <c r="L24" s="17"/>
      <c r="M24" s="13"/>
      <c r="N24" s="13"/>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1:47" x14ac:dyDescent="0.35">
      <c r="A25" s="68" t="s">
        <v>74</v>
      </c>
      <c r="B25" s="51"/>
      <c r="C25" s="52"/>
      <c r="D25" s="52"/>
      <c r="E25" s="52"/>
      <c r="F25" s="52"/>
      <c r="G25" s="42"/>
      <c r="H25" s="1"/>
      <c r="I25" s="13"/>
      <c r="J25" s="13"/>
      <c r="K25" s="16"/>
      <c r="L25" s="17"/>
      <c r="M25" s="13"/>
      <c r="N25" s="13"/>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1:47" x14ac:dyDescent="0.35">
      <c r="A26" s="609"/>
      <c r="B26" s="50"/>
      <c r="C26" s="542" t="s">
        <v>71</v>
      </c>
      <c r="D26" s="542" t="s">
        <v>72</v>
      </c>
      <c r="E26" s="542" t="s">
        <v>75</v>
      </c>
      <c r="F26" s="542" t="s">
        <v>76</v>
      </c>
      <c r="G26" s="152"/>
      <c r="H26" s="1"/>
      <c r="I26" s="13"/>
      <c r="J26" s="13"/>
      <c r="K26" s="16"/>
      <c r="L26" s="17"/>
      <c r="M26" s="13"/>
      <c r="N26" s="13"/>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1:47" x14ac:dyDescent="0.35">
      <c r="A27" s="609" t="s">
        <v>68</v>
      </c>
      <c r="B27" s="50">
        <f>B21</f>
        <v>2000</v>
      </c>
      <c r="C27" s="12">
        <f>C23</f>
        <v>75458</v>
      </c>
      <c r="D27" s="50">
        <f>E23</f>
        <v>120611000</v>
      </c>
      <c r="E27" s="187">
        <f>Rates!F99</f>
        <v>26.422440000000005</v>
      </c>
      <c r="F27" s="187">
        <f>E27*C27</f>
        <v>1993784.4775200004</v>
      </c>
      <c r="G27" s="626"/>
      <c r="H27" s="1"/>
      <c r="I27" s="13"/>
      <c r="J27" s="13"/>
      <c r="K27" s="16"/>
      <c r="L27" s="17"/>
      <c r="M27" s="13"/>
      <c r="N27" s="13"/>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1:47" x14ac:dyDescent="0.35">
      <c r="A28" s="609" t="s">
        <v>69</v>
      </c>
      <c r="B28" s="627">
        <f>B22</f>
        <v>2000</v>
      </c>
      <c r="C28" s="54"/>
      <c r="D28" s="51">
        <f>F23</f>
        <v>162558000</v>
      </c>
      <c r="E28" s="617">
        <f>Rates!F100</f>
        <v>1.0863280000000001E-2</v>
      </c>
      <c r="F28" s="292">
        <f>E28*(D28)</f>
        <v>1765913.0702400003</v>
      </c>
      <c r="G28" s="626"/>
      <c r="H28" s="1"/>
      <c r="I28" s="13"/>
      <c r="J28" s="13"/>
      <c r="K28" s="16"/>
      <c r="L28" s="17"/>
      <c r="M28" s="13"/>
      <c r="N28" s="13"/>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1:47" x14ac:dyDescent="0.35">
      <c r="A29" s="609"/>
      <c r="B29" s="1" t="s">
        <v>73</v>
      </c>
      <c r="C29" s="275">
        <f>SUM(C27:C28)</f>
        <v>75458</v>
      </c>
      <c r="D29" s="4">
        <f>SUM(D27:D28)</f>
        <v>283169000</v>
      </c>
      <c r="E29" s="185"/>
      <c r="F29" s="303">
        <f>SUM(F27:F28)</f>
        <v>3759697.5477600005</v>
      </c>
      <c r="G29" s="78"/>
      <c r="H29" s="1"/>
      <c r="I29" s="13"/>
      <c r="J29" s="13"/>
      <c r="K29" s="16"/>
      <c r="L29" s="17"/>
      <c r="M29" s="13"/>
      <c r="N29" s="13"/>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1:47" x14ac:dyDescent="0.35">
      <c r="A30" s="609"/>
      <c r="B30" s="50"/>
      <c r="C30" s="56"/>
      <c r="D30" s="56"/>
      <c r="E30" s="71"/>
      <c r="F30" s="84"/>
      <c r="G30" s="78"/>
      <c r="H30" s="1"/>
      <c r="I30" s="13"/>
      <c r="J30" s="13"/>
      <c r="K30" s="16"/>
      <c r="L30" s="17"/>
      <c r="M30" s="13"/>
      <c r="N30" s="13"/>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1:47" hidden="1" x14ac:dyDescent="0.35">
      <c r="A31" s="609"/>
      <c r="B31" s="50"/>
      <c r="C31" s="2"/>
      <c r="D31" s="56"/>
      <c r="E31" s="77"/>
      <c r="F31" s="56"/>
      <c r="G31" s="78"/>
      <c r="H31" s="1"/>
      <c r="I31" s="13"/>
      <c r="J31" s="13"/>
      <c r="K31" s="16"/>
      <c r="L31" s="17"/>
      <c r="M31" s="13"/>
      <c r="N31" s="13"/>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1:47" hidden="1" x14ac:dyDescent="0.35">
      <c r="A32" s="609"/>
      <c r="B32" s="50"/>
      <c r="C32" s="56"/>
      <c r="D32" s="56"/>
      <c r="E32" s="1"/>
      <c r="F32" s="84"/>
      <c r="G32" s="78"/>
      <c r="H32" s="1"/>
      <c r="I32" s="1"/>
      <c r="J32" s="1"/>
      <c r="K32" s="16"/>
      <c r="L32" s="17"/>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1:47" x14ac:dyDescent="0.35">
      <c r="A33" s="621" t="s">
        <v>281</v>
      </c>
      <c r="B33" s="1"/>
      <c r="C33" s="1"/>
      <c r="D33" s="1"/>
      <c r="E33" s="1"/>
      <c r="F33" s="1"/>
      <c r="G33" s="78"/>
      <c r="H33" s="1"/>
      <c r="I33" s="1"/>
      <c r="J33" s="1"/>
      <c r="K33" s="16"/>
      <c r="L33" s="17"/>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1:47" x14ac:dyDescent="0.35">
      <c r="A34" s="628"/>
      <c r="B34" s="54"/>
      <c r="C34" s="54"/>
      <c r="D34" s="1"/>
      <c r="E34" s="47" t="s">
        <v>68</v>
      </c>
      <c r="F34" s="47" t="s">
        <v>69</v>
      </c>
      <c r="G34" s="78"/>
      <c r="H34" s="1"/>
      <c r="I34" s="1"/>
      <c r="J34" s="1"/>
      <c r="K34" s="16"/>
      <c r="L34" s="17"/>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1:47" x14ac:dyDescent="0.35">
      <c r="A35" s="68"/>
      <c r="B35" s="33" t="s">
        <v>70</v>
      </c>
      <c r="C35" s="33" t="s">
        <v>71</v>
      </c>
      <c r="D35" s="33" t="s">
        <v>72</v>
      </c>
      <c r="E35" s="629">
        <f>B36</f>
        <v>1950000</v>
      </c>
      <c r="F35" s="14">
        <f>B37</f>
        <v>1950000</v>
      </c>
      <c r="G35" s="70" t="s">
        <v>73</v>
      </c>
      <c r="H35" s="1"/>
      <c r="I35" s="1"/>
      <c r="J35" s="1"/>
      <c r="K35" s="16"/>
      <c r="L35" s="17"/>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1:47" x14ac:dyDescent="0.35">
      <c r="A36" s="609" t="s">
        <v>68</v>
      </c>
      <c r="B36" s="22">
        <v>1950000</v>
      </c>
      <c r="C36" s="22">
        <f>P120</f>
        <v>12</v>
      </c>
      <c r="D36" s="22">
        <f>P94</f>
        <v>23400000</v>
      </c>
      <c r="E36" s="22">
        <f>D36</f>
        <v>23400000</v>
      </c>
      <c r="F36" s="12">
        <v>0</v>
      </c>
      <c r="G36" s="17">
        <f>SUM(E36:F36)</f>
        <v>23400000</v>
      </c>
      <c r="H36" s="1"/>
      <c r="I36" s="1"/>
      <c r="J36" s="1"/>
      <c r="K36" s="16"/>
      <c r="L36" s="17"/>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1:47" x14ac:dyDescent="0.35">
      <c r="A37" s="609" t="s">
        <v>69</v>
      </c>
      <c r="B37" s="293">
        <v>1950000</v>
      </c>
      <c r="C37" s="11"/>
      <c r="D37" s="11">
        <f>P95</f>
        <v>90933300</v>
      </c>
      <c r="E37" s="11"/>
      <c r="F37" s="11">
        <f>D37-E37</f>
        <v>90933300</v>
      </c>
      <c r="G37" s="20">
        <f>SUM(E37:F37)</f>
        <v>90933300</v>
      </c>
      <c r="H37" s="1"/>
      <c r="I37" s="1"/>
      <c r="J37" s="1"/>
      <c r="K37" s="16"/>
      <c r="L37" s="17"/>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1:47" x14ac:dyDescent="0.35">
      <c r="A38" s="68"/>
      <c r="B38" s="22"/>
      <c r="C38" s="12">
        <f>SUM(C36:C37)</f>
        <v>12</v>
      </c>
      <c r="D38" s="12">
        <f>SUM(D36:D37)</f>
        <v>114333300</v>
      </c>
      <c r="E38" s="12">
        <f>SUM(E36:E37)</f>
        <v>23400000</v>
      </c>
      <c r="F38" s="12">
        <f>SUM(F36:F37)</f>
        <v>90933300</v>
      </c>
      <c r="G38" s="17">
        <f>SUM(G36:G37)</f>
        <v>114333300</v>
      </c>
      <c r="H38" s="1"/>
      <c r="I38" s="1"/>
      <c r="J38" s="1"/>
      <c r="K38" s="16"/>
      <c r="L38" s="17"/>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1:47" x14ac:dyDescent="0.35">
      <c r="A39" s="68"/>
      <c r="B39" s="22"/>
      <c r="C39" s="12"/>
      <c r="D39" s="77"/>
      <c r="E39" s="56"/>
      <c r="F39" s="1"/>
      <c r="G39" s="78"/>
      <c r="H39" s="1"/>
      <c r="I39" s="1"/>
      <c r="J39" s="1"/>
      <c r="K39" s="16"/>
      <c r="L39" s="17"/>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1:47" x14ac:dyDescent="0.35">
      <c r="A40" s="68" t="s">
        <v>74</v>
      </c>
      <c r="B40" s="22"/>
      <c r="C40" s="12"/>
      <c r="D40" s="77"/>
      <c r="E40" s="56"/>
      <c r="F40" s="1"/>
      <c r="G40" s="78"/>
      <c r="H40" s="1"/>
      <c r="I40" s="1"/>
      <c r="J40" s="1"/>
      <c r="K40" s="16"/>
      <c r="L40" s="17"/>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1:47" ht="17" x14ac:dyDescent="0.5">
      <c r="A41" s="68"/>
      <c r="B41" s="22"/>
      <c r="C41" s="24" t="s">
        <v>71</v>
      </c>
      <c r="D41" s="630" t="s">
        <v>72</v>
      </c>
      <c r="E41" s="151" t="s">
        <v>75</v>
      </c>
      <c r="F41" s="296" t="s">
        <v>76</v>
      </c>
      <c r="G41" s="78"/>
      <c r="H41" s="1"/>
      <c r="I41" s="1"/>
      <c r="J41" s="1"/>
      <c r="K41" s="16"/>
      <c r="L41" s="17"/>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1:47" x14ac:dyDescent="0.35">
      <c r="A42" s="609" t="s">
        <v>68</v>
      </c>
      <c r="B42" s="22">
        <f>B36</f>
        <v>1950000</v>
      </c>
      <c r="C42" s="12">
        <f>C38</f>
        <v>12</v>
      </c>
      <c r="D42" s="56">
        <f>E38</f>
        <v>23400000</v>
      </c>
      <c r="E42" s="187">
        <f>Rates!F103</f>
        <v>16696.26626</v>
      </c>
      <c r="F42" s="187">
        <f>E42*C42</f>
        <v>200355.19511999999</v>
      </c>
      <c r="G42" s="78"/>
      <c r="H42" s="1"/>
      <c r="I42" s="1"/>
      <c r="J42" s="1"/>
      <c r="K42" s="16"/>
      <c r="L42" s="17"/>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1:47" x14ac:dyDescent="0.35">
      <c r="A43" s="609" t="s">
        <v>69</v>
      </c>
      <c r="B43" s="287">
        <f>B37</f>
        <v>1950000</v>
      </c>
      <c r="C43" s="11"/>
      <c r="D43" s="52">
        <f>F38</f>
        <v>90933300</v>
      </c>
      <c r="E43" s="291">
        <f>Rates!F104</f>
        <v>8.5478000000000012E-3</v>
      </c>
      <c r="F43" s="292">
        <f>E43*(D43)</f>
        <v>777279.66174000013</v>
      </c>
      <c r="G43" s="78"/>
      <c r="H43" s="1"/>
      <c r="I43" s="1"/>
      <c r="J43" s="1"/>
      <c r="K43" s="19"/>
      <c r="L43" s="20"/>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1:47" x14ac:dyDescent="0.35">
      <c r="A44" s="68"/>
      <c r="B44" s="103" t="s">
        <v>73</v>
      </c>
      <c r="C44" s="56">
        <f>SUM(C42:C43)</f>
        <v>12</v>
      </c>
      <c r="D44" s="56">
        <f>SUM(D42:D43)</f>
        <v>114333300</v>
      </c>
      <c r="E44" s="56"/>
      <c r="F44" s="187">
        <f>SUM(F42:F43)</f>
        <v>977634.85686000017</v>
      </c>
      <c r="G44" s="78"/>
      <c r="H44" s="1"/>
      <c r="I44" s="2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1:47" x14ac:dyDescent="0.35">
      <c r="A45" s="68"/>
      <c r="B45" s="47"/>
      <c r="C45" s="56"/>
      <c r="D45" s="56"/>
      <c r="E45" s="84"/>
      <c r="F45" s="1"/>
      <c r="G45" s="78"/>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1:47" x14ac:dyDescent="0.35">
      <c r="A46" s="621" t="s">
        <v>282</v>
      </c>
      <c r="B46" s="47"/>
      <c r="C46" s="56"/>
      <c r="D46" s="56"/>
      <c r="E46" s="84"/>
      <c r="F46" s="1"/>
      <c r="G46" s="78"/>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1:47" ht="16" x14ac:dyDescent="0.35">
      <c r="A47" s="839"/>
      <c r="B47" s="837"/>
      <c r="C47" s="837"/>
      <c r="D47" s="837"/>
      <c r="E47" s="837" t="s">
        <v>68</v>
      </c>
      <c r="F47" s="1" t="s">
        <v>69</v>
      </c>
      <c r="G47" s="78"/>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1:47" x14ac:dyDescent="0.35">
      <c r="A48" s="68"/>
      <c r="B48" s="33" t="s">
        <v>70</v>
      </c>
      <c r="C48" s="33" t="s">
        <v>71</v>
      </c>
      <c r="D48" s="33" t="s">
        <v>72</v>
      </c>
      <c r="E48" s="14">
        <f>B49</f>
        <v>600000</v>
      </c>
      <c r="F48" s="14">
        <f>B50</f>
        <v>600000</v>
      </c>
      <c r="G48" s="70" t="s">
        <v>73</v>
      </c>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1:47" x14ac:dyDescent="0.35">
      <c r="A49" s="68" t="s">
        <v>68</v>
      </c>
      <c r="B49" s="22">
        <v>600000</v>
      </c>
      <c r="C49" s="22">
        <f>P115</f>
        <v>12</v>
      </c>
      <c r="D49" s="22">
        <f>P89</f>
        <v>6198800</v>
      </c>
      <c r="E49" s="22">
        <f>D49</f>
        <v>6198800</v>
      </c>
      <c r="F49" s="12">
        <v>0</v>
      </c>
      <c r="G49" s="17">
        <f>SUM(E49:F49)</f>
        <v>6198800</v>
      </c>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1:47" x14ac:dyDescent="0.35">
      <c r="A50" s="68" t="s">
        <v>69</v>
      </c>
      <c r="B50" s="287">
        <v>600000</v>
      </c>
      <c r="C50" s="11"/>
      <c r="D50" s="11">
        <f>P90</f>
        <v>2192400</v>
      </c>
      <c r="E50" s="11"/>
      <c r="F50" s="11">
        <f>D50-E50</f>
        <v>2192400</v>
      </c>
      <c r="G50" s="20">
        <f>SUM(E50:F50)</f>
        <v>2192400</v>
      </c>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1:47" x14ac:dyDescent="0.35">
      <c r="A51" s="68"/>
      <c r="B51" s="22"/>
      <c r="C51" s="12">
        <f>SUM(C49:C50)</f>
        <v>12</v>
      </c>
      <c r="D51" s="12">
        <f>SUM(D49:D50)</f>
        <v>8391200</v>
      </c>
      <c r="E51" s="12">
        <f>SUM(E49:E50)</f>
        <v>6198800</v>
      </c>
      <c r="F51" s="12">
        <f>SUM(F49:F50)</f>
        <v>2192400</v>
      </c>
      <c r="G51" s="17">
        <f>SUM(G49:G50)</f>
        <v>8391200</v>
      </c>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1:47" x14ac:dyDescent="0.35">
      <c r="A52" s="68"/>
      <c r="B52" s="22"/>
      <c r="C52" s="12"/>
      <c r="D52" s="12"/>
      <c r="E52" s="56"/>
      <c r="F52" s="1"/>
      <c r="G52" s="78"/>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1:47" x14ac:dyDescent="0.35">
      <c r="A53" s="68" t="s">
        <v>74</v>
      </c>
      <c r="B53" s="631"/>
      <c r="C53" s="12"/>
      <c r="D53" s="12"/>
      <c r="E53" s="56"/>
      <c r="F53" s="1"/>
      <c r="G53" s="78"/>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1:47" ht="17" x14ac:dyDescent="0.5">
      <c r="A54" s="68"/>
      <c r="B54" s="22"/>
      <c r="C54" s="24" t="s">
        <v>71</v>
      </c>
      <c r="D54" s="24" t="s">
        <v>72</v>
      </c>
      <c r="E54" s="151" t="s">
        <v>75</v>
      </c>
      <c r="F54" s="296" t="s">
        <v>76</v>
      </c>
      <c r="G54" s="78"/>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1:47" x14ac:dyDescent="0.35">
      <c r="A55" s="68" t="s">
        <v>68</v>
      </c>
      <c r="B55" s="22">
        <f>B49</f>
        <v>600000</v>
      </c>
      <c r="C55" s="12">
        <f>C51</f>
        <v>12</v>
      </c>
      <c r="D55" s="12">
        <f>E51</f>
        <v>6198800</v>
      </c>
      <c r="E55" s="187">
        <f>Rates!F107</f>
        <v>5137.3143600000003</v>
      </c>
      <c r="F55" s="187">
        <f>E55*C55</f>
        <v>61647.772320000004</v>
      </c>
      <c r="G55" s="78"/>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1:47" x14ac:dyDescent="0.35">
      <c r="A56" s="68" t="s">
        <v>69</v>
      </c>
      <c r="B56" s="287">
        <f>B50</f>
        <v>600000</v>
      </c>
      <c r="C56" s="11"/>
      <c r="D56" s="11">
        <f>F51</f>
        <v>2192400</v>
      </c>
      <c r="E56" s="297">
        <f>Rates!F108</f>
        <v>8.5478000000000012E-3</v>
      </c>
      <c r="F56" s="292">
        <f>E56*(D56)</f>
        <v>18740.196720000004</v>
      </c>
      <c r="G56" s="78"/>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1:47" x14ac:dyDescent="0.35">
      <c r="A57" s="68"/>
      <c r="B57" s="22" t="s">
        <v>73</v>
      </c>
      <c r="C57" s="12">
        <f>SUM(C55:C56)</f>
        <v>12</v>
      </c>
      <c r="D57" s="12">
        <f>SUM(D55:D56)</f>
        <v>8391200</v>
      </c>
      <c r="E57" s="84"/>
      <c r="F57" s="187">
        <f>SUM(F55:F56)</f>
        <v>80387.969040000011</v>
      </c>
      <c r="G57" s="78"/>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1:47" x14ac:dyDescent="0.35">
      <c r="A58" s="632"/>
      <c r="B58" s="1"/>
      <c r="C58" s="1"/>
      <c r="D58" s="1"/>
      <c r="E58" s="1"/>
      <c r="F58" s="1"/>
      <c r="G58" s="78"/>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1:47" hidden="1" x14ac:dyDescent="0.35">
      <c r="A59" s="68"/>
      <c r="B59" s="1"/>
      <c r="C59" s="1"/>
      <c r="D59" s="1"/>
      <c r="E59" s="1"/>
      <c r="F59" s="1"/>
      <c r="G59" s="78"/>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1:47" x14ac:dyDescent="0.35">
      <c r="A60" s="621" t="s">
        <v>283</v>
      </c>
      <c r="B60" s="1"/>
      <c r="C60" s="47"/>
      <c r="D60" s="185"/>
      <c r="E60" s="185"/>
      <c r="F60" s="1"/>
      <c r="G60" s="78"/>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1:47" hidden="1" x14ac:dyDescent="0.35">
      <c r="A61" s="68"/>
      <c r="B61" s="1"/>
      <c r="C61" s="56"/>
      <c r="D61" s="104"/>
      <c r="E61" s="105"/>
      <c r="F61" s="1"/>
      <c r="G61" s="78"/>
      <c r="H61" s="2"/>
      <c r="I61" s="2"/>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7" x14ac:dyDescent="0.35">
      <c r="A62" s="68" t="s">
        <v>74</v>
      </c>
      <c r="B62" s="1"/>
      <c r="C62" s="1"/>
      <c r="D62" s="1"/>
      <c r="E62" s="1"/>
      <c r="F62" s="1"/>
      <c r="G62" s="78"/>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7" ht="17" x14ac:dyDescent="0.5">
      <c r="A63" s="68"/>
      <c r="B63" s="33" t="s">
        <v>650</v>
      </c>
      <c r="C63" s="24" t="s">
        <v>71</v>
      </c>
      <c r="D63" s="33" t="s">
        <v>72</v>
      </c>
      <c r="E63" s="33" t="s">
        <v>75</v>
      </c>
      <c r="F63" s="33" t="s">
        <v>76</v>
      </c>
      <c r="G63" s="78"/>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7" ht="18.5" hidden="1" x14ac:dyDescent="0.45">
      <c r="A64" s="622"/>
      <c r="B64" s="577"/>
      <c r="C64" s="577"/>
      <c r="D64" s="577"/>
      <c r="E64" s="577"/>
      <c r="F64" s="577"/>
      <c r="G64" s="623"/>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x14ac:dyDescent="0.35">
      <c r="A65" s="68"/>
      <c r="B65" s="284" t="s">
        <v>402</v>
      </c>
      <c r="C65" s="2">
        <f>P118</f>
        <v>48</v>
      </c>
      <c r="D65" s="2">
        <f>P92</f>
        <v>15659800</v>
      </c>
      <c r="E65" s="633">
        <f>Rates!F111</f>
        <v>8.5478000000000012E-3</v>
      </c>
      <c r="F65" s="187">
        <f t="shared" ref="F65:F66" si="0">E65*(D65)</f>
        <v>133856.83844000002</v>
      </c>
      <c r="G65" s="78"/>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1:47" x14ac:dyDescent="0.35">
      <c r="A66" s="634"/>
      <c r="B66" s="284" t="s">
        <v>400</v>
      </c>
      <c r="C66" s="566">
        <f>P113</f>
        <v>24</v>
      </c>
      <c r="D66" s="566">
        <f>P87</f>
        <v>8778300</v>
      </c>
      <c r="E66" s="297">
        <f>E65</f>
        <v>8.5478000000000012E-3</v>
      </c>
      <c r="F66" s="292">
        <f t="shared" si="0"/>
        <v>75035.152740000005</v>
      </c>
      <c r="G66" s="78"/>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1:47" hidden="1" x14ac:dyDescent="0.35">
      <c r="A67" s="68"/>
      <c r="B67" s="1"/>
      <c r="C67" s="1"/>
      <c r="D67" s="1"/>
      <c r="E67" s="635">
        <f>E65</f>
        <v>8.5478000000000012E-3</v>
      </c>
      <c r="F67" s="1"/>
      <c r="G67" s="78"/>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7" hidden="1" x14ac:dyDescent="0.35">
      <c r="A68" s="68"/>
      <c r="B68" s="47"/>
      <c r="C68" s="185"/>
      <c r="D68" s="185"/>
      <c r="E68" s="635">
        <f>E65</f>
        <v>8.5478000000000012E-3</v>
      </c>
      <c r="F68" s="50"/>
      <c r="G68" s="153"/>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7" hidden="1" x14ac:dyDescent="0.35">
      <c r="A69" s="68"/>
      <c r="B69" s="50"/>
      <c r="C69" s="56"/>
      <c r="D69" s="56"/>
      <c r="E69" s="635">
        <f>E65</f>
        <v>8.5478000000000012E-3</v>
      </c>
      <c r="F69" s="56"/>
      <c r="G69" s="152"/>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7" x14ac:dyDescent="0.35">
      <c r="A70" s="613"/>
      <c r="B70" s="51" t="s">
        <v>73</v>
      </c>
      <c r="C70" s="52">
        <f>SUM(C65:C69)</f>
        <v>72</v>
      </c>
      <c r="D70" s="52">
        <f>SUM(D64:D69)</f>
        <v>24438100</v>
      </c>
      <c r="E70" s="52"/>
      <c r="F70" s="636">
        <f>SUM(F64:F69)</f>
        <v>208891.99118000001</v>
      </c>
      <c r="G70" s="42"/>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7" x14ac:dyDescent="0.35">
      <c r="A71" s="49"/>
      <c r="B71" s="50"/>
      <c r="C71" s="29"/>
      <c r="D71" s="29"/>
      <c r="E71" s="29"/>
      <c r="F71" s="29"/>
      <c r="G71" s="29"/>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7" x14ac:dyDescent="0.35">
      <c r="A72" s="278" t="s">
        <v>393</v>
      </c>
      <c r="B72" s="279"/>
      <c r="C72" s="191"/>
      <c r="D72" s="50"/>
      <c r="E72" s="50"/>
      <c r="F72" s="50"/>
      <c r="G72" s="50"/>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x14ac:dyDescent="0.35">
      <c r="A73" s="53"/>
      <c r="B73" s="53"/>
      <c r="C73" s="1"/>
      <c r="D73" s="50"/>
      <c r="E73" s="50"/>
      <c r="F73" s="50"/>
      <c r="G73" s="50"/>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7" x14ac:dyDescent="0.35">
      <c r="A74" s="49" t="s">
        <v>398</v>
      </c>
      <c r="B74" s="1" t="s">
        <v>417</v>
      </c>
      <c r="C74" s="185" t="s">
        <v>397</v>
      </c>
      <c r="D74" s="47" t="s">
        <v>405</v>
      </c>
      <c r="E74" s="47" t="s">
        <v>406</v>
      </c>
      <c r="F74" s="47" t="s">
        <v>407</v>
      </c>
      <c r="G74" s="47" t="s">
        <v>408</v>
      </c>
      <c r="H74" s="47" t="s">
        <v>409</v>
      </c>
      <c r="I74" s="47" t="s">
        <v>410</v>
      </c>
      <c r="J74" s="47" t="s">
        <v>411</v>
      </c>
      <c r="K74" s="47" t="s">
        <v>412</v>
      </c>
      <c r="L74" s="47" t="s">
        <v>413</v>
      </c>
      <c r="M74" s="47" t="s">
        <v>414</v>
      </c>
      <c r="N74" s="47" t="s">
        <v>415</v>
      </c>
      <c r="O74" s="47" t="s">
        <v>416</v>
      </c>
      <c r="P74" s="284" t="s">
        <v>73</v>
      </c>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7" x14ac:dyDescent="0.35">
      <c r="A75" s="49"/>
      <c r="B75" s="50"/>
      <c r="C75" s="56" t="s">
        <v>394</v>
      </c>
      <c r="D75" s="12">
        <f>2164100</f>
        <v>2164100</v>
      </c>
      <c r="E75" s="12">
        <v>2244600</v>
      </c>
      <c r="F75" s="12">
        <v>2650000</v>
      </c>
      <c r="G75" s="13">
        <v>2560600</v>
      </c>
      <c r="H75" s="13">
        <v>2737000</v>
      </c>
      <c r="I75" s="13">
        <v>1492100</v>
      </c>
      <c r="J75" s="13">
        <v>2764100</v>
      </c>
      <c r="K75" s="13">
        <v>1869500</v>
      </c>
      <c r="L75" s="13">
        <v>2073500</v>
      </c>
      <c r="M75" s="13">
        <v>2200400</v>
      </c>
      <c r="N75" s="13">
        <v>2001500</v>
      </c>
      <c r="O75" s="13">
        <v>2096600</v>
      </c>
      <c r="P75" s="13">
        <f>SUM(D75:O75)</f>
        <v>26854000</v>
      </c>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x14ac:dyDescent="0.35">
      <c r="A76" s="49"/>
      <c r="B76" s="50"/>
      <c r="C76" s="2" t="s">
        <v>395</v>
      </c>
      <c r="D76" s="12">
        <f>24734200</f>
        <v>24734200</v>
      </c>
      <c r="E76" s="12">
        <v>21405500</v>
      </c>
      <c r="F76" s="12">
        <v>17444500</v>
      </c>
      <c r="G76" s="13">
        <v>18378700</v>
      </c>
      <c r="H76" s="13">
        <v>13196000</v>
      </c>
      <c r="I76" s="13">
        <v>27101600</v>
      </c>
      <c r="J76" s="13">
        <v>13618600</v>
      </c>
      <c r="K76" s="13">
        <v>20856800</v>
      </c>
      <c r="L76" s="13">
        <v>18396300</v>
      </c>
      <c r="M76" s="13">
        <v>17852000</v>
      </c>
      <c r="N76" s="13">
        <v>18589900</v>
      </c>
      <c r="O76" s="13">
        <v>18218900</v>
      </c>
      <c r="P76" s="13">
        <f>SUM(D76:O76)</f>
        <v>229793000</v>
      </c>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7" x14ac:dyDescent="0.35">
      <c r="A77" s="49"/>
      <c r="B77" s="50"/>
      <c r="C77" s="56" t="s">
        <v>396</v>
      </c>
      <c r="D77" s="12"/>
      <c r="E77" s="13"/>
      <c r="F77" s="12"/>
      <c r="G77" s="13"/>
      <c r="H77" s="13"/>
      <c r="I77" s="13"/>
      <c r="J77" s="13"/>
      <c r="K77" s="13"/>
      <c r="L77" s="13"/>
      <c r="M77" s="13"/>
      <c r="N77" s="13"/>
      <c r="O77" s="13"/>
      <c r="P77" s="13"/>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x14ac:dyDescent="0.35">
      <c r="A78" s="1"/>
      <c r="B78" s="1"/>
      <c r="C78" s="56" t="s">
        <v>394</v>
      </c>
      <c r="D78" s="13"/>
      <c r="E78" s="13"/>
      <c r="F78" s="13"/>
      <c r="G78" s="13"/>
      <c r="H78" s="13">
        <v>90600</v>
      </c>
      <c r="I78" s="13">
        <v>79700</v>
      </c>
      <c r="J78" s="13">
        <v>95800</v>
      </c>
      <c r="K78" s="13">
        <v>81700</v>
      </c>
      <c r="L78" s="13">
        <v>84900</v>
      </c>
      <c r="M78" s="13">
        <v>89400</v>
      </c>
      <c r="N78" s="13">
        <v>87300</v>
      </c>
      <c r="O78" s="13">
        <v>78800</v>
      </c>
      <c r="P78" s="13">
        <f t="shared" ref="P78:P79" si="1">SUM(D78:O78)</f>
        <v>688200</v>
      </c>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7" x14ac:dyDescent="0.35">
      <c r="A79" s="186"/>
      <c r="B79" s="1"/>
      <c r="C79" s="2" t="s">
        <v>395</v>
      </c>
      <c r="D79" s="13"/>
      <c r="E79" s="13"/>
      <c r="F79" s="13"/>
      <c r="G79" s="13"/>
      <c r="H79" s="13">
        <v>1067800</v>
      </c>
      <c r="I79" s="13">
        <v>1738000</v>
      </c>
      <c r="J79" s="13">
        <v>1074500</v>
      </c>
      <c r="K79" s="13">
        <v>1702300</v>
      </c>
      <c r="L79" s="13">
        <v>1432800</v>
      </c>
      <c r="M79" s="13">
        <v>1305300</v>
      </c>
      <c r="N79" s="13">
        <v>1358900</v>
      </c>
      <c r="O79" s="13">
        <v>1282000</v>
      </c>
      <c r="P79" s="13">
        <f t="shared" si="1"/>
        <v>10961600</v>
      </c>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7" x14ac:dyDescent="0.35">
      <c r="A80" s="1"/>
      <c r="B80" s="1"/>
      <c r="C80" s="1" t="s">
        <v>196</v>
      </c>
      <c r="D80" s="13"/>
      <c r="E80" s="13"/>
      <c r="F80" s="13"/>
      <c r="G80" s="13"/>
      <c r="H80" s="13"/>
      <c r="I80" s="13"/>
      <c r="J80" s="13"/>
      <c r="K80" s="13"/>
      <c r="L80" s="13"/>
      <c r="M80" s="13"/>
      <c r="N80" s="13"/>
      <c r="O80" s="13"/>
      <c r="P80" s="13"/>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x14ac:dyDescent="0.35">
      <c r="A81" s="1"/>
      <c r="B81" s="47"/>
      <c r="C81" s="56" t="s">
        <v>394</v>
      </c>
      <c r="D81" s="34"/>
      <c r="E81" s="34"/>
      <c r="F81" s="13"/>
      <c r="G81" s="13"/>
      <c r="H81" s="13">
        <v>69200</v>
      </c>
      <c r="I81" s="13">
        <v>54400</v>
      </c>
      <c r="J81" s="13">
        <v>52500</v>
      </c>
      <c r="K81" s="13">
        <v>55900</v>
      </c>
      <c r="L81" s="34">
        <v>57600</v>
      </c>
      <c r="M81" s="34">
        <v>53800</v>
      </c>
      <c r="N81" s="13">
        <v>51200</v>
      </c>
      <c r="O81" s="13">
        <v>55700</v>
      </c>
      <c r="P81" s="13">
        <f t="shared" ref="P81:P82" si="2">SUM(D81:O81)</f>
        <v>450300</v>
      </c>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x14ac:dyDescent="0.35">
      <c r="A82" s="1"/>
      <c r="B82" s="103"/>
      <c r="C82" s="2" t="s">
        <v>395</v>
      </c>
      <c r="D82" s="12"/>
      <c r="E82" s="12"/>
      <c r="F82" s="13"/>
      <c r="G82" s="13"/>
      <c r="H82" s="13">
        <v>848900</v>
      </c>
      <c r="I82" s="13">
        <v>1375600</v>
      </c>
      <c r="J82" s="13">
        <v>705300</v>
      </c>
      <c r="K82" s="13">
        <v>101600</v>
      </c>
      <c r="L82" s="13">
        <v>1274700</v>
      </c>
      <c r="M82" s="13">
        <v>1421800</v>
      </c>
      <c r="N82" s="13">
        <v>1575300</v>
      </c>
      <c r="O82" s="13">
        <v>1042400</v>
      </c>
      <c r="P82" s="13">
        <f t="shared" si="2"/>
        <v>8345600</v>
      </c>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x14ac:dyDescent="0.35">
      <c r="A83" s="1"/>
      <c r="B83" s="47"/>
      <c r="C83" s="56" t="s">
        <v>399</v>
      </c>
      <c r="D83" s="12"/>
      <c r="E83" s="12"/>
      <c r="F83" s="13"/>
      <c r="G83" s="13"/>
      <c r="H83" s="13"/>
      <c r="I83" s="13"/>
      <c r="J83" s="13"/>
      <c r="K83" s="13"/>
      <c r="L83" s="13"/>
      <c r="M83" s="13"/>
      <c r="N83" s="13"/>
      <c r="O83" s="13"/>
      <c r="P83" s="13"/>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x14ac:dyDescent="0.35">
      <c r="A84" s="1"/>
      <c r="B84" s="47"/>
      <c r="C84" s="56" t="s">
        <v>394</v>
      </c>
      <c r="D84" s="12"/>
      <c r="E84" s="12"/>
      <c r="F84" s="13"/>
      <c r="G84" s="13"/>
      <c r="H84" s="13">
        <v>3400</v>
      </c>
      <c r="I84" s="13">
        <v>1600</v>
      </c>
      <c r="J84" s="13">
        <v>3000</v>
      </c>
      <c r="K84" s="13">
        <v>3700</v>
      </c>
      <c r="L84" s="13">
        <v>5400</v>
      </c>
      <c r="M84" s="13">
        <v>6200</v>
      </c>
      <c r="N84" s="13">
        <v>4800</v>
      </c>
      <c r="O84" s="13">
        <v>4400</v>
      </c>
      <c r="P84" s="13">
        <f t="shared" ref="P84:P85" si="3">SUM(D84:O84)</f>
        <v>32500</v>
      </c>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x14ac:dyDescent="0.35">
      <c r="A85" s="1"/>
      <c r="B85" s="47"/>
      <c r="C85" s="2" t="s">
        <v>395</v>
      </c>
      <c r="D85" s="12"/>
      <c r="E85" s="12"/>
      <c r="F85" s="13"/>
      <c r="G85" s="13"/>
      <c r="H85" s="13">
        <v>427800</v>
      </c>
      <c r="I85" s="13">
        <v>933400</v>
      </c>
      <c r="J85" s="13">
        <v>551200</v>
      </c>
      <c r="K85" s="13">
        <v>929600</v>
      </c>
      <c r="L85" s="13">
        <v>705900</v>
      </c>
      <c r="M85" s="13">
        <v>673400</v>
      </c>
      <c r="N85" s="13">
        <v>954300</v>
      </c>
      <c r="O85" s="13">
        <v>868200</v>
      </c>
      <c r="P85" s="13">
        <f t="shared" si="3"/>
        <v>6043800</v>
      </c>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x14ac:dyDescent="0.35">
      <c r="A86" s="1"/>
      <c r="B86" s="47"/>
      <c r="C86" s="56" t="s">
        <v>400</v>
      </c>
      <c r="D86" s="12"/>
      <c r="E86" s="12"/>
      <c r="F86" s="13"/>
      <c r="G86" s="13"/>
      <c r="H86" s="13"/>
      <c r="I86" s="13"/>
      <c r="J86" s="13"/>
      <c r="K86" s="13"/>
      <c r="L86" s="13"/>
      <c r="M86" s="13"/>
      <c r="N86" s="13"/>
      <c r="O86" s="13"/>
      <c r="P86" s="13"/>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x14ac:dyDescent="0.35">
      <c r="A87" s="1"/>
      <c r="B87" s="47"/>
      <c r="C87" s="56"/>
      <c r="D87" s="12">
        <v>933700</v>
      </c>
      <c r="E87" s="12">
        <v>785700</v>
      </c>
      <c r="F87" s="13">
        <v>629000</v>
      </c>
      <c r="G87" s="13">
        <v>671500</v>
      </c>
      <c r="H87" s="13">
        <v>612400</v>
      </c>
      <c r="I87" s="13">
        <v>963900</v>
      </c>
      <c r="J87" s="13">
        <v>516200</v>
      </c>
      <c r="K87" s="13">
        <v>797300</v>
      </c>
      <c r="L87" s="13">
        <v>695600</v>
      </c>
      <c r="M87" s="13">
        <v>793900</v>
      </c>
      <c r="N87" s="13">
        <v>752300</v>
      </c>
      <c r="O87" s="13">
        <v>626800</v>
      </c>
      <c r="P87" s="13">
        <f>SUM(D87:O87)</f>
        <v>8778300</v>
      </c>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x14ac:dyDescent="0.35">
      <c r="A88" s="1"/>
      <c r="B88" s="47"/>
      <c r="C88" s="56" t="s">
        <v>401</v>
      </c>
      <c r="D88" s="12"/>
      <c r="E88" s="12"/>
      <c r="F88" s="13"/>
      <c r="G88" s="13"/>
      <c r="H88" s="13"/>
      <c r="I88" s="13"/>
      <c r="J88" s="13"/>
      <c r="K88" s="13"/>
      <c r="L88" s="13"/>
      <c r="M88" s="13"/>
      <c r="N88" s="13"/>
      <c r="O88" s="13"/>
      <c r="P88" s="13"/>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x14ac:dyDescent="0.35">
      <c r="A89" s="1"/>
      <c r="B89" s="47"/>
      <c r="C89" s="56" t="s">
        <v>418</v>
      </c>
      <c r="D89" s="12">
        <v>483800</v>
      </c>
      <c r="E89" s="12">
        <v>358500</v>
      </c>
      <c r="F89" s="13">
        <v>347300</v>
      </c>
      <c r="G89" s="13">
        <v>520500</v>
      </c>
      <c r="H89" s="13">
        <v>600000</v>
      </c>
      <c r="I89" s="13">
        <v>600000</v>
      </c>
      <c r="J89" s="13">
        <v>600000</v>
      </c>
      <c r="K89" s="13">
        <v>600000</v>
      </c>
      <c r="L89" s="13">
        <v>600000</v>
      </c>
      <c r="M89" s="13">
        <v>593400</v>
      </c>
      <c r="N89" s="13">
        <v>549500</v>
      </c>
      <c r="O89" s="13">
        <v>345800</v>
      </c>
      <c r="P89" s="13">
        <f>SUM(D89:O89)</f>
        <v>6198800</v>
      </c>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x14ac:dyDescent="0.35">
      <c r="A90" s="1"/>
      <c r="B90" s="47"/>
      <c r="C90" s="56" t="s">
        <v>419</v>
      </c>
      <c r="D90" s="12"/>
      <c r="E90" s="12"/>
      <c r="F90" s="13"/>
      <c r="G90" s="13"/>
      <c r="H90" s="13">
        <v>62600</v>
      </c>
      <c r="I90" s="13">
        <v>680300</v>
      </c>
      <c r="J90" s="13">
        <v>212200</v>
      </c>
      <c r="K90" s="13">
        <v>1186700</v>
      </c>
      <c r="L90" s="13">
        <v>50600</v>
      </c>
      <c r="M90" s="13"/>
      <c r="N90" s="13"/>
      <c r="O90" s="13"/>
      <c r="P90" s="13">
        <f>SUM(D90:O90)</f>
        <v>2192400</v>
      </c>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x14ac:dyDescent="0.35">
      <c r="A91" s="1"/>
      <c r="B91" s="1"/>
      <c r="C91" s="56" t="s">
        <v>402</v>
      </c>
      <c r="D91" s="12"/>
      <c r="E91" s="12"/>
      <c r="F91" s="13"/>
      <c r="G91" s="13"/>
      <c r="H91" s="13"/>
      <c r="I91" s="13"/>
      <c r="J91" s="13"/>
      <c r="K91" s="13"/>
      <c r="L91" s="13"/>
      <c r="M91" s="13"/>
      <c r="N91" s="13"/>
      <c r="O91" s="13"/>
      <c r="P91" s="13"/>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ht="16" x14ac:dyDescent="0.35">
      <c r="A92" s="259"/>
      <c r="B92" s="259"/>
      <c r="C92" s="259"/>
      <c r="D92" s="283">
        <v>1607600</v>
      </c>
      <c r="E92" s="283">
        <v>1945400</v>
      </c>
      <c r="F92" s="13">
        <v>1985500</v>
      </c>
      <c r="G92" s="13">
        <v>1467000</v>
      </c>
      <c r="H92" s="13">
        <v>1139200</v>
      </c>
      <c r="I92" s="13">
        <v>1599300</v>
      </c>
      <c r="J92" s="13">
        <v>825200</v>
      </c>
      <c r="K92" s="13">
        <v>874600</v>
      </c>
      <c r="L92" s="13">
        <v>924100</v>
      </c>
      <c r="M92" s="13">
        <v>994400</v>
      </c>
      <c r="N92" s="13">
        <v>1182600</v>
      </c>
      <c r="O92" s="13">
        <v>1114900</v>
      </c>
      <c r="P92" s="13">
        <f>SUM(D92:O92)</f>
        <v>15659800</v>
      </c>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x14ac:dyDescent="0.35">
      <c r="A93" s="1"/>
      <c r="B93" s="1"/>
      <c r="C93" s="1" t="s">
        <v>403</v>
      </c>
      <c r="D93" s="13"/>
      <c r="E93" s="13"/>
      <c r="F93" s="13"/>
      <c r="G93" s="13"/>
      <c r="H93" s="13"/>
      <c r="I93" s="13"/>
      <c r="J93" s="13"/>
      <c r="K93" s="13"/>
      <c r="L93" s="13"/>
      <c r="M93" s="13"/>
      <c r="N93" s="13"/>
      <c r="O93" s="13"/>
      <c r="P93" s="13"/>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x14ac:dyDescent="0.35">
      <c r="A94" s="1"/>
      <c r="B94" s="47"/>
      <c r="C94" s="185" t="s">
        <v>420</v>
      </c>
      <c r="D94" s="34">
        <v>1950000</v>
      </c>
      <c r="E94" s="34">
        <v>1950000</v>
      </c>
      <c r="F94" s="13">
        <v>1950000</v>
      </c>
      <c r="G94" s="13">
        <v>1950000</v>
      </c>
      <c r="H94" s="13">
        <v>1950000</v>
      </c>
      <c r="I94" s="13">
        <v>1950000</v>
      </c>
      <c r="J94" s="13">
        <v>1950000</v>
      </c>
      <c r="K94" s="13">
        <v>1950000</v>
      </c>
      <c r="L94" s="34">
        <v>1950000</v>
      </c>
      <c r="M94" s="34">
        <v>1950000</v>
      </c>
      <c r="N94" s="13">
        <v>1950000</v>
      </c>
      <c r="O94" s="13">
        <v>1950000</v>
      </c>
      <c r="P94" s="13">
        <f t="shared" ref="P94:P95" si="4">SUM(D94:O94)</f>
        <v>23400000</v>
      </c>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x14ac:dyDescent="0.35">
      <c r="A95" s="1"/>
      <c r="B95" s="47"/>
      <c r="C95" s="56" t="s">
        <v>404</v>
      </c>
      <c r="D95" s="12">
        <v>6326200</v>
      </c>
      <c r="E95" s="12">
        <v>6966800</v>
      </c>
      <c r="F95" s="13">
        <v>5109000</v>
      </c>
      <c r="G95" s="13">
        <v>5774200</v>
      </c>
      <c r="H95" s="13">
        <v>6787900</v>
      </c>
      <c r="I95" s="13">
        <v>9913900</v>
      </c>
      <c r="J95" s="13">
        <v>5511300</v>
      </c>
      <c r="K95" s="13">
        <v>7627500</v>
      </c>
      <c r="L95" s="13">
        <v>6654900</v>
      </c>
      <c r="M95" s="13">
        <v>8766100</v>
      </c>
      <c r="N95" s="13">
        <v>11867700</v>
      </c>
      <c r="O95" s="13">
        <v>9627800</v>
      </c>
      <c r="P95" s="13">
        <f t="shared" si="4"/>
        <v>90933300</v>
      </c>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x14ac:dyDescent="0.35">
      <c r="A96" s="1"/>
      <c r="B96" s="47"/>
      <c r="C96" s="56"/>
      <c r="D96" s="12"/>
      <c r="E96" s="12"/>
      <c r="F96" s="13"/>
      <c r="G96" s="13"/>
      <c r="H96" s="13"/>
      <c r="I96" s="13"/>
      <c r="J96" s="13"/>
      <c r="K96" s="13"/>
      <c r="L96" s="13"/>
      <c r="M96" s="13"/>
      <c r="N96" s="13"/>
      <c r="O96" s="13"/>
      <c r="P96" s="13"/>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x14ac:dyDescent="0.35">
      <c r="A97" s="1"/>
      <c r="B97" s="47"/>
      <c r="C97" s="40" t="s">
        <v>41</v>
      </c>
      <c r="D97" s="15">
        <f>SUM(D75:D95)</f>
        <v>38199600</v>
      </c>
      <c r="E97" s="15">
        <f t="shared" ref="E97:O97" si="5">SUM(E75:E95)</f>
        <v>35656500</v>
      </c>
      <c r="F97" s="15">
        <f t="shared" si="5"/>
        <v>30115300</v>
      </c>
      <c r="G97" s="15">
        <f t="shared" si="5"/>
        <v>31322500</v>
      </c>
      <c r="H97" s="15">
        <f t="shared" si="5"/>
        <v>29592800</v>
      </c>
      <c r="I97" s="15">
        <f t="shared" si="5"/>
        <v>48483800</v>
      </c>
      <c r="J97" s="15">
        <f t="shared" si="5"/>
        <v>28479900</v>
      </c>
      <c r="K97" s="15">
        <f t="shared" si="5"/>
        <v>38637200</v>
      </c>
      <c r="L97" s="15">
        <f t="shared" si="5"/>
        <v>34906300</v>
      </c>
      <c r="M97" s="15">
        <f t="shared" si="5"/>
        <v>36700100</v>
      </c>
      <c r="N97" s="15">
        <f t="shared" si="5"/>
        <v>40925300</v>
      </c>
      <c r="O97" s="15">
        <f t="shared" si="5"/>
        <v>37312300</v>
      </c>
      <c r="P97" s="15">
        <f>SUM(D97:O97)</f>
        <v>430331600</v>
      </c>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x14ac:dyDescent="0.35">
      <c r="A98" s="1"/>
      <c r="B98" s="103"/>
      <c r="C98" s="56"/>
      <c r="D98" s="77"/>
      <c r="E98" s="56"/>
      <c r="F98" s="1"/>
      <c r="G98" s="1"/>
      <c r="H98" s="1"/>
      <c r="I98" s="1"/>
      <c r="J98" s="1"/>
      <c r="K98" s="1">
        <v>38097200</v>
      </c>
      <c r="L98" s="2"/>
      <c r="M98" s="2"/>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x14ac:dyDescent="0.35">
      <c r="A99" s="1"/>
      <c r="B99" s="47"/>
      <c r="C99" s="56"/>
      <c r="D99" s="77"/>
      <c r="E99" s="56"/>
      <c r="F99" s="1"/>
      <c r="G99" s="1"/>
      <c r="H99" s="1"/>
      <c r="I99" s="1"/>
      <c r="J99" s="1"/>
      <c r="K99" s="2">
        <f>K97-K98</f>
        <v>540000</v>
      </c>
      <c r="L99" s="2"/>
      <c r="M99" s="2"/>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x14ac:dyDescent="0.35">
      <c r="A100" s="49"/>
      <c r="B100" s="1" t="s">
        <v>71</v>
      </c>
      <c r="C100" s="185" t="s">
        <v>397</v>
      </c>
      <c r="D100" s="47" t="s">
        <v>405</v>
      </c>
      <c r="E100" s="47" t="s">
        <v>406</v>
      </c>
      <c r="F100" s="47" t="s">
        <v>407</v>
      </c>
      <c r="G100" s="47" t="s">
        <v>408</v>
      </c>
      <c r="H100" s="47" t="s">
        <v>409</v>
      </c>
      <c r="I100" s="47" t="s">
        <v>410</v>
      </c>
      <c r="J100" s="47" t="s">
        <v>411</v>
      </c>
      <c r="K100" s="47" t="s">
        <v>412</v>
      </c>
      <c r="L100" s="47" t="s">
        <v>413</v>
      </c>
      <c r="M100" s="47" t="s">
        <v>414</v>
      </c>
      <c r="N100" s="47" t="s">
        <v>415</v>
      </c>
      <c r="O100" s="47" t="s">
        <v>416</v>
      </c>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x14ac:dyDescent="0.35">
      <c r="A101" s="49"/>
      <c r="B101" s="50"/>
      <c r="C101" s="56" t="s">
        <v>394</v>
      </c>
      <c r="D101" s="12">
        <v>2327</v>
      </c>
      <c r="E101" s="12">
        <v>2385</v>
      </c>
      <c r="F101" s="12">
        <v>2745</v>
      </c>
      <c r="G101" s="13">
        <v>2618</v>
      </c>
      <c r="H101" s="13">
        <v>2641</v>
      </c>
      <c r="I101" s="13">
        <v>1542</v>
      </c>
      <c r="J101" s="13">
        <v>2682</v>
      </c>
      <c r="K101" s="13">
        <v>1863</v>
      </c>
      <c r="L101" s="13">
        <v>2069</v>
      </c>
      <c r="M101" s="13">
        <v>2134</v>
      </c>
      <c r="N101" s="13">
        <v>2014</v>
      </c>
      <c r="O101" s="13">
        <v>2079</v>
      </c>
      <c r="P101" s="13">
        <f t="shared" ref="P101:P102" si="6">SUM(D101:O101)</f>
        <v>27099</v>
      </c>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1:47" x14ac:dyDescent="0.35">
      <c r="A102" s="49"/>
      <c r="B102" s="50"/>
      <c r="C102" s="2" t="s">
        <v>395</v>
      </c>
      <c r="D102" s="12">
        <v>3985</v>
      </c>
      <c r="E102" s="12">
        <v>3909</v>
      </c>
      <c r="F102" s="12">
        <v>3518</v>
      </c>
      <c r="G102" s="13">
        <v>3644</v>
      </c>
      <c r="H102" s="13">
        <v>3165</v>
      </c>
      <c r="I102" s="13">
        <v>4285</v>
      </c>
      <c r="J102" s="13">
        <v>3149</v>
      </c>
      <c r="K102" s="13">
        <v>3980</v>
      </c>
      <c r="L102" s="13">
        <v>3762</v>
      </c>
      <c r="M102" s="13">
        <v>3703</v>
      </c>
      <c r="N102" s="13">
        <v>3827</v>
      </c>
      <c r="O102" s="13">
        <v>3744</v>
      </c>
      <c r="P102" s="13">
        <f t="shared" si="6"/>
        <v>44671</v>
      </c>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x14ac:dyDescent="0.35">
      <c r="A103" s="49"/>
      <c r="B103" s="50"/>
      <c r="C103" s="56" t="s">
        <v>396</v>
      </c>
      <c r="D103" s="12"/>
      <c r="E103" s="13"/>
      <c r="F103" s="12"/>
      <c r="G103" s="13"/>
      <c r="H103" s="13"/>
      <c r="I103" s="13"/>
      <c r="J103" s="13"/>
      <c r="K103" s="13"/>
      <c r="L103" s="13"/>
      <c r="M103" s="13"/>
      <c r="N103" s="13"/>
      <c r="O103" s="13"/>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47" x14ac:dyDescent="0.35">
      <c r="A104" s="1"/>
      <c r="B104" s="1"/>
      <c r="C104" s="56" t="s">
        <v>394</v>
      </c>
      <c r="D104" s="13"/>
      <c r="E104" s="13"/>
      <c r="F104" s="13"/>
      <c r="G104" s="13"/>
      <c r="H104" s="13">
        <v>141</v>
      </c>
      <c r="I104" s="13">
        <v>120</v>
      </c>
      <c r="J104" s="13">
        <v>150</v>
      </c>
      <c r="K104" s="13">
        <v>123</v>
      </c>
      <c r="L104" s="13">
        <v>135</v>
      </c>
      <c r="M104" s="13">
        <v>136</v>
      </c>
      <c r="N104" s="13">
        <v>128</v>
      </c>
      <c r="O104" s="13">
        <v>126</v>
      </c>
      <c r="P104" s="13">
        <f t="shared" ref="P104:P105" si="7">SUM(D104:O104)</f>
        <v>1059</v>
      </c>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x14ac:dyDescent="0.35">
      <c r="A105" s="186"/>
      <c r="B105" s="1"/>
      <c r="C105" s="2" t="s">
        <v>395</v>
      </c>
      <c r="D105" s="13"/>
      <c r="E105" s="13"/>
      <c r="F105" s="13"/>
      <c r="G105" s="13"/>
      <c r="H105" s="13">
        <v>114</v>
      </c>
      <c r="I105" s="13">
        <v>137</v>
      </c>
      <c r="J105" s="13">
        <v>104</v>
      </c>
      <c r="K105" s="13">
        <v>132</v>
      </c>
      <c r="L105" s="13">
        <v>120</v>
      </c>
      <c r="M105" s="13">
        <v>119</v>
      </c>
      <c r="N105" s="13">
        <v>121</v>
      </c>
      <c r="O105" s="13">
        <v>122</v>
      </c>
      <c r="P105" s="13">
        <f t="shared" si="7"/>
        <v>969</v>
      </c>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x14ac:dyDescent="0.35">
      <c r="A106" s="1"/>
      <c r="B106" s="1"/>
      <c r="C106" s="1" t="s">
        <v>196</v>
      </c>
      <c r="D106" s="13"/>
      <c r="E106" s="13"/>
      <c r="F106" s="13"/>
      <c r="G106" s="13"/>
      <c r="H106" s="13"/>
      <c r="I106" s="13"/>
      <c r="J106" s="13"/>
      <c r="K106" s="13"/>
      <c r="L106" s="13"/>
      <c r="M106" s="13"/>
      <c r="N106" s="13"/>
      <c r="O106" s="13"/>
      <c r="P106" s="1"/>
      <c r="Q106" s="1"/>
    </row>
    <row r="107" spans="1:47" x14ac:dyDescent="0.35">
      <c r="A107" s="1"/>
      <c r="B107" s="47"/>
      <c r="C107" s="56" t="s">
        <v>394</v>
      </c>
      <c r="D107" s="34"/>
      <c r="E107" s="34"/>
      <c r="F107" s="13"/>
      <c r="G107" s="13"/>
      <c r="H107" s="13">
        <v>132</v>
      </c>
      <c r="I107" s="13">
        <v>110</v>
      </c>
      <c r="J107" s="13">
        <v>129</v>
      </c>
      <c r="K107" s="13">
        <v>116</v>
      </c>
      <c r="L107" s="34">
        <v>119</v>
      </c>
      <c r="M107" s="34">
        <v>117</v>
      </c>
      <c r="N107" s="13">
        <v>115</v>
      </c>
      <c r="O107" s="13">
        <v>121</v>
      </c>
      <c r="P107" s="13">
        <f t="shared" ref="P107:P108" si="8">SUM(D107:O107)</f>
        <v>959</v>
      </c>
      <c r="Q107" s="1"/>
    </row>
    <row r="108" spans="1:47" x14ac:dyDescent="0.35">
      <c r="A108" s="1"/>
      <c r="B108" s="103"/>
      <c r="C108" s="2" t="s">
        <v>395</v>
      </c>
      <c r="D108" s="12"/>
      <c r="E108" s="12"/>
      <c r="F108" s="13"/>
      <c r="G108" s="13"/>
      <c r="H108" s="13">
        <v>49</v>
      </c>
      <c r="I108" s="13">
        <v>71</v>
      </c>
      <c r="J108" s="13">
        <v>52</v>
      </c>
      <c r="K108" s="13">
        <v>66</v>
      </c>
      <c r="L108" s="13">
        <v>63</v>
      </c>
      <c r="M108" s="13">
        <v>65</v>
      </c>
      <c r="N108" s="13">
        <v>66</v>
      </c>
      <c r="O108" s="13">
        <v>60</v>
      </c>
      <c r="P108" s="13">
        <f t="shared" si="8"/>
        <v>492</v>
      </c>
      <c r="Q108" s="1"/>
    </row>
    <row r="109" spans="1:47" x14ac:dyDescent="0.35">
      <c r="A109" s="1"/>
      <c r="B109" s="47"/>
      <c r="C109" s="56" t="s">
        <v>399</v>
      </c>
      <c r="D109" s="12"/>
      <c r="E109" s="12"/>
      <c r="F109" s="13"/>
      <c r="G109" s="13"/>
      <c r="H109" s="13"/>
      <c r="I109" s="13"/>
      <c r="J109" s="13"/>
      <c r="K109" s="13"/>
      <c r="L109" s="13"/>
      <c r="M109" s="13"/>
      <c r="N109" s="13"/>
      <c r="O109" s="13"/>
      <c r="P109" s="1"/>
      <c r="Q109" s="1"/>
    </row>
    <row r="110" spans="1:47" x14ac:dyDescent="0.35">
      <c r="A110" s="1"/>
      <c r="B110" s="47"/>
      <c r="C110" s="56" t="s">
        <v>394</v>
      </c>
      <c r="D110" s="12"/>
      <c r="E110" s="12"/>
      <c r="F110" s="13"/>
      <c r="G110" s="13"/>
      <c r="H110" s="13">
        <v>5</v>
      </c>
      <c r="I110" s="13">
        <v>4</v>
      </c>
      <c r="J110" s="13">
        <v>6</v>
      </c>
      <c r="K110" s="13">
        <v>6</v>
      </c>
      <c r="L110" s="13">
        <v>7</v>
      </c>
      <c r="M110" s="13">
        <v>7</v>
      </c>
      <c r="N110" s="13">
        <v>7</v>
      </c>
      <c r="O110" s="13">
        <v>6</v>
      </c>
      <c r="P110" s="13">
        <f t="shared" ref="P110:P111" si="9">SUM(D110:O110)</f>
        <v>48</v>
      </c>
      <c r="Q110" s="1"/>
    </row>
    <row r="111" spans="1:47" x14ac:dyDescent="0.35">
      <c r="A111" s="1"/>
      <c r="B111" s="47"/>
      <c r="C111" s="2" t="s">
        <v>395</v>
      </c>
      <c r="D111" s="12"/>
      <c r="E111" s="12"/>
      <c r="F111" s="13"/>
      <c r="G111" s="13"/>
      <c r="H111" s="13">
        <v>21</v>
      </c>
      <c r="I111" s="13">
        <v>22</v>
      </c>
      <c r="J111" s="13">
        <v>20</v>
      </c>
      <c r="K111" s="13">
        <v>20</v>
      </c>
      <c r="L111" s="13">
        <v>19</v>
      </c>
      <c r="M111" s="13">
        <v>19</v>
      </c>
      <c r="N111" s="13">
        <v>20</v>
      </c>
      <c r="O111" s="13">
        <v>20</v>
      </c>
      <c r="P111" s="13">
        <f t="shared" si="9"/>
        <v>161</v>
      </c>
      <c r="Q111" s="1"/>
    </row>
    <row r="112" spans="1:47" x14ac:dyDescent="0.35">
      <c r="A112" s="1"/>
      <c r="B112" s="47"/>
      <c r="C112" s="56" t="s">
        <v>400</v>
      </c>
      <c r="D112" s="12"/>
      <c r="E112" s="12"/>
      <c r="F112" s="13"/>
      <c r="G112" s="13"/>
      <c r="H112" s="13"/>
      <c r="I112" s="13"/>
      <c r="J112" s="13"/>
      <c r="K112" s="13"/>
      <c r="L112" s="13"/>
      <c r="M112" s="13"/>
      <c r="N112" s="13"/>
      <c r="O112" s="13"/>
      <c r="P112" s="1"/>
      <c r="Q112" s="1"/>
    </row>
    <row r="113" spans="1:17" x14ac:dyDescent="0.35">
      <c r="A113" s="1"/>
      <c r="B113" s="47"/>
      <c r="C113" s="56"/>
      <c r="D113" s="12">
        <v>2</v>
      </c>
      <c r="E113" s="12">
        <v>2</v>
      </c>
      <c r="F113" s="13">
        <v>2</v>
      </c>
      <c r="G113" s="13">
        <v>2</v>
      </c>
      <c r="H113" s="13">
        <v>2</v>
      </c>
      <c r="I113" s="13">
        <v>2</v>
      </c>
      <c r="J113" s="13">
        <v>2</v>
      </c>
      <c r="K113" s="13">
        <v>2</v>
      </c>
      <c r="L113" s="13">
        <v>2</v>
      </c>
      <c r="M113" s="13">
        <v>2</v>
      </c>
      <c r="N113" s="13">
        <v>2</v>
      </c>
      <c r="O113" s="13">
        <v>2</v>
      </c>
      <c r="P113" s="13">
        <f>SUM(D113:O113)</f>
        <v>24</v>
      </c>
      <c r="Q113" s="1"/>
    </row>
    <row r="114" spans="1:17" x14ac:dyDescent="0.35">
      <c r="A114" s="1"/>
      <c r="B114" s="47"/>
      <c r="C114" s="56" t="s">
        <v>401</v>
      </c>
      <c r="D114" s="12"/>
      <c r="E114" s="12"/>
      <c r="F114" s="13"/>
      <c r="G114" s="13"/>
      <c r="H114" s="13"/>
      <c r="I114" s="13"/>
      <c r="J114" s="13"/>
      <c r="K114" s="13"/>
      <c r="L114" s="13"/>
      <c r="M114" s="13"/>
      <c r="N114" s="13"/>
      <c r="O114" s="13"/>
      <c r="P114" s="1"/>
      <c r="Q114" s="1"/>
    </row>
    <row r="115" spans="1:17" x14ac:dyDescent="0.35">
      <c r="A115" s="1"/>
      <c r="B115" s="47"/>
      <c r="C115" s="56" t="s">
        <v>418</v>
      </c>
      <c r="D115" s="12">
        <v>1</v>
      </c>
      <c r="E115" s="12">
        <v>1</v>
      </c>
      <c r="F115" s="13">
        <v>1</v>
      </c>
      <c r="G115" s="13">
        <v>1</v>
      </c>
      <c r="H115" s="13">
        <v>1</v>
      </c>
      <c r="I115" s="13">
        <v>1</v>
      </c>
      <c r="J115" s="13">
        <v>1</v>
      </c>
      <c r="K115" s="13">
        <v>1</v>
      </c>
      <c r="L115" s="13">
        <v>1</v>
      </c>
      <c r="M115" s="13">
        <v>1</v>
      </c>
      <c r="N115" s="13">
        <v>1</v>
      </c>
      <c r="O115" s="13">
        <v>1</v>
      </c>
      <c r="P115" s="13">
        <f>SUM(D115:O115)</f>
        <v>12</v>
      </c>
      <c r="Q115" s="1"/>
    </row>
    <row r="116" spans="1:17" x14ac:dyDescent="0.35">
      <c r="A116" s="1"/>
      <c r="B116" s="47"/>
      <c r="C116" s="56" t="s">
        <v>419</v>
      </c>
      <c r="D116" s="12"/>
      <c r="E116" s="12"/>
      <c r="F116" s="13"/>
      <c r="G116" s="13"/>
      <c r="H116" s="13"/>
      <c r="I116" s="13"/>
      <c r="J116" s="13"/>
      <c r="K116" s="13"/>
      <c r="L116" s="13"/>
      <c r="M116" s="13"/>
      <c r="N116" s="13"/>
      <c r="O116" s="13"/>
      <c r="P116" s="1"/>
      <c r="Q116" s="1"/>
    </row>
    <row r="117" spans="1:17" x14ac:dyDescent="0.35">
      <c r="A117" s="1"/>
      <c r="B117" s="1"/>
      <c r="C117" s="56" t="s">
        <v>402</v>
      </c>
      <c r="D117" s="12"/>
      <c r="E117" s="12"/>
      <c r="F117" s="13"/>
      <c r="G117" s="13"/>
      <c r="H117" s="13"/>
      <c r="I117" s="13"/>
      <c r="J117" s="13"/>
      <c r="K117" s="13"/>
      <c r="L117" s="13"/>
      <c r="M117" s="13"/>
      <c r="N117" s="13"/>
      <c r="O117" s="13"/>
      <c r="P117" s="1"/>
      <c r="Q117" s="1"/>
    </row>
    <row r="118" spans="1:17" ht="16" x14ac:dyDescent="0.35">
      <c r="A118" s="259"/>
      <c r="B118" s="259"/>
      <c r="C118" s="259"/>
      <c r="D118" s="281">
        <v>4</v>
      </c>
      <c r="E118" s="281">
        <v>4</v>
      </c>
      <c r="F118" s="13">
        <v>4</v>
      </c>
      <c r="G118" s="13">
        <v>4</v>
      </c>
      <c r="H118" s="13">
        <v>4</v>
      </c>
      <c r="I118" s="13">
        <v>4</v>
      </c>
      <c r="J118" s="13">
        <v>4</v>
      </c>
      <c r="K118" s="13">
        <v>4</v>
      </c>
      <c r="L118" s="13">
        <v>4</v>
      </c>
      <c r="M118" s="13">
        <v>4</v>
      </c>
      <c r="N118" s="13">
        <v>4</v>
      </c>
      <c r="O118" s="13">
        <v>4</v>
      </c>
      <c r="P118" s="13">
        <f>SUM(D118:O118)</f>
        <v>48</v>
      </c>
      <c r="Q118" s="1"/>
    </row>
    <row r="119" spans="1:17" x14ac:dyDescent="0.35">
      <c r="A119" s="1"/>
      <c r="B119" s="1"/>
      <c r="C119" s="1" t="s">
        <v>403</v>
      </c>
      <c r="D119" s="13"/>
      <c r="E119" s="13"/>
      <c r="F119" s="13"/>
      <c r="G119" s="13"/>
      <c r="H119" s="13"/>
      <c r="I119" s="13"/>
      <c r="J119" s="13"/>
      <c r="K119" s="13"/>
      <c r="L119" s="13"/>
      <c r="M119" s="13"/>
      <c r="N119" s="13"/>
      <c r="O119" s="13"/>
      <c r="P119" s="1"/>
      <c r="Q119" s="1"/>
    </row>
    <row r="120" spans="1:17" x14ac:dyDescent="0.35">
      <c r="A120" s="1"/>
      <c r="B120" s="47"/>
      <c r="C120" s="185" t="s">
        <v>420</v>
      </c>
      <c r="D120" s="282">
        <v>1</v>
      </c>
      <c r="E120" s="282">
        <v>1</v>
      </c>
      <c r="F120" s="282">
        <v>1</v>
      </c>
      <c r="G120" s="282">
        <v>1</v>
      </c>
      <c r="H120" s="282">
        <v>1</v>
      </c>
      <c r="I120" s="282">
        <v>1</v>
      </c>
      <c r="J120" s="282">
        <v>1</v>
      </c>
      <c r="K120" s="13">
        <v>1</v>
      </c>
      <c r="L120" s="34">
        <v>1</v>
      </c>
      <c r="M120" s="34">
        <v>1</v>
      </c>
      <c r="N120" s="13">
        <v>1</v>
      </c>
      <c r="O120" s="13">
        <v>1</v>
      </c>
      <c r="P120" s="13">
        <f>SUM(D120:O120)</f>
        <v>12</v>
      </c>
      <c r="Q120" s="1"/>
    </row>
    <row r="121" spans="1:17" x14ac:dyDescent="0.35">
      <c r="A121" s="1"/>
      <c r="B121" s="47"/>
      <c r="C121" s="56" t="s">
        <v>421</v>
      </c>
      <c r="D121" s="12"/>
      <c r="E121" s="12"/>
      <c r="F121" s="13"/>
      <c r="G121" s="13"/>
      <c r="H121" s="13"/>
      <c r="I121" s="13"/>
      <c r="J121" s="13"/>
      <c r="K121" s="13"/>
      <c r="L121" s="13"/>
      <c r="M121" s="13"/>
      <c r="N121" s="13"/>
      <c r="O121" s="13"/>
      <c r="P121" s="1"/>
      <c r="Q121" s="1"/>
    </row>
    <row r="122" spans="1:17" x14ac:dyDescent="0.35">
      <c r="A122" s="1"/>
      <c r="B122" s="47"/>
      <c r="C122" s="56"/>
      <c r="D122" s="12"/>
      <c r="E122" s="12"/>
      <c r="F122" s="13"/>
      <c r="G122" s="13"/>
      <c r="H122" s="13"/>
      <c r="I122" s="13"/>
      <c r="J122" s="13"/>
      <c r="K122" s="13"/>
      <c r="L122" s="13"/>
      <c r="M122" s="13"/>
      <c r="N122" s="13"/>
      <c r="O122" s="13"/>
      <c r="P122" s="1"/>
      <c r="Q122" s="1"/>
    </row>
    <row r="123" spans="1:17" x14ac:dyDescent="0.35">
      <c r="A123" s="1"/>
      <c r="B123" s="47"/>
      <c r="C123" s="56" t="s">
        <v>13</v>
      </c>
      <c r="D123" s="15">
        <f>SUM(D101:D122)</f>
        <v>6320</v>
      </c>
      <c r="E123" s="15">
        <f t="shared" ref="E123:O123" si="10">SUM(E101:E122)</f>
        <v>6302</v>
      </c>
      <c r="F123" s="15">
        <f t="shared" si="10"/>
        <v>6271</v>
      </c>
      <c r="G123" s="15">
        <f t="shared" si="10"/>
        <v>6270</v>
      </c>
      <c r="H123" s="15">
        <f t="shared" si="10"/>
        <v>6276</v>
      </c>
      <c r="I123" s="15">
        <f t="shared" si="10"/>
        <v>6299</v>
      </c>
      <c r="J123" s="359">
        <f t="shared" si="10"/>
        <v>6300</v>
      </c>
      <c r="K123" s="15">
        <f t="shared" si="10"/>
        <v>6314</v>
      </c>
      <c r="L123" s="15">
        <f t="shared" si="10"/>
        <v>6302</v>
      </c>
      <c r="M123" s="15">
        <f t="shared" si="10"/>
        <v>6308</v>
      </c>
      <c r="N123" s="15">
        <f t="shared" si="10"/>
        <v>6306</v>
      </c>
      <c r="O123" s="15">
        <f t="shared" si="10"/>
        <v>6286</v>
      </c>
      <c r="P123" s="15">
        <f>SUM(D123:O123)</f>
        <v>75554</v>
      </c>
      <c r="Q123" s="1"/>
    </row>
    <row r="124" spans="1:17" x14ac:dyDescent="0.35">
      <c r="A124" s="1"/>
      <c r="B124" s="1"/>
      <c r="C124" s="1"/>
      <c r="D124" s="1"/>
      <c r="E124" s="1"/>
      <c r="F124" s="1"/>
      <c r="G124" s="1"/>
      <c r="H124" s="1"/>
      <c r="I124" s="1"/>
      <c r="J124" s="1"/>
      <c r="K124" s="1"/>
      <c r="L124" s="1"/>
      <c r="M124" s="1"/>
      <c r="N124" s="1"/>
      <c r="O124" s="1"/>
      <c r="P124" s="1"/>
      <c r="Q124" s="1"/>
    </row>
    <row r="125" spans="1:17" x14ac:dyDescent="0.35">
      <c r="A125" s="1" t="s">
        <v>35</v>
      </c>
      <c r="B125" s="47" t="s">
        <v>423</v>
      </c>
      <c r="C125" s="47" t="s">
        <v>424</v>
      </c>
      <c r="D125" s="47" t="s">
        <v>425</v>
      </c>
      <c r="E125" s="47" t="s">
        <v>426</v>
      </c>
      <c r="F125" s="47" t="s">
        <v>409</v>
      </c>
      <c r="G125" s="47" t="s">
        <v>427</v>
      </c>
      <c r="H125" s="47" t="s">
        <v>428</v>
      </c>
      <c r="I125" s="47" t="s">
        <v>429</v>
      </c>
      <c r="J125" s="47" t="s">
        <v>430</v>
      </c>
      <c r="K125" s="47" t="s">
        <v>431</v>
      </c>
      <c r="L125" s="47" t="s">
        <v>432</v>
      </c>
      <c r="M125" s="47" t="s">
        <v>433</v>
      </c>
      <c r="N125" s="1"/>
      <c r="O125" s="1"/>
      <c r="P125" s="1"/>
      <c r="Q125" s="1"/>
    </row>
    <row r="126" spans="1:17" x14ac:dyDescent="0.35">
      <c r="A126" s="1"/>
      <c r="B126" s="1">
        <v>6148.77</v>
      </c>
      <c r="C126" s="1">
        <v>18968.7</v>
      </c>
      <c r="D126" s="1">
        <v>4703.45</v>
      </c>
      <c r="E126" s="1">
        <v>1832.28</v>
      </c>
      <c r="F126" s="1">
        <v>1327.7</v>
      </c>
      <c r="G126" s="1">
        <v>594.83000000000004</v>
      </c>
      <c r="H126" s="1">
        <v>2812.07</v>
      </c>
      <c r="I126" s="1">
        <v>1599.26</v>
      </c>
      <c r="J126" s="1">
        <v>2736.33</v>
      </c>
      <c r="K126" s="1">
        <v>7593.23</v>
      </c>
      <c r="L126" s="1">
        <v>5282.25</v>
      </c>
      <c r="M126" s="1">
        <v>6917.62</v>
      </c>
      <c r="N126" s="35">
        <f>SUM(B126:M126)</f>
        <v>60516.490000000013</v>
      </c>
      <c r="O126" s="1"/>
      <c r="P126" s="1"/>
      <c r="Q126" s="1"/>
    </row>
  </sheetData>
  <mergeCells count="7">
    <mergeCell ref="A47:E47"/>
    <mergeCell ref="A1:G1"/>
    <mergeCell ref="A2:G2"/>
    <mergeCell ref="A3:G3"/>
    <mergeCell ref="A5:G5"/>
    <mergeCell ref="B6:D6"/>
    <mergeCell ref="A19:G19"/>
  </mergeCells>
  <pageMargins left="0.7" right="0.7" top="1" bottom="0.75" header="0.3" footer="0.3"/>
  <pageSetup scale="85" fitToHeight="2" orientation="portrait" r:id="rId1"/>
  <headerFooter>
    <oddFooter>Page &amp;P of &amp;N</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AU126"/>
  <sheetViews>
    <sheetView topLeftCell="A43" workbookViewId="0">
      <selection activeCell="H21" sqref="H21"/>
    </sheetView>
  </sheetViews>
  <sheetFormatPr defaultRowHeight="15.5" x14ac:dyDescent="0.35"/>
  <cols>
    <col min="1" max="1" width="9.61328125" customWidth="1"/>
    <col min="2" max="2" width="9.3828125" customWidth="1"/>
    <col min="3" max="4" width="10.53515625" customWidth="1"/>
    <col min="5" max="5" width="10.84375" customWidth="1"/>
    <col min="6" max="7" width="11.765625" customWidth="1"/>
    <col min="8" max="8" width="11.4609375" bestFit="1" customWidth="1"/>
    <col min="9" max="9" width="10.61328125" bestFit="1" customWidth="1"/>
    <col min="10" max="10" width="11.4609375" bestFit="1" customWidth="1"/>
    <col min="14" max="14" width="11" bestFit="1" customWidth="1"/>
    <col min="16" max="16" width="10.07421875" customWidth="1"/>
  </cols>
  <sheetData>
    <row r="1" spans="1:47" ht="18.75" customHeight="1" x14ac:dyDescent="0.45">
      <c r="A1" s="782"/>
      <c r="B1" s="783"/>
      <c r="C1" s="783"/>
      <c r="D1" s="783"/>
      <c r="E1" s="783"/>
      <c r="F1" s="783"/>
      <c r="G1" s="784"/>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ht="18.75" customHeight="1" x14ac:dyDescent="0.45">
      <c r="A2" s="796" t="s">
        <v>631</v>
      </c>
      <c r="B2" s="786"/>
      <c r="C2" s="786"/>
      <c r="D2" s="786"/>
      <c r="E2" s="786"/>
      <c r="F2" s="786"/>
      <c r="G2" s="787"/>
      <c r="H2" s="125"/>
      <c r="I2" s="13"/>
      <c r="J2" s="13"/>
      <c r="K2" s="13"/>
      <c r="L2" s="13"/>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ht="15" hidden="1" customHeight="1" x14ac:dyDescent="0.35">
      <c r="A3" s="788"/>
      <c r="B3" s="737"/>
      <c r="C3" s="737"/>
      <c r="D3" s="737"/>
      <c r="E3" s="737"/>
      <c r="F3" s="737"/>
      <c r="G3" s="789"/>
      <c r="H3" s="122"/>
      <c r="I3" s="13"/>
      <c r="J3" s="13"/>
      <c r="K3" s="13"/>
      <c r="L3" s="13"/>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ht="15" hidden="1" customHeight="1" x14ac:dyDescent="0.35">
      <c r="A4" s="618"/>
      <c r="B4" s="122"/>
      <c r="C4" s="122"/>
      <c r="D4" s="122"/>
      <c r="E4" s="122"/>
      <c r="F4" s="122"/>
      <c r="G4" s="576"/>
      <c r="H4" s="122"/>
      <c r="I4" s="13"/>
      <c r="J4" s="13"/>
      <c r="K4" s="13"/>
      <c r="L4" s="13"/>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7" ht="15" customHeight="1" x14ac:dyDescent="0.35">
      <c r="A5" s="840" t="s">
        <v>274</v>
      </c>
      <c r="B5" s="838"/>
      <c r="C5" s="838"/>
      <c r="D5" s="838"/>
      <c r="E5" s="838"/>
      <c r="F5" s="838"/>
      <c r="G5" s="841"/>
      <c r="H5" s="3"/>
      <c r="I5" s="13"/>
      <c r="J5" s="13"/>
      <c r="K5" s="13"/>
      <c r="L5" s="13"/>
      <c r="M5" s="13"/>
      <c r="N5" s="13"/>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47" ht="15" customHeight="1" x14ac:dyDescent="0.35">
      <c r="A6" s="68"/>
      <c r="B6" s="836"/>
      <c r="C6" s="836"/>
      <c r="D6" s="836"/>
      <c r="E6" s="33" t="s">
        <v>275</v>
      </c>
      <c r="F6" s="33" t="s">
        <v>276</v>
      </c>
      <c r="G6" s="70" t="s">
        <v>78</v>
      </c>
      <c r="H6" s="1"/>
      <c r="I6" s="13"/>
      <c r="J6" s="13"/>
      <c r="K6" s="13"/>
      <c r="L6" s="13"/>
      <c r="M6" s="13"/>
      <c r="N6" s="13"/>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47" ht="15" customHeight="1" x14ac:dyDescent="0.35">
      <c r="A7" s="68"/>
      <c r="B7" s="1"/>
      <c r="C7" s="1" t="s">
        <v>277</v>
      </c>
      <c r="D7" s="185"/>
      <c r="E7" s="275">
        <f>C23</f>
        <v>75458</v>
      </c>
      <c r="F7" s="22">
        <f>D23</f>
        <v>283169000</v>
      </c>
      <c r="G7" s="619">
        <f>F29</f>
        <v>4044628.4155200003</v>
      </c>
      <c r="H7" s="1"/>
      <c r="I7" s="13"/>
      <c r="J7" s="13">
        <f>P97</f>
        <v>430331600</v>
      </c>
      <c r="K7" s="13" t="s">
        <v>15</v>
      </c>
      <c r="L7" s="13"/>
      <c r="M7" s="13"/>
      <c r="N7" s="13"/>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47" ht="15" customHeight="1" x14ac:dyDescent="0.35">
      <c r="A8" s="68"/>
      <c r="B8" s="1"/>
      <c r="C8" s="2" t="s">
        <v>278</v>
      </c>
      <c r="D8" s="2"/>
      <c r="E8" s="2">
        <f>C38</f>
        <v>12</v>
      </c>
      <c r="F8" s="12">
        <f>D38</f>
        <v>114333300</v>
      </c>
      <c r="G8" s="26">
        <f>F44</f>
        <v>1051725.4837199999</v>
      </c>
      <c r="H8" s="1"/>
      <c r="I8" s="13"/>
      <c r="J8" s="126">
        <f>P123</f>
        <v>75554</v>
      </c>
      <c r="K8" s="127" t="s">
        <v>437</v>
      </c>
      <c r="L8" s="13"/>
      <c r="M8" s="13" t="s">
        <v>502</v>
      </c>
      <c r="N8" s="13"/>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47" ht="15" customHeight="1" x14ac:dyDescent="0.35">
      <c r="A9" s="68"/>
      <c r="B9" s="1"/>
      <c r="C9" s="2" t="s">
        <v>279</v>
      </c>
      <c r="D9" s="1"/>
      <c r="E9" s="12">
        <f>C57</f>
        <v>12</v>
      </c>
      <c r="F9" s="12">
        <f>D57</f>
        <v>8391200</v>
      </c>
      <c r="G9" s="26">
        <f>F57</f>
        <v>86480.218079999991</v>
      </c>
      <c r="H9" s="61"/>
      <c r="I9" s="13"/>
      <c r="J9" s="126"/>
      <c r="K9" s="127"/>
      <c r="L9" s="13"/>
      <c r="M9" s="13" t="s">
        <v>503</v>
      </c>
      <c r="N9" s="13"/>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47" ht="15" customHeight="1" x14ac:dyDescent="0.45">
      <c r="A10" s="68"/>
      <c r="B10" s="1"/>
      <c r="C10" s="2" t="s">
        <v>280</v>
      </c>
      <c r="D10" s="1"/>
      <c r="E10" s="11">
        <f>C70</f>
        <v>72</v>
      </c>
      <c r="F10" s="11">
        <f>D70</f>
        <v>24438100</v>
      </c>
      <c r="G10" s="620">
        <f>F70</f>
        <v>224722.99236</v>
      </c>
      <c r="H10" s="1"/>
      <c r="I10" s="13"/>
      <c r="J10" s="126" t="s">
        <v>495</v>
      </c>
      <c r="K10" s="128"/>
      <c r="L10" s="13"/>
      <c r="M10" s="126">
        <f>SUM(G8:G10)</f>
        <v>1362928.69416</v>
      </c>
      <c r="N10" s="127"/>
      <c r="O10" s="126"/>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47" ht="15" customHeight="1" x14ac:dyDescent="0.35">
      <c r="A11" s="68"/>
      <c r="B11" s="1"/>
      <c r="C11" s="1" t="s">
        <v>14</v>
      </c>
      <c r="D11" s="2"/>
      <c r="E11" s="101">
        <f>SUM(E7:E10)</f>
        <v>75554</v>
      </c>
      <c r="F11" s="56">
        <f>SUM(F7:F10)</f>
        <v>430331600</v>
      </c>
      <c r="G11" s="619">
        <f>SUM(G7:G10)</f>
        <v>5407557.1096799998</v>
      </c>
      <c r="H11" s="104"/>
      <c r="I11" s="13"/>
      <c r="J11" s="35">
        <f>SAOw!I81</f>
        <v>5330458.4399670754</v>
      </c>
      <c r="K11" s="127" t="s">
        <v>626</v>
      </c>
      <c r="L11" s="13"/>
      <c r="M11" s="13"/>
      <c r="N11" s="13"/>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7" x14ac:dyDescent="0.35">
      <c r="A12" s="68"/>
      <c r="B12" s="1"/>
      <c r="C12" s="92"/>
      <c r="D12" s="2"/>
      <c r="E12" s="1"/>
      <c r="F12" s="207" t="s">
        <v>434</v>
      </c>
      <c r="G12" s="620">
        <f>-N126</f>
        <v>-60516.490000000013</v>
      </c>
      <c r="H12" s="61"/>
      <c r="I12" s="13"/>
      <c r="J12" s="126"/>
      <c r="K12" s="1"/>
      <c r="L12" s="13"/>
      <c r="M12" s="13"/>
      <c r="N12" s="13"/>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47" x14ac:dyDescent="0.35">
      <c r="A13" s="68"/>
      <c r="B13" s="1"/>
      <c r="C13" s="2"/>
      <c r="D13" s="2"/>
      <c r="E13" s="1"/>
      <c r="F13" s="207" t="s">
        <v>496</v>
      </c>
      <c r="G13" s="619">
        <f>G11+G12</f>
        <v>5347040.6196799995</v>
      </c>
      <c r="H13" s="104"/>
      <c r="I13" s="13"/>
      <c r="J13" s="13"/>
      <c r="K13" s="21"/>
      <c r="L13" s="564"/>
      <c r="M13" s="13"/>
      <c r="N13" s="13"/>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47" x14ac:dyDescent="0.35">
      <c r="A14" s="68"/>
      <c r="B14" s="1"/>
      <c r="C14" s="92"/>
      <c r="D14" s="2"/>
      <c r="E14" s="1"/>
      <c r="F14" s="207" t="s">
        <v>683</v>
      </c>
      <c r="G14" s="620">
        <f>SAOw!I81</f>
        <v>5330458.4399670754</v>
      </c>
      <c r="H14" s="61"/>
      <c r="I14" s="13"/>
      <c r="J14" s="13"/>
      <c r="K14" s="127"/>
      <c r="L14" s="342"/>
      <c r="M14" s="13"/>
      <c r="N14" s="13"/>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47" x14ac:dyDescent="0.35">
      <c r="A15" s="68"/>
      <c r="B15" s="1"/>
      <c r="C15" s="2"/>
      <c r="D15" s="2"/>
      <c r="E15" s="1"/>
      <c r="F15" s="207"/>
      <c r="G15" s="26">
        <f>G13-G14</f>
        <v>16582.179712924175</v>
      </c>
      <c r="H15" s="104"/>
      <c r="I15" s="331">
        <f>G15/G14</f>
        <v>3.1108355687745684E-3</v>
      </c>
      <c r="J15" s="13"/>
      <c r="K15" s="13"/>
      <c r="L15" s="342"/>
      <c r="M15" s="13"/>
      <c r="N15" s="13"/>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47" hidden="1" x14ac:dyDescent="0.35">
      <c r="A16" s="68"/>
      <c r="B16" s="1"/>
      <c r="C16" s="92"/>
      <c r="D16" s="2"/>
      <c r="E16" s="1"/>
      <c r="F16" s="207"/>
      <c r="G16" s="26"/>
      <c r="H16" s="1"/>
      <c r="I16" s="13"/>
      <c r="J16" s="105"/>
      <c r="K16" s="13"/>
      <c r="L16" s="13"/>
      <c r="M16" s="13"/>
      <c r="N16" s="13"/>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1:47" hidden="1" x14ac:dyDescent="0.35">
      <c r="A17" s="68"/>
      <c r="B17" s="1"/>
      <c r="C17" s="31"/>
      <c r="D17" s="84"/>
      <c r="E17" s="1"/>
      <c r="F17" s="1"/>
      <c r="G17" s="78"/>
      <c r="H17" s="1"/>
      <c r="I17" s="13"/>
      <c r="J17" s="13"/>
      <c r="K17" s="13"/>
      <c r="L17" s="13"/>
      <c r="M17" s="13"/>
      <c r="N17" s="13"/>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1:47" x14ac:dyDescent="0.35">
      <c r="A18" s="621" t="s">
        <v>277</v>
      </c>
      <c r="B18" s="1"/>
      <c r="C18" s="31"/>
      <c r="D18" s="84"/>
      <c r="E18" s="1"/>
      <c r="F18" s="1"/>
      <c r="G18" s="78"/>
      <c r="H18" s="1"/>
      <c r="I18" s="13"/>
      <c r="J18" s="13"/>
      <c r="K18" s="13"/>
      <c r="L18" s="13"/>
      <c r="M18" s="13"/>
      <c r="N18" s="13"/>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1:47" ht="18.5" hidden="1" x14ac:dyDescent="0.45">
      <c r="A19" s="842"/>
      <c r="B19" s="835"/>
      <c r="C19" s="835"/>
      <c r="D19" s="835"/>
      <c r="E19" s="835" t="s">
        <v>68</v>
      </c>
      <c r="F19" s="835" t="s">
        <v>69</v>
      </c>
      <c r="G19" s="843"/>
      <c r="H19" s="1"/>
      <c r="I19" s="13"/>
      <c r="J19" s="13"/>
      <c r="K19" s="13"/>
      <c r="L19" s="13"/>
      <c r="M19" s="13"/>
      <c r="N19" s="13"/>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1:47" x14ac:dyDescent="0.35">
      <c r="A20" s="68"/>
      <c r="B20" s="47" t="s">
        <v>70</v>
      </c>
      <c r="C20" s="69" t="s">
        <v>71</v>
      </c>
      <c r="D20" s="624" t="s">
        <v>72</v>
      </c>
      <c r="E20" s="47">
        <f>B21</f>
        <v>2000</v>
      </c>
      <c r="F20" s="47">
        <f>B22</f>
        <v>2000</v>
      </c>
      <c r="G20" s="153" t="s">
        <v>73</v>
      </c>
      <c r="H20" s="1"/>
      <c r="I20" s="13"/>
      <c r="J20" s="13"/>
      <c r="K20" s="13"/>
      <c r="L20" s="13"/>
      <c r="M20" s="13"/>
      <c r="N20" s="13"/>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1:47" x14ac:dyDescent="0.35">
      <c r="A21" s="625" t="s">
        <v>68</v>
      </c>
      <c r="B21" s="1">
        <v>2000</v>
      </c>
      <c r="C21" s="12">
        <f>P101+P104+P107+P110</f>
        <v>29165</v>
      </c>
      <c r="D21" s="12">
        <f>P75+P78+P81+P84</f>
        <v>28025000</v>
      </c>
      <c r="E21" s="12">
        <f>D21</f>
        <v>28025000</v>
      </c>
      <c r="F21" s="12">
        <v>0</v>
      </c>
      <c r="G21" s="17">
        <f>SUM(E21:F21)</f>
        <v>28025000</v>
      </c>
      <c r="H21" s="1"/>
      <c r="I21" s="13"/>
      <c r="J21" s="13"/>
      <c r="K21" s="158"/>
      <c r="L21" s="159"/>
      <c r="M21" s="13"/>
      <c r="N21" s="13"/>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1:47" x14ac:dyDescent="0.35">
      <c r="A22" s="609" t="s">
        <v>69</v>
      </c>
      <c r="B22" s="1">
        <v>2000</v>
      </c>
      <c r="C22" s="11">
        <f>P102+P105+P108+P111</f>
        <v>46293</v>
      </c>
      <c r="D22" s="11">
        <f>P76+P79+P82+P85</f>
        <v>255144000</v>
      </c>
      <c r="E22" s="287">
        <f>2000*C22</f>
        <v>92586000</v>
      </c>
      <c r="F22" s="287">
        <f>D22-E22</f>
        <v>162558000</v>
      </c>
      <c r="G22" s="20">
        <f>SUM(E22:F22)</f>
        <v>255144000</v>
      </c>
      <c r="H22" s="1"/>
      <c r="I22" s="13"/>
      <c r="J22" s="13"/>
      <c r="K22" s="16"/>
      <c r="L22" s="17"/>
      <c r="M22" s="13"/>
      <c r="N22" s="13"/>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1:47" x14ac:dyDescent="0.35">
      <c r="A23" s="68"/>
      <c r="B23" s="47"/>
      <c r="C23" s="22">
        <f>SUM(C21:C22)</f>
        <v>75458</v>
      </c>
      <c r="D23" s="22">
        <f>SUM(D21:D22)</f>
        <v>283169000</v>
      </c>
      <c r="E23" s="22">
        <f>SUM(E21:E22)</f>
        <v>120611000</v>
      </c>
      <c r="F23" s="22">
        <f>SUM(F21:F22)</f>
        <v>162558000</v>
      </c>
      <c r="G23" s="23">
        <f>SUM(G21:G22)</f>
        <v>283169000</v>
      </c>
      <c r="H23" s="1"/>
      <c r="I23" s="13"/>
      <c r="J23" s="13"/>
      <c r="K23" s="16"/>
      <c r="L23" s="17"/>
      <c r="M23" s="13"/>
      <c r="N23" s="13"/>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1:47" x14ac:dyDescent="0.35">
      <c r="A24" s="609"/>
      <c r="B24" s="50"/>
      <c r="C24" s="56"/>
      <c r="D24" s="56"/>
      <c r="E24" s="56"/>
      <c r="F24" s="56"/>
      <c r="G24" s="152"/>
      <c r="H24" s="1"/>
      <c r="I24" s="13"/>
      <c r="J24" s="13"/>
      <c r="K24" s="16"/>
      <c r="L24" s="17"/>
      <c r="M24" s="13"/>
      <c r="N24" s="13"/>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1:47" x14ac:dyDescent="0.35">
      <c r="A25" s="68" t="s">
        <v>74</v>
      </c>
      <c r="B25" s="51"/>
      <c r="C25" s="52"/>
      <c r="D25" s="52"/>
      <c r="E25" s="52"/>
      <c r="F25" s="52"/>
      <c r="G25" s="42"/>
      <c r="H25" s="1"/>
      <c r="I25" s="13"/>
      <c r="J25" s="13"/>
      <c r="K25" s="16"/>
      <c r="L25" s="17"/>
      <c r="M25" s="13"/>
      <c r="N25" s="13"/>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1:47" x14ac:dyDescent="0.35">
      <c r="A26" s="609"/>
      <c r="B26" s="50"/>
      <c r="C26" s="542" t="s">
        <v>71</v>
      </c>
      <c r="D26" s="542" t="s">
        <v>72</v>
      </c>
      <c r="E26" s="542" t="s">
        <v>75</v>
      </c>
      <c r="F26" s="542" t="s">
        <v>76</v>
      </c>
      <c r="G26" s="152"/>
      <c r="H26" s="1"/>
      <c r="I26" s="13"/>
      <c r="J26" s="13"/>
      <c r="K26" s="16"/>
      <c r="L26" s="17"/>
      <c r="M26" s="13"/>
      <c r="N26" s="13"/>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1:47" x14ac:dyDescent="0.35">
      <c r="A27" s="609" t="s">
        <v>68</v>
      </c>
      <c r="B27" s="50">
        <f>B21</f>
        <v>2000</v>
      </c>
      <c r="C27" s="12">
        <f>C23</f>
        <v>75458</v>
      </c>
      <c r="D27" s="50">
        <f>E23</f>
        <v>120611000</v>
      </c>
      <c r="E27" s="187">
        <f>Rates!L37</f>
        <v>28.424880000000002</v>
      </c>
      <c r="F27" s="187">
        <f>E27*C27</f>
        <v>2144884.59504</v>
      </c>
      <c r="G27" s="626"/>
      <c r="H27" s="1"/>
      <c r="I27" s="13"/>
      <c r="J27" s="13"/>
      <c r="K27" s="16"/>
      <c r="L27" s="17"/>
      <c r="M27" s="13"/>
      <c r="N27" s="13"/>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1:47" x14ac:dyDescent="0.35">
      <c r="A28" s="609" t="s">
        <v>69</v>
      </c>
      <c r="B28" s="627">
        <f>B22</f>
        <v>2000</v>
      </c>
      <c r="C28" s="54"/>
      <c r="D28" s="51">
        <f>F23</f>
        <v>162558000</v>
      </c>
      <c r="E28" s="617">
        <f>Rates!L38</f>
        <v>1.168656E-2</v>
      </c>
      <c r="F28" s="292">
        <f>E28*(D28)</f>
        <v>1899743.82048</v>
      </c>
      <c r="G28" s="626"/>
      <c r="H28" s="1"/>
      <c r="I28" s="13"/>
      <c r="J28" s="13"/>
      <c r="K28" s="16"/>
      <c r="L28" s="17"/>
      <c r="M28" s="13"/>
      <c r="N28" s="13"/>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1:47" x14ac:dyDescent="0.35">
      <c r="A29" s="609"/>
      <c r="B29" s="1" t="s">
        <v>73</v>
      </c>
      <c r="C29" s="275">
        <f>SUM(C27:C28)</f>
        <v>75458</v>
      </c>
      <c r="D29" s="4">
        <f>SUM(D27:D28)</f>
        <v>283169000</v>
      </c>
      <c r="E29" s="185"/>
      <c r="F29" s="303">
        <f>SUM(F27:F28)</f>
        <v>4044628.4155200003</v>
      </c>
      <c r="G29" s="78"/>
      <c r="H29" s="1"/>
      <c r="I29" s="13"/>
      <c r="J29" s="13"/>
      <c r="K29" s="16"/>
      <c r="L29" s="17"/>
      <c r="M29" s="13"/>
      <c r="N29" s="13"/>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1:47" x14ac:dyDescent="0.35">
      <c r="A30" s="609"/>
      <c r="B30" s="50"/>
      <c r="C30" s="56"/>
      <c r="D30" s="56"/>
      <c r="E30" s="71"/>
      <c r="F30" s="84"/>
      <c r="G30" s="78"/>
      <c r="H30" s="1"/>
      <c r="I30" s="13"/>
      <c r="J30" s="13"/>
      <c r="K30" s="16"/>
      <c r="L30" s="17"/>
      <c r="M30" s="13"/>
      <c r="N30" s="13"/>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1:47" hidden="1" x14ac:dyDescent="0.35">
      <c r="A31" s="609"/>
      <c r="B31" s="50"/>
      <c r="C31" s="2"/>
      <c r="D31" s="56"/>
      <c r="E31" s="77"/>
      <c r="F31" s="56"/>
      <c r="G31" s="78"/>
      <c r="H31" s="1"/>
      <c r="I31" s="13"/>
      <c r="J31" s="13"/>
      <c r="K31" s="16"/>
      <c r="L31" s="17"/>
      <c r="M31" s="13"/>
      <c r="N31" s="13"/>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1:47" hidden="1" x14ac:dyDescent="0.35">
      <c r="A32" s="609"/>
      <c r="B32" s="50"/>
      <c r="C32" s="56"/>
      <c r="D32" s="56"/>
      <c r="E32" s="1"/>
      <c r="F32" s="84"/>
      <c r="G32" s="78"/>
      <c r="H32" s="1"/>
      <c r="I32" s="1"/>
      <c r="J32" s="1"/>
      <c r="K32" s="16"/>
      <c r="L32" s="17"/>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1:47" x14ac:dyDescent="0.35">
      <c r="A33" s="621" t="s">
        <v>281</v>
      </c>
      <c r="B33" s="1"/>
      <c r="C33" s="1"/>
      <c r="D33" s="1"/>
      <c r="E33" s="1"/>
      <c r="F33" s="1"/>
      <c r="G33" s="78"/>
      <c r="H33" s="1"/>
      <c r="I33" s="1"/>
      <c r="J33" s="1"/>
      <c r="K33" s="16"/>
      <c r="L33" s="17"/>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1:47" x14ac:dyDescent="0.35">
      <c r="A34" s="628"/>
      <c r="B34" s="54"/>
      <c r="C34" s="54"/>
      <c r="D34" s="1"/>
      <c r="E34" s="47" t="s">
        <v>68</v>
      </c>
      <c r="F34" s="47" t="s">
        <v>69</v>
      </c>
      <c r="G34" s="78"/>
      <c r="H34" s="1"/>
      <c r="I34" s="1"/>
      <c r="J34" s="1"/>
      <c r="K34" s="16"/>
      <c r="L34" s="17"/>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1:47" x14ac:dyDescent="0.35">
      <c r="A35" s="68"/>
      <c r="B35" s="33" t="s">
        <v>70</v>
      </c>
      <c r="C35" s="33" t="s">
        <v>71</v>
      </c>
      <c r="D35" s="33" t="s">
        <v>72</v>
      </c>
      <c r="E35" s="629">
        <f>B36</f>
        <v>1950000</v>
      </c>
      <c r="F35" s="14">
        <f>B37</f>
        <v>1950000</v>
      </c>
      <c r="G35" s="70" t="s">
        <v>73</v>
      </c>
      <c r="H35" s="1"/>
      <c r="I35" s="1"/>
      <c r="J35" s="1"/>
      <c r="K35" s="16"/>
      <c r="L35" s="17"/>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1:47" x14ac:dyDescent="0.35">
      <c r="A36" s="609" t="s">
        <v>68</v>
      </c>
      <c r="B36" s="22">
        <v>1950000</v>
      </c>
      <c r="C36" s="22">
        <f>P120</f>
        <v>12</v>
      </c>
      <c r="D36" s="22">
        <f>P94</f>
        <v>23400000</v>
      </c>
      <c r="E36" s="22">
        <f>D36</f>
        <v>23400000</v>
      </c>
      <c r="F36" s="12">
        <v>0</v>
      </c>
      <c r="G36" s="17">
        <f>SUM(E36:F36)</f>
        <v>23400000</v>
      </c>
      <c r="H36" s="1"/>
      <c r="I36" s="1"/>
      <c r="J36" s="1"/>
      <c r="K36" s="16"/>
      <c r="L36" s="17"/>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1:47" x14ac:dyDescent="0.35">
      <c r="A37" s="609" t="s">
        <v>69</v>
      </c>
      <c r="B37" s="293">
        <v>1950000</v>
      </c>
      <c r="C37" s="11"/>
      <c r="D37" s="11">
        <f>P95</f>
        <v>90933300</v>
      </c>
      <c r="E37" s="11"/>
      <c r="F37" s="11">
        <f>D37-E37</f>
        <v>90933300</v>
      </c>
      <c r="G37" s="20">
        <f>SUM(E37:F37)</f>
        <v>90933300</v>
      </c>
      <c r="H37" s="1"/>
      <c r="I37" s="1"/>
      <c r="J37" s="1"/>
      <c r="K37" s="16"/>
      <c r="L37" s="17"/>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1:47" x14ac:dyDescent="0.35">
      <c r="A38" s="68"/>
      <c r="B38" s="22"/>
      <c r="C38" s="12">
        <f>SUM(C36:C37)</f>
        <v>12</v>
      </c>
      <c r="D38" s="12">
        <f>SUM(D36:D37)</f>
        <v>114333300</v>
      </c>
      <c r="E38" s="12">
        <f>SUM(E36:E37)</f>
        <v>23400000</v>
      </c>
      <c r="F38" s="12">
        <f>SUM(F36:F37)</f>
        <v>90933300</v>
      </c>
      <c r="G38" s="17">
        <f>SUM(G36:G37)</f>
        <v>114333300</v>
      </c>
      <c r="H38" s="1"/>
      <c r="I38" s="1"/>
      <c r="J38" s="1"/>
      <c r="K38" s="16"/>
      <c r="L38" s="17"/>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1:47" x14ac:dyDescent="0.35">
      <c r="A39" s="68"/>
      <c r="B39" s="22"/>
      <c r="C39" s="12"/>
      <c r="D39" s="77"/>
      <c r="E39" s="56"/>
      <c r="F39" s="1"/>
      <c r="G39" s="78"/>
      <c r="H39" s="1"/>
      <c r="I39" s="1"/>
      <c r="J39" s="1"/>
      <c r="K39" s="16"/>
      <c r="L39" s="17"/>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1:47" x14ac:dyDescent="0.35">
      <c r="A40" s="68" t="s">
        <v>74</v>
      </c>
      <c r="B40" s="22"/>
      <c r="C40" s="12"/>
      <c r="D40" s="77"/>
      <c r="E40" s="56"/>
      <c r="F40" s="1"/>
      <c r="G40" s="78"/>
      <c r="H40" s="1"/>
      <c r="I40" s="1"/>
      <c r="J40" s="1"/>
      <c r="K40" s="16"/>
      <c r="L40" s="17"/>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1:47" ht="17" x14ac:dyDescent="0.5">
      <c r="A41" s="68"/>
      <c r="B41" s="22"/>
      <c r="C41" s="24" t="s">
        <v>71</v>
      </c>
      <c r="D41" s="630" t="s">
        <v>72</v>
      </c>
      <c r="E41" s="151" t="s">
        <v>75</v>
      </c>
      <c r="F41" s="296" t="s">
        <v>76</v>
      </c>
      <c r="G41" s="78"/>
      <c r="H41" s="1"/>
      <c r="I41" s="1"/>
      <c r="J41" s="1"/>
      <c r="K41" s="16"/>
      <c r="L41" s="17"/>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1:47" x14ac:dyDescent="0.35">
      <c r="A42" s="609" t="s">
        <v>68</v>
      </c>
      <c r="B42" s="22">
        <f>B36</f>
        <v>1950000</v>
      </c>
      <c r="C42" s="12">
        <f>C38</f>
        <v>12</v>
      </c>
      <c r="D42" s="56">
        <f>E38</f>
        <v>23400000</v>
      </c>
      <c r="E42" s="187">
        <f>Rates!L41</f>
        <v>17961.60252</v>
      </c>
      <c r="F42" s="187">
        <f>E42*C42</f>
        <v>215539.23024</v>
      </c>
      <c r="G42" s="78"/>
      <c r="H42" s="1"/>
      <c r="I42" s="1"/>
      <c r="J42" s="1"/>
      <c r="K42" s="16"/>
      <c r="L42" s="17"/>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1:47" x14ac:dyDescent="0.35">
      <c r="A43" s="609" t="s">
        <v>69</v>
      </c>
      <c r="B43" s="287">
        <f>B37</f>
        <v>1950000</v>
      </c>
      <c r="C43" s="11"/>
      <c r="D43" s="52">
        <f>F38</f>
        <v>90933300</v>
      </c>
      <c r="E43" s="291">
        <f>Rates!L42</f>
        <v>9.1956E-3</v>
      </c>
      <c r="F43" s="292">
        <f>E43*(D43)</f>
        <v>836186.25347999996</v>
      </c>
      <c r="G43" s="78"/>
      <c r="H43" s="1"/>
      <c r="I43" s="1"/>
      <c r="J43" s="1"/>
      <c r="K43" s="19"/>
      <c r="L43" s="20"/>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1:47" x14ac:dyDescent="0.35">
      <c r="A44" s="68"/>
      <c r="B44" s="103" t="s">
        <v>73</v>
      </c>
      <c r="C44" s="56">
        <f>SUM(C42:C43)</f>
        <v>12</v>
      </c>
      <c r="D44" s="56">
        <f>SUM(D42:D43)</f>
        <v>114333300</v>
      </c>
      <c r="E44" s="56"/>
      <c r="F44" s="187">
        <f>SUM(F42:F43)</f>
        <v>1051725.4837199999</v>
      </c>
      <c r="G44" s="78"/>
      <c r="H44" s="1"/>
      <c r="I44" s="2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1:47" x14ac:dyDescent="0.35">
      <c r="A45" s="68"/>
      <c r="B45" s="47"/>
      <c r="C45" s="56"/>
      <c r="D45" s="56"/>
      <c r="E45" s="84"/>
      <c r="F45" s="1"/>
      <c r="G45" s="78"/>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1:47" x14ac:dyDescent="0.35">
      <c r="A46" s="621" t="s">
        <v>282</v>
      </c>
      <c r="B46" s="47"/>
      <c r="C46" s="56"/>
      <c r="D46" s="56"/>
      <c r="E46" s="84"/>
      <c r="F46" s="1"/>
      <c r="G46" s="78"/>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1:47" ht="16" x14ac:dyDescent="0.35">
      <c r="A47" s="839"/>
      <c r="B47" s="837"/>
      <c r="C47" s="837"/>
      <c r="D47" s="837"/>
      <c r="E47" s="837" t="s">
        <v>68</v>
      </c>
      <c r="F47" s="1" t="s">
        <v>69</v>
      </c>
      <c r="G47" s="78"/>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1:47" x14ac:dyDescent="0.35">
      <c r="A48" s="68"/>
      <c r="B48" s="33" t="s">
        <v>70</v>
      </c>
      <c r="C48" s="33" t="s">
        <v>71</v>
      </c>
      <c r="D48" s="33" t="s">
        <v>72</v>
      </c>
      <c r="E48" s="14">
        <f>B49</f>
        <v>600000</v>
      </c>
      <c r="F48" s="14">
        <f>B50</f>
        <v>600000</v>
      </c>
      <c r="G48" s="70" t="s">
        <v>73</v>
      </c>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1:47" x14ac:dyDescent="0.35">
      <c r="A49" s="68" t="s">
        <v>68</v>
      </c>
      <c r="B49" s="22">
        <v>600000</v>
      </c>
      <c r="C49" s="22">
        <f>P115</f>
        <v>12</v>
      </c>
      <c r="D49" s="22">
        <f>P89</f>
        <v>6198800</v>
      </c>
      <c r="E49" s="22">
        <f>D49</f>
        <v>6198800</v>
      </c>
      <c r="F49" s="12">
        <v>0</v>
      </c>
      <c r="G49" s="17">
        <f>SUM(E49:F49)</f>
        <v>6198800</v>
      </c>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1:47" x14ac:dyDescent="0.35">
      <c r="A50" s="68" t="s">
        <v>69</v>
      </c>
      <c r="B50" s="287">
        <v>600000</v>
      </c>
      <c r="C50" s="11"/>
      <c r="D50" s="11">
        <f>P90</f>
        <v>2192400</v>
      </c>
      <c r="E50" s="11"/>
      <c r="F50" s="11">
        <f>D50-E50</f>
        <v>2192400</v>
      </c>
      <c r="G50" s="20">
        <f>SUM(E50:F50)</f>
        <v>2192400</v>
      </c>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1:47" x14ac:dyDescent="0.35">
      <c r="A51" s="68"/>
      <c r="B51" s="22"/>
      <c r="C51" s="12">
        <f>SUM(C49:C50)</f>
        <v>12</v>
      </c>
      <c r="D51" s="12">
        <f>SUM(D49:D50)</f>
        <v>8391200</v>
      </c>
      <c r="E51" s="12">
        <f>SUM(E49:E50)</f>
        <v>6198800</v>
      </c>
      <c r="F51" s="12">
        <f>SUM(F49:F50)</f>
        <v>2192400</v>
      </c>
      <c r="G51" s="17">
        <f>SUM(G49:G50)</f>
        <v>8391200</v>
      </c>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1:47" x14ac:dyDescent="0.35">
      <c r="A52" s="68"/>
      <c r="B52" s="22"/>
      <c r="C52" s="12"/>
      <c r="D52" s="12"/>
      <c r="E52" s="56"/>
      <c r="F52" s="1"/>
      <c r="G52" s="78"/>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1:47" x14ac:dyDescent="0.35">
      <c r="A53" s="68" t="s">
        <v>74</v>
      </c>
      <c r="B53" s="631"/>
      <c r="C53" s="12"/>
      <c r="D53" s="12"/>
      <c r="E53" s="56"/>
      <c r="F53" s="1"/>
      <c r="G53" s="78"/>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1:47" ht="17" x14ac:dyDescent="0.5">
      <c r="A54" s="68"/>
      <c r="B54" s="22"/>
      <c r="C54" s="24" t="s">
        <v>71</v>
      </c>
      <c r="D54" s="24" t="s">
        <v>72</v>
      </c>
      <c r="E54" s="151" t="s">
        <v>75</v>
      </c>
      <c r="F54" s="296" t="s">
        <v>76</v>
      </c>
      <c r="G54" s="78"/>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1:47" x14ac:dyDescent="0.35">
      <c r="A55" s="68" t="s">
        <v>68</v>
      </c>
      <c r="B55" s="22">
        <f>B49</f>
        <v>600000</v>
      </c>
      <c r="C55" s="12">
        <f>C51</f>
        <v>12</v>
      </c>
      <c r="D55" s="12">
        <f>E51</f>
        <v>6198800</v>
      </c>
      <c r="E55" s="187">
        <f>Rates!L45</f>
        <v>5526.6487199999992</v>
      </c>
      <c r="F55" s="187">
        <f>E55*C55</f>
        <v>66319.784639999998</v>
      </c>
      <c r="G55" s="78"/>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1:47" x14ac:dyDescent="0.35">
      <c r="A56" s="68" t="s">
        <v>69</v>
      </c>
      <c r="B56" s="287">
        <f>B50</f>
        <v>600000</v>
      </c>
      <c r="C56" s="11"/>
      <c r="D56" s="11">
        <f>F51</f>
        <v>2192400</v>
      </c>
      <c r="E56" s="297">
        <f>Rates!L46</f>
        <v>9.1956E-3</v>
      </c>
      <c r="F56" s="292">
        <f>E56*(D56)</f>
        <v>20160.433440000001</v>
      </c>
      <c r="G56" s="78"/>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1:47" x14ac:dyDescent="0.35">
      <c r="A57" s="68"/>
      <c r="B57" s="22" t="s">
        <v>73</v>
      </c>
      <c r="C57" s="12">
        <f>SUM(C55:C56)</f>
        <v>12</v>
      </c>
      <c r="D57" s="12">
        <f>SUM(D55:D56)</f>
        <v>8391200</v>
      </c>
      <c r="E57" s="84"/>
      <c r="F57" s="187">
        <f>SUM(F55:F56)</f>
        <v>86480.218079999991</v>
      </c>
      <c r="G57" s="78"/>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1:47" x14ac:dyDescent="0.35">
      <c r="A58" s="632"/>
      <c r="B58" s="1"/>
      <c r="C58" s="1"/>
      <c r="D58" s="1"/>
      <c r="E58" s="1"/>
      <c r="F58" s="1"/>
      <c r="G58" s="78"/>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1:47" hidden="1" x14ac:dyDescent="0.35">
      <c r="A59" s="68"/>
      <c r="B59" s="1"/>
      <c r="C59" s="1"/>
      <c r="D59" s="1"/>
      <c r="E59" s="1"/>
      <c r="F59" s="1"/>
      <c r="G59" s="78"/>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1:47" x14ac:dyDescent="0.35">
      <c r="A60" s="621" t="s">
        <v>283</v>
      </c>
      <c r="B60" s="1"/>
      <c r="C60" s="47"/>
      <c r="D60" s="185"/>
      <c r="E60" s="185"/>
      <c r="F60" s="1"/>
      <c r="G60" s="78"/>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1:47" hidden="1" x14ac:dyDescent="0.35">
      <c r="A61" s="68"/>
      <c r="B61" s="1"/>
      <c r="C61" s="56"/>
      <c r="D61" s="104"/>
      <c r="E61" s="105"/>
      <c r="F61" s="1"/>
      <c r="G61" s="78"/>
      <c r="H61" s="2"/>
      <c r="I61" s="2"/>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7" x14ac:dyDescent="0.35">
      <c r="A62" s="68" t="s">
        <v>74</v>
      </c>
      <c r="B62" s="1"/>
      <c r="C62" s="1"/>
      <c r="D62" s="1"/>
      <c r="E62" s="1"/>
      <c r="F62" s="1"/>
      <c r="G62" s="78"/>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7" ht="17" x14ac:dyDescent="0.5">
      <c r="A63" s="68"/>
      <c r="B63" s="33" t="s">
        <v>650</v>
      </c>
      <c r="C63" s="24" t="s">
        <v>71</v>
      </c>
      <c r="D63" s="33" t="s">
        <v>72</v>
      </c>
      <c r="E63" s="33" t="s">
        <v>75</v>
      </c>
      <c r="F63" s="33" t="s">
        <v>76</v>
      </c>
      <c r="G63" s="78"/>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7" ht="18.5" hidden="1" x14ac:dyDescent="0.45">
      <c r="A64" s="622"/>
      <c r="B64" s="577"/>
      <c r="C64" s="577"/>
      <c r="D64" s="577"/>
      <c r="E64" s="577"/>
      <c r="F64" s="577"/>
      <c r="G64" s="623"/>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x14ac:dyDescent="0.35">
      <c r="A65" s="68"/>
      <c r="B65" s="284" t="s">
        <v>402</v>
      </c>
      <c r="C65" s="2">
        <f>P118</f>
        <v>48</v>
      </c>
      <c r="D65" s="2">
        <f>P92</f>
        <v>15659800</v>
      </c>
      <c r="E65" s="633">
        <f>Rates!L49</f>
        <v>9.1956E-3</v>
      </c>
      <c r="F65" s="187">
        <f t="shared" ref="F65:F66" si="0">E65*(D65)</f>
        <v>144001.25688</v>
      </c>
      <c r="G65" s="78"/>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1:47" x14ac:dyDescent="0.35">
      <c r="A66" s="634"/>
      <c r="B66" s="284" t="s">
        <v>400</v>
      </c>
      <c r="C66" s="566">
        <f>P113</f>
        <v>24</v>
      </c>
      <c r="D66" s="566">
        <f>P87</f>
        <v>8778300</v>
      </c>
      <c r="E66" s="297">
        <f>E65</f>
        <v>9.1956E-3</v>
      </c>
      <c r="F66" s="292">
        <f t="shared" si="0"/>
        <v>80721.735480000003</v>
      </c>
      <c r="G66" s="78"/>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1:47" hidden="1" x14ac:dyDescent="0.35">
      <c r="A67" s="68"/>
      <c r="B67" s="1"/>
      <c r="C67" s="1"/>
      <c r="D67" s="1"/>
      <c r="E67" s="635">
        <f>E65</f>
        <v>9.1956E-3</v>
      </c>
      <c r="F67" s="1"/>
      <c r="G67" s="78"/>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7" hidden="1" x14ac:dyDescent="0.35">
      <c r="A68" s="68"/>
      <c r="B68" s="47"/>
      <c r="C68" s="185"/>
      <c r="D68" s="185"/>
      <c r="E68" s="635">
        <f>E65</f>
        <v>9.1956E-3</v>
      </c>
      <c r="F68" s="50"/>
      <c r="G68" s="153"/>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7" hidden="1" x14ac:dyDescent="0.35">
      <c r="A69" s="68"/>
      <c r="B69" s="50"/>
      <c r="C69" s="56"/>
      <c r="D69" s="56"/>
      <c r="E69" s="635">
        <f>E65</f>
        <v>9.1956E-3</v>
      </c>
      <c r="F69" s="56"/>
      <c r="G69" s="152"/>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7" x14ac:dyDescent="0.35">
      <c r="A70" s="613"/>
      <c r="B70" s="51" t="s">
        <v>73</v>
      </c>
      <c r="C70" s="52">
        <f>SUM(C65:C69)</f>
        <v>72</v>
      </c>
      <c r="D70" s="52">
        <f>SUM(D64:D69)</f>
        <v>24438100</v>
      </c>
      <c r="E70" s="52"/>
      <c r="F70" s="636">
        <f>SUM(F64:F69)</f>
        <v>224722.99236</v>
      </c>
      <c r="G70" s="42"/>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7" x14ac:dyDescent="0.35">
      <c r="A71" s="49"/>
      <c r="B71" s="50"/>
      <c r="C71" s="29"/>
      <c r="D71" s="29"/>
      <c r="E71" s="29"/>
      <c r="F71" s="29"/>
      <c r="G71" s="29"/>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7" x14ac:dyDescent="0.35">
      <c r="A72" s="278" t="s">
        <v>393</v>
      </c>
      <c r="B72" s="279"/>
      <c r="C72" s="191"/>
      <c r="D72" s="50"/>
      <c r="E72" s="50"/>
      <c r="F72" s="50"/>
      <c r="G72" s="50"/>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x14ac:dyDescent="0.35">
      <c r="A73" s="53"/>
      <c r="B73" s="53"/>
      <c r="C73" s="1"/>
      <c r="D73" s="50"/>
      <c r="E73" s="50"/>
      <c r="F73" s="50"/>
      <c r="G73" s="50"/>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7" x14ac:dyDescent="0.35">
      <c r="A74" s="49" t="s">
        <v>398</v>
      </c>
      <c r="B74" s="1" t="s">
        <v>417</v>
      </c>
      <c r="C74" s="185" t="s">
        <v>397</v>
      </c>
      <c r="D74" s="47" t="s">
        <v>405</v>
      </c>
      <c r="E74" s="47" t="s">
        <v>406</v>
      </c>
      <c r="F74" s="47" t="s">
        <v>407</v>
      </c>
      <c r="G74" s="47" t="s">
        <v>408</v>
      </c>
      <c r="H74" s="47" t="s">
        <v>409</v>
      </c>
      <c r="I74" s="47" t="s">
        <v>410</v>
      </c>
      <c r="J74" s="47" t="s">
        <v>411</v>
      </c>
      <c r="K74" s="47" t="s">
        <v>412</v>
      </c>
      <c r="L74" s="47" t="s">
        <v>413</v>
      </c>
      <c r="M74" s="47" t="s">
        <v>414</v>
      </c>
      <c r="N74" s="47" t="s">
        <v>415</v>
      </c>
      <c r="O74" s="47" t="s">
        <v>416</v>
      </c>
      <c r="P74" s="284" t="s">
        <v>73</v>
      </c>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7" x14ac:dyDescent="0.35">
      <c r="A75" s="49"/>
      <c r="B75" s="50"/>
      <c r="C75" s="56" t="s">
        <v>394</v>
      </c>
      <c r="D75" s="12">
        <f>2164100</f>
        <v>2164100</v>
      </c>
      <c r="E75" s="12">
        <v>2244600</v>
      </c>
      <c r="F75" s="12">
        <v>2650000</v>
      </c>
      <c r="G75" s="13">
        <v>2560600</v>
      </c>
      <c r="H75" s="13">
        <v>2737000</v>
      </c>
      <c r="I75" s="13">
        <v>1492100</v>
      </c>
      <c r="J75" s="13">
        <v>2764100</v>
      </c>
      <c r="K75" s="13">
        <v>1869500</v>
      </c>
      <c r="L75" s="13">
        <v>2073500</v>
      </c>
      <c r="M75" s="13">
        <v>2200400</v>
      </c>
      <c r="N75" s="13">
        <v>2001500</v>
      </c>
      <c r="O75" s="13">
        <v>2096600</v>
      </c>
      <c r="P75" s="13">
        <f>SUM(D75:O75)</f>
        <v>26854000</v>
      </c>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x14ac:dyDescent="0.35">
      <c r="A76" s="49"/>
      <c r="B76" s="50"/>
      <c r="C76" s="2" t="s">
        <v>395</v>
      </c>
      <c r="D76" s="12">
        <f>24734200</f>
        <v>24734200</v>
      </c>
      <c r="E76" s="12">
        <v>21405500</v>
      </c>
      <c r="F76" s="12">
        <v>17444500</v>
      </c>
      <c r="G76" s="13">
        <v>18378700</v>
      </c>
      <c r="H76" s="13">
        <v>13196000</v>
      </c>
      <c r="I76" s="13">
        <v>27101600</v>
      </c>
      <c r="J76" s="13">
        <v>13618600</v>
      </c>
      <c r="K76" s="13">
        <v>20856800</v>
      </c>
      <c r="L76" s="13">
        <v>18396300</v>
      </c>
      <c r="M76" s="13">
        <v>17852000</v>
      </c>
      <c r="N76" s="13">
        <v>18589900</v>
      </c>
      <c r="O76" s="13">
        <v>18218900</v>
      </c>
      <c r="P76" s="13">
        <f>SUM(D76:O76)</f>
        <v>229793000</v>
      </c>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7" x14ac:dyDescent="0.35">
      <c r="A77" s="49"/>
      <c r="B77" s="50"/>
      <c r="C77" s="56" t="s">
        <v>396</v>
      </c>
      <c r="D77" s="12"/>
      <c r="E77" s="13"/>
      <c r="F77" s="12"/>
      <c r="G77" s="13"/>
      <c r="H77" s="13"/>
      <c r="I77" s="13"/>
      <c r="J77" s="13"/>
      <c r="K77" s="13"/>
      <c r="L77" s="13"/>
      <c r="M77" s="13"/>
      <c r="N77" s="13"/>
      <c r="O77" s="13"/>
      <c r="P77" s="13"/>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x14ac:dyDescent="0.35">
      <c r="A78" s="1"/>
      <c r="B78" s="1"/>
      <c r="C78" s="56" t="s">
        <v>394</v>
      </c>
      <c r="D78" s="13"/>
      <c r="E78" s="13"/>
      <c r="F78" s="13"/>
      <c r="G78" s="13"/>
      <c r="H78" s="13">
        <v>90600</v>
      </c>
      <c r="I78" s="13">
        <v>79700</v>
      </c>
      <c r="J78" s="13">
        <v>95800</v>
      </c>
      <c r="K78" s="13">
        <v>81700</v>
      </c>
      <c r="L78" s="13">
        <v>84900</v>
      </c>
      <c r="M78" s="13">
        <v>89400</v>
      </c>
      <c r="N78" s="13">
        <v>87300</v>
      </c>
      <c r="O78" s="13">
        <v>78800</v>
      </c>
      <c r="P78" s="13">
        <f t="shared" ref="P78:P79" si="1">SUM(D78:O78)</f>
        <v>688200</v>
      </c>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7" x14ac:dyDescent="0.35">
      <c r="A79" s="186"/>
      <c r="B79" s="1"/>
      <c r="C79" s="2" t="s">
        <v>395</v>
      </c>
      <c r="D79" s="13"/>
      <c r="E79" s="13"/>
      <c r="F79" s="13"/>
      <c r="G79" s="13"/>
      <c r="H79" s="13">
        <v>1067800</v>
      </c>
      <c r="I79" s="13">
        <v>1738000</v>
      </c>
      <c r="J79" s="13">
        <v>1074500</v>
      </c>
      <c r="K79" s="13">
        <v>1702300</v>
      </c>
      <c r="L79" s="13">
        <v>1432800</v>
      </c>
      <c r="M79" s="13">
        <v>1305300</v>
      </c>
      <c r="N79" s="13">
        <v>1358900</v>
      </c>
      <c r="O79" s="13">
        <v>1282000</v>
      </c>
      <c r="P79" s="13">
        <f t="shared" si="1"/>
        <v>10961600</v>
      </c>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7" x14ac:dyDescent="0.35">
      <c r="A80" s="1"/>
      <c r="B80" s="1"/>
      <c r="C80" s="1" t="s">
        <v>196</v>
      </c>
      <c r="D80" s="13"/>
      <c r="E80" s="13"/>
      <c r="F80" s="13"/>
      <c r="G80" s="13"/>
      <c r="H80" s="13"/>
      <c r="I80" s="13"/>
      <c r="J80" s="13"/>
      <c r="K80" s="13"/>
      <c r="L80" s="13"/>
      <c r="M80" s="13"/>
      <c r="N80" s="13"/>
      <c r="O80" s="13"/>
      <c r="P80" s="13"/>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x14ac:dyDescent="0.35">
      <c r="A81" s="1"/>
      <c r="B81" s="47"/>
      <c r="C81" s="56" t="s">
        <v>394</v>
      </c>
      <c r="D81" s="34"/>
      <c r="E81" s="34"/>
      <c r="F81" s="13"/>
      <c r="G81" s="13"/>
      <c r="H81" s="13">
        <v>69200</v>
      </c>
      <c r="I81" s="13">
        <v>54400</v>
      </c>
      <c r="J81" s="13">
        <v>52500</v>
      </c>
      <c r="K81" s="13">
        <v>55900</v>
      </c>
      <c r="L81" s="34">
        <v>57600</v>
      </c>
      <c r="M81" s="34">
        <v>53800</v>
      </c>
      <c r="N81" s="13">
        <v>51200</v>
      </c>
      <c r="O81" s="13">
        <v>55700</v>
      </c>
      <c r="P81" s="13">
        <f t="shared" ref="P81:P82" si="2">SUM(D81:O81)</f>
        <v>450300</v>
      </c>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x14ac:dyDescent="0.35">
      <c r="A82" s="1"/>
      <c r="B82" s="103"/>
      <c r="C82" s="2" t="s">
        <v>395</v>
      </c>
      <c r="D82" s="12"/>
      <c r="E82" s="12"/>
      <c r="F82" s="13"/>
      <c r="G82" s="13"/>
      <c r="H82" s="13">
        <v>848900</v>
      </c>
      <c r="I82" s="13">
        <v>1375600</v>
      </c>
      <c r="J82" s="13">
        <v>705300</v>
      </c>
      <c r="K82" s="13">
        <v>101600</v>
      </c>
      <c r="L82" s="13">
        <v>1274700</v>
      </c>
      <c r="M82" s="13">
        <v>1421800</v>
      </c>
      <c r="N82" s="13">
        <v>1575300</v>
      </c>
      <c r="O82" s="13">
        <v>1042400</v>
      </c>
      <c r="P82" s="13">
        <f t="shared" si="2"/>
        <v>8345600</v>
      </c>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x14ac:dyDescent="0.35">
      <c r="A83" s="1"/>
      <c r="B83" s="47"/>
      <c r="C83" s="56" t="s">
        <v>399</v>
      </c>
      <c r="D83" s="12"/>
      <c r="E83" s="12"/>
      <c r="F83" s="13"/>
      <c r="G83" s="13"/>
      <c r="H83" s="13"/>
      <c r="I83" s="13"/>
      <c r="J83" s="13"/>
      <c r="K83" s="13"/>
      <c r="L83" s="13"/>
      <c r="M83" s="13"/>
      <c r="N83" s="13"/>
      <c r="O83" s="13"/>
      <c r="P83" s="13"/>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x14ac:dyDescent="0.35">
      <c r="A84" s="1"/>
      <c r="B84" s="47"/>
      <c r="C84" s="56" t="s">
        <v>394</v>
      </c>
      <c r="D84" s="12"/>
      <c r="E84" s="12"/>
      <c r="F84" s="13"/>
      <c r="G84" s="13"/>
      <c r="H84" s="13">
        <v>3400</v>
      </c>
      <c r="I84" s="13">
        <v>1600</v>
      </c>
      <c r="J84" s="13">
        <v>3000</v>
      </c>
      <c r="K84" s="13">
        <v>3700</v>
      </c>
      <c r="L84" s="13">
        <v>5400</v>
      </c>
      <c r="M84" s="13">
        <v>6200</v>
      </c>
      <c r="N84" s="13">
        <v>4800</v>
      </c>
      <c r="O84" s="13">
        <v>4400</v>
      </c>
      <c r="P84" s="13">
        <f t="shared" ref="P84:P85" si="3">SUM(D84:O84)</f>
        <v>32500</v>
      </c>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x14ac:dyDescent="0.35">
      <c r="A85" s="1"/>
      <c r="B85" s="47"/>
      <c r="C85" s="2" t="s">
        <v>395</v>
      </c>
      <c r="D85" s="12"/>
      <c r="E85" s="12"/>
      <c r="F85" s="13"/>
      <c r="G85" s="13"/>
      <c r="H85" s="13">
        <v>427800</v>
      </c>
      <c r="I85" s="13">
        <v>933400</v>
      </c>
      <c r="J85" s="13">
        <v>551200</v>
      </c>
      <c r="K85" s="13">
        <v>929600</v>
      </c>
      <c r="L85" s="13">
        <v>705900</v>
      </c>
      <c r="M85" s="13">
        <v>673400</v>
      </c>
      <c r="N85" s="13">
        <v>954300</v>
      </c>
      <c r="O85" s="13">
        <v>868200</v>
      </c>
      <c r="P85" s="13">
        <f t="shared" si="3"/>
        <v>6043800</v>
      </c>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x14ac:dyDescent="0.35">
      <c r="A86" s="1"/>
      <c r="B86" s="47"/>
      <c r="C86" s="56" t="s">
        <v>400</v>
      </c>
      <c r="D86" s="12"/>
      <c r="E86" s="12"/>
      <c r="F86" s="13"/>
      <c r="G86" s="13"/>
      <c r="H86" s="13"/>
      <c r="I86" s="13"/>
      <c r="J86" s="13"/>
      <c r="K86" s="13"/>
      <c r="L86" s="13"/>
      <c r="M86" s="13"/>
      <c r="N86" s="13"/>
      <c r="O86" s="13"/>
      <c r="P86" s="13"/>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x14ac:dyDescent="0.35">
      <c r="A87" s="1"/>
      <c r="B87" s="47"/>
      <c r="C87" s="56"/>
      <c r="D87" s="12">
        <v>933700</v>
      </c>
      <c r="E87" s="12">
        <v>785700</v>
      </c>
      <c r="F87" s="13">
        <v>629000</v>
      </c>
      <c r="G87" s="13">
        <v>671500</v>
      </c>
      <c r="H87" s="13">
        <v>612400</v>
      </c>
      <c r="I87" s="13">
        <v>963900</v>
      </c>
      <c r="J87" s="13">
        <v>516200</v>
      </c>
      <c r="K87" s="13">
        <v>797300</v>
      </c>
      <c r="L87" s="13">
        <v>695600</v>
      </c>
      <c r="M87" s="13">
        <v>793900</v>
      </c>
      <c r="N87" s="13">
        <v>752300</v>
      </c>
      <c r="O87" s="13">
        <v>626800</v>
      </c>
      <c r="P87" s="13">
        <f>SUM(D87:O87)</f>
        <v>8778300</v>
      </c>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x14ac:dyDescent="0.35">
      <c r="A88" s="1"/>
      <c r="B88" s="47"/>
      <c r="C88" s="56" t="s">
        <v>401</v>
      </c>
      <c r="D88" s="12"/>
      <c r="E88" s="12"/>
      <c r="F88" s="13"/>
      <c r="G88" s="13"/>
      <c r="H88" s="13"/>
      <c r="I88" s="13"/>
      <c r="J88" s="13"/>
      <c r="K88" s="13"/>
      <c r="L88" s="13"/>
      <c r="M88" s="13"/>
      <c r="N88" s="13"/>
      <c r="O88" s="13"/>
      <c r="P88" s="13"/>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x14ac:dyDescent="0.35">
      <c r="A89" s="1"/>
      <c r="B89" s="47"/>
      <c r="C89" s="56" t="s">
        <v>418</v>
      </c>
      <c r="D89" s="12">
        <v>483800</v>
      </c>
      <c r="E89" s="12">
        <v>358500</v>
      </c>
      <c r="F89" s="13">
        <v>347300</v>
      </c>
      <c r="G89" s="13">
        <v>520500</v>
      </c>
      <c r="H89" s="13">
        <v>600000</v>
      </c>
      <c r="I89" s="13">
        <v>600000</v>
      </c>
      <c r="J89" s="13">
        <v>600000</v>
      </c>
      <c r="K89" s="13">
        <v>600000</v>
      </c>
      <c r="L89" s="13">
        <v>600000</v>
      </c>
      <c r="M89" s="13">
        <v>593400</v>
      </c>
      <c r="N89" s="13">
        <v>549500</v>
      </c>
      <c r="O89" s="13">
        <v>345800</v>
      </c>
      <c r="P89" s="13">
        <f>SUM(D89:O89)</f>
        <v>6198800</v>
      </c>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x14ac:dyDescent="0.35">
      <c r="A90" s="1"/>
      <c r="B90" s="47"/>
      <c r="C90" s="56" t="s">
        <v>419</v>
      </c>
      <c r="D90" s="12"/>
      <c r="E90" s="12"/>
      <c r="F90" s="13"/>
      <c r="G90" s="13"/>
      <c r="H90" s="13">
        <v>62600</v>
      </c>
      <c r="I90" s="13">
        <v>680300</v>
      </c>
      <c r="J90" s="13">
        <v>212200</v>
      </c>
      <c r="K90" s="13">
        <v>1186700</v>
      </c>
      <c r="L90" s="13">
        <v>50600</v>
      </c>
      <c r="M90" s="13"/>
      <c r="N90" s="13"/>
      <c r="O90" s="13"/>
      <c r="P90" s="13">
        <f>SUM(D90:O90)</f>
        <v>2192400</v>
      </c>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x14ac:dyDescent="0.35">
      <c r="A91" s="1"/>
      <c r="B91" s="1"/>
      <c r="C91" s="56" t="s">
        <v>402</v>
      </c>
      <c r="D91" s="12"/>
      <c r="E91" s="12"/>
      <c r="F91" s="13"/>
      <c r="G91" s="13"/>
      <c r="H91" s="13"/>
      <c r="I91" s="13"/>
      <c r="J91" s="13"/>
      <c r="K91" s="13"/>
      <c r="L91" s="13"/>
      <c r="M91" s="13"/>
      <c r="N91" s="13"/>
      <c r="O91" s="13"/>
      <c r="P91" s="13"/>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ht="16" x14ac:dyDescent="0.35">
      <c r="A92" s="259"/>
      <c r="B92" s="259"/>
      <c r="C92" s="259"/>
      <c r="D92" s="283">
        <v>1607600</v>
      </c>
      <c r="E92" s="283">
        <v>1945400</v>
      </c>
      <c r="F92" s="13">
        <v>1985500</v>
      </c>
      <c r="G92" s="13">
        <v>1467000</v>
      </c>
      <c r="H92" s="13">
        <v>1139200</v>
      </c>
      <c r="I92" s="13">
        <v>1599300</v>
      </c>
      <c r="J92" s="13">
        <v>825200</v>
      </c>
      <c r="K92" s="13">
        <v>874600</v>
      </c>
      <c r="L92" s="13">
        <v>924100</v>
      </c>
      <c r="M92" s="13">
        <v>994400</v>
      </c>
      <c r="N92" s="13">
        <v>1182600</v>
      </c>
      <c r="O92" s="13">
        <v>1114900</v>
      </c>
      <c r="P92" s="13">
        <f>SUM(D92:O92)</f>
        <v>15659800</v>
      </c>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x14ac:dyDescent="0.35">
      <c r="A93" s="1"/>
      <c r="B93" s="1"/>
      <c r="C93" s="1" t="s">
        <v>403</v>
      </c>
      <c r="D93" s="13"/>
      <c r="E93" s="13"/>
      <c r="F93" s="13"/>
      <c r="G93" s="13"/>
      <c r="H93" s="13"/>
      <c r="I93" s="13"/>
      <c r="J93" s="13"/>
      <c r="K93" s="13"/>
      <c r="L93" s="13"/>
      <c r="M93" s="13"/>
      <c r="N93" s="13"/>
      <c r="O93" s="13"/>
      <c r="P93" s="13"/>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x14ac:dyDescent="0.35">
      <c r="A94" s="1"/>
      <c r="B94" s="47"/>
      <c r="C94" s="185" t="s">
        <v>420</v>
      </c>
      <c r="D94" s="34">
        <v>1950000</v>
      </c>
      <c r="E94" s="34">
        <v>1950000</v>
      </c>
      <c r="F94" s="13">
        <v>1950000</v>
      </c>
      <c r="G94" s="13">
        <v>1950000</v>
      </c>
      <c r="H94" s="13">
        <v>1950000</v>
      </c>
      <c r="I94" s="13">
        <v>1950000</v>
      </c>
      <c r="J94" s="13">
        <v>1950000</v>
      </c>
      <c r="K94" s="13">
        <v>1950000</v>
      </c>
      <c r="L94" s="34">
        <v>1950000</v>
      </c>
      <c r="M94" s="34">
        <v>1950000</v>
      </c>
      <c r="N94" s="13">
        <v>1950000</v>
      </c>
      <c r="O94" s="13">
        <v>1950000</v>
      </c>
      <c r="P94" s="13">
        <f t="shared" ref="P94:P95" si="4">SUM(D94:O94)</f>
        <v>23400000</v>
      </c>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x14ac:dyDescent="0.35">
      <c r="A95" s="1"/>
      <c r="B95" s="47"/>
      <c r="C95" s="56" t="s">
        <v>404</v>
      </c>
      <c r="D95" s="12">
        <v>6326200</v>
      </c>
      <c r="E95" s="12">
        <v>6966800</v>
      </c>
      <c r="F95" s="13">
        <v>5109000</v>
      </c>
      <c r="G95" s="13">
        <v>5774200</v>
      </c>
      <c r="H95" s="13">
        <v>6787900</v>
      </c>
      <c r="I95" s="13">
        <v>9913900</v>
      </c>
      <c r="J95" s="13">
        <v>5511300</v>
      </c>
      <c r="K95" s="13">
        <v>7627500</v>
      </c>
      <c r="L95" s="13">
        <v>6654900</v>
      </c>
      <c r="M95" s="13">
        <v>8766100</v>
      </c>
      <c r="N95" s="13">
        <v>11867700</v>
      </c>
      <c r="O95" s="13">
        <v>9627800</v>
      </c>
      <c r="P95" s="13">
        <f t="shared" si="4"/>
        <v>90933300</v>
      </c>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x14ac:dyDescent="0.35">
      <c r="A96" s="1"/>
      <c r="B96" s="47"/>
      <c r="C96" s="56"/>
      <c r="D96" s="12"/>
      <c r="E96" s="12"/>
      <c r="F96" s="13"/>
      <c r="G96" s="13"/>
      <c r="H96" s="13"/>
      <c r="I96" s="13"/>
      <c r="J96" s="13"/>
      <c r="K96" s="13"/>
      <c r="L96" s="13"/>
      <c r="M96" s="13"/>
      <c r="N96" s="13"/>
      <c r="O96" s="13"/>
      <c r="P96" s="13"/>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x14ac:dyDescent="0.35">
      <c r="A97" s="1"/>
      <c r="B97" s="47"/>
      <c r="C97" s="40" t="s">
        <v>41</v>
      </c>
      <c r="D97" s="15">
        <f>SUM(D75:D95)</f>
        <v>38199600</v>
      </c>
      <c r="E97" s="15">
        <f t="shared" ref="E97:O97" si="5">SUM(E75:E95)</f>
        <v>35656500</v>
      </c>
      <c r="F97" s="15">
        <f t="shared" si="5"/>
        <v>30115300</v>
      </c>
      <c r="G97" s="15">
        <f t="shared" si="5"/>
        <v>31322500</v>
      </c>
      <c r="H97" s="15">
        <f t="shared" si="5"/>
        <v>29592800</v>
      </c>
      <c r="I97" s="15">
        <f t="shared" si="5"/>
        <v>48483800</v>
      </c>
      <c r="J97" s="15">
        <f t="shared" si="5"/>
        <v>28479900</v>
      </c>
      <c r="K97" s="15">
        <f t="shared" si="5"/>
        <v>38637200</v>
      </c>
      <c r="L97" s="15">
        <f t="shared" si="5"/>
        <v>34906300</v>
      </c>
      <c r="M97" s="15">
        <f t="shared" si="5"/>
        <v>36700100</v>
      </c>
      <c r="N97" s="15">
        <f t="shared" si="5"/>
        <v>40925300</v>
      </c>
      <c r="O97" s="15">
        <f t="shared" si="5"/>
        <v>37312300</v>
      </c>
      <c r="P97" s="15">
        <f>SUM(D97:O97)</f>
        <v>430331600</v>
      </c>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x14ac:dyDescent="0.35">
      <c r="A98" s="1"/>
      <c r="B98" s="103"/>
      <c r="C98" s="56"/>
      <c r="D98" s="77"/>
      <c r="E98" s="56"/>
      <c r="F98" s="1"/>
      <c r="G98" s="1"/>
      <c r="H98" s="1"/>
      <c r="I98" s="1"/>
      <c r="J98" s="1"/>
      <c r="K98" s="1">
        <v>38097200</v>
      </c>
      <c r="L98" s="2"/>
      <c r="M98" s="2"/>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x14ac:dyDescent="0.35">
      <c r="A99" s="1"/>
      <c r="B99" s="47"/>
      <c r="C99" s="56"/>
      <c r="D99" s="77"/>
      <c r="E99" s="56"/>
      <c r="F99" s="1"/>
      <c r="G99" s="1"/>
      <c r="H99" s="1"/>
      <c r="I99" s="1"/>
      <c r="J99" s="1"/>
      <c r="K99" s="2">
        <f>K97-K98</f>
        <v>540000</v>
      </c>
      <c r="L99" s="2"/>
      <c r="M99" s="2"/>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x14ac:dyDescent="0.35">
      <c r="A100" s="49"/>
      <c r="B100" s="1" t="s">
        <v>71</v>
      </c>
      <c r="C100" s="185" t="s">
        <v>397</v>
      </c>
      <c r="D100" s="47" t="s">
        <v>405</v>
      </c>
      <c r="E100" s="47" t="s">
        <v>406</v>
      </c>
      <c r="F100" s="47" t="s">
        <v>407</v>
      </c>
      <c r="G100" s="47" t="s">
        <v>408</v>
      </c>
      <c r="H100" s="47" t="s">
        <v>409</v>
      </c>
      <c r="I100" s="47" t="s">
        <v>410</v>
      </c>
      <c r="J100" s="47" t="s">
        <v>411</v>
      </c>
      <c r="K100" s="47" t="s">
        <v>412</v>
      </c>
      <c r="L100" s="47" t="s">
        <v>413</v>
      </c>
      <c r="M100" s="47" t="s">
        <v>414</v>
      </c>
      <c r="N100" s="47" t="s">
        <v>415</v>
      </c>
      <c r="O100" s="47" t="s">
        <v>416</v>
      </c>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x14ac:dyDescent="0.35">
      <c r="A101" s="49"/>
      <c r="B101" s="50"/>
      <c r="C101" s="56" t="s">
        <v>394</v>
      </c>
      <c r="D101" s="12">
        <v>2327</v>
      </c>
      <c r="E101" s="12">
        <v>2385</v>
      </c>
      <c r="F101" s="12">
        <v>2745</v>
      </c>
      <c r="G101" s="13">
        <v>2618</v>
      </c>
      <c r="H101" s="13">
        <v>2641</v>
      </c>
      <c r="I101" s="13">
        <v>1542</v>
      </c>
      <c r="J101" s="13">
        <v>2682</v>
      </c>
      <c r="K101" s="13">
        <v>1863</v>
      </c>
      <c r="L101" s="13">
        <v>2069</v>
      </c>
      <c r="M101" s="13">
        <v>2134</v>
      </c>
      <c r="N101" s="13">
        <v>2014</v>
      </c>
      <c r="O101" s="13">
        <v>2079</v>
      </c>
      <c r="P101" s="13">
        <f t="shared" ref="P101:P102" si="6">SUM(D101:O101)</f>
        <v>27099</v>
      </c>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1:47" x14ac:dyDescent="0.35">
      <c r="A102" s="49"/>
      <c r="B102" s="50"/>
      <c r="C102" s="2" t="s">
        <v>395</v>
      </c>
      <c r="D102" s="12">
        <v>3985</v>
      </c>
      <c r="E102" s="12">
        <v>3909</v>
      </c>
      <c r="F102" s="12">
        <v>3518</v>
      </c>
      <c r="G102" s="13">
        <v>3644</v>
      </c>
      <c r="H102" s="13">
        <v>3165</v>
      </c>
      <c r="I102" s="13">
        <v>4285</v>
      </c>
      <c r="J102" s="13">
        <v>3149</v>
      </c>
      <c r="K102" s="13">
        <v>3980</v>
      </c>
      <c r="L102" s="13">
        <v>3762</v>
      </c>
      <c r="M102" s="13">
        <v>3703</v>
      </c>
      <c r="N102" s="13">
        <v>3827</v>
      </c>
      <c r="O102" s="13">
        <v>3744</v>
      </c>
      <c r="P102" s="13">
        <f t="shared" si="6"/>
        <v>44671</v>
      </c>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x14ac:dyDescent="0.35">
      <c r="A103" s="49"/>
      <c r="B103" s="50"/>
      <c r="C103" s="56" t="s">
        <v>396</v>
      </c>
      <c r="D103" s="12"/>
      <c r="E103" s="13"/>
      <c r="F103" s="12"/>
      <c r="G103" s="13"/>
      <c r="H103" s="13"/>
      <c r="I103" s="13"/>
      <c r="J103" s="13"/>
      <c r="K103" s="13"/>
      <c r="L103" s="13"/>
      <c r="M103" s="13"/>
      <c r="N103" s="13"/>
      <c r="O103" s="13"/>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47" x14ac:dyDescent="0.35">
      <c r="A104" s="1"/>
      <c r="B104" s="1"/>
      <c r="C104" s="56" t="s">
        <v>394</v>
      </c>
      <c r="D104" s="13"/>
      <c r="E104" s="13"/>
      <c r="F104" s="13"/>
      <c r="G104" s="13"/>
      <c r="H104" s="13">
        <v>141</v>
      </c>
      <c r="I104" s="13">
        <v>120</v>
      </c>
      <c r="J104" s="13">
        <v>150</v>
      </c>
      <c r="K104" s="13">
        <v>123</v>
      </c>
      <c r="L104" s="13">
        <v>135</v>
      </c>
      <c r="M104" s="13">
        <v>136</v>
      </c>
      <c r="N104" s="13">
        <v>128</v>
      </c>
      <c r="O104" s="13">
        <v>126</v>
      </c>
      <c r="P104" s="13">
        <f t="shared" ref="P104:P105" si="7">SUM(D104:O104)</f>
        <v>1059</v>
      </c>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x14ac:dyDescent="0.35">
      <c r="A105" s="186"/>
      <c r="B105" s="1"/>
      <c r="C105" s="2" t="s">
        <v>395</v>
      </c>
      <c r="D105" s="13"/>
      <c r="E105" s="13"/>
      <c r="F105" s="13"/>
      <c r="G105" s="13"/>
      <c r="H105" s="13">
        <v>114</v>
      </c>
      <c r="I105" s="13">
        <v>137</v>
      </c>
      <c r="J105" s="13">
        <v>104</v>
      </c>
      <c r="K105" s="13">
        <v>132</v>
      </c>
      <c r="L105" s="13">
        <v>120</v>
      </c>
      <c r="M105" s="13">
        <v>119</v>
      </c>
      <c r="N105" s="13">
        <v>121</v>
      </c>
      <c r="O105" s="13">
        <v>122</v>
      </c>
      <c r="P105" s="13">
        <f t="shared" si="7"/>
        <v>969</v>
      </c>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x14ac:dyDescent="0.35">
      <c r="A106" s="1"/>
      <c r="B106" s="1"/>
      <c r="C106" s="1" t="s">
        <v>196</v>
      </c>
      <c r="D106" s="13"/>
      <c r="E106" s="13"/>
      <c r="F106" s="13"/>
      <c r="G106" s="13"/>
      <c r="H106" s="13"/>
      <c r="I106" s="13"/>
      <c r="J106" s="13"/>
      <c r="K106" s="13"/>
      <c r="L106" s="13"/>
      <c r="M106" s="13"/>
      <c r="N106" s="13"/>
      <c r="O106" s="13"/>
      <c r="P106" s="1"/>
      <c r="Q106" s="1"/>
    </row>
    <row r="107" spans="1:47" x14ac:dyDescent="0.35">
      <c r="A107" s="1"/>
      <c r="B107" s="47"/>
      <c r="C107" s="56" t="s">
        <v>394</v>
      </c>
      <c r="D107" s="34"/>
      <c r="E107" s="34"/>
      <c r="F107" s="13"/>
      <c r="G107" s="13"/>
      <c r="H107" s="13">
        <v>132</v>
      </c>
      <c r="I107" s="13">
        <v>110</v>
      </c>
      <c r="J107" s="13">
        <v>129</v>
      </c>
      <c r="K107" s="13">
        <v>116</v>
      </c>
      <c r="L107" s="34">
        <v>119</v>
      </c>
      <c r="M107" s="34">
        <v>117</v>
      </c>
      <c r="N107" s="13">
        <v>115</v>
      </c>
      <c r="O107" s="13">
        <v>121</v>
      </c>
      <c r="P107" s="13">
        <f t="shared" ref="P107:P108" si="8">SUM(D107:O107)</f>
        <v>959</v>
      </c>
      <c r="Q107" s="1"/>
    </row>
    <row r="108" spans="1:47" x14ac:dyDescent="0.35">
      <c r="A108" s="1"/>
      <c r="B108" s="103"/>
      <c r="C108" s="2" t="s">
        <v>395</v>
      </c>
      <c r="D108" s="12"/>
      <c r="E108" s="12"/>
      <c r="F108" s="13"/>
      <c r="G108" s="13"/>
      <c r="H108" s="13">
        <v>49</v>
      </c>
      <c r="I108" s="13">
        <v>71</v>
      </c>
      <c r="J108" s="13">
        <v>52</v>
      </c>
      <c r="K108" s="13">
        <v>66</v>
      </c>
      <c r="L108" s="13">
        <v>63</v>
      </c>
      <c r="M108" s="13">
        <v>65</v>
      </c>
      <c r="N108" s="13">
        <v>66</v>
      </c>
      <c r="O108" s="13">
        <v>60</v>
      </c>
      <c r="P108" s="13">
        <f t="shared" si="8"/>
        <v>492</v>
      </c>
      <c r="Q108" s="1"/>
    </row>
    <row r="109" spans="1:47" x14ac:dyDescent="0.35">
      <c r="A109" s="1"/>
      <c r="B109" s="47"/>
      <c r="C109" s="56" t="s">
        <v>399</v>
      </c>
      <c r="D109" s="12"/>
      <c r="E109" s="12"/>
      <c r="F109" s="13"/>
      <c r="G109" s="13"/>
      <c r="H109" s="13"/>
      <c r="I109" s="13"/>
      <c r="J109" s="13"/>
      <c r="K109" s="13"/>
      <c r="L109" s="13"/>
      <c r="M109" s="13"/>
      <c r="N109" s="13"/>
      <c r="O109" s="13"/>
      <c r="P109" s="1"/>
      <c r="Q109" s="1"/>
    </row>
    <row r="110" spans="1:47" x14ac:dyDescent="0.35">
      <c r="A110" s="1"/>
      <c r="B110" s="47"/>
      <c r="C110" s="56" t="s">
        <v>394</v>
      </c>
      <c r="D110" s="12"/>
      <c r="E110" s="12"/>
      <c r="F110" s="13"/>
      <c r="G110" s="13"/>
      <c r="H110" s="13">
        <v>5</v>
      </c>
      <c r="I110" s="13">
        <v>4</v>
      </c>
      <c r="J110" s="13">
        <v>6</v>
      </c>
      <c r="K110" s="13">
        <v>6</v>
      </c>
      <c r="L110" s="13">
        <v>7</v>
      </c>
      <c r="M110" s="13">
        <v>7</v>
      </c>
      <c r="N110" s="13">
        <v>7</v>
      </c>
      <c r="O110" s="13">
        <v>6</v>
      </c>
      <c r="P110" s="13">
        <f t="shared" ref="P110:P111" si="9">SUM(D110:O110)</f>
        <v>48</v>
      </c>
      <c r="Q110" s="1"/>
    </row>
    <row r="111" spans="1:47" x14ac:dyDescent="0.35">
      <c r="A111" s="1"/>
      <c r="B111" s="47"/>
      <c r="C111" s="2" t="s">
        <v>395</v>
      </c>
      <c r="D111" s="12"/>
      <c r="E111" s="12"/>
      <c r="F111" s="13"/>
      <c r="G111" s="13"/>
      <c r="H111" s="13">
        <v>21</v>
      </c>
      <c r="I111" s="13">
        <v>22</v>
      </c>
      <c r="J111" s="13">
        <v>20</v>
      </c>
      <c r="K111" s="13">
        <v>20</v>
      </c>
      <c r="L111" s="13">
        <v>19</v>
      </c>
      <c r="M111" s="13">
        <v>19</v>
      </c>
      <c r="N111" s="13">
        <v>20</v>
      </c>
      <c r="O111" s="13">
        <v>20</v>
      </c>
      <c r="P111" s="13">
        <f t="shared" si="9"/>
        <v>161</v>
      </c>
      <c r="Q111" s="1"/>
    </row>
    <row r="112" spans="1:47" x14ac:dyDescent="0.35">
      <c r="A112" s="1"/>
      <c r="B112" s="47"/>
      <c r="C112" s="56" t="s">
        <v>400</v>
      </c>
      <c r="D112" s="12"/>
      <c r="E112" s="12"/>
      <c r="F112" s="13"/>
      <c r="G112" s="13"/>
      <c r="H112" s="13"/>
      <c r="I112" s="13"/>
      <c r="J112" s="13"/>
      <c r="K112" s="13"/>
      <c r="L112" s="13"/>
      <c r="M112" s="13"/>
      <c r="N112" s="13"/>
      <c r="O112" s="13"/>
      <c r="P112" s="1"/>
      <c r="Q112" s="1"/>
    </row>
    <row r="113" spans="1:17" x14ac:dyDescent="0.35">
      <c r="A113" s="1"/>
      <c r="B113" s="47"/>
      <c r="C113" s="56"/>
      <c r="D113" s="12">
        <v>2</v>
      </c>
      <c r="E113" s="12">
        <v>2</v>
      </c>
      <c r="F113" s="13">
        <v>2</v>
      </c>
      <c r="G113" s="13">
        <v>2</v>
      </c>
      <c r="H113" s="13">
        <v>2</v>
      </c>
      <c r="I113" s="13">
        <v>2</v>
      </c>
      <c r="J113" s="13">
        <v>2</v>
      </c>
      <c r="K113" s="13">
        <v>2</v>
      </c>
      <c r="L113" s="13">
        <v>2</v>
      </c>
      <c r="M113" s="13">
        <v>2</v>
      </c>
      <c r="N113" s="13">
        <v>2</v>
      </c>
      <c r="O113" s="13">
        <v>2</v>
      </c>
      <c r="P113" s="13">
        <f>SUM(D113:O113)</f>
        <v>24</v>
      </c>
      <c r="Q113" s="1"/>
    </row>
    <row r="114" spans="1:17" x14ac:dyDescent="0.35">
      <c r="A114" s="1"/>
      <c r="B114" s="47"/>
      <c r="C114" s="56" t="s">
        <v>401</v>
      </c>
      <c r="D114" s="12"/>
      <c r="E114" s="12"/>
      <c r="F114" s="13"/>
      <c r="G114" s="13"/>
      <c r="H114" s="13"/>
      <c r="I114" s="13"/>
      <c r="J114" s="13"/>
      <c r="K114" s="13"/>
      <c r="L114" s="13"/>
      <c r="M114" s="13"/>
      <c r="N114" s="13"/>
      <c r="O114" s="13"/>
      <c r="P114" s="1"/>
      <c r="Q114" s="1"/>
    </row>
    <row r="115" spans="1:17" x14ac:dyDescent="0.35">
      <c r="A115" s="1"/>
      <c r="B115" s="47"/>
      <c r="C115" s="56" t="s">
        <v>418</v>
      </c>
      <c r="D115" s="12">
        <v>1</v>
      </c>
      <c r="E115" s="12">
        <v>1</v>
      </c>
      <c r="F115" s="13">
        <v>1</v>
      </c>
      <c r="G115" s="13">
        <v>1</v>
      </c>
      <c r="H115" s="13">
        <v>1</v>
      </c>
      <c r="I115" s="13">
        <v>1</v>
      </c>
      <c r="J115" s="13">
        <v>1</v>
      </c>
      <c r="K115" s="13">
        <v>1</v>
      </c>
      <c r="L115" s="13">
        <v>1</v>
      </c>
      <c r="M115" s="13">
        <v>1</v>
      </c>
      <c r="N115" s="13">
        <v>1</v>
      </c>
      <c r="O115" s="13">
        <v>1</v>
      </c>
      <c r="P115" s="13">
        <f>SUM(D115:O115)</f>
        <v>12</v>
      </c>
      <c r="Q115" s="1"/>
    </row>
    <row r="116" spans="1:17" x14ac:dyDescent="0.35">
      <c r="A116" s="1"/>
      <c r="B116" s="47"/>
      <c r="C116" s="56" t="s">
        <v>419</v>
      </c>
      <c r="D116" s="12"/>
      <c r="E116" s="12"/>
      <c r="F116" s="13"/>
      <c r="G116" s="13"/>
      <c r="H116" s="13"/>
      <c r="I116" s="13"/>
      <c r="J116" s="13"/>
      <c r="K116" s="13"/>
      <c r="L116" s="13"/>
      <c r="M116" s="13"/>
      <c r="N116" s="13"/>
      <c r="O116" s="13"/>
      <c r="P116" s="1"/>
      <c r="Q116" s="1"/>
    </row>
    <row r="117" spans="1:17" x14ac:dyDescent="0.35">
      <c r="A117" s="1"/>
      <c r="B117" s="1"/>
      <c r="C117" s="56" t="s">
        <v>402</v>
      </c>
      <c r="D117" s="12"/>
      <c r="E117" s="12"/>
      <c r="F117" s="13"/>
      <c r="G117" s="13"/>
      <c r="H117" s="13"/>
      <c r="I117" s="13"/>
      <c r="J117" s="13"/>
      <c r="K117" s="13"/>
      <c r="L117" s="13"/>
      <c r="M117" s="13"/>
      <c r="N117" s="13"/>
      <c r="O117" s="13"/>
      <c r="P117" s="1"/>
      <c r="Q117" s="1"/>
    </row>
    <row r="118" spans="1:17" ht="16" x14ac:dyDescent="0.35">
      <c r="A118" s="259"/>
      <c r="B118" s="259"/>
      <c r="C118" s="259"/>
      <c r="D118" s="281">
        <v>4</v>
      </c>
      <c r="E118" s="281">
        <v>4</v>
      </c>
      <c r="F118" s="13">
        <v>4</v>
      </c>
      <c r="G118" s="13">
        <v>4</v>
      </c>
      <c r="H118" s="13">
        <v>4</v>
      </c>
      <c r="I118" s="13">
        <v>4</v>
      </c>
      <c r="J118" s="13">
        <v>4</v>
      </c>
      <c r="K118" s="13">
        <v>4</v>
      </c>
      <c r="L118" s="13">
        <v>4</v>
      </c>
      <c r="M118" s="13">
        <v>4</v>
      </c>
      <c r="N118" s="13">
        <v>4</v>
      </c>
      <c r="O118" s="13">
        <v>4</v>
      </c>
      <c r="P118" s="13">
        <f>SUM(D118:O118)</f>
        <v>48</v>
      </c>
      <c r="Q118" s="1"/>
    </row>
    <row r="119" spans="1:17" x14ac:dyDescent="0.35">
      <c r="A119" s="1"/>
      <c r="B119" s="1"/>
      <c r="C119" s="1" t="s">
        <v>403</v>
      </c>
      <c r="D119" s="13"/>
      <c r="E119" s="13"/>
      <c r="F119" s="13"/>
      <c r="G119" s="13"/>
      <c r="H119" s="13"/>
      <c r="I119" s="13"/>
      <c r="J119" s="13"/>
      <c r="K119" s="13"/>
      <c r="L119" s="13"/>
      <c r="M119" s="13"/>
      <c r="N119" s="13"/>
      <c r="O119" s="13"/>
      <c r="P119" s="1"/>
      <c r="Q119" s="1"/>
    </row>
    <row r="120" spans="1:17" x14ac:dyDescent="0.35">
      <c r="A120" s="1"/>
      <c r="B120" s="47"/>
      <c r="C120" s="185" t="s">
        <v>420</v>
      </c>
      <c r="D120" s="282">
        <v>1</v>
      </c>
      <c r="E120" s="282">
        <v>1</v>
      </c>
      <c r="F120" s="282">
        <v>1</v>
      </c>
      <c r="G120" s="282">
        <v>1</v>
      </c>
      <c r="H120" s="282">
        <v>1</v>
      </c>
      <c r="I120" s="282">
        <v>1</v>
      </c>
      <c r="J120" s="282">
        <v>1</v>
      </c>
      <c r="K120" s="13">
        <v>1</v>
      </c>
      <c r="L120" s="34">
        <v>1</v>
      </c>
      <c r="M120" s="34">
        <v>1</v>
      </c>
      <c r="N120" s="13">
        <v>1</v>
      </c>
      <c r="O120" s="13">
        <v>1</v>
      </c>
      <c r="P120" s="13">
        <f>SUM(D120:O120)</f>
        <v>12</v>
      </c>
      <c r="Q120" s="1"/>
    </row>
    <row r="121" spans="1:17" x14ac:dyDescent="0.35">
      <c r="A121" s="1"/>
      <c r="B121" s="47"/>
      <c r="C121" s="56" t="s">
        <v>421</v>
      </c>
      <c r="D121" s="12"/>
      <c r="E121" s="12"/>
      <c r="F121" s="13"/>
      <c r="G121" s="13"/>
      <c r="H121" s="13"/>
      <c r="I121" s="13"/>
      <c r="J121" s="13"/>
      <c r="K121" s="13"/>
      <c r="L121" s="13"/>
      <c r="M121" s="13"/>
      <c r="N121" s="13"/>
      <c r="O121" s="13"/>
      <c r="P121" s="1"/>
      <c r="Q121" s="1"/>
    </row>
    <row r="122" spans="1:17" x14ac:dyDescent="0.35">
      <c r="A122" s="1"/>
      <c r="B122" s="47"/>
      <c r="C122" s="56"/>
      <c r="D122" s="12"/>
      <c r="E122" s="12"/>
      <c r="F122" s="13"/>
      <c r="G122" s="13"/>
      <c r="H122" s="13"/>
      <c r="I122" s="13"/>
      <c r="J122" s="13"/>
      <c r="K122" s="13"/>
      <c r="L122" s="13"/>
      <c r="M122" s="13"/>
      <c r="N122" s="13"/>
      <c r="O122" s="13"/>
      <c r="P122" s="1"/>
      <c r="Q122" s="1"/>
    </row>
    <row r="123" spans="1:17" x14ac:dyDescent="0.35">
      <c r="A123" s="1"/>
      <c r="B123" s="47"/>
      <c r="C123" s="56" t="s">
        <v>13</v>
      </c>
      <c r="D123" s="15">
        <f>SUM(D101:D122)</f>
        <v>6320</v>
      </c>
      <c r="E123" s="15">
        <f t="shared" ref="E123:O123" si="10">SUM(E101:E122)</f>
        <v>6302</v>
      </c>
      <c r="F123" s="15">
        <f t="shared" si="10"/>
        <v>6271</v>
      </c>
      <c r="G123" s="15">
        <f t="shared" si="10"/>
        <v>6270</v>
      </c>
      <c r="H123" s="15">
        <f t="shared" si="10"/>
        <v>6276</v>
      </c>
      <c r="I123" s="15">
        <f t="shared" si="10"/>
        <v>6299</v>
      </c>
      <c r="J123" s="359">
        <f t="shared" si="10"/>
        <v>6300</v>
      </c>
      <c r="K123" s="15">
        <f t="shared" si="10"/>
        <v>6314</v>
      </c>
      <c r="L123" s="15">
        <f t="shared" si="10"/>
        <v>6302</v>
      </c>
      <c r="M123" s="15">
        <f t="shared" si="10"/>
        <v>6308</v>
      </c>
      <c r="N123" s="15">
        <f t="shared" si="10"/>
        <v>6306</v>
      </c>
      <c r="O123" s="15">
        <f t="shared" si="10"/>
        <v>6286</v>
      </c>
      <c r="P123" s="15">
        <f>SUM(D123:O123)</f>
        <v>75554</v>
      </c>
      <c r="Q123" s="1"/>
    </row>
    <row r="124" spans="1:17" x14ac:dyDescent="0.35">
      <c r="A124" s="1"/>
      <c r="B124" s="1"/>
      <c r="C124" s="1"/>
      <c r="D124" s="1"/>
      <c r="E124" s="1"/>
      <c r="F124" s="1"/>
      <c r="G124" s="1"/>
      <c r="H124" s="1"/>
      <c r="I124" s="1"/>
      <c r="J124" s="1"/>
      <c r="K124" s="1"/>
      <c r="L124" s="1"/>
      <c r="M124" s="1"/>
      <c r="N124" s="1"/>
      <c r="O124" s="1"/>
      <c r="P124" s="1"/>
      <c r="Q124" s="1"/>
    </row>
    <row r="125" spans="1:17" x14ac:dyDescent="0.35">
      <c r="A125" s="1" t="s">
        <v>35</v>
      </c>
      <c r="B125" s="47" t="s">
        <v>423</v>
      </c>
      <c r="C125" s="47" t="s">
        <v>424</v>
      </c>
      <c r="D125" s="47" t="s">
        <v>425</v>
      </c>
      <c r="E125" s="47" t="s">
        <v>426</v>
      </c>
      <c r="F125" s="47" t="s">
        <v>409</v>
      </c>
      <c r="G125" s="47" t="s">
        <v>427</v>
      </c>
      <c r="H125" s="47" t="s">
        <v>428</v>
      </c>
      <c r="I125" s="47" t="s">
        <v>429</v>
      </c>
      <c r="J125" s="47" t="s">
        <v>430</v>
      </c>
      <c r="K125" s="47" t="s">
        <v>431</v>
      </c>
      <c r="L125" s="47" t="s">
        <v>432</v>
      </c>
      <c r="M125" s="47" t="s">
        <v>433</v>
      </c>
      <c r="N125" s="1"/>
      <c r="O125" s="1"/>
      <c r="P125" s="1"/>
      <c r="Q125" s="1"/>
    </row>
    <row r="126" spans="1:17" x14ac:dyDescent="0.35">
      <c r="A126" s="1"/>
      <c r="B126" s="1">
        <v>6148.77</v>
      </c>
      <c r="C126" s="1">
        <v>18968.7</v>
      </c>
      <c r="D126" s="1">
        <v>4703.45</v>
      </c>
      <c r="E126" s="1">
        <v>1832.28</v>
      </c>
      <c r="F126" s="1">
        <v>1327.7</v>
      </c>
      <c r="G126" s="1">
        <v>594.83000000000004</v>
      </c>
      <c r="H126" s="1">
        <v>2812.07</v>
      </c>
      <c r="I126" s="1">
        <v>1599.26</v>
      </c>
      <c r="J126" s="1">
        <v>2736.33</v>
      </c>
      <c r="K126" s="1">
        <v>7593.23</v>
      </c>
      <c r="L126" s="1">
        <v>5282.25</v>
      </c>
      <c r="M126" s="1">
        <v>6917.62</v>
      </c>
      <c r="N126" s="35">
        <f>SUM(B126:M126)</f>
        <v>60516.490000000013</v>
      </c>
      <c r="O126" s="1"/>
      <c r="P126" s="1"/>
      <c r="Q126" s="1"/>
    </row>
  </sheetData>
  <mergeCells count="7">
    <mergeCell ref="A1:G1"/>
    <mergeCell ref="A47:E47"/>
    <mergeCell ref="A2:G2"/>
    <mergeCell ref="A3:G3"/>
    <mergeCell ref="B6:D6"/>
    <mergeCell ref="A19:G19"/>
    <mergeCell ref="A5:G5"/>
  </mergeCells>
  <pageMargins left="0.7" right="0.7" top="1" bottom="0.75" header="0.3" footer="0.3"/>
  <pageSetup scale="85" fitToHeight="2" orientation="portrait" r:id="rId1"/>
  <headerFooter>
    <oddFooter>Page &amp;P of &amp;N</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A17CE-8B12-46B1-A9A0-19191BB76EAC}">
  <sheetPr>
    <tabColor rgb="FF92D050"/>
  </sheetPr>
  <dimension ref="A1:P75"/>
  <sheetViews>
    <sheetView workbookViewId="0">
      <selection sqref="A1:H42"/>
    </sheetView>
  </sheetViews>
  <sheetFormatPr defaultRowHeight="15.5" x14ac:dyDescent="0.35"/>
  <cols>
    <col min="2" max="2" width="10.61328125" customWidth="1"/>
    <col min="3" max="3" width="12.69140625" bestFit="1" customWidth="1"/>
    <col min="4" max="4" width="12.921875" customWidth="1"/>
    <col min="5" max="5" width="12.53515625" customWidth="1"/>
    <col min="6" max="6" width="12.23046875" customWidth="1"/>
    <col min="7" max="7" width="13.23046875" customWidth="1"/>
    <col min="8" max="8" width="12.3828125" customWidth="1"/>
    <col min="9" max="9" width="12.07421875" customWidth="1"/>
    <col min="10" max="10" width="12.15234375" customWidth="1"/>
    <col min="11" max="11" width="11.61328125" customWidth="1"/>
    <col min="12" max="12" width="14.69140625" bestFit="1" customWidth="1"/>
    <col min="13" max="13" width="11.765625" customWidth="1"/>
    <col min="14" max="14" width="11.921875" customWidth="1"/>
    <col min="15" max="15" width="13" customWidth="1"/>
    <col min="16" max="16" width="13.07421875" customWidth="1"/>
  </cols>
  <sheetData>
    <row r="1" spans="1:12" x14ac:dyDescent="0.35">
      <c r="A1" s="763" t="s">
        <v>273</v>
      </c>
      <c r="B1" s="764"/>
      <c r="C1" s="764"/>
      <c r="D1" s="764"/>
      <c r="E1" s="764"/>
      <c r="F1" s="764"/>
      <c r="G1" s="764"/>
      <c r="H1" s="751"/>
      <c r="I1" s="149"/>
    </row>
    <row r="2" spans="1:12" x14ac:dyDescent="0.35">
      <c r="A2" s="844"/>
      <c r="B2" s="845"/>
      <c r="C2" s="845"/>
      <c r="D2" s="845"/>
      <c r="E2" s="845"/>
      <c r="F2" s="845"/>
      <c r="G2" s="845"/>
      <c r="H2" s="846"/>
      <c r="I2" s="149"/>
    </row>
    <row r="3" spans="1:12" x14ac:dyDescent="0.35">
      <c r="A3" s="847" t="s">
        <v>128</v>
      </c>
      <c r="B3" s="848"/>
      <c r="C3" s="848"/>
      <c r="D3" s="848"/>
      <c r="E3" s="848"/>
      <c r="F3" s="848"/>
      <c r="G3" s="848"/>
      <c r="H3" s="849"/>
      <c r="I3" s="149"/>
    </row>
    <row r="4" spans="1:12" x14ac:dyDescent="0.35">
      <c r="A4" s="387"/>
      <c r="H4" s="9"/>
      <c r="I4" s="149"/>
    </row>
    <row r="5" spans="1:12" x14ac:dyDescent="0.35">
      <c r="A5" s="387"/>
      <c r="B5" s="176" t="s">
        <v>274</v>
      </c>
      <c r="H5" s="9"/>
      <c r="I5" s="149"/>
      <c r="L5" s="365" t="s">
        <v>630</v>
      </c>
    </row>
    <row r="6" spans="1:12" x14ac:dyDescent="0.35">
      <c r="A6" s="387"/>
      <c r="D6" t="s">
        <v>275</v>
      </c>
      <c r="E6" t="s">
        <v>276</v>
      </c>
      <c r="F6" t="s">
        <v>78</v>
      </c>
      <c r="H6" s="9"/>
      <c r="I6" s="149"/>
      <c r="L6" s="376" t="s">
        <v>417</v>
      </c>
    </row>
    <row r="7" spans="1:12" x14ac:dyDescent="0.35">
      <c r="A7" s="387" t="s">
        <v>277</v>
      </c>
      <c r="D7" s="149">
        <f>C29</f>
        <v>15719</v>
      </c>
      <c r="E7" s="149">
        <f>D29</f>
        <v>83320000</v>
      </c>
      <c r="F7" s="729">
        <f>G29</f>
        <v>1052506</v>
      </c>
      <c r="H7" s="9"/>
      <c r="I7" s="149"/>
      <c r="L7" s="299">
        <f>E7/D7</f>
        <v>5300.5916406896113</v>
      </c>
    </row>
    <row r="8" spans="1:12" x14ac:dyDescent="0.35">
      <c r="A8" s="387" t="s">
        <v>278</v>
      </c>
      <c r="D8" s="305">
        <f>C36</f>
        <v>12</v>
      </c>
      <c r="E8" s="305">
        <f>D36</f>
        <v>115366900</v>
      </c>
      <c r="F8" s="305">
        <f>G42</f>
        <v>1190088.24</v>
      </c>
      <c r="H8" s="9"/>
      <c r="I8" s="149"/>
      <c r="L8" s="299">
        <f>E8/D8</f>
        <v>9613908.333333334</v>
      </c>
    </row>
    <row r="9" spans="1:12" x14ac:dyDescent="0.35">
      <c r="A9" s="387" t="s">
        <v>14</v>
      </c>
      <c r="D9" s="149">
        <f>SUM(D5:D8)</f>
        <v>15731</v>
      </c>
      <c r="E9" s="149">
        <f>SUM(E5:E8)</f>
        <v>198686900</v>
      </c>
      <c r="F9" s="729">
        <f>SUM(F5:F8)</f>
        <v>2242594.2400000002</v>
      </c>
      <c r="H9" s="9"/>
      <c r="I9" s="149"/>
    </row>
    <row r="10" spans="1:12" x14ac:dyDescent="0.35">
      <c r="A10" s="387"/>
      <c r="E10" s="309" t="s">
        <v>435</v>
      </c>
      <c r="F10" s="308">
        <f>SUM(SAOs!D7:D10)</f>
        <v>2009947.25</v>
      </c>
      <c r="H10" s="9"/>
      <c r="I10" s="149"/>
    </row>
    <row r="11" spans="1:12" x14ac:dyDescent="0.35">
      <c r="A11" s="387"/>
      <c r="E11" s="207"/>
      <c r="F11" s="729">
        <f>F9-F10</f>
        <v>232646.99000000022</v>
      </c>
      <c r="H11" s="9"/>
      <c r="I11" s="149"/>
    </row>
    <row r="12" spans="1:12" x14ac:dyDescent="0.35">
      <c r="A12" s="387"/>
      <c r="F12" s="729"/>
      <c r="H12" s="9"/>
      <c r="I12" s="149"/>
    </row>
    <row r="13" spans="1:12" x14ac:dyDescent="0.35">
      <c r="A13" s="387"/>
      <c r="E13" s="190"/>
      <c r="F13" s="149"/>
      <c r="H13" s="9"/>
      <c r="I13" s="149"/>
    </row>
    <row r="14" spans="1:12" x14ac:dyDescent="0.35">
      <c r="A14" s="387"/>
      <c r="E14" s="190"/>
      <c r="F14" s="149"/>
      <c r="H14" s="9"/>
      <c r="I14" s="149"/>
    </row>
    <row r="15" spans="1:12" x14ac:dyDescent="0.35">
      <c r="A15" s="387"/>
      <c r="E15" s="729" t="s">
        <v>285</v>
      </c>
      <c r="F15" s="729"/>
      <c r="H15" s="9"/>
      <c r="I15" s="149"/>
    </row>
    <row r="16" spans="1:12" x14ac:dyDescent="0.35">
      <c r="A16" s="387" t="s">
        <v>286</v>
      </c>
      <c r="B16" s="149"/>
      <c r="C16" s="190"/>
      <c r="D16" s="730"/>
      <c r="E16" s="730"/>
      <c r="F16" s="149"/>
      <c r="G16" s="179"/>
      <c r="H16" s="9"/>
      <c r="I16" s="149"/>
    </row>
    <row r="17" spans="1:9" x14ac:dyDescent="0.35">
      <c r="A17" s="387"/>
      <c r="B17" s="149"/>
      <c r="C17" s="190"/>
      <c r="E17" s="173" t="s">
        <v>11</v>
      </c>
      <c r="F17" s="173" t="s">
        <v>287</v>
      </c>
      <c r="G17" s="173" t="s">
        <v>12</v>
      </c>
      <c r="H17" s="9"/>
      <c r="I17" s="149"/>
    </row>
    <row r="18" spans="1:9" x14ac:dyDescent="0.35">
      <c r="A18" s="387"/>
      <c r="B18" s="304" t="s">
        <v>70</v>
      </c>
      <c r="C18" s="276" t="s">
        <v>71</v>
      </c>
      <c r="D18" s="276" t="s">
        <v>72</v>
      </c>
      <c r="E18" s="304">
        <f>B19</f>
        <v>2000</v>
      </c>
      <c r="F18" s="304">
        <f>B20</f>
        <v>18000</v>
      </c>
      <c r="G18" s="304">
        <f>B21</f>
        <v>20000</v>
      </c>
      <c r="H18" s="728" t="s">
        <v>13</v>
      </c>
      <c r="I18" s="149"/>
    </row>
    <row r="19" spans="1:9" x14ac:dyDescent="0.35">
      <c r="A19" s="387" t="s">
        <v>11</v>
      </c>
      <c r="B19" s="149">
        <v>2000</v>
      </c>
      <c r="C19" s="149">
        <f>O58</f>
        <v>6471</v>
      </c>
      <c r="D19" s="149">
        <f>O48</f>
        <v>6352100</v>
      </c>
      <c r="E19" s="149">
        <f>D19</f>
        <v>6352100</v>
      </c>
      <c r="F19" s="149"/>
      <c r="G19" s="149"/>
      <c r="H19" s="731">
        <f>SUM(E19:G19)</f>
        <v>6352100</v>
      </c>
      <c r="I19" s="149"/>
    </row>
    <row r="20" spans="1:9" x14ac:dyDescent="0.35">
      <c r="A20" s="387" t="s">
        <v>287</v>
      </c>
      <c r="B20" s="149">
        <v>18000</v>
      </c>
      <c r="C20" s="149">
        <f t="shared" ref="C20:C21" si="0">O59</f>
        <v>8827</v>
      </c>
      <c r="D20" s="149">
        <f>O49</f>
        <v>40922800</v>
      </c>
      <c r="E20" s="149">
        <f>C20*E18</f>
        <v>17654000</v>
      </c>
      <c r="F20" s="149">
        <f>D20-E20</f>
        <v>23268800</v>
      </c>
      <c r="G20" s="149"/>
      <c r="H20" s="731">
        <f>SUM(E20:G20)</f>
        <v>40922800</v>
      </c>
      <c r="I20" s="149"/>
    </row>
    <row r="21" spans="1:9" x14ac:dyDescent="0.35">
      <c r="A21" s="387" t="s">
        <v>12</v>
      </c>
      <c r="B21" s="149">
        <v>20000</v>
      </c>
      <c r="C21" s="305">
        <f t="shared" si="0"/>
        <v>421</v>
      </c>
      <c r="D21" s="305">
        <f>O50</f>
        <v>36045100</v>
      </c>
      <c r="E21" s="305">
        <f>C21*E18</f>
        <v>842000</v>
      </c>
      <c r="F21" s="305">
        <f>C21*F18</f>
        <v>7578000</v>
      </c>
      <c r="G21" s="305">
        <f>D21-E21-F21</f>
        <v>27625100</v>
      </c>
      <c r="H21" s="732">
        <f>SUM(E21:G21)</f>
        <v>36045100</v>
      </c>
      <c r="I21" s="149"/>
    </row>
    <row r="22" spans="1:9" x14ac:dyDescent="0.35">
      <c r="A22" s="387"/>
      <c r="B22" s="149"/>
      <c r="C22" s="149">
        <f>SUM(C19:C21)</f>
        <v>15719</v>
      </c>
      <c r="D22" s="149">
        <f>SUM(D19:D21)</f>
        <v>83320000</v>
      </c>
      <c r="E22" s="149">
        <f t="shared" ref="E22:H22" si="1">SUM(E19:E21)</f>
        <v>24848100</v>
      </c>
      <c r="F22" s="149">
        <f t="shared" si="1"/>
        <v>30846800</v>
      </c>
      <c r="G22" s="149">
        <f t="shared" si="1"/>
        <v>27625100</v>
      </c>
      <c r="H22" s="731">
        <f t="shared" si="1"/>
        <v>83320000</v>
      </c>
      <c r="I22" s="149"/>
    </row>
    <row r="23" spans="1:9" x14ac:dyDescent="0.35">
      <c r="A23" s="387"/>
      <c r="B23" s="149"/>
      <c r="G23" s="179"/>
      <c r="H23" s="9"/>
      <c r="I23" s="149"/>
    </row>
    <row r="24" spans="1:9" x14ac:dyDescent="0.35">
      <c r="A24" s="847" t="s">
        <v>288</v>
      </c>
      <c r="B24" s="848"/>
      <c r="C24" s="848"/>
      <c r="D24" s="848"/>
      <c r="E24" s="848"/>
      <c r="F24" s="848"/>
      <c r="G24" s="848"/>
      <c r="H24" s="9"/>
      <c r="I24" s="149"/>
    </row>
    <row r="25" spans="1:9" x14ac:dyDescent="0.35">
      <c r="A25" s="387"/>
      <c r="B25" s="304" t="s">
        <v>70</v>
      </c>
      <c r="C25" s="276" t="s">
        <v>71</v>
      </c>
      <c r="D25" s="276" t="s">
        <v>72</v>
      </c>
      <c r="E25" s="276" t="s">
        <v>75</v>
      </c>
      <c r="F25" s="276"/>
      <c r="G25" s="733" t="s">
        <v>76</v>
      </c>
      <c r="H25" s="9"/>
      <c r="I25" s="149"/>
    </row>
    <row r="26" spans="1:9" x14ac:dyDescent="0.35">
      <c r="A26" s="387" t="s">
        <v>11</v>
      </c>
      <c r="B26" s="149">
        <f>B19</f>
        <v>2000</v>
      </c>
      <c r="C26" s="149">
        <f>C22</f>
        <v>15719</v>
      </c>
      <c r="D26" s="149">
        <f>E22</f>
        <v>24848100</v>
      </c>
      <c r="E26" s="175">
        <v>30.03</v>
      </c>
      <c r="F26" s="175" t="s">
        <v>289</v>
      </c>
      <c r="G26" s="729">
        <f>ROUND(C26*E26,0)</f>
        <v>472042</v>
      </c>
      <c r="H26" s="9"/>
      <c r="I26" s="149"/>
    </row>
    <row r="27" spans="1:9" x14ac:dyDescent="0.35">
      <c r="A27" s="387" t="s">
        <v>287</v>
      </c>
      <c r="B27" s="149">
        <f t="shared" ref="B27:B28" si="2">B20</f>
        <v>18000</v>
      </c>
      <c r="D27" s="149">
        <f>F22</f>
        <v>30846800</v>
      </c>
      <c r="E27" s="734">
        <v>1.048E-2</v>
      </c>
      <c r="F27" s="175" t="s">
        <v>290</v>
      </c>
      <c r="G27" s="729">
        <f t="shared" ref="G27" si="3">ROUND(D27*E27,0)</f>
        <v>323274</v>
      </c>
      <c r="H27" s="9"/>
      <c r="I27" s="149"/>
    </row>
    <row r="28" spans="1:9" x14ac:dyDescent="0.35">
      <c r="A28" s="387" t="s">
        <v>12</v>
      </c>
      <c r="B28" s="149">
        <f t="shared" si="2"/>
        <v>20000</v>
      </c>
      <c r="C28" s="271"/>
      <c r="D28" s="305">
        <f>G22</f>
        <v>27625100</v>
      </c>
      <c r="E28" s="306">
        <v>9.3100000000000006E-3</v>
      </c>
      <c r="F28" s="307" t="s">
        <v>290</v>
      </c>
      <c r="G28" s="308">
        <f>ROUND(D28*E28,0)</f>
        <v>257190</v>
      </c>
      <c r="H28" s="9"/>
      <c r="I28" s="149"/>
    </row>
    <row r="29" spans="1:9" x14ac:dyDescent="0.35">
      <c r="A29" s="387"/>
      <c r="B29" s="149"/>
      <c r="C29" s="555">
        <f>SUM(C26:C28)</f>
        <v>15719</v>
      </c>
      <c r="D29" s="149">
        <f>SUM(D26:D28)</f>
        <v>83320000</v>
      </c>
      <c r="G29" s="729">
        <f>SUM(G26:G28)</f>
        <v>1052506</v>
      </c>
      <c r="H29" s="9"/>
      <c r="I29" s="149"/>
    </row>
    <row r="30" spans="1:9" x14ac:dyDescent="0.35">
      <c r="A30" s="387"/>
      <c r="B30" s="149"/>
      <c r="C30" s="729"/>
      <c r="D30" s="149"/>
      <c r="G30" s="729"/>
      <c r="H30" s="9"/>
      <c r="I30" s="149"/>
    </row>
    <row r="31" spans="1:9" x14ac:dyDescent="0.35">
      <c r="A31" s="387" t="s">
        <v>291</v>
      </c>
      <c r="B31" s="149"/>
      <c r="C31" s="190"/>
      <c r="F31" s="149"/>
      <c r="G31" s="179"/>
      <c r="H31" s="9"/>
      <c r="I31" s="149"/>
    </row>
    <row r="32" spans="1:9" x14ac:dyDescent="0.35">
      <c r="A32" s="387"/>
      <c r="B32" s="149"/>
      <c r="C32" s="190"/>
      <c r="E32" s="173" t="s">
        <v>11</v>
      </c>
      <c r="F32" s="173" t="s">
        <v>12</v>
      </c>
      <c r="H32" s="388"/>
      <c r="I32" s="149"/>
    </row>
    <row r="33" spans="1:15" x14ac:dyDescent="0.35">
      <c r="A33" s="387"/>
      <c r="B33" s="149" t="s">
        <v>70</v>
      </c>
      <c r="C33" s="735" t="s">
        <v>71</v>
      </c>
      <c r="D33" s="735" t="s">
        <v>72</v>
      </c>
      <c r="E33" s="149">
        <f>B34</f>
        <v>1300000</v>
      </c>
      <c r="F33" s="149">
        <f>B35</f>
        <v>1300000</v>
      </c>
      <c r="G33" t="s">
        <v>13</v>
      </c>
      <c r="H33" s="388"/>
      <c r="I33" s="149"/>
    </row>
    <row r="34" spans="1:15" x14ac:dyDescent="0.35">
      <c r="A34" s="387" t="s">
        <v>11</v>
      </c>
      <c r="B34" s="149">
        <v>1300000</v>
      </c>
      <c r="C34" s="149">
        <f>O63</f>
        <v>12</v>
      </c>
      <c r="D34" s="149">
        <f>O53</f>
        <v>15600000</v>
      </c>
      <c r="E34" s="149">
        <f>D34</f>
        <v>15600000</v>
      </c>
      <c r="F34" s="149"/>
      <c r="G34" s="149">
        <f>SUM(E34:F34)</f>
        <v>15600000</v>
      </c>
      <c r="H34" s="388"/>
      <c r="I34" s="149"/>
    </row>
    <row r="35" spans="1:15" x14ac:dyDescent="0.35">
      <c r="A35" s="387" t="s">
        <v>12</v>
      </c>
      <c r="B35" s="149">
        <v>1300000</v>
      </c>
      <c r="C35" s="305"/>
      <c r="D35" s="305">
        <f>O54</f>
        <v>99766900</v>
      </c>
      <c r="E35" s="305">
        <f>C35*E33</f>
        <v>0</v>
      </c>
      <c r="F35" s="305">
        <f>D35-E35</f>
        <v>99766900</v>
      </c>
      <c r="G35" s="305">
        <f>SUM(E35:F35)</f>
        <v>99766900</v>
      </c>
      <c r="H35" s="388"/>
      <c r="I35" s="149"/>
    </row>
    <row r="36" spans="1:15" x14ac:dyDescent="0.35">
      <c r="A36" s="387"/>
      <c r="B36" s="149"/>
      <c r="C36" s="149">
        <f>SUM(C34:C35)</f>
        <v>12</v>
      </c>
      <c r="D36" s="149">
        <f>SUM(D34:D35)</f>
        <v>115366900</v>
      </c>
      <c r="E36" s="149">
        <f>SUM(E34:E35)</f>
        <v>15600000</v>
      </c>
      <c r="F36" s="149">
        <f>SUM(F34:F35)</f>
        <v>99766900</v>
      </c>
      <c r="G36" s="149">
        <f>SUM(G34:G35)</f>
        <v>115366900</v>
      </c>
      <c r="H36" s="388"/>
      <c r="I36" s="149"/>
    </row>
    <row r="37" spans="1:15" x14ac:dyDescent="0.35">
      <c r="A37" s="387"/>
      <c r="B37" s="149"/>
      <c r="G37" s="179"/>
      <c r="H37" s="9"/>
      <c r="I37" s="149"/>
    </row>
    <row r="38" spans="1:15" x14ac:dyDescent="0.35">
      <c r="A38" s="847" t="s">
        <v>288</v>
      </c>
      <c r="B38" s="848"/>
      <c r="C38" s="848"/>
      <c r="D38" s="848"/>
      <c r="E38" s="848"/>
      <c r="F38" s="848"/>
      <c r="G38" s="848"/>
      <c r="H38" s="9"/>
      <c r="I38" s="149"/>
    </row>
    <row r="39" spans="1:15" x14ac:dyDescent="0.35">
      <c r="A39" s="387"/>
      <c r="B39" s="304" t="s">
        <v>70</v>
      </c>
      <c r="C39" s="276" t="s">
        <v>71</v>
      </c>
      <c r="D39" s="276" t="s">
        <v>72</v>
      </c>
      <c r="E39" s="276" t="s">
        <v>75</v>
      </c>
      <c r="F39" s="276"/>
      <c r="G39" s="733" t="s">
        <v>76</v>
      </c>
      <c r="H39" s="9"/>
      <c r="I39" s="149"/>
    </row>
    <row r="40" spans="1:15" x14ac:dyDescent="0.35">
      <c r="A40" s="387" t="s">
        <v>11</v>
      </c>
      <c r="B40" s="149">
        <f>B34</f>
        <v>1300000</v>
      </c>
      <c r="C40" s="149">
        <f>C36</f>
        <v>12</v>
      </c>
      <c r="D40" s="149">
        <f>E36</f>
        <v>15600000</v>
      </c>
      <c r="E40" s="175">
        <v>12044.27</v>
      </c>
      <c r="F40" s="175" t="s">
        <v>289</v>
      </c>
      <c r="G40" s="729">
        <f>C40*E40</f>
        <v>144531.24</v>
      </c>
      <c r="H40" s="9"/>
      <c r="I40" s="149"/>
    </row>
    <row r="41" spans="1:15" x14ac:dyDescent="0.35">
      <c r="A41" s="387" t="s">
        <v>12</v>
      </c>
      <c r="B41" s="149">
        <f>B35</f>
        <v>1300000</v>
      </c>
      <c r="C41" s="271"/>
      <c r="D41" s="305">
        <f>F36</f>
        <v>99766900</v>
      </c>
      <c r="E41" s="306">
        <v>1.048E-2</v>
      </c>
      <c r="F41" s="307" t="s">
        <v>290</v>
      </c>
      <c r="G41" s="308">
        <f t="shared" ref="G41" si="4">ROUND(D41*E41,0)</f>
        <v>1045557</v>
      </c>
      <c r="H41" s="9"/>
    </row>
    <row r="42" spans="1:15" x14ac:dyDescent="0.35">
      <c r="A42" s="337"/>
      <c r="B42" s="305"/>
      <c r="C42" s="308"/>
      <c r="D42" s="305">
        <f>SUM(D40:D41)</f>
        <v>115366900</v>
      </c>
      <c r="E42" s="271"/>
      <c r="F42" s="271"/>
      <c r="G42" s="308">
        <f>SUM(G40:G41)</f>
        <v>1190088.24</v>
      </c>
      <c r="H42" s="10"/>
    </row>
    <row r="44" spans="1:15" x14ac:dyDescent="0.35">
      <c r="A44" s="277" t="s">
        <v>392</v>
      </c>
    </row>
    <row r="46" spans="1:15" x14ac:dyDescent="0.35">
      <c r="C46" s="273" t="s">
        <v>417</v>
      </c>
      <c r="D46" s="273"/>
      <c r="E46" s="149"/>
    </row>
    <row r="47" spans="1:15" x14ac:dyDescent="0.35">
      <c r="B47" s="185" t="s">
        <v>436</v>
      </c>
      <c r="C47" s="47" t="s">
        <v>405</v>
      </c>
      <c r="D47" s="47" t="s">
        <v>406</v>
      </c>
      <c r="E47" s="47" t="s">
        <v>407</v>
      </c>
      <c r="F47" s="47" t="s">
        <v>408</v>
      </c>
      <c r="G47" s="47" t="s">
        <v>409</v>
      </c>
      <c r="H47" s="47" t="s">
        <v>410</v>
      </c>
      <c r="I47" s="47" t="s">
        <v>411</v>
      </c>
      <c r="J47" s="47" t="s">
        <v>412</v>
      </c>
      <c r="K47" s="47" t="s">
        <v>413</v>
      </c>
      <c r="L47" s="47" t="s">
        <v>414</v>
      </c>
      <c r="M47" s="47" t="s">
        <v>415</v>
      </c>
      <c r="N47" s="47" t="s">
        <v>416</v>
      </c>
      <c r="O47" s="284" t="s">
        <v>73</v>
      </c>
    </row>
    <row r="48" spans="1:15" x14ac:dyDescent="0.35">
      <c r="A48" s="273" t="s">
        <v>11</v>
      </c>
      <c r="B48" s="299">
        <v>2000</v>
      </c>
      <c r="C48" s="299">
        <v>487100</v>
      </c>
      <c r="D48" s="299">
        <v>517400</v>
      </c>
      <c r="E48" s="299">
        <v>564700</v>
      </c>
      <c r="F48" s="299">
        <v>575600</v>
      </c>
      <c r="G48" s="299">
        <f>568100+68400</f>
        <v>636500</v>
      </c>
      <c r="H48" s="299">
        <f>391900+59800</f>
        <v>451700</v>
      </c>
      <c r="I48" s="299">
        <f>570700+69600</f>
        <v>640300</v>
      </c>
      <c r="J48" s="299">
        <f>380700+56900</f>
        <v>437600</v>
      </c>
      <c r="K48" s="299">
        <f>441700+64400</f>
        <v>506100</v>
      </c>
      <c r="L48" s="299">
        <f>459200+63100</f>
        <v>522300</v>
      </c>
      <c r="M48" s="299">
        <f>440300+68500+100</f>
        <v>508900</v>
      </c>
      <c r="N48" s="299">
        <f>442900+61000+0</f>
        <v>503900</v>
      </c>
      <c r="O48" s="299">
        <f>SUM(C48:N48)</f>
        <v>6352100</v>
      </c>
    </row>
    <row r="49" spans="1:16" x14ac:dyDescent="0.35">
      <c r="A49" s="273" t="s">
        <v>287</v>
      </c>
      <c r="B49" s="299">
        <v>18000</v>
      </c>
      <c r="C49" s="299">
        <v>3605600</v>
      </c>
      <c r="D49" s="299">
        <v>3325700</v>
      </c>
      <c r="E49" s="299">
        <v>2857300</v>
      </c>
      <c r="F49" s="299">
        <v>3010600</v>
      </c>
      <c r="G49" s="299">
        <f>2163000+488700+9900</f>
        <v>2661600</v>
      </c>
      <c r="H49" s="299">
        <f>3671800+596900+19000</f>
        <v>4287700</v>
      </c>
      <c r="I49" s="299">
        <f>2446800+547100+5200</f>
        <v>2999100</v>
      </c>
      <c r="J49" s="299">
        <f>3636000+591700+9300</f>
        <v>4237000</v>
      </c>
      <c r="K49" s="299">
        <f>2866300+531400+35500</f>
        <v>3433200</v>
      </c>
      <c r="L49" s="299">
        <f>2919400+562600+24400</f>
        <v>3506400</v>
      </c>
      <c r="M49" s="299">
        <f>2955300+560400+13500</f>
        <v>3529200</v>
      </c>
      <c r="N49" s="299">
        <f>2897800+558500+13100</f>
        <v>3469400</v>
      </c>
      <c r="O49" s="299">
        <f t="shared" ref="O49:O50" si="5">SUM(C49:N49)</f>
        <v>40922800</v>
      </c>
    </row>
    <row r="50" spans="1:16" x14ac:dyDescent="0.35">
      <c r="A50" s="273" t="s">
        <v>12</v>
      </c>
      <c r="B50" s="299">
        <v>20000</v>
      </c>
      <c r="C50" s="299">
        <v>3745100</v>
      </c>
      <c r="D50" s="299">
        <v>3894900</v>
      </c>
      <c r="E50" s="299">
        <v>3413500</v>
      </c>
      <c r="F50" s="299">
        <v>2749400</v>
      </c>
      <c r="G50" s="299">
        <f>610300+1164300+441000</f>
        <v>2215600</v>
      </c>
      <c r="H50" s="299">
        <f>1171400+2304900+565800</f>
        <v>4042100</v>
      </c>
      <c r="I50" s="299">
        <f>346200+1172200+338400</f>
        <v>1856800</v>
      </c>
      <c r="J50" s="299">
        <f>572700+1865800+443100</f>
        <v>2881600</v>
      </c>
      <c r="K50" s="299">
        <f>839600+1631700+319000</f>
        <v>2790300</v>
      </c>
      <c r="L50" s="299">
        <f>917300+1495900+389000</f>
        <v>2802200</v>
      </c>
      <c r="M50" s="299">
        <f>703800+1927700+401000</f>
        <v>3032500</v>
      </c>
      <c r="N50" s="299">
        <f>513200+1772900+335000</f>
        <v>2621100</v>
      </c>
      <c r="O50" s="299">
        <f t="shared" si="5"/>
        <v>36045100</v>
      </c>
    </row>
    <row r="51" spans="1:16" x14ac:dyDescent="0.35">
      <c r="B51" s="299"/>
      <c r="C51" s="299"/>
      <c r="D51" s="299"/>
      <c r="E51" s="299"/>
      <c r="F51" s="299"/>
      <c r="G51" s="299"/>
      <c r="H51" s="299"/>
      <c r="I51" s="299"/>
      <c r="J51" s="299"/>
      <c r="K51" s="299"/>
      <c r="L51" s="299"/>
      <c r="M51" s="299"/>
      <c r="N51" s="299"/>
      <c r="O51" s="299"/>
    </row>
    <row r="52" spans="1:16" x14ac:dyDescent="0.35">
      <c r="B52" s="300" t="s">
        <v>403</v>
      </c>
      <c r="C52" s="299"/>
      <c r="D52" s="273" t="s">
        <v>602</v>
      </c>
      <c r="E52" s="299"/>
      <c r="F52" s="299"/>
      <c r="G52" s="299"/>
      <c r="H52" s="299"/>
      <c r="I52" s="299"/>
      <c r="J52" s="299"/>
      <c r="K52" s="299"/>
      <c r="L52" s="299"/>
      <c r="M52" s="299"/>
      <c r="N52" s="299"/>
      <c r="O52" s="299"/>
    </row>
    <row r="53" spans="1:16" x14ac:dyDescent="0.35">
      <c r="A53" s="273" t="s">
        <v>11</v>
      </c>
      <c r="B53" s="300">
        <v>1300000</v>
      </c>
      <c r="C53" s="299">
        <v>1300000</v>
      </c>
      <c r="D53" s="299">
        <v>1300000</v>
      </c>
      <c r="E53" s="299">
        <v>1300000</v>
      </c>
      <c r="F53" s="299">
        <v>1300000</v>
      </c>
      <c r="G53" s="565">
        <v>1300000</v>
      </c>
      <c r="H53" s="565">
        <v>1300000</v>
      </c>
      <c r="I53" s="565">
        <v>1300000</v>
      </c>
      <c r="J53" s="565">
        <v>1300000</v>
      </c>
      <c r="K53" s="565">
        <v>1300000</v>
      </c>
      <c r="L53" s="565">
        <v>1300000</v>
      </c>
      <c r="M53" s="565">
        <v>1300000</v>
      </c>
      <c r="N53" s="565">
        <v>1300000</v>
      </c>
      <c r="O53" s="299">
        <f t="shared" ref="O53:O54" si="6">SUM(C53:N53)</f>
        <v>15600000</v>
      </c>
    </row>
    <row r="54" spans="1:16" x14ac:dyDescent="0.35">
      <c r="A54" s="273" t="s">
        <v>12</v>
      </c>
      <c r="B54" s="300">
        <v>1300000</v>
      </c>
      <c r="C54" s="302">
        <v>6558800</v>
      </c>
      <c r="D54" s="302">
        <v>7092700</v>
      </c>
      <c r="E54" s="302">
        <v>5509100</v>
      </c>
      <c r="F54" s="302">
        <v>5929800</v>
      </c>
      <c r="G54" s="302">
        <v>8069600</v>
      </c>
      <c r="H54" s="302">
        <v>11410400</v>
      </c>
      <c r="I54" s="302">
        <v>6424800</v>
      </c>
      <c r="J54" s="302">
        <v>8763900</v>
      </c>
      <c r="K54" s="302">
        <v>7936700</v>
      </c>
      <c r="L54" s="302">
        <v>9731500</v>
      </c>
      <c r="M54" s="302">
        <v>11948700</v>
      </c>
      <c r="N54" s="302">
        <v>10390900</v>
      </c>
      <c r="O54" s="302">
        <f t="shared" si="6"/>
        <v>99766900</v>
      </c>
      <c r="P54" s="149">
        <f>SUM(O48:O54)</f>
        <v>198686900</v>
      </c>
    </row>
    <row r="55" spans="1:16" x14ac:dyDescent="0.35">
      <c r="B55" s="178" t="s">
        <v>13</v>
      </c>
      <c r="C55" s="299">
        <f>SUM(C48:C54)</f>
        <v>15696600</v>
      </c>
      <c r="D55" s="299">
        <f t="shared" ref="D55:N55" si="7">SUM(D48:D54)</f>
        <v>16130700</v>
      </c>
      <c r="E55" s="299">
        <f t="shared" si="7"/>
        <v>13644600</v>
      </c>
      <c r="F55" s="299">
        <f t="shared" si="7"/>
        <v>13565400</v>
      </c>
      <c r="G55" s="565">
        <f t="shared" si="7"/>
        <v>14883300</v>
      </c>
      <c r="H55" s="565">
        <f t="shared" si="7"/>
        <v>21491900</v>
      </c>
      <c r="I55" s="565">
        <f t="shared" si="7"/>
        <v>13221000</v>
      </c>
      <c r="J55" s="565">
        <f t="shared" si="7"/>
        <v>17620100</v>
      </c>
      <c r="K55" s="565">
        <f t="shared" si="7"/>
        <v>15966300</v>
      </c>
      <c r="L55" s="565">
        <f t="shared" si="7"/>
        <v>17862400</v>
      </c>
      <c r="M55" s="565">
        <f t="shared" si="7"/>
        <v>20319300</v>
      </c>
      <c r="N55" s="565">
        <f t="shared" si="7"/>
        <v>18285300</v>
      </c>
      <c r="O55" s="299">
        <f>SUM(C55:N55)</f>
        <v>198686900</v>
      </c>
    </row>
    <row r="56" spans="1:16" x14ac:dyDescent="0.35">
      <c r="B56" s="273" t="s">
        <v>437</v>
      </c>
      <c r="C56" s="299"/>
      <c r="D56" s="299"/>
      <c r="E56" s="299"/>
      <c r="F56" s="299"/>
      <c r="G56" s="299"/>
      <c r="H56" s="299"/>
      <c r="I56" s="299"/>
      <c r="J56" s="299"/>
      <c r="K56" s="299"/>
      <c r="L56" s="299"/>
      <c r="M56" s="299"/>
      <c r="N56" s="299"/>
      <c r="O56" s="299"/>
    </row>
    <row r="57" spans="1:16" x14ac:dyDescent="0.35">
      <c r="B57" s="185" t="s">
        <v>436</v>
      </c>
      <c r="C57" s="34" t="s">
        <v>405</v>
      </c>
      <c r="D57" s="34" t="s">
        <v>406</v>
      </c>
      <c r="E57" s="34" t="s">
        <v>407</v>
      </c>
      <c r="F57" s="34" t="s">
        <v>408</v>
      </c>
      <c r="G57" s="34" t="s">
        <v>409</v>
      </c>
      <c r="H57" s="34" t="s">
        <v>410</v>
      </c>
      <c r="I57" s="34" t="s">
        <v>411</v>
      </c>
      <c r="J57" s="34" t="s">
        <v>412</v>
      </c>
      <c r="K57" s="34" t="s">
        <v>413</v>
      </c>
      <c r="L57" s="34" t="s">
        <v>414</v>
      </c>
      <c r="M57" s="34" t="s">
        <v>415</v>
      </c>
      <c r="N57" s="34" t="s">
        <v>416</v>
      </c>
      <c r="O57" s="301" t="s">
        <v>73</v>
      </c>
    </row>
    <row r="58" spans="1:16" x14ac:dyDescent="0.35">
      <c r="A58" s="273" t="s">
        <v>11</v>
      </c>
      <c r="B58" s="299">
        <v>2000</v>
      </c>
      <c r="C58" s="299">
        <v>522</v>
      </c>
      <c r="D58" s="299">
        <v>536</v>
      </c>
      <c r="E58" s="299">
        <v>585</v>
      </c>
      <c r="F58" s="299">
        <v>575</v>
      </c>
      <c r="G58" s="565">
        <f>540+92+2</f>
        <v>634</v>
      </c>
      <c r="H58" s="565">
        <f>374+75</f>
        <v>449</v>
      </c>
      <c r="I58" s="565">
        <f>541+98</f>
        <v>639</v>
      </c>
      <c r="J58" s="565">
        <f>371+75+0</f>
        <v>446</v>
      </c>
      <c r="K58" s="565">
        <f>444+88</f>
        <v>532</v>
      </c>
      <c r="L58" s="565">
        <f>438+89</f>
        <v>527</v>
      </c>
      <c r="M58" s="565">
        <f>428+86+1</f>
        <v>515</v>
      </c>
      <c r="N58" s="565">
        <f>429+81+1</f>
        <v>511</v>
      </c>
      <c r="O58" s="299">
        <f t="shared" ref="O58:O60" si="8">SUM(C58:N58)</f>
        <v>6471</v>
      </c>
    </row>
    <row r="59" spans="1:16" x14ac:dyDescent="0.35">
      <c r="A59" s="273" t="s">
        <v>287</v>
      </c>
      <c r="B59" s="299">
        <v>18000</v>
      </c>
      <c r="C59" s="299">
        <v>749</v>
      </c>
      <c r="D59" s="299">
        <v>725</v>
      </c>
      <c r="E59" s="299">
        <v>691</v>
      </c>
      <c r="F59" s="299">
        <v>700</v>
      </c>
      <c r="G59" s="299">
        <f>561+82+2</f>
        <v>645</v>
      </c>
      <c r="H59" s="299">
        <f>725+91+2</f>
        <v>818</v>
      </c>
      <c r="I59" s="299">
        <f>573+74+2</f>
        <v>649</v>
      </c>
      <c r="J59" s="299">
        <f>740+88+2</f>
        <v>830</v>
      </c>
      <c r="K59" s="299">
        <f>665+78+3</f>
        <v>746</v>
      </c>
      <c r="L59" s="299">
        <f>670+81+3</f>
        <v>754</v>
      </c>
      <c r="M59" s="299">
        <f>681+77+2</f>
        <v>760</v>
      </c>
      <c r="N59" s="299">
        <f>676+82+2</f>
        <v>760</v>
      </c>
      <c r="O59" s="299">
        <f t="shared" si="8"/>
        <v>8827</v>
      </c>
    </row>
    <row r="60" spans="1:16" x14ac:dyDescent="0.35">
      <c r="A60" s="273" t="s">
        <v>12</v>
      </c>
      <c r="B60" s="299">
        <v>20000</v>
      </c>
      <c r="C60" s="299">
        <v>37</v>
      </c>
      <c r="D60" s="299">
        <v>51</v>
      </c>
      <c r="E60" s="299">
        <v>28</v>
      </c>
      <c r="F60" s="299">
        <v>30</v>
      </c>
      <c r="G60" s="299">
        <f>9+17+2</f>
        <v>28</v>
      </c>
      <c r="H60" s="299">
        <f>20+25+3</f>
        <v>48</v>
      </c>
      <c r="I60" s="299">
        <f>7+17+3</f>
        <v>27</v>
      </c>
      <c r="J60" s="299">
        <f>9+27+3</f>
        <v>39</v>
      </c>
      <c r="K60" s="299">
        <f>9+23+2</f>
        <v>34</v>
      </c>
      <c r="L60" s="299">
        <f>10+20+2</f>
        <v>32</v>
      </c>
      <c r="M60" s="299">
        <f>8+24+2</f>
        <v>34</v>
      </c>
      <c r="N60" s="299">
        <f>8+23+2</f>
        <v>33</v>
      </c>
      <c r="O60" s="299">
        <f t="shared" si="8"/>
        <v>421</v>
      </c>
    </row>
    <row r="61" spans="1:16" x14ac:dyDescent="0.35">
      <c r="B61" s="299"/>
      <c r="C61" s="299"/>
      <c r="D61" s="299"/>
      <c r="E61" s="299"/>
      <c r="F61" s="299"/>
      <c r="G61" s="299"/>
      <c r="H61" s="299"/>
      <c r="I61" s="299"/>
      <c r="J61" s="299"/>
      <c r="K61" s="299"/>
      <c r="L61" s="299"/>
      <c r="M61" s="299"/>
      <c r="N61" s="299"/>
      <c r="O61" s="299"/>
    </row>
    <row r="62" spans="1:16" x14ac:dyDescent="0.35">
      <c r="B62" s="300" t="s">
        <v>403</v>
      </c>
      <c r="C62" s="299"/>
      <c r="D62" s="299"/>
      <c r="E62" s="299"/>
      <c r="F62" s="299"/>
      <c r="G62" s="299"/>
      <c r="H62" s="299"/>
      <c r="I62" s="299"/>
      <c r="J62" s="299"/>
      <c r="K62" s="299"/>
      <c r="L62" s="299"/>
      <c r="M62" s="299"/>
      <c r="N62" s="299"/>
      <c r="O62" s="299"/>
    </row>
    <row r="63" spans="1:16" x14ac:dyDescent="0.35">
      <c r="A63" s="273" t="s">
        <v>11</v>
      </c>
      <c r="B63" s="300">
        <v>1300000</v>
      </c>
      <c r="C63" s="299">
        <v>1</v>
      </c>
      <c r="D63" s="299">
        <v>1</v>
      </c>
      <c r="E63" s="299">
        <v>1</v>
      </c>
      <c r="F63" s="299">
        <v>1</v>
      </c>
      <c r="G63" s="299">
        <v>1</v>
      </c>
      <c r="H63" s="300">
        <v>1</v>
      </c>
      <c r="I63" s="299">
        <v>1</v>
      </c>
      <c r="J63" s="299">
        <v>1</v>
      </c>
      <c r="K63" s="299">
        <v>1</v>
      </c>
      <c r="L63" s="299">
        <v>1</v>
      </c>
      <c r="M63" s="299">
        <v>1</v>
      </c>
      <c r="N63" s="299">
        <v>1</v>
      </c>
      <c r="O63" s="299">
        <f>SUM(C63:N63)</f>
        <v>12</v>
      </c>
    </row>
    <row r="64" spans="1:16" x14ac:dyDescent="0.35">
      <c r="A64" s="273" t="s">
        <v>12</v>
      </c>
      <c r="B64" s="300">
        <v>1300000</v>
      </c>
      <c r="C64" s="271"/>
      <c r="D64" s="271"/>
      <c r="E64" s="271"/>
      <c r="F64" s="271"/>
      <c r="G64" s="271"/>
      <c r="H64" s="271"/>
      <c r="I64" s="271"/>
      <c r="J64" s="271"/>
      <c r="K64" s="271"/>
      <c r="L64" s="271"/>
      <c r="M64" s="271"/>
      <c r="N64" s="271"/>
      <c r="O64" s="271"/>
      <c r="P64" s="149">
        <f>SUM(O58:O64)</f>
        <v>15731</v>
      </c>
    </row>
    <row r="65" spans="1:15" x14ac:dyDescent="0.35">
      <c r="B65" s="178" t="s">
        <v>13</v>
      </c>
      <c r="C65" s="149">
        <f>SUM(C58:C64)</f>
        <v>1309</v>
      </c>
      <c r="D65" s="149">
        <f t="shared" ref="D65:N65" si="9">SUM(D58:D64)</f>
        <v>1313</v>
      </c>
      <c r="E65" s="149">
        <f t="shared" si="9"/>
        <v>1305</v>
      </c>
      <c r="F65" s="149">
        <f t="shared" si="9"/>
        <v>1306</v>
      </c>
      <c r="G65" s="149">
        <f t="shared" si="9"/>
        <v>1308</v>
      </c>
      <c r="H65" s="149">
        <f t="shared" si="9"/>
        <v>1316</v>
      </c>
      <c r="I65" s="149">
        <f t="shared" si="9"/>
        <v>1316</v>
      </c>
      <c r="J65" s="149">
        <f t="shared" si="9"/>
        <v>1316</v>
      </c>
      <c r="K65" s="149">
        <f t="shared" si="9"/>
        <v>1313</v>
      </c>
      <c r="L65" s="149">
        <f t="shared" si="9"/>
        <v>1314</v>
      </c>
      <c r="M65" s="149">
        <f t="shared" si="9"/>
        <v>1310</v>
      </c>
      <c r="N65" s="149">
        <f t="shared" si="9"/>
        <v>1305</v>
      </c>
      <c r="O65" s="149">
        <f>SUM(C65:N65)</f>
        <v>15731</v>
      </c>
    </row>
    <row r="70" spans="1:15" x14ac:dyDescent="0.35">
      <c r="B70" t="s">
        <v>638</v>
      </c>
    </row>
    <row r="71" spans="1:15" x14ac:dyDescent="0.35">
      <c r="B71" s="149"/>
      <c r="C71" s="190"/>
      <c r="E71" s="173" t="s">
        <v>11</v>
      </c>
      <c r="F71" s="173" t="s">
        <v>287</v>
      </c>
      <c r="G71" s="173" t="s">
        <v>12</v>
      </c>
    </row>
    <row r="72" spans="1:15" x14ac:dyDescent="0.35">
      <c r="B72" s="304" t="s">
        <v>70</v>
      </c>
      <c r="C72" s="276" t="s">
        <v>71</v>
      </c>
      <c r="D72" s="276" t="s">
        <v>72</v>
      </c>
      <c r="E72" s="304">
        <v>2000</v>
      </c>
      <c r="F72" s="304">
        <v>18000</v>
      </c>
      <c r="G72" s="304">
        <v>20000</v>
      </c>
      <c r="H72" s="173" t="s">
        <v>13</v>
      </c>
    </row>
    <row r="73" spans="1:15" x14ac:dyDescent="0.35">
      <c r="A73" t="s">
        <v>28</v>
      </c>
      <c r="C73" s="149">
        <f>C22</f>
        <v>15719</v>
      </c>
      <c r="D73" s="149">
        <f>D22</f>
        <v>83320000</v>
      </c>
      <c r="E73" s="149">
        <f t="shared" ref="E73:G73" si="10">E22</f>
        <v>24848100</v>
      </c>
      <c r="F73" s="149">
        <f t="shared" si="10"/>
        <v>30846800</v>
      </c>
      <c r="G73" s="149">
        <f t="shared" si="10"/>
        <v>27625100</v>
      </c>
      <c r="H73" s="149">
        <f>SUM(E73:G73)</f>
        <v>83320000</v>
      </c>
    </row>
    <row r="74" spans="1:15" x14ac:dyDescent="0.35">
      <c r="A74" t="s">
        <v>639</v>
      </c>
      <c r="C74" s="305">
        <f>C36</f>
        <v>12</v>
      </c>
      <c r="D74" s="305">
        <f>D36</f>
        <v>115366900</v>
      </c>
      <c r="E74" s="302">
        <f>12*2000</f>
        <v>24000</v>
      </c>
      <c r="F74" s="302">
        <f>12*18000</f>
        <v>216000</v>
      </c>
      <c r="G74" s="305">
        <f>D74-(E74+F74)</f>
        <v>115126900</v>
      </c>
      <c r="H74" s="305">
        <f t="shared" ref="H74:H75" si="11">SUM(E74:G74)</f>
        <v>115366900</v>
      </c>
    </row>
    <row r="75" spans="1:15" x14ac:dyDescent="0.35">
      <c r="C75" s="149">
        <f>SUM(C73:C74)</f>
        <v>15731</v>
      </c>
      <c r="D75" s="149">
        <f t="shared" ref="D75:G75" si="12">SUM(D73:D74)</f>
        <v>198686900</v>
      </c>
      <c r="E75" s="149">
        <f t="shared" si="12"/>
        <v>24872100</v>
      </c>
      <c r="F75" s="149">
        <f t="shared" si="12"/>
        <v>31062800</v>
      </c>
      <c r="G75" s="149">
        <f t="shared" si="12"/>
        <v>142752000</v>
      </c>
      <c r="H75" s="149">
        <f t="shared" si="11"/>
        <v>198686900</v>
      </c>
    </row>
  </sheetData>
  <mergeCells count="5">
    <mergeCell ref="A1:H1"/>
    <mergeCell ref="A2:H2"/>
    <mergeCell ref="A3:H3"/>
    <mergeCell ref="A24:G24"/>
    <mergeCell ref="A38:G3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2E056-EFEE-42E3-9095-BC68259B22BE}">
  <sheetPr>
    <tabColor rgb="FF92D050"/>
  </sheetPr>
  <dimension ref="A1:O65"/>
  <sheetViews>
    <sheetView workbookViewId="0">
      <selection sqref="A1:H42"/>
    </sheetView>
  </sheetViews>
  <sheetFormatPr defaultRowHeight="15.5" x14ac:dyDescent="0.35"/>
  <cols>
    <col min="2" max="2" width="10.3046875" customWidth="1"/>
    <col min="3" max="3" width="11.765625" customWidth="1"/>
    <col min="4" max="4" width="13.15234375" customWidth="1"/>
    <col min="5" max="5" width="14.23046875" customWidth="1"/>
    <col min="6" max="6" width="12.84375" customWidth="1"/>
    <col min="7" max="7" width="12.69140625" customWidth="1"/>
    <col min="8" max="8" width="13.84375" customWidth="1"/>
    <col min="9" max="14" width="11.15234375" bestFit="1" customWidth="1"/>
    <col min="15" max="15" width="12.15234375" bestFit="1" customWidth="1"/>
  </cols>
  <sheetData>
    <row r="1" spans="1:10" x14ac:dyDescent="0.35">
      <c r="A1" s="852" t="s">
        <v>631</v>
      </c>
      <c r="B1" s="764"/>
      <c r="C1" s="764"/>
      <c r="D1" s="764"/>
      <c r="E1" s="764"/>
      <c r="F1" s="764"/>
      <c r="G1" s="764"/>
      <c r="H1" s="751"/>
    </row>
    <row r="2" spans="1:10" x14ac:dyDescent="0.35">
      <c r="A2" s="844"/>
      <c r="B2" s="845"/>
      <c r="C2" s="845"/>
      <c r="D2" s="845"/>
      <c r="E2" s="845"/>
      <c r="F2" s="845"/>
      <c r="G2" s="845"/>
      <c r="H2" s="846"/>
    </row>
    <row r="3" spans="1:10" x14ac:dyDescent="0.35">
      <c r="A3" s="847" t="s">
        <v>128</v>
      </c>
      <c r="B3" s="848"/>
      <c r="C3" s="848"/>
      <c r="D3" s="848"/>
      <c r="E3" s="848"/>
      <c r="F3" s="848"/>
      <c r="G3" s="848"/>
      <c r="H3" s="849"/>
    </row>
    <row r="4" spans="1:10" x14ac:dyDescent="0.35">
      <c r="A4" s="387"/>
      <c r="H4" s="9"/>
    </row>
    <row r="5" spans="1:10" x14ac:dyDescent="0.35">
      <c r="A5" s="850" t="s">
        <v>274</v>
      </c>
      <c r="B5" s="851"/>
      <c r="C5" s="851"/>
      <c r="D5" s="851"/>
      <c r="E5" s="851"/>
      <c r="F5" s="851"/>
      <c r="H5" s="9"/>
      <c r="I5" s="149"/>
    </row>
    <row r="6" spans="1:10" x14ac:dyDescent="0.35">
      <c r="A6" s="387"/>
      <c r="D6" t="s">
        <v>275</v>
      </c>
      <c r="E6" t="s">
        <v>276</v>
      </c>
      <c r="F6" t="s">
        <v>78</v>
      </c>
      <c r="H6" s="9"/>
      <c r="I6" s="149"/>
    </row>
    <row r="7" spans="1:10" x14ac:dyDescent="0.35">
      <c r="A7" s="387" t="s">
        <v>277</v>
      </c>
      <c r="D7" s="149">
        <f>C29</f>
        <v>15719</v>
      </c>
      <c r="E7" s="149">
        <f>D29</f>
        <v>83320000</v>
      </c>
      <c r="F7" s="729">
        <f>G29</f>
        <v>1085472</v>
      </c>
      <c r="H7" s="9"/>
      <c r="I7" s="149"/>
    </row>
    <row r="8" spans="1:10" x14ac:dyDescent="0.35">
      <c r="A8" s="387" t="s">
        <v>278</v>
      </c>
      <c r="D8" s="305">
        <f>C36</f>
        <v>12</v>
      </c>
      <c r="E8" s="305">
        <f>D36</f>
        <v>115366900</v>
      </c>
      <c r="F8" s="305">
        <f>G42</f>
        <v>1227526.8400000001</v>
      </c>
      <c r="H8" s="9"/>
      <c r="I8" s="149"/>
    </row>
    <row r="9" spans="1:10" x14ac:dyDescent="0.35">
      <c r="A9" s="387" t="s">
        <v>14</v>
      </c>
      <c r="D9" s="149">
        <f>SUM(D5:D8)</f>
        <v>15731</v>
      </c>
      <c r="E9" s="149">
        <f>SUM(E5:E8)</f>
        <v>198686900</v>
      </c>
      <c r="F9" s="729">
        <f>SUM(F5:F8)</f>
        <v>2312998.84</v>
      </c>
      <c r="H9" s="9"/>
      <c r="I9" s="149"/>
    </row>
    <row r="10" spans="1:10" x14ac:dyDescent="0.35">
      <c r="A10" s="387"/>
      <c r="E10" s="309" t="s">
        <v>627</v>
      </c>
      <c r="F10" s="308">
        <f>SAOs!G59</f>
        <v>2312660.26252928</v>
      </c>
      <c r="H10" s="9"/>
      <c r="I10" s="149"/>
      <c r="J10" s="273" t="s">
        <v>641</v>
      </c>
    </row>
    <row r="11" spans="1:10" x14ac:dyDescent="0.35">
      <c r="A11" s="387"/>
      <c r="E11" s="207"/>
      <c r="F11" s="729">
        <f>F9-F10</f>
        <v>338.5774707198143</v>
      </c>
      <c r="H11" s="9"/>
      <c r="I11" s="149"/>
    </row>
    <row r="12" spans="1:10" x14ac:dyDescent="0.35">
      <c r="A12" s="387"/>
      <c r="F12" s="729"/>
      <c r="H12" s="9"/>
      <c r="I12" s="149"/>
    </row>
    <row r="13" spans="1:10" x14ac:dyDescent="0.35">
      <c r="A13" s="387"/>
      <c r="E13" s="190"/>
      <c r="F13" s="149"/>
      <c r="H13" s="9"/>
      <c r="I13" s="149"/>
    </row>
    <row r="14" spans="1:10" x14ac:dyDescent="0.35">
      <c r="A14" s="387"/>
      <c r="E14" s="190"/>
      <c r="F14" s="149"/>
      <c r="H14" s="9"/>
      <c r="I14" s="149"/>
    </row>
    <row r="15" spans="1:10" x14ac:dyDescent="0.35">
      <c r="A15" s="387"/>
      <c r="E15" s="729" t="s">
        <v>285</v>
      </c>
      <c r="F15" s="729"/>
      <c r="H15" s="9"/>
      <c r="I15" s="149"/>
    </row>
    <row r="16" spans="1:10" x14ac:dyDescent="0.35">
      <c r="A16" s="387" t="s">
        <v>286</v>
      </c>
      <c r="B16" s="149"/>
      <c r="C16" s="190"/>
      <c r="D16" s="730"/>
      <c r="E16" s="730"/>
      <c r="F16" s="149"/>
      <c r="G16" s="179"/>
      <c r="H16" s="9"/>
      <c r="I16" s="149"/>
    </row>
    <row r="17" spans="1:9" x14ac:dyDescent="0.35">
      <c r="A17" s="387"/>
      <c r="B17" s="149"/>
      <c r="C17" s="190"/>
      <c r="E17" s="173" t="s">
        <v>11</v>
      </c>
      <c r="F17" s="173" t="s">
        <v>287</v>
      </c>
      <c r="G17" s="173" t="s">
        <v>12</v>
      </c>
      <c r="H17" s="9"/>
      <c r="I17" s="149"/>
    </row>
    <row r="18" spans="1:9" x14ac:dyDescent="0.35">
      <c r="A18" s="387"/>
      <c r="B18" s="304" t="s">
        <v>70</v>
      </c>
      <c r="C18" s="276" t="s">
        <v>71</v>
      </c>
      <c r="D18" s="276" t="s">
        <v>72</v>
      </c>
      <c r="E18" s="304">
        <f>B19</f>
        <v>2000</v>
      </c>
      <c r="F18" s="304">
        <f>B20</f>
        <v>18000</v>
      </c>
      <c r="G18" s="304">
        <f>B21</f>
        <v>20000</v>
      </c>
      <c r="H18" s="728" t="s">
        <v>13</v>
      </c>
      <c r="I18" s="149"/>
    </row>
    <row r="19" spans="1:9" x14ac:dyDescent="0.35">
      <c r="A19" s="387" t="s">
        <v>11</v>
      </c>
      <c r="B19" s="149">
        <v>2000</v>
      </c>
      <c r="C19" s="149">
        <f>O58</f>
        <v>6471</v>
      </c>
      <c r="D19" s="149">
        <f>O48</f>
        <v>6352100</v>
      </c>
      <c r="E19" s="149">
        <f>D19</f>
        <v>6352100</v>
      </c>
      <c r="F19" s="149"/>
      <c r="G19" s="149"/>
      <c r="H19" s="731">
        <f>SUM(E19:G19)</f>
        <v>6352100</v>
      </c>
      <c r="I19" s="149"/>
    </row>
    <row r="20" spans="1:9" x14ac:dyDescent="0.35">
      <c r="A20" s="387" t="s">
        <v>287</v>
      </c>
      <c r="B20" s="149">
        <v>18000</v>
      </c>
      <c r="C20" s="149">
        <f t="shared" ref="C20:C21" si="0">O59</f>
        <v>8827</v>
      </c>
      <c r="D20" s="149">
        <f>O49</f>
        <v>40922800</v>
      </c>
      <c r="E20" s="149">
        <f>C20*E18</f>
        <v>17654000</v>
      </c>
      <c r="F20" s="149">
        <f>D20-E20</f>
        <v>23268800</v>
      </c>
      <c r="G20" s="149"/>
      <c r="H20" s="731">
        <f>SUM(E20:G20)</f>
        <v>40922800</v>
      </c>
      <c r="I20" s="149"/>
    </row>
    <row r="21" spans="1:9" x14ac:dyDescent="0.35">
      <c r="A21" s="387" t="s">
        <v>12</v>
      </c>
      <c r="B21" s="149">
        <v>20000</v>
      </c>
      <c r="C21" s="305">
        <f t="shared" si="0"/>
        <v>421</v>
      </c>
      <c r="D21" s="305">
        <f>O50</f>
        <v>36045100</v>
      </c>
      <c r="E21" s="305">
        <f>C21*E18</f>
        <v>842000</v>
      </c>
      <c r="F21" s="305">
        <f>C21*F18</f>
        <v>7578000</v>
      </c>
      <c r="G21" s="305">
        <f>D21-E21-F21</f>
        <v>27625100</v>
      </c>
      <c r="H21" s="732">
        <f>SUM(E21:G21)</f>
        <v>36045100</v>
      </c>
      <c r="I21" s="149"/>
    </row>
    <row r="22" spans="1:9" x14ac:dyDescent="0.35">
      <c r="A22" s="387"/>
      <c r="B22" s="149"/>
      <c r="C22" s="149">
        <f>SUM(C19:C21)</f>
        <v>15719</v>
      </c>
      <c r="D22" s="149">
        <f>SUM(D19:D21)</f>
        <v>83320000</v>
      </c>
      <c r="E22" s="149">
        <f t="shared" ref="E22:H22" si="1">SUM(E19:E21)</f>
        <v>24848100</v>
      </c>
      <c r="F22" s="149">
        <f t="shared" si="1"/>
        <v>30846800</v>
      </c>
      <c r="G22" s="149">
        <f t="shared" si="1"/>
        <v>27625100</v>
      </c>
      <c r="H22" s="731">
        <f t="shared" si="1"/>
        <v>83320000</v>
      </c>
      <c r="I22" s="149"/>
    </row>
    <row r="23" spans="1:9" x14ac:dyDescent="0.35">
      <c r="A23" s="387"/>
      <c r="B23" s="149"/>
      <c r="G23" s="179"/>
      <c r="H23" s="9"/>
      <c r="I23" s="149"/>
    </row>
    <row r="24" spans="1:9" x14ac:dyDescent="0.35">
      <c r="A24" s="847" t="s">
        <v>288</v>
      </c>
      <c r="B24" s="848"/>
      <c r="C24" s="848"/>
      <c r="D24" s="848"/>
      <c r="E24" s="848"/>
      <c r="F24" s="848"/>
      <c r="G24" s="848"/>
      <c r="H24" s="9"/>
      <c r="I24" s="149"/>
    </row>
    <row r="25" spans="1:9" x14ac:dyDescent="0.35">
      <c r="A25" s="387"/>
      <c r="B25" s="304" t="s">
        <v>70</v>
      </c>
      <c r="C25" s="276" t="s">
        <v>71</v>
      </c>
      <c r="D25" s="276" t="s">
        <v>72</v>
      </c>
      <c r="E25" s="276" t="s">
        <v>75</v>
      </c>
      <c r="F25" s="276"/>
      <c r="G25" s="733" t="s">
        <v>76</v>
      </c>
      <c r="H25" s="9"/>
      <c r="I25" s="149"/>
    </row>
    <row r="26" spans="1:9" x14ac:dyDescent="0.35">
      <c r="A26" s="387" t="s">
        <v>11</v>
      </c>
      <c r="B26" s="149">
        <f>B19</f>
        <v>2000</v>
      </c>
      <c r="C26" s="149">
        <f>C22</f>
        <v>15719</v>
      </c>
      <c r="D26" s="149">
        <f>E22</f>
        <v>24848100</v>
      </c>
      <c r="E26" s="175">
        <f>Rates!L14</f>
        <v>30.97</v>
      </c>
      <c r="F26" s="175" t="s">
        <v>289</v>
      </c>
      <c r="G26" s="729">
        <f>ROUND(C26*E26,0)</f>
        <v>486817</v>
      </c>
      <c r="H26" s="9"/>
      <c r="I26" s="149"/>
    </row>
    <row r="27" spans="1:9" x14ac:dyDescent="0.35">
      <c r="A27" s="387" t="s">
        <v>287</v>
      </c>
      <c r="B27" s="149">
        <f t="shared" ref="B27:B28" si="2">B20</f>
        <v>18000</v>
      </c>
      <c r="D27" s="149">
        <f>F22</f>
        <v>30846800</v>
      </c>
      <c r="E27" s="734">
        <f>Rates!L15</f>
        <v>1.081E-2</v>
      </c>
      <c r="F27" s="175" t="s">
        <v>290</v>
      </c>
      <c r="G27" s="729">
        <f t="shared" ref="G27" si="3">ROUND(D27*E27,0)</f>
        <v>333454</v>
      </c>
      <c r="H27" s="9"/>
      <c r="I27" s="149"/>
    </row>
    <row r="28" spans="1:9" x14ac:dyDescent="0.35">
      <c r="A28" s="387" t="s">
        <v>12</v>
      </c>
      <c r="B28" s="149">
        <f t="shared" si="2"/>
        <v>20000</v>
      </c>
      <c r="C28" s="271"/>
      <c r="D28" s="305">
        <f>G22</f>
        <v>27625100</v>
      </c>
      <c r="E28" s="734">
        <f>Rates!L16</f>
        <v>9.5999999999999992E-3</v>
      </c>
      <c r="F28" s="307" t="s">
        <v>290</v>
      </c>
      <c r="G28" s="308">
        <f>ROUND(D28*E28,0)</f>
        <v>265201</v>
      </c>
      <c r="H28" s="9"/>
      <c r="I28" s="149"/>
    </row>
    <row r="29" spans="1:9" x14ac:dyDescent="0.35">
      <c r="A29" s="387"/>
      <c r="B29" s="149"/>
      <c r="C29" s="555">
        <f>SUM(C26:C28)</f>
        <v>15719</v>
      </c>
      <c r="D29" s="149">
        <f>SUM(D26:D28)</f>
        <v>83320000</v>
      </c>
      <c r="G29" s="729">
        <f>SUM(G26:G28)</f>
        <v>1085472</v>
      </c>
      <c r="H29" s="9"/>
      <c r="I29" s="149"/>
    </row>
    <row r="30" spans="1:9" x14ac:dyDescent="0.35">
      <c r="A30" s="387"/>
      <c r="B30" s="149"/>
      <c r="C30" s="729"/>
      <c r="D30" s="149"/>
      <c r="G30" s="729"/>
      <c r="H30" s="9"/>
      <c r="I30" s="149"/>
    </row>
    <row r="31" spans="1:9" x14ac:dyDescent="0.35">
      <c r="A31" s="387" t="s">
        <v>291</v>
      </c>
      <c r="B31" s="149"/>
      <c r="C31" s="190"/>
      <c r="F31" s="149"/>
      <c r="G31" s="179"/>
      <c r="H31" s="9"/>
      <c r="I31" s="149"/>
    </row>
    <row r="32" spans="1:9" x14ac:dyDescent="0.35">
      <c r="A32" s="387"/>
      <c r="B32" s="149"/>
      <c r="C32" s="190"/>
      <c r="E32" s="173" t="s">
        <v>11</v>
      </c>
      <c r="F32" s="173" t="s">
        <v>12</v>
      </c>
      <c r="H32" s="388"/>
      <c r="I32" s="149"/>
    </row>
    <row r="33" spans="1:15" x14ac:dyDescent="0.35">
      <c r="A33" s="387"/>
      <c r="B33" s="149" t="s">
        <v>70</v>
      </c>
      <c r="C33" s="735" t="s">
        <v>71</v>
      </c>
      <c r="D33" s="735" t="s">
        <v>72</v>
      </c>
      <c r="E33" s="149">
        <f>B34</f>
        <v>1300000</v>
      </c>
      <c r="F33" s="149">
        <f>B35</f>
        <v>1300000</v>
      </c>
      <c r="G33" t="s">
        <v>13</v>
      </c>
      <c r="H33" s="388"/>
      <c r="I33" s="149"/>
    </row>
    <row r="34" spans="1:15" x14ac:dyDescent="0.35">
      <c r="A34" s="387" t="s">
        <v>11</v>
      </c>
      <c r="B34" s="149">
        <v>1300000</v>
      </c>
      <c r="C34" s="149">
        <f>O63</f>
        <v>12</v>
      </c>
      <c r="D34" s="149">
        <f>O53</f>
        <v>15600000</v>
      </c>
      <c r="E34" s="149">
        <f>D34</f>
        <v>15600000</v>
      </c>
      <c r="F34" s="149"/>
      <c r="G34" s="149">
        <f>SUM(E34:F34)</f>
        <v>15600000</v>
      </c>
      <c r="H34" s="388"/>
      <c r="I34" s="149"/>
    </row>
    <row r="35" spans="1:15" x14ac:dyDescent="0.35">
      <c r="A35" s="387" t="s">
        <v>12</v>
      </c>
      <c r="B35" s="149">
        <v>1300000</v>
      </c>
      <c r="C35" s="305"/>
      <c r="D35" s="305">
        <f>O54</f>
        <v>99766900</v>
      </c>
      <c r="E35" s="305">
        <f>C35*E33</f>
        <v>0</v>
      </c>
      <c r="F35" s="305">
        <f>D35-E35</f>
        <v>99766900</v>
      </c>
      <c r="G35" s="305">
        <f>SUM(E35:F35)</f>
        <v>99766900</v>
      </c>
      <c r="H35" s="388"/>
      <c r="I35" s="149"/>
    </row>
    <row r="36" spans="1:15" x14ac:dyDescent="0.35">
      <c r="A36" s="387"/>
      <c r="B36" s="149"/>
      <c r="C36" s="149">
        <f>SUM(C34:C35)</f>
        <v>12</v>
      </c>
      <c r="D36" s="149">
        <f>SUM(D34:D35)</f>
        <v>115366900</v>
      </c>
      <c r="E36" s="149">
        <f>SUM(E34:E35)</f>
        <v>15600000</v>
      </c>
      <c r="F36" s="149">
        <f>SUM(F34:F35)</f>
        <v>99766900</v>
      </c>
      <c r="G36" s="149">
        <f>SUM(G34:G35)</f>
        <v>115366900</v>
      </c>
      <c r="H36" s="388"/>
      <c r="I36" s="149"/>
    </row>
    <row r="37" spans="1:15" x14ac:dyDescent="0.35">
      <c r="A37" s="387"/>
      <c r="B37" s="149"/>
      <c r="G37" s="179"/>
      <c r="H37" s="9"/>
      <c r="I37" s="149"/>
    </row>
    <row r="38" spans="1:15" x14ac:dyDescent="0.35">
      <c r="A38" s="847" t="s">
        <v>288</v>
      </c>
      <c r="B38" s="848"/>
      <c r="C38" s="848"/>
      <c r="D38" s="848"/>
      <c r="E38" s="848"/>
      <c r="F38" s="848"/>
      <c r="G38" s="848"/>
      <c r="H38" s="9"/>
      <c r="I38" s="149"/>
    </row>
    <row r="39" spans="1:15" x14ac:dyDescent="0.35">
      <c r="A39" s="387"/>
      <c r="B39" s="304" t="s">
        <v>70</v>
      </c>
      <c r="C39" s="276" t="s">
        <v>71</v>
      </c>
      <c r="D39" s="276" t="s">
        <v>72</v>
      </c>
      <c r="E39" s="276" t="s">
        <v>75</v>
      </c>
      <c r="F39" s="276"/>
      <c r="G39" s="733" t="s">
        <v>76</v>
      </c>
      <c r="H39" s="9"/>
      <c r="I39" s="149"/>
    </row>
    <row r="40" spans="1:15" x14ac:dyDescent="0.35">
      <c r="A40" s="387" t="s">
        <v>11</v>
      </c>
      <c r="B40" s="149">
        <f>B34</f>
        <v>1300000</v>
      </c>
      <c r="C40" s="149">
        <f>C36</f>
        <v>12</v>
      </c>
      <c r="D40" s="149">
        <f>E36</f>
        <v>15600000</v>
      </c>
      <c r="E40" s="175">
        <f>Rates!L19</f>
        <v>12420.57</v>
      </c>
      <c r="F40" s="175" t="s">
        <v>289</v>
      </c>
      <c r="G40" s="729">
        <f>C40*E40</f>
        <v>149046.84</v>
      </c>
      <c r="H40" s="9"/>
      <c r="I40" s="149"/>
    </row>
    <row r="41" spans="1:15" x14ac:dyDescent="0.35">
      <c r="A41" s="387" t="s">
        <v>12</v>
      </c>
      <c r="B41" s="149">
        <f>B35</f>
        <v>1300000</v>
      </c>
      <c r="C41" s="271"/>
      <c r="D41" s="305">
        <f>F36</f>
        <v>99766900</v>
      </c>
      <c r="E41" s="734">
        <f>Rates!L20</f>
        <v>1.081E-2</v>
      </c>
      <c r="F41" s="307" t="s">
        <v>290</v>
      </c>
      <c r="G41" s="308">
        <f t="shared" ref="G41" si="4">ROUND(D41*E41,0)</f>
        <v>1078480</v>
      </c>
      <c r="H41" s="9"/>
    </row>
    <row r="42" spans="1:15" x14ac:dyDescent="0.35">
      <c r="A42" s="337"/>
      <c r="B42" s="305"/>
      <c r="C42" s="308"/>
      <c r="D42" s="305">
        <f>SUM(D40:D41)</f>
        <v>115366900</v>
      </c>
      <c r="E42" s="271"/>
      <c r="F42" s="271"/>
      <c r="G42" s="308">
        <f>SUM(G40:G41)</f>
        <v>1227526.8400000001</v>
      </c>
      <c r="H42" s="10"/>
    </row>
    <row r="44" spans="1:15" x14ac:dyDescent="0.35">
      <c r="A44" s="277" t="s">
        <v>392</v>
      </c>
    </row>
    <row r="46" spans="1:15" x14ac:dyDescent="0.35">
      <c r="C46" s="273" t="s">
        <v>417</v>
      </c>
    </row>
    <row r="47" spans="1:15" x14ac:dyDescent="0.35">
      <c r="B47" s="185" t="s">
        <v>436</v>
      </c>
      <c r="C47" s="47" t="s">
        <v>405</v>
      </c>
      <c r="D47" s="47" t="s">
        <v>406</v>
      </c>
      <c r="E47" s="47" t="s">
        <v>407</v>
      </c>
      <c r="F47" s="47" t="s">
        <v>408</v>
      </c>
      <c r="G47" s="47" t="s">
        <v>409</v>
      </c>
      <c r="H47" s="47" t="s">
        <v>410</v>
      </c>
      <c r="I47" s="47" t="s">
        <v>411</v>
      </c>
      <c r="J47" s="47" t="s">
        <v>412</v>
      </c>
      <c r="K47" s="47" t="s">
        <v>413</v>
      </c>
      <c r="L47" s="47" t="s">
        <v>414</v>
      </c>
      <c r="M47" s="47" t="s">
        <v>415</v>
      </c>
      <c r="N47" s="47" t="s">
        <v>416</v>
      </c>
      <c r="O47" s="284" t="s">
        <v>73</v>
      </c>
    </row>
    <row r="48" spans="1:15" x14ac:dyDescent="0.35">
      <c r="A48" s="273" t="s">
        <v>11</v>
      </c>
      <c r="B48" s="299">
        <v>2000</v>
      </c>
      <c r="C48" s="299">
        <v>487100</v>
      </c>
      <c r="D48" s="299">
        <v>517400</v>
      </c>
      <c r="E48" s="299">
        <v>564700</v>
      </c>
      <c r="F48" s="299">
        <v>575600</v>
      </c>
      <c r="G48" s="299">
        <f>568100+68400</f>
        <v>636500</v>
      </c>
      <c r="H48" s="299">
        <f>391900+59800</f>
        <v>451700</v>
      </c>
      <c r="I48" s="299">
        <f>570700+69600</f>
        <v>640300</v>
      </c>
      <c r="J48" s="299">
        <f>380700+56900</f>
        <v>437600</v>
      </c>
      <c r="K48" s="299">
        <f>441700+64400</f>
        <v>506100</v>
      </c>
      <c r="L48" s="299">
        <f>459200+63100</f>
        <v>522300</v>
      </c>
      <c r="M48" s="299">
        <f>440300+68500+100</f>
        <v>508900</v>
      </c>
      <c r="N48" s="299">
        <f>442900+61000+0</f>
        <v>503900</v>
      </c>
      <c r="O48" s="299">
        <f>SUM(C48:N48)</f>
        <v>6352100</v>
      </c>
    </row>
    <row r="49" spans="1:15" x14ac:dyDescent="0.35">
      <c r="A49" s="273" t="s">
        <v>287</v>
      </c>
      <c r="B49" s="299">
        <v>18000</v>
      </c>
      <c r="C49" s="299">
        <v>3605600</v>
      </c>
      <c r="D49" s="299">
        <v>3325700</v>
      </c>
      <c r="E49" s="299">
        <v>2857300</v>
      </c>
      <c r="F49" s="299">
        <v>3010600</v>
      </c>
      <c r="G49" s="299">
        <f>2163000+488700+9900</f>
        <v>2661600</v>
      </c>
      <c r="H49" s="299">
        <f>3671800+596900+19000</f>
        <v>4287700</v>
      </c>
      <c r="I49" s="299">
        <f>2446800+547100+5200</f>
        <v>2999100</v>
      </c>
      <c r="J49" s="299">
        <f>3636000+591700+9300</f>
        <v>4237000</v>
      </c>
      <c r="K49" s="299">
        <f>2866300+531400+35500</f>
        <v>3433200</v>
      </c>
      <c r="L49" s="299">
        <f>2919400+562600+24400</f>
        <v>3506400</v>
      </c>
      <c r="M49" s="299">
        <f>2955300+560400+13500</f>
        <v>3529200</v>
      </c>
      <c r="N49" s="299">
        <f>2897800+558500+13100</f>
        <v>3469400</v>
      </c>
      <c r="O49" s="299">
        <f t="shared" ref="O49:O50" si="5">SUM(C49:N49)</f>
        <v>40922800</v>
      </c>
    </row>
    <row r="50" spans="1:15" x14ac:dyDescent="0.35">
      <c r="A50" s="273" t="s">
        <v>12</v>
      </c>
      <c r="B50" s="299">
        <v>20000</v>
      </c>
      <c r="C50" s="299">
        <v>3745100</v>
      </c>
      <c r="D50" s="299">
        <v>3894900</v>
      </c>
      <c r="E50" s="299">
        <v>3413500</v>
      </c>
      <c r="F50" s="299">
        <v>2749400</v>
      </c>
      <c r="G50" s="299">
        <f>610300+1164300+441000</f>
        <v>2215600</v>
      </c>
      <c r="H50" s="299">
        <f>1171400+2304900+565800</f>
        <v>4042100</v>
      </c>
      <c r="I50" s="299">
        <f>346200+1172200+338400</f>
        <v>1856800</v>
      </c>
      <c r="J50" s="299">
        <f>572700+1865800+443100</f>
        <v>2881600</v>
      </c>
      <c r="K50" s="299">
        <f>839600+1631700+319000</f>
        <v>2790300</v>
      </c>
      <c r="L50" s="299">
        <f>917300+1495900+389000</f>
        <v>2802200</v>
      </c>
      <c r="M50" s="299">
        <f>703800+1927700+401000</f>
        <v>3032500</v>
      </c>
      <c r="N50" s="299">
        <f>513200+1772900+335000</f>
        <v>2621100</v>
      </c>
      <c r="O50" s="299">
        <f t="shared" si="5"/>
        <v>36045100</v>
      </c>
    </row>
    <row r="51" spans="1:15" x14ac:dyDescent="0.35">
      <c r="B51" s="299"/>
      <c r="C51" s="299"/>
      <c r="D51" s="299"/>
      <c r="E51" s="299"/>
      <c r="F51" s="299"/>
      <c r="G51" s="299"/>
      <c r="H51" s="299"/>
      <c r="I51" s="299"/>
      <c r="J51" s="299"/>
      <c r="K51" s="299"/>
      <c r="L51" s="299"/>
      <c r="M51" s="299"/>
      <c r="N51" s="299"/>
      <c r="O51" s="299"/>
    </row>
    <row r="52" spans="1:15" x14ac:dyDescent="0.35">
      <c r="B52" s="300" t="s">
        <v>403</v>
      </c>
      <c r="C52" s="299"/>
      <c r="D52" s="299"/>
      <c r="E52" s="299"/>
      <c r="F52" s="299"/>
      <c r="G52" s="299"/>
      <c r="H52" s="299"/>
      <c r="I52" s="299"/>
      <c r="J52" s="299"/>
      <c r="K52" s="299"/>
      <c r="L52" s="299"/>
      <c r="M52" s="299"/>
      <c r="N52" s="299"/>
      <c r="O52" s="299"/>
    </row>
    <row r="53" spans="1:15" x14ac:dyDescent="0.35">
      <c r="A53" s="273" t="s">
        <v>11</v>
      </c>
      <c r="B53" s="300">
        <v>1300000</v>
      </c>
      <c r="C53" s="299">
        <v>1300000</v>
      </c>
      <c r="D53" s="299">
        <v>1300000</v>
      </c>
      <c r="E53" s="299">
        <v>1300000</v>
      </c>
      <c r="F53" s="299">
        <v>1300000</v>
      </c>
      <c r="G53" s="565">
        <v>1300000</v>
      </c>
      <c r="H53" s="565">
        <v>1300000</v>
      </c>
      <c r="I53" s="565">
        <v>1300000</v>
      </c>
      <c r="J53" s="565">
        <v>1300000</v>
      </c>
      <c r="K53" s="565">
        <v>1300000</v>
      </c>
      <c r="L53" s="565">
        <v>1300000</v>
      </c>
      <c r="M53" s="565">
        <v>1300000</v>
      </c>
      <c r="N53" s="565">
        <v>1300000</v>
      </c>
      <c r="O53" s="299">
        <f t="shared" ref="O53:O54" si="6">SUM(C53:N53)</f>
        <v>15600000</v>
      </c>
    </row>
    <row r="54" spans="1:15" x14ac:dyDescent="0.35">
      <c r="A54" s="273" t="s">
        <v>12</v>
      </c>
      <c r="B54" s="300">
        <v>1300000</v>
      </c>
      <c r="C54" s="302">
        <v>6558800</v>
      </c>
      <c r="D54" s="302">
        <v>7092700</v>
      </c>
      <c r="E54" s="302">
        <v>5509100</v>
      </c>
      <c r="F54" s="302">
        <v>5929800</v>
      </c>
      <c r="G54" s="302">
        <v>8069600</v>
      </c>
      <c r="H54" s="302">
        <v>11410400</v>
      </c>
      <c r="I54" s="302">
        <v>6424800</v>
      </c>
      <c r="J54" s="302">
        <v>8763900</v>
      </c>
      <c r="K54" s="302">
        <v>7936700</v>
      </c>
      <c r="L54" s="302">
        <v>9731500</v>
      </c>
      <c r="M54" s="302">
        <v>11948700</v>
      </c>
      <c r="N54" s="302">
        <v>10390900</v>
      </c>
      <c r="O54" s="302">
        <f t="shared" si="6"/>
        <v>99766900</v>
      </c>
    </row>
    <row r="55" spans="1:15" x14ac:dyDescent="0.35">
      <c r="B55" s="178" t="s">
        <v>13</v>
      </c>
      <c r="C55" s="299">
        <f>SUM(C48:C54)</f>
        <v>15696600</v>
      </c>
      <c r="D55" s="299">
        <f t="shared" ref="D55:N55" si="7">SUM(D48:D54)</f>
        <v>16130700</v>
      </c>
      <c r="E55" s="299">
        <f t="shared" si="7"/>
        <v>13644600</v>
      </c>
      <c r="F55" s="299">
        <f t="shared" si="7"/>
        <v>13565400</v>
      </c>
      <c r="G55" s="565">
        <f t="shared" si="7"/>
        <v>14883300</v>
      </c>
      <c r="H55" s="565">
        <f t="shared" si="7"/>
        <v>21491900</v>
      </c>
      <c r="I55" s="565">
        <f t="shared" si="7"/>
        <v>13221000</v>
      </c>
      <c r="J55" s="565">
        <f t="shared" si="7"/>
        <v>17620100</v>
      </c>
      <c r="K55" s="565">
        <f t="shared" si="7"/>
        <v>15966300</v>
      </c>
      <c r="L55" s="565">
        <f t="shared" si="7"/>
        <v>17862400</v>
      </c>
      <c r="M55" s="565">
        <f t="shared" si="7"/>
        <v>20319300</v>
      </c>
      <c r="N55" s="565">
        <f t="shared" si="7"/>
        <v>18285300</v>
      </c>
      <c r="O55" s="299">
        <f>SUM(C55:N55)</f>
        <v>198686900</v>
      </c>
    </row>
    <row r="56" spans="1:15" x14ac:dyDescent="0.35">
      <c r="B56" s="273" t="s">
        <v>437</v>
      </c>
      <c r="C56" s="299"/>
      <c r="D56" s="299"/>
      <c r="E56" s="299"/>
      <c r="F56" s="299"/>
      <c r="G56" s="299"/>
      <c r="H56" s="299"/>
      <c r="I56" s="299"/>
      <c r="J56" s="299"/>
      <c r="K56" s="299"/>
      <c r="L56" s="299"/>
      <c r="M56" s="299"/>
      <c r="N56" s="299"/>
      <c r="O56" s="299"/>
    </row>
    <row r="57" spans="1:15" x14ac:dyDescent="0.35">
      <c r="B57" s="185" t="s">
        <v>436</v>
      </c>
      <c r="C57" s="34" t="s">
        <v>405</v>
      </c>
      <c r="D57" s="34" t="s">
        <v>406</v>
      </c>
      <c r="E57" s="34" t="s">
        <v>407</v>
      </c>
      <c r="F57" s="34" t="s">
        <v>408</v>
      </c>
      <c r="G57" s="34" t="s">
        <v>409</v>
      </c>
      <c r="H57" s="34" t="s">
        <v>410</v>
      </c>
      <c r="I57" s="34" t="s">
        <v>411</v>
      </c>
      <c r="J57" s="34" t="s">
        <v>412</v>
      </c>
      <c r="K57" s="34" t="s">
        <v>413</v>
      </c>
      <c r="L57" s="34" t="s">
        <v>414</v>
      </c>
      <c r="M57" s="34" t="s">
        <v>415</v>
      </c>
      <c r="N57" s="34" t="s">
        <v>416</v>
      </c>
      <c r="O57" s="301" t="s">
        <v>73</v>
      </c>
    </row>
    <row r="58" spans="1:15" x14ac:dyDescent="0.35">
      <c r="A58" s="273" t="s">
        <v>11</v>
      </c>
      <c r="B58" s="299">
        <v>2000</v>
      </c>
      <c r="C58" s="299">
        <v>522</v>
      </c>
      <c r="D58" s="299">
        <v>536</v>
      </c>
      <c r="E58" s="299">
        <v>585</v>
      </c>
      <c r="F58" s="299">
        <v>575</v>
      </c>
      <c r="G58" s="565">
        <f>540+92+2</f>
        <v>634</v>
      </c>
      <c r="H58" s="565">
        <f>374+75</f>
        <v>449</v>
      </c>
      <c r="I58" s="565">
        <f>541+98</f>
        <v>639</v>
      </c>
      <c r="J58" s="565">
        <f>371+75+0</f>
        <v>446</v>
      </c>
      <c r="K58" s="565">
        <f>444+88</f>
        <v>532</v>
      </c>
      <c r="L58" s="565">
        <f>438+89</f>
        <v>527</v>
      </c>
      <c r="M58" s="565">
        <f>428+86+1</f>
        <v>515</v>
      </c>
      <c r="N58" s="565">
        <f>429+81+1</f>
        <v>511</v>
      </c>
      <c r="O58" s="299">
        <f t="shared" ref="O58:O60" si="8">SUM(C58:N58)</f>
        <v>6471</v>
      </c>
    </row>
    <row r="59" spans="1:15" x14ac:dyDescent="0.35">
      <c r="A59" s="273" t="s">
        <v>287</v>
      </c>
      <c r="B59" s="299">
        <v>18000</v>
      </c>
      <c r="C59" s="299">
        <v>749</v>
      </c>
      <c r="D59" s="299">
        <v>725</v>
      </c>
      <c r="E59" s="299">
        <v>691</v>
      </c>
      <c r="F59" s="299">
        <v>700</v>
      </c>
      <c r="G59" s="299">
        <f>561+82+2</f>
        <v>645</v>
      </c>
      <c r="H59" s="299">
        <f>725+91+2</f>
        <v>818</v>
      </c>
      <c r="I59" s="299">
        <f>573+74+2</f>
        <v>649</v>
      </c>
      <c r="J59" s="299">
        <f>740+88+2</f>
        <v>830</v>
      </c>
      <c r="K59" s="299">
        <f>665+78+3</f>
        <v>746</v>
      </c>
      <c r="L59" s="299">
        <f>670+81+3</f>
        <v>754</v>
      </c>
      <c r="M59" s="299">
        <f>681+77+2</f>
        <v>760</v>
      </c>
      <c r="N59" s="299">
        <f>676+82+2</f>
        <v>760</v>
      </c>
      <c r="O59" s="299">
        <f t="shared" si="8"/>
        <v>8827</v>
      </c>
    </row>
    <row r="60" spans="1:15" x14ac:dyDescent="0.35">
      <c r="A60" s="273" t="s">
        <v>12</v>
      </c>
      <c r="B60" s="299">
        <v>20000</v>
      </c>
      <c r="C60" s="299">
        <v>37</v>
      </c>
      <c r="D60" s="299">
        <v>51</v>
      </c>
      <c r="E60" s="299">
        <v>28</v>
      </c>
      <c r="F60" s="299">
        <v>30</v>
      </c>
      <c r="G60" s="299">
        <f>9+17+2</f>
        <v>28</v>
      </c>
      <c r="H60" s="299">
        <f>20+25+3</f>
        <v>48</v>
      </c>
      <c r="I60" s="299">
        <f>7+17+3</f>
        <v>27</v>
      </c>
      <c r="J60" s="299">
        <f>9+27+3</f>
        <v>39</v>
      </c>
      <c r="K60" s="299">
        <f>9+23+2</f>
        <v>34</v>
      </c>
      <c r="L60" s="299">
        <f>10+20+2</f>
        <v>32</v>
      </c>
      <c r="M60" s="299">
        <f>8+24+2</f>
        <v>34</v>
      </c>
      <c r="N60" s="299">
        <f>8+23+2</f>
        <v>33</v>
      </c>
      <c r="O60" s="299">
        <f t="shared" si="8"/>
        <v>421</v>
      </c>
    </row>
    <row r="61" spans="1:15" x14ac:dyDescent="0.35">
      <c r="B61" s="299"/>
      <c r="C61" s="299"/>
      <c r="D61" s="299"/>
      <c r="E61" s="299"/>
      <c r="F61" s="299"/>
      <c r="G61" s="299"/>
      <c r="H61" s="299"/>
      <c r="I61" s="299"/>
      <c r="J61" s="299"/>
      <c r="K61" s="299"/>
      <c r="L61" s="299"/>
      <c r="M61" s="299"/>
      <c r="N61" s="299"/>
      <c r="O61" s="299"/>
    </row>
    <row r="62" spans="1:15" x14ac:dyDescent="0.35">
      <c r="B62" s="300" t="s">
        <v>403</v>
      </c>
      <c r="C62" s="299"/>
      <c r="D62" s="299"/>
      <c r="E62" s="299"/>
      <c r="F62" s="299"/>
      <c r="G62" s="299"/>
      <c r="H62" s="299"/>
      <c r="I62" s="299"/>
      <c r="J62" s="299"/>
      <c r="K62" s="299"/>
      <c r="L62" s="299"/>
      <c r="M62" s="299"/>
      <c r="N62" s="299"/>
      <c r="O62" s="299"/>
    </row>
    <row r="63" spans="1:15" x14ac:dyDescent="0.35">
      <c r="A63" s="273" t="s">
        <v>11</v>
      </c>
      <c r="B63" s="300">
        <v>1300000</v>
      </c>
      <c r="C63" s="299">
        <v>1</v>
      </c>
      <c r="D63" s="299">
        <v>1</v>
      </c>
      <c r="E63" s="299">
        <v>1</v>
      </c>
      <c r="F63" s="299">
        <v>1</v>
      </c>
      <c r="G63" s="299">
        <v>1</v>
      </c>
      <c r="H63" s="300">
        <v>1</v>
      </c>
      <c r="I63" s="299">
        <v>1</v>
      </c>
      <c r="J63" s="299">
        <v>1</v>
      </c>
      <c r="K63" s="299">
        <v>1</v>
      </c>
      <c r="L63" s="299">
        <v>1</v>
      </c>
      <c r="M63" s="299">
        <v>1</v>
      </c>
      <c r="N63" s="299">
        <v>1</v>
      </c>
      <c r="O63" s="299">
        <f>SUM(C63:N63)</f>
        <v>12</v>
      </c>
    </row>
    <row r="64" spans="1:15" x14ac:dyDescent="0.35">
      <c r="A64" s="273" t="s">
        <v>12</v>
      </c>
      <c r="B64" s="300">
        <v>1300000</v>
      </c>
      <c r="C64" s="271"/>
      <c r="D64" s="271"/>
      <c r="E64" s="271"/>
      <c r="F64" s="271"/>
      <c r="G64" s="271"/>
      <c r="H64" s="271"/>
      <c r="I64" s="271"/>
      <c r="J64" s="271"/>
      <c r="K64" s="271"/>
      <c r="L64" s="271"/>
      <c r="M64" s="271"/>
      <c r="N64" s="271"/>
      <c r="O64" s="271"/>
    </row>
    <row r="65" spans="2:15" x14ac:dyDescent="0.35">
      <c r="B65" s="178" t="s">
        <v>13</v>
      </c>
      <c r="C65" s="149">
        <f>SUM(C58:C64)</f>
        <v>1309</v>
      </c>
      <c r="D65" s="149">
        <f t="shared" ref="D65:N65" si="9">SUM(D58:D64)</f>
        <v>1313</v>
      </c>
      <c r="E65" s="149">
        <f t="shared" si="9"/>
        <v>1305</v>
      </c>
      <c r="F65" s="149">
        <f t="shared" si="9"/>
        <v>1306</v>
      </c>
      <c r="G65" s="149">
        <f t="shared" si="9"/>
        <v>1308</v>
      </c>
      <c r="H65" s="149">
        <f t="shared" si="9"/>
        <v>1316</v>
      </c>
      <c r="I65" s="149">
        <f t="shared" si="9"/>
        <v>1316</v>
      </c>
      <c r="J65" s="149">
        <f t="shared" si="9"/>
        <v>1316</v>
      </c>
      <c r="K65" s="149">
        <f t="shared" si="9"/>
        <v>1313</v>
      </c>
      <c r="L65" s="149">
        <f t="shared" si="9"/>
        <v>1314</v>
      </c>
      <c r="M65" s="149">
        <f t="shared" si="9"/>
        <v>1310</v>
      </c>
      <c r="N65" s="149">
        <f t="shared" si="9"/>
        <v>1305</v>
      </c>
      <c r="O65" s="149">
        <f>SUM(C65:N65)</f>
        <v>15731</v>
      </c>
    </row>
  </sheetData>
  <mergeCells count="6">
    <mergeCell ref="A38:G38"/>
    <mergeCell ref="A5:F5"/>
    <mergeCell ref="A1:H1"/>
    <mergeCell ref="A2:H2"/>
    <mergeCell ref="A3:H3"/>
    <mergeCell ref="A24:G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40871-4A22-4E9D-89CF-12B4150B3B90}">
  <sheetPr>
    <tabColor rgb="FF92D050"/>
  </sheetPr>
  <dimension ref="A1:S63"/>
  <sheetViews>
    <sheetView showGridLines="0" workbookViewId="0">
      <selection sqref="A1:G1"/>
    </sheetView>
  </sheetViews>
  <sheetFormatPr defaultRowHeight="15.5" x14ac:dyDescent="0.35"/>
  <cols>
    <col min="1" max="1" width="3.69140625" customWidth="1"/>
    <col min="2" max="2" width="2.69140625" customWidth="1"/>
    <col min="3" max="3" width="33.3046875" customWidth="1"/>
    <col min="4" max="4" width="10.61328125" bestFit="1" customWidth="1"/>
    <col min="5" max="5" width="10.23046875" customWidth="1"/>
    <col min="6" max="6" width="4.84375" customWidth="1"/>
    <col min="7" max="7" width="9.765625" customWidth="1"/>
    <col min="8" max="8" width="10.15234375" customWidth="1"/>
    <col min="9" max="9" width="58.61328125" bestFit="1" customWidth="1"/>
    <col min="10" max="10" width="8.765625"/>
    <col min="11" max="11" width="6.07421875" customWidth="1"/>
    <col min="12" max="12" width="14.53515625" customWidth="1"/>
    <col min="13" max="13" width="5.4609375" customWidth="1"/>
  </cols>
  <sheetData>
    <row r="1" spans="1:19" ht="18.5" x14ac:dyDescent="0.35">
      <c r="A1" s="739" t="s">
        <v>33</v>
      </c>
      <c r="B1" s="740"/>
      <c r="C1" s="740"/>
      <c r="D1" s="740"/>
      <c r="E1" s="740"/>
      <c r="F1" s="740"/>
      <c r="G1" s="741"/>
      <c r="H1" s="29"/>
      <c r="I1" s="29"/>
      <c r="J1" s="29"/>
      <c r="K1" s="29"/>
      <c r="L1" s="29"/>
      <c r="M1" s="29"/>
      <c r="N1" s="29"/>
      <c r="O1" s="29"/>
      <c r="P1" s="29"/>
      <c r="Q1" s="29"/>
      <c r="R1" s="29"/>
      <c r="S1" s="29"/>
    </row>
    <row r="2" spans="1:19" ht="18.5" x14ac:dyDescent="0.35">
      <c r="A2" s="742" t="str">
        <f>SAOw!C4</f>
        <v>McCreary County Water District</v>
      </c>
      <c r="B2" s="743"/>
      <c r="C2" s="743"/>
      <c r="D2" s="743"/>
      <c r="E2" s="743"/>
      <c r="F2" s="743"/>
      <c r="G2" s="744"/>
      <c r="H2" s="29"/>
      <c r="I2" s="29"/>
      <c r="J2" s="29"/>
      <c r="K2" s="29"/>
      <c r="L2" s="29"/>
      <c r="M2" s="29"/>
      <c r="N2" s="29"/>
      <c r="O2" s="29"/>
      <c r="P2" s="29"/>
      <c r="Q2" s="29"/>
      <c r="R2" s="29"/>
      <c r="S2" s="29"/>
    </row>
    <row r="3" spans="1:19" ht="18.5" x14ac:dyDescent="0.35">
      <c r="A3" s="742" t="s">
        <v>128</v>
      </c>
      <c r="B3" s="743"/>
      <c r="C3" s="743"/>
      <c r="D3" s="743"/>
      <c r="E3" s="743"/>
      <c r="F3" s="743"/>
      <c r="G3" s="744"/>
      <c r="H3" s="29"/>
      <c r="I3" s="29"/>
      <c r="J3" s="29"/>
      <c r="K3" s="29"/>
      <c r="L3" s="29"/>
      <c r="M3" s="29"/>
      <c r="N3" s="29"/>
      <c r="O3" s="29"/>
      <c r="P3" s="29"/>
      <c r="Q3" s="29"/>
      <c r="R3" s="29"/>
      <c r="S3" s="29"/>
    </row>
    <row r="4" spans="1:19" x14ac:dyDescent="0.35">
      <c r="A4" s="44"/>
      <c r="B4" s="56"/>
      <c r="C4" s="56"/>
      <c r="D4" s="712">
        <v>2023</v>
      </c>
      <c r="E4" s="56"/>
      <c r="F4" s="713"/>
      <c r="G4" s="152"/>
      <c r="H4" s="29"/>
      <c r="I4" s="29"/>
      <c r="J4" s="29"/>
      <c r="K4" s="29"/>
      <c r="L4" s="29"/>
      <c r="M4" s="29"/>
      <c r="N4" s="29"/>
      <c r="O4" s="29"/>
      <c r="P4" s="29"/>
      <c r="Q4" s="29"/>
      <c r="R4" s="29"/>
      <c r="S4" s="29"/>
    </row>
    <row r="5" spans="1:19" x14ac:dyDescent="0.35">
      <c r="A5" s="44"/>
      <c r="B5" s="56"/>
      <c r="C5" s="56"/>
      <c r="D5" s="714" t="s">
        <v>34</v>
      </c>
      <c r="E5" s="714" t="s">
        <v>35</v>
      </c>
      <c r="F5" s="715" t="s">
        <v>36</v>
      </c>
      <c r="G5" s="716" t="s">
        <v>97</v>
      </c>
      <c r="H5" s="29"/>
      <c r="I5" s="29"/>
      <c r="J5" s="29"/>
      <c r="K5" s="29"/>
      <c r="L5" s="29"/>
      <c r="M5" s="29"/>
      <c r="N5" s="29"/>
      <c r="O5" s="29"/>
      <c r="P5" s="29"/>
      <c r="Q5" s="29"/>
      <c r="R5" s="29"/>
      <c r="S5" s="29"/>
    </row>
    <row r="6" spans="1:19" x14ac:dyDescent="0.35">
      <c r="A6" s="717" t="s">
        <v>16</v>
      </c>
      <c r="B6" s="81"/>
      <c r="C6" s="81"/>
      <c r="D6" s="56"/>
      <c r="E6" s="56"/>
      <c r="F6" s="713"/>
      <c r="G6" s="152"/>
      <c r="H6" s="29"/>
      <c r="I6" s="29"/>
      <c r="J6" s="29"/>
      <c r="K6" s="29"/>
      <c r="L6" s="29"/>
      <c r="M6" s="29"/>
      <c r="N6" s="29"/>
      <c r="O6" s="29"/>
      <c r="P6" s="29"/>
      <c r="Q6" s="29"/>
      <c r="R6" s="29"/>
      <c r="S6" s="29"/>
    </row>
    <row r="7" spans="1:19" x14ac:dyDescent="0.35">
      <c r="A7" s="718"/>
      <c r="B7" s="81" t="s">
        <v>129</v>
      </c>
      <c r="C7" s="81"/>
      <c r="D7" s="56">
        <v>503275.52000000002</v>
      </c>
      <c r="E7" s="357"/>
      <c r="F7" s="713"/>
      <c r="G7" s="152"/>
      <c r="I7" s="29"/>
      <c r="J7" s="29"/>
      <c r="K7" s="29"/>
      <c r="L7" s="29"/>
      <c r="M7" s="29"/>
      <c r="N7" s="29"/>
      <c r="O7" s="29"/>
      <c r="P7" s="29"/>
      <c r="Q7" s="29"/>
      <c r="R7" s="29"/>
      <c r="S7" s="29"/>
    </row>
    <row r="8" spans="1:19" x14ac:dyDescent="0.35">
      <c r="A8" s="718"/>
      <c r="B8" s="81" t="s">
        <v>130</v>
      </c>
      <c r="C8" s="81"/>
      <c r="D8" s="56">
        <v>233424.64000000001</v>
      </c>
      <c r="E8" s="357"/>
      <c r="F8" s="713"/>
      <c r="G8" s="152"/>
      <c r="H8" s="165"/>
      <c r="I8" s="29"/>
      <c r="J8" s="29"/>
      <c r="K8" s="29"/>
      <c r="L8" s="29"/>
      <c r="M8" s="29"/>
      <c r="N8" s="29"/>
      <c r="O8" s="29"/>
      <c r="P8" s="29"/>
      <c r="Q8" s="29"/>
      <c r="R8" s="29"/>
      <c r="S8" s="29"/>
    </row>
    <row r="9" spans="1:19" x14ac:dyDescent="0.35">
      <c r="A9" s="718"/>
      <c r="B9" s="81" t="s">
        <v>131</v>
      </c>
      <c r="C9" s="81"/>
      <c r="D9" s="56">
        <v>75604.45</v>
      </c>
      <c r="E9" s="357"/>
      <c r="F9" s="713"/>
      <c r="G9" s="152"/>
      <c r="H9" s="165"/>
      <c r="I9" s="29"/>
      <c r="J9" s="29"/>
      <c r="K9" s="29"/>
      <c r="L9" s="29"/>
      <c r="M9" s="29"/>
      <c r="N9" s="29"/>
      <c r="O9" s="29"/>
      <c r="P9" s="29"/>
      <c r="Q9" s="29"/>
      <c r="R9" s="29"/>
      <c r="S9" s="29"/>
    </row>
    <row r="10" spans="1:19" x14ac:dyDescent="0.35">
      <c r="A10" s="718"/>
      <c r="B10" s="81" t="s">
        <v>132</v>
      </c>
      <c r="C10" s="81"/>
      <c r="D10" s="56">
        <v>1197642.6399999999</v>
      </c>
      <c r="E10" s="357"/>
      <c r="F10" s="713"/>
      <c r="G10" s="152"/>
      <c r="H10" s="165"/>
      <c r="I10" s="29"/>
      <c r="J10" s="29"/>
      <c r="K10" s="29"/>
      <c r="L10" s="29"/>
      <c r="M10" s="29"/>
      <c r="N10" s="29"/>
      <c r="O10" s="29"/>
      <c r="P10" s="29"/>
      <c r="Q10" s="29"/>
      <c r="R10" s="29"/>
      <c r="S10" s="29"/>
    </row>
    <row r="11" spans="1:19" x14ac:dyDescent="0.35">
      <c r="A11" s="718"/>
      <c r="E11" s="357">
        <f>ExBAs!F11</f>
        <v>232646.99000000022</v>
      </c>
      <c r="F11" s="719" t="s">
        <v>82</v>
      </c>
      <c r="G11" s="152">
        <f>SUM(D7:D10)+E11</f>
        <v>2242594.2400000002</v>
      </c>
      <c r="H11" s="165"/>
      <c r="I11" s="29" t="s">
        <v>599</v>
      </c>
      <c r="J11" s="29"/>
      <c r="K11" s="29"/>
      <c r="L11" s="29" t="s">
        <v>567</v>
      </c>
      <c r="M11" s="29"/>
      <c r="N11" s="29"/>
      <c r="O11" s="29"/>
      <c r="P11" s="29"/>
      <c r="Q11" s="29"/>
      <c r="R11" s="29"/>
      <c r="S11" s="29"/>
    </row>
    <row r="12" spans="1:19" ht="17" x14ac:dyDescent="0.5">
      <c r="A12" s="718"/>
      <c r="B12" s="81" t="s">
        <v>133</v>
      </c>
      <c r="C12" s="81"/>
      <c r="D12" s="56">
        <v>40071.57</v>
      </c>
      <c r="E12" s="357"/>
      <c r="G12" s="720">
        <f>D12+E12</f>
        <v>40071.57</v>
      </c>
      <c r="H12" s="165"/>
      <c r="I12" s="29"/>
      <c r="J12" s="29"/>
      <c r="K12" s="29"/>
      <c r="L12" s="29"/>
      <c r="M12" s="29"/>
      <c r="N12" s="29"/>
      <c r="O12" s="29"/>
      <c r="P12" s="29"/>
      <c r="Q12" s="29"/>
      <c r="R12" s="29"/>
      <c r="S12" s="29"/>
    </row>
    <row r="13" spans="1:19" x14ac:dyDescent="0.35">
      <c r="A13" s="632" t="s">
        <v>19</v>
      </c>
      <c r="B13" s="81"/>
      <c r="C13" s="81"/>
      <c r="D13" s="56">
        <f>SUM(D7:D12)</f>
        <v>2050018.82</v>
      </c>
      <c r="E13" s="357"/>
      <c r="F13" s="713"/>
      <c r="G13" s="152">
        <f>G11+G12</f>
        <v>2282665.81</v>
      </c>
      <c r="H13" s="29"/>
      <c r="I13" s="29"/>
      <c r="J13" s="29"/>
      <c r="K13" s="29"/>
      <c r="L13" s="29"/>
      <c r="M13" s="29"/>
      <c r="N13" s="29"/>
      <c r="O13" s="29"/>
      <c r="P13" s="29"/>
      <c r="Q13" s="29"/>
      <c r="R13" s="29"/>
      <c r="S13" s="29"/>
    </row>
    <row r="14" spans="1:19" x14ac:dyDescent="0.35">
      <c r="A14" s="718"/>
      <c r="B14" s="81"/>
      <c r="C14" s="81"/>
      <c r="D14" s="56"/>
      <c r="E14" s="357"/>
      <c r="F14" s="713"/>
      <c r="G14" s="152"/>
      <c r="H14" s="29"/>
      <c r="I14" s="29"/>
      <c r="J14" s="29"/>
      <c r="K14" s="29"/>
      <c r="L14" s="29"/>
      <c r="M14" s="29"/>
      <c r="N14" s="29"/>
      <c r="O14" s="29"/>
      <c r="P14" s="29"/>
      <c r="Q14" s="29"/>
      <c r="R14" s="29"/>
      <c r="S14" s="29"/>
    </row>
    <row r="15" spans="1:19" x14ac:dyDescent="0.35">
      <c r="A15" s="717" t="s">
        <v>20</v>
      </c>
      <c r="B15" s="81"/>
      <c r="C15" s="81"/>
      <c r="D15" s="56"/>
      <c r="E15" s="357"/>
      <c r="F15" s="713"/>
      <c r="G15" s="152"/>
      <c r="H15" s="29"/>
      <c r="I15" s="29"/>
      <c r="J15" s="29"/>
      <c r="K15" s="29"/>
      <c r="L15" s="29"/>
      <c r="M15" s="29"/>
      <c r="N15" s="29"/>
      <c r="O15" s="29"/>
      <c r="P15" s="29"/>
      <c r="Q15" s="29"/>
      <c r="R15" s="29"/>
      <c r="S15" s="29"/>
    </row>
    <row r="16" spans="1:19" x14ac:dyDescent="0.35">
      <c r="A16" s="718"/>
      <c r="B16" s="81" t="s">
        <v>134</v>
      </c>
      <c r="C16" s="81"/>
      <c r="D16" s="56"/>
      <c r="E16" s="357"/>
      <c r="F16" s="713"/>
      <c r="G16" s="152"/>
      <c r="H16" s="29"/>
      <c r="I16" s="29"/>
      <c r="J16" s="29"/>
      <c r="K16" s="29"/>
      <c r="L16" s="29"/>
      <c r="M16" s="29"/>
      <c r="N16" s="29"/>
      <c r="O16" s="29"/>
      <c r="P16" s="29"/>
      <c r="Q16" s="29"/>
      <c r="R16" s="29"/>
      <c r="S16" s="29"/>
    </row>
    <row r="17" spans="1:19" x14ac:dyDescent="0.35">
      <c r="A17" s="718"/>
      <c r="B17" s="81"/>
      <c r="C17" s="81" t="s">
        <v>135</v>
      </c>
      <c r="D17" s="56">
        <v>83194.55</v>
      </c>
      <c r="E17" s="357"/>
      <c r="F17" s="719"/>
      <c r="G17" s="152">
        <f t="shared" ref="G17:G23" si="0">D17+E17</f>
        <v>83194.55</v>
      </c>
      <c r="H17" s="165"/>
      <c r="I17" s="29" t="s">
        <v>543</v>
      </c>
      <c r="J17" s="29"/>
      <c r="K17" s="29"/>
      <c r="L17" s="29"/>
      <c r="M17" s="29"/>
      <c r="N17" s="29"/>
      <c r="O17" s="29"/>
      <c r="P17" s="29"/>
      <c r="Q17" s="29"/>
      <c r="R17" s="29"/>
      <c r="S17" s="29"/>
    </row>
    <row r="18" spans="1:19" hidden="1" x14ac:dyDescent="0.35">
      <c r="A18" s="718"/>
      <c r="B18" s="81"/>
      <c r="C18" s="81"/>
      <c r="D18" s="56"/>
      <c r="E18" s="357"/>
      <c r="F18" s="719"/>
      <c r="G18" s="152"/>
      <c r="H18" s="165"/>
      <c r="I18" s="29"/>
      <c r="J18" s="29"/>
      <c r="K18" s="29"/>
      <c r="L18" s="29"/>
      <c r="M18" s="29"/>
      <c r="N18" s="29"/>
      <c r="O18" s="29"/>
      <c r="P18" s="29"/>
      <c r="Q18" s="29"/>
      <c r="R18" s="29"/>
      <c r="S18" s="29"/>
    </row>
    <row r="19" spans="1:19" x14ac:dyDescent="0.35">
      <c r="A19" s="718"/>
      <c r="B19" s="81"/>
      <c r="C19" s="81" t="s">
        <v>136</v>
      </c>
      <c r="D19" s="56">
        <v>0</v>
      </c>
      <c r="E19" s="357"/>
      <c r="F19" s="719"/>
      <c r="G19" s="152">
        <f t="shared" si="0"/>
        <v>0</v>
      </c>
      <c r="H19" s="29"/>
      <c r="I19" s="29"/>
      <c r="J19" s="29"/>
      <c r="K19" s="29"/>
      <c r="L19" s="29"/>
      <c r="M19" s="29"/>
      <c r="N19" s="29"/>
      <c r="O19" s="29"/>
      <c r="P19" s="29"/>
      <c r="Q19" s="29"/>
      <c r="R19" s="29"/>
      <c r="S19" s="29"/>
    </row>
    <row r="20" spans="1:19" x14ac:dyDescent="0.35">
      <c r="A20" s="718"/>
      <c r="B20" s="81"/>
      <c r="C20" s="81" t="s">
        <v>137</v>
      </c>
      <c r="D20" s="56">
        <v>172531.96</v>
      </c>
      <c r="E20" s="357"/>
      <c r="F20" s="719"/>
      <c r="G20" s="152">
        <f t="shared" si="0"/>
        <v>172531.96</v>
      </c>
      <c r="H20" s="29"/>
      <c r="I20" s="29"/>
      <c r="J20" s="29"/>
      <c r="K20" s="29"/>
      <c r="L20" s="29"/>
      <c r="M20" s="29"/>
      <c r="N20" s="29"/>
      <c r="O20" s="29"/>
      <c r="P20" s="29"/>
      <c r="Q20" s="29"/>
      <c r="R20" s="29"/>
      <c r="S20" s="29"/>
    </row>
    <row r="21" spans="1:19" x14ac:dyDescent="0.35">
      <c r="A21" s="718"/>
      <c r="B21" s="81"/>
      <c r="C21" s="81" t="s">
        <v>27</v>
      </c>
      <c r="D21" s="56">
        <v>203228.27</v>
      </c>
      <c r="E21" s="357"/>
      <c r="F21" s="719"/>
      <c r="G21" s="152">
        <f t="shared" si="0"/>
        <v>203228.27</v>
      </c>
      <c r="H21" s="29"/>
      <c r="I21" s="29"/>
      <c r="J21" s="29"/>
      <c r="K21" s="29"/>
      <c r="L21" s="29"/>
      <c r="M21" s="29"/>
      <c r="N21" s="29"/>
      <c r="O21" s="29"/>
      <c r="P21" s="29"/>
      <c r="Q21" s="29"/>
      <c r="R21" s="29"/>
      <c r="S21" s="29"/>
    </row>
    <row r="22" spans="1:19" x14ac:dyDescent="0.35">
      <c r="A22" s="718"/>
      <c r="B22" s="81"/>
      <c r="C22" s="81" t="s">
        <v>138</v>
      </c>
      <c r="D22" s="56">
        <v>0</v>
      </c>
      <c r="E22" s="357"/>
      <c r="F22" s="719"/>
      <c r="G22" s="152">
        <f t="shared" si="0"/>
        <v>0</v>
      </c>
      <c r="H22" s="165"/>
      <c r="I22" s="29"/>
      <c r="J22" s="29"/>
      <c r="K22" s="29"/>
      <c r="L22" s="29"/>
      <c r="M22" s="29"/>
      <c r="N22" s="29"/>
      <c r="O22" s="29"/>
      <c r="P22" s="29"/>
      <c r="Q22" s="29"/>
      <c r="R22" s="29"/>
      <c r="S22" s="29"/>
    </row>
    <row r="23" spans="1:19" x14ac:dyDescent="0.35">
      <c r="A23" s="718"/>
      <c r="B23" s="81"/>
      <c r="C23" s="81" t="s">
        <v>139</v>
      </c>
      <c r="D23" s="56"/>
      <c r="E23" s="357"/>
      <c r="F23" s="719"/>
      <c r="G23" s="152">
        <f t="shared" si="0"/>
        <v>0</v>
      </c>
      <c r="H23" s="29"/>
      <c r="I23" s="29"/>
      <c r="J23" s="29"/>
      <c r="K23" s="29"/>
      <c r="L23" s="29"/>
      <c r="M23" s="29"/>
      <c r="N23" s="29"/>
      <c r="O23" s="29"/>
      <c r="P23" s="29"/>
      <c r="Q23" s="29"/>
      <c r="R23" s="29"/>
      <c r="S23" s="29"/>
    </row>
    <row r="24" spans="1:19" x14ac:dyDescent="0.35">
      <c r="A24" s="718"/>
      <c r="B24" s="81" t="s">
        <v>140</v>
      </c>
      <c r="C24" s="81"/>
      <c r="D24" s="56"/>
      <c r="E24" s="357"/>
      <c r="F24" s="719"/>
      <c r="G24" s="152"/>
      <c r="H24" s="29"/>
      <c r="I24" s="29"/>
      <c r="J24" s="29"/>
      <c r="K24" s="29"/>
      <c r="L24" s="29"/>
      <c r="M24" s="29"/>
      <c r="N24" s="29"/>
      <c r="O24" s="29"/>
      <c r="P24" s="29"/>
      <c r="Q24" s="29"/>
      <c r="R24" s="29"/>
      <c r="S24" s="29"/>
    </row>
    <row r="25" spans="1:19" x14ac:dyDescent="0.35">
      <c r="A25" s="718"/>
      <c r="B25" s="81"/>
      <c r="C25" s="81" t="s">
        <v>141</v>
      </c>
      <c r="D25" s="56">
        <v>1296.92</v>
      </c>
      <c r="E25" s="357"/>
      <c r="F25" s="719"/>
      <c r="G25" s="152">
        <f t="shared" ref="G25:G33" si="1">D25+E25</f>
        <v>1296.92</v>
      </c>
      <c r="H25" s="29"/>
      <c r="I25" s="29"/>
      <c r="J25" s="29"/>
      <c r="K25" s="29"/>
      <c r="L25" s="29"/>
      <c r="M25" s="29"/>
      <c r="N25" s="29"/>
      <c r="O25" s="29"/>
      <c r="P25" s="29"/>
      <c r="Q25" s="29"/>
      <c r="R25" s="29"/>
      <c r="S25" s="29"/>
    </row>
    <row r="26" spans="1:19" x14ac:dyDescent="0.35">
      <c r="A26" s="718"/>
      <c r="B26" s="81"/>
      <c r="C26" s="81" t="s">
        <v>142</v>
      </c>
      <c r="D26" s="56">
        <v>258634.29</v>
      </c>
      <c r="E26" s="357"/>
      <c r="F26" s="719"/>
      <c r="G26" s="152">
        <f t="shared" si="1"/>
        <v>258634.29</v>
      </c>
      <c r="H26" s="29"/>
      <c r="I26" s="29"/>
      <c r="J26" s="29"/>
      <c r="K26" s="29"/>
      <c r="L26" s="29"/>
      <c r="M26" s="29"/>
      <c r="N26" s="29"/>
      <c r="O26" s="29"/>
      <c r="P26" s="29"/>
      <c r="Q26" s="29"/>
      <c r="R26" s="29"/>
      <c r="S26" s="29"/>
    </row>
    <row r="27" spans="1:19" x14ac:dyDescent="0.35">
      <c r="A27" s="718"/>
      <c r="B27" s="81"/>
      <c r="C27" s="81" t="s">
        <v>143</v>
      </c>
      <c r="D27" s="56">
        <v>47604.63</v>
      </c>
      <c r="E27" s="357"/>
      <c r="F27" s="719"/>
      <c r="G27" s="152">
        <f t="shared" si="1"/>
        <v>47604.63</v>
      </c>
      <c r="H27" s="29"/>
      <c r="I27" s="29"/>
      <c r="J27" s="29"/>
      <c r="K27" s="29"/>
      <c r="L27" s="29"/>
      <c r="M27" s="29"/>
      <c r="N27" s="29"/>
      <c r="O27" s="29"/>
      <c r="P27" s="29"/>
      <c r="Q27" s="29"/>
      <c r="R27" s="29"/>
      <c r="S27" s="29"/>
    </row>
    <row r="28" spans="1:19" x14ac:dyDescent="0.35">
      <c r="A28" s="718"/>
      <c r="B28" s="81"/>
      <c r="C28" s="81" t="s">
        <v>144</v>
      </c>
      <c r="D28" s="56">
        <v>5180.7700000000004</v>
      </c>
      <c r="E28" s="357"/>
      <c r="F28" s="719"/>
      <c r="G28" s="152">
        <f t="shared" si="1"/>
        <v>5180.7700000000004</v>
      </c>
      <c r="H28" s="29"/>
      <c r="I28" s="29"/>
      <c r="J28" s="29"/>
      <c r="K28" s="29"/>
      <c r="L28" s="29"/>
      <c r="M28" s="29"/>
      <c r="N28" s="29"/>
      <c r="O28" s="29"/>
      <c r="P28" s="29"/>
      <c r="Q28" s="29"/>
      <c r="R28" s="29"/>
      <c r="S28" s="29"/>
    </row>
    <row r="29" spans="1:19" x14ac:dyDescent="0.35">
      <c r="A29" s="718"/>
      <c r="B29" s="81" t="s">
        <v>145</v>
      </c>
      <c r="C29" s="81"/>
      <c r="D29" s="56"/>
      <c r="E29" s="357"/>
      <c r="F29" s="719"/>
      <c r="G29" s="721"/>
      <c r="H29" s="29"/>
      <c r="I29" s="471">
        <f>G30+SAOw!I26+SAOw!I25-SAOw!G25</f>
        <v>1703405.6099999999</v>
      </c>
      <c r="J29" s="164" t="s">
        <v>558</v>
      </c>
      <c r="K29" s="164"/>
      <c r="L29" s="29"/>
      <c r="M29" s="165"/>
      <c r="N29" s="29"/>
      <c r="O29" s="29"/>
      <c r="P29" s="29"/>
      <c r="Q29" s="29"/>
      <c r="R29" s="29"/>
      <c r="S29" s="29"/>
    </row>
    <row r="30" spans="1:19" x14ac:dyDescent="0.35">
      <c r="A30" s="718"/>
      <c r="B30" s="81"/>
      <c r="C30" s="81" t="s">
        <v>654</v>
      </c>
      <c r="D30" s="56">
        <v>473719.16</v>
      </c>
      <c r="E30" s="357">
        <f>Wages!J67</f>
        <v>-158295.87037299998</v>
      </c>
      <c r="F30" s="719" t="s">
        <v>593</v>
      </c>
      <c r="G30" s="152">
        <f t="shared" si="1"/>
        <v>315423.28962699999</v>
      </c>
      <c r="H30" s="29"/>
      <c r="I30" s="273" t="s">
        <v>568</v>
      </c>
      <c r="L30" s="147" t="s">
        <v>569</v>
      </c>
      <c r="M30" s="165"/>
      <c r="N30" s="29"/>
      <c r="O30" s="29"/>
      <c r="P30" s="29"/>
      <c r="Q30" s="29"/>
      <c r="R30" s="29"/>
      <c r="S30" s="29"/>
    </row>
    <row r="31" spans="1:19" x14ac:dyDescent="0.35">
      <c r="A31" s="718"/>
      <c r="B31" s="81"/>
      <c r="C31" s="81" t="s">
        <v>146</v>
      </c>
      <c r="D31" s="56">
        <v>11819.05</v>
      </c>
      <c r="E31" s="357"/>
      <c r="F31" s="719"/>
      <c r="G31" s="152">
        <f t="shared" si="1"/>
        <v>11819.05</v>
      </c>
      <c r="H31" s="29"/>
      <c r="I31" s="29"/>
      <c r="J31" s="29"/>
      <c r="K31" s="29"/>
      <c r="L31" s="29"/>
      <c r="M31" s="165"/>
      <c r="N31" s="29"/>
      <c r="O31" s="29"/>
      <c r="P31" s="29"/>
      <c r="Q31" s="29"/>
      <c r="R31" s="29"/>
      <c r="S31" s="29"/>
    </row>
    <row r="32" spans="1:19" x14ac:dyDescent="0.35">
      <c r="A32" s="718"/>
      <c r="B32" s="81"/>
      <c r="C32" s="81" t="s">
        <v>147</v>
      </c>
      <c r="D32" s="56">
        <v>185286.69</v>
      </c>
      <c r="E32" s="357"/>
      <c r="F32" s="719"/>
      <c r="G32" s="152">
        <f t="shared" si="1"/>
        <v>185286.69</v>
      </c>
      <c r="H32" s="29"/>
      <c r="I32" s="29"/>
      <c r="J32" s="29"/>
      <c r="K32" s="29"/>
      <c r="L32" s="29"/>
      <c r="M32" s="165"/>
      <c r="N32" s="29"/>
      <c r="O32" s="29"/>
      <c r="P32" s="29"/>
      <c r="Q32" s="29"/>
      <c r="R32" s="29"/>
      <c r="S32" s="29"/>
    </row>
    <row r="33" spans="1:19" x14ac:dyDescent="0.35">
      <c r="A33" s="718"/>
      <c r="B33" s="81"/>
      <c r="C33" s="81" t="s">
        <v>148</v>
      </c>
      <c r="D33" s="56">
        <v>112555.95</v>
      </c>
      <c r="E33" s="357"/>
      <c r="F33" s="719"/>
      <c r="G33" s="152">
        <f t="shared" si="1"/>
        <v>112555.95</v>
      </c>
      <c r="H33" s="29"/>
      <c r="I33" s="29"/>
      <c r="J33" s="29"/>
      <c r="K33" s="29"/>
      <c r="L33" s="29"/>
      <c r="M33" s="165"/>
      <c r="N33" s="29"/>
      <c r="O33" s="29"/>
      <c r="P33" s="29"/>
      <c r="Q33" s="29"/>
      <c r="R33" s="29"/>
      <c r="S33" s="29"/>
    </row>
    <row r="34" spans="1:19" x14ac:dyDescent="0.35">
      <c r="A34" s="718"/>
      <c r="B34" s="81"/>
      <c r="C34" s="81" t="s">
        <v>4</v>
      </c>
      <c r="D34" s="357">
        <v>90528.59</v>
      </c>
      <c r="E34" s="357">
        <f>Medical!K43</f>
        <v>1661.0634408000001</v>
      </c>
      <c r="F34" s="719" t="s">
        <v>111</v>
      </c>
      <c r="G34" s="152"/>
      <c r="H34" s="29"/>
      <c r="I34" s="29" t="s">
        <v>600</v>
      </c>
      <c r="J34" s="29"/>
      <c r="K34" s="29"/>
      <c r="L34" s="29" t="s">
        <v>571</v>
      </c>
      <c r="M34" s="165"/>
      <c r="N34" s="29"/>
      <c r="O34" s="29"/>
      <c r="P34" s="29"/>
      <c r="Q34" s="29"/>
      <c r="R34" s="29"/>
      <c r="S34" s="29"/>
    </row>
    <row r="35" spans="1:19" x14ac:dyDescent="0.35">
      <c r="A35" s="718"/>
      <c r="B35" s="81"/>
      <c r="C35" s="81"/>
      <c r="D35" s="357"/>
      <c r="E35" s="357">
        <f>Wages!J80</f>
        <v>-20084.212800985464</v>
      </c>
      <c r="F35" s="719" t="s">
        <v>112</v>
      </c>
      <c r="G35" s="152">
        <f>D34+E34+E35</f>
        <v>72105.440639814537</v>
      </c>
      <c r="H35" s="29"/>
      <c r="I35" s="29" t="s">
        <v>565</v>
      </c>
      <c r="J35" s="29"/>
      <c r="K35" s="29"/>
      <c r="L35" s="29" t="s">
        <v>566</v>
      </c>
      <c r="M35" s="165"/>
      <c r="N35" s="29"/>
      <c r="O35" s="29"/>
      <c r="P35" s="29"/>
      <c r="Q35" s="29"/>
      <c r="R35" s="29"/>
      <c r="S35" s="29"/>
    </row>
    <row r="36" spans="1:19" x14ac:dyDescent="0.35">
      <c r="A36" s="718"/>
      <c r="B36" s="81"/>
      <c r="C36" s="56" t="s">
        <v>149</v>
      </c>
      <c r="D36" s="56">
        <v>291.24</v>
      </c>
      <c r="E36" s="357"/>
      <c r="F36" s="719"/>
      <c r="G36" s="152">
        <f>D36+E36</f>
        <v>291.24</v>
      </c>
      <c r="H36" s="165"/>
      <c r="I36" s="29"/>
      <c r="J36" s="29"/>
      <c r="K36" s="29"/>
      <c r="L36" s="29"/>
      <c r="M36" s="165"/>
      <c r="N36" s="29"/>
      <c r="O36" s="29"/>
      <c r="P36" s="29"/>
      <c r="Q36" s="29"/>
      <c r="R36" s="29"/>
      <c r="S36" s="29"/>
    </row>
    <row r="37" spans="1:19" x14ac:dyDescent="0.35">
      <c r="A37" s="718"/>
      <c r="B37" s="81"/>
      <c r="C37" s="81" t="s">
        <v>29</v>
      </c>
      <c r="D37" s="56">
        <v>34811.480000000003</v>
      </c>
      <c r="E37" s="357"/>
      <c r="F37" s="719"/>
      <c r="G37" s="152">
        <f>D37+E37</f>
        <v>34811.480000000003</v>
      </c>
      <c r="H37" s="29"/>
      <c r="I37" s="29"/>
      <c r="J37" s="29"/>
      <c r="K37" s="29"/>
      <c r="L37" s="29"/>
      <c r="M37" s="165"/>
      <c r="N37" s="29"/>
      <c r="O37" s="29"/>
      <c r="P37" s="29"/>
      <c r="Q37" s="29"/>
      <c r="R37" s="29"/>
      <c r="S37" s="29"/>
    </row>
    <row r="38" spans="1:19" ht="17" x14ac:dyDescent="0.5">
      <c r="A38" s="718"/>
      <c r="B38" s="81"/>
      <c r="C38" s="81" t="s">
        <v>150</v>
      </c>
      <c r="D38" s="56">
        <v>14049.24</v>
      </c>
      <c r="E38" s="357"/>
      <c r="F38" s="719"/>
      <c r="G38" s="152">
        <f t="shared" ref="G38" si="2">D38+E38</f>
        <v>14049.24</v>
      </c>
      <c r="H38" s="165"/>
      <c r="I38" s="29"/>
      <c r="J38" s="29"/>
      <c r="K38" s="29"/>
      <c r="L38" s="74"/>
      <c r="M38" s="165"/>
      <c r="N38" s="29"/>
      <c r="O38" s="29"/>
      <c r="P38" s="29"/>
      <c r="Q38" s="29"/>
      <c r="R38" s="29"/>
      <c r="S38" s="29"/>
    </row>
    <row r="39" spans="1:19" x14ac:dyDescent="0.35">
      <c r="A39" s="718"/>
      <c r="B39" s="81"/>
      <c r="C39" s="81" t="s">
        <v>151</v>
      </c>
      <c r="D39" s="56"/>
      <c r="E39" s="357"/>
      <c r="F39" s="719"/>
      <c r="G39" s="152">
        <f>E38+E39</f>
        <v>0</v>
      </c>
      <c r="H39" s="165"/>
      <c r="I39" s="29"/>
      <c r="J39" s="29"/>
      <c r="K39" s="29"/>
      <c r="L39" s="29"/>
      <c r="M39" s="29"/>
      <c r="N39" s="29"/>
      <c r="O39" s="29"/>
      <c r="P39" s="29"/>
      <c r="Q39" s="29"/>
      <c r="R39" s="29"/>
      <c r="S39" s="29"/>
    </row>
    <row r="40" spans="1:19" x14ac:dyDescent="0.35">
      <c r="A40" s="718"/>
      <c r="B40" s="81"/>
      <c r="C40" s="37" t="s">
        <v>504</v>
      </c>
      <c r="D40" s="56">
        <v>0</v>
      </c>
      <c r="E40" s="357">
        <f>Adj!U21</f>
        <v>602</v>
      </c>
      <c r="F40" s="719" t="s">
        <v>113</v>
      </c>
      <c r="G40" s="721">
        <f t="shared" ref="G40:G41" si="3">D40+E40</f>
        <v>602</v>
      </c>
      <c r="H40" s="29"/>
      <c r="I40" s="32" t="s">
        <v>642</v>
      </c>
      <c r="J40" s="32"/>
      <c r="K40" s="32"/>
      <c r="L40" s="29" t="s">
        <v>538</v>
      </c>
      <c r="M40" s="29"/>
      <c r="N40" s="29"/>
      <c r="O40" s="29"/>
      <c r="P40" s="29"/>
      <c r="Q40" s="29"/>
      <c r="R40" s="29"/>
      <c r="S40" s="29"/>
    </row>
    <row r="41" spans="1:19" ht="17" hidden="1" x14ac:dyDescent="0.5">
      <c r="A41" s="718"/>
      <c r="B41" s="81"/>
      <c r="C41" s="56"/>
      <c r="D41" s="98">
        <v>0</v>
      </c>
      <c r="E41" s="357"/>
      <c r="F41" s="719"/>
      <c r="G41" s="720">
        <f t="shared" si="3"/>
        <v>0</v>
      </c>
      <c r="H41" s="29"/>
      <c r="I41" s="29"/>
      <c r="J41" s="29"/>
      <c r="K41" s="29"/>
      <c r="L41" s="29"/>
      <c r="M41" s="29"/>
      <c r="N41" s="29"/>
      <c r="O41" s="29"/>
      <c r="P41" s="29"/>
      <c r="Q41" s="29"/>
      <c r="R41" s="29"/>
      <c r="S41" s="29"/>
    </row>
    <row r="42" spans="1:19" x14ac:dyDescent="0.35">
      <c r="A42" s="718"/>
      <c r="B42" s="186" t="s">
        <v>152</v>
      </c>
      <c r="C42" s="81"/>
      <c r="D42" s="538">
        <f>SUM(D17:D41)</f>
        <v>1694732.79</v>
      </c>
      <c r="E42" s="357"/>
      <c r="F42" s="719"/>
      <c r="G42" s="41">
        <f>SUM(G17:G41)</f>
        <v>1518615.7702668144</v>
      </c>
      <c r="H42" s="29"/>
      <c r="I42" s="29"/>
      <c r="J42" s="29"/>
      <c r="K42" s="29"/>
      <c r="L42" s="29"/>
      <c r="M42" s="29"/>
      <c r="N42" s="29"/>
      <c r="O42" s="29"/>
      <c r="P42" s="29"/>
      <c r="Q42" s="29"/>
      <c r="R42" s="29"/>
      <c r="S42" s="29"/>
    </row>
    <row r="43" spans="1:19" x14ac:dyDescent="0.35">
      <c r="A43" s="718"/>
      <c r="B43" s="81" t="s">
        <v>21</v>
      </c>
      <c r="C43" s="81"/>
      <c r="D43" s="56">
        <v>619737</v>
      </c>
      <c r="E43" s="357">
        <f>Depr!J66</f>
        <v>-6297</v>
      </c>
      <c r="F43" s="719" t="s">
        <v>114</v>
      </c>
      <c r="G43" s="152">
        <f t="shared" ref="G43:G44" si="4">D43+E43</f>
        <v>613440</v>
      </c>
      <c r="H43" s="165"/>
      <c r="I43" s="29" t="s">
        <v>570</v>
      </c>
      <c r="J43" s="29"/>
      <c r="L43" s="29" t="s">
        <v>487</v>
      </c>
      <c r="M43" s="29"/>
      <c r="O43" s="29"/>
      <c r="P43" s="29"/>
      <c r="Q43" s="29"/>
      <c r="R43" s="29"/>
      <c r="S43" s="29"/>
    </row>
    <row r="44" spans="1:19" x14ac:dyDescent="0.35">
      <c r="A44" s="718"/>
      <c r="B44" s="81" t="s">
        <v>1</v>
      </c>
      <c r="C44" s="81"/>
      <c r="D44" s="357">
        <v>37949.660000000003</v>
      </c>
      <c r="E44" s="357">
        <f>Wages!J74</f>
        <v>-13819.778343534505</v>
      </c>
      <c r="F44" s="719" t="s">
        <v>115</v>
      </c>
      <c r="G44" s="152">
        <f t="shared" si="4"/>
        <v>24129.881656465499</v>
      </c>
      <c r="H44" s="165"/>
      <c r="I44" s="273" t="s">
        <v>568</v>
      </c>
      <c r="J44" s="29"/>
      <c r="K44" s="29"/>
      <c r="L44" s="29" t="s">
        <v>572</v>
      </c>
      <c r="M44" s="29"/>
      <c r="N44" s="29"/>
      <c r="O44" s="29"/>
      <c r="P44" s="29"/>
      <c r="Q44" s="29"/>
      <c r="R44" s="29"/>
      <c r="S44" s="29"/>
    </row>
    <row r="45" spans="1:19" ht="17" hidden="1" x14ac:dyDescent="0.5">
      <c r="A45" s="718"/>
      <c r="B45" s="81"/>
      <c r="C45" s="81"/>
      <c r="D45" s="56">
        <v>0</v>
      </c>
      <c r="E45" s="357"/>
      <c r="F45" s="719"/>
      <c r="G45" s="720"/>
      <c r="H45" s="165"/>
      <c r="I45" s="29"/>
      <c r="J45" s="29"/>
      <c r="K45" s="29"/>
      <c r="L45" s="29"/>
      <c r="M45" s="29"/>
      <c r="N45" s="29"/>
      <c r="O45" s="29"/>
      <c r="P45" s="29"/>
      <c r="Q45" s="29"/>
      <c r="R45" s="29"/>
      <c r="S45" s="29"/>
    </row>
    <row r="46" spans="1:19" x14ac:dyDescent="0.35">
      <c r="A46" s="632" t="s">
        <v>0</v>
      </c>
      <c r="B46" s="81"/>
      <c r="C46" s="81"/>
      <c r="D46" s="40">
        <f>SUM(D42:D44)</f>
        <v>2352419.4500000002</v>
      </c>
      <c r="E46" s="40"/>
      <c r="F46" s="537"/>
      <c r="G46" s="41">
        <f>SUM(G42:G45)</f>
        <v>2156185.6519232797</v>
      </c>
      <c r="H46" s="29"/>
      <c r="I46" s="29"/>
      <c r="J46" s="29"/>
      <c r="K46" s="29"/>
      <c r="L46" s="29"/>
      <c r="M46" s="29"/>
      <c r="N46" s="29"/>
      <c r="O46" s="29"/>
      <c r="P46" s="29"/>
      <c r="Q46" s="29"/>
      <c r="R46" s="29"/>
      <c r="S46" s="29"/>
    </row>
    <row r="47" spans="1:19" x14ac:dyDescent="0.35">
      <c r="A47" s="632" t="s">
        <v>22</v>
      </c>
      <c r="B47" s="81"/>
      <c r="C47" s="81"/>
      <c r="D47" s="56">
        <f>D13-D46</f>
        <v>-302400.63000000012</v>
      </c>
      <c r="E47" s="56"/>
      <c r="F47" s="713"/>
      <c r="G47" s="152">
        <f>G13-G46</f>
        <v>126480.15807672031</v>
      </c>
      <c r="H47" s="29"/>
      <c r="I47" s="29"/>
      <c r="J47" s="29"/>
      <c r="K47" s="29"/>
      <c r="L47" s="29"/>
      <c r="M47" s="29"/>
      <c r="N47" s="29"/>
      <c r="O47" s="29"/>
      <c r="P47" s="29"/>
      <c r="Q47" s="29"/>
      <c r="R47" s="29"/>
      <c r="S47" s="29"/>
    </row>
    <row r="48" spans="1:19" x14ac:dyDescent="0.35">
      <c r="A48" s="632"/>
      <c r="B48" s="81"/>
      <c r="C48" s="81"/>
      <c r="D48" s="56"/>
      <c r="E48" s="56"/>
      <c r="F48" s="713"/>
      <c r="G48" s="152"/>
      <c r="H48" s="29"/>
      <c r="I48" s="29"/>
      <c r="J48" s="29"/>
      <c r="K48" s="29"/>
      <c r="L48" s="29"/>
      <c r="M48" s="29"/>
      <c r="N48" s="29"/>
      <c r="O48" s="29"/>
      <c r="P48" s="29"/>
      <c r="Q48" s="29"/>
      <c r="R48" s="29"/>
      <c r="S48" s="29"/>
    </row>
    <row r="49" spans="1:19" ht="18.5" x14ac:dyDescent="0.35">
      <c r="A49" s="748" t="s">
        <v>23</v>
      </c>
      <c r="B49" s="736"/>
      <c r="C49" s="736"/>
      <c r="D49" s="736"/>
      <c r="E49" s="736"/>
      <c r="F49" s="736"/>
      <c r="G49" s="749"/>
      <c r="H49" s="29"/>
      <c r="I49" s="29"/>
      <c r="J49" s="29"/>
      <c r="K49" s="29"/>
      <c r="L49" s="29"/>
      <c r="M49" s="29"/>
      <c r="N49" s="29"/>
      <c r="O49" s="29"/>
      <c r="P49" s="29"/>
      <c r="Q49" s="29"/>
      <c r="R49" s="29"/>
      <c r="S49" s="29"/>
    </row>
    <row r="50" spans="1:19" x14ac:dyDescent="0.35">
      <c r="A50" s="718"/>
      <c r="B50" s="81"/>
      <c r="C50" s="81"/>
      <c r="D50" s="56"/>
      <c r="E50" s="56"/>
      <c r="F50" s="713"/>
      <c r="G50" s="152"/>
      <c r="H50" s="29"/>
      <c r="I50" s="147"/>
      <c r="J50" s="147"/>
      <c r="K50" s="147"/>
      <c r="L50" s="147"/>
      <c r="M50" s="147"/>
      <c r="N50" s="147"/>
      <c r="O50" s="147"/>
      <c r="P50" s="147"/>
      <c r="Q50" s="147"/>
      <c r="R50" s="147"/>
      <c r="S50" s="29"/>
    </row>
    <row r="51" spans="1:19" x14ac:dyDescent="0.35">
      <c r="A51" s="745" t="s">
        <v>488</v>
      </c>
      <c r="B51" s="746"/>
      <c r="C51" s="746"/>
      <c r="D51" s="746"/>
      <c r="E51" s="746"/>
      <c r="F51" s="746"/>
      <c r="G51" s="747"/>
      <c r="H51" s="29"/>
      <c r="I51" s="147"/>
      <c r="J51" s="147"/>
      <c r="K51" s="147"/>
      <c r="L51" s="147"/>
      <c r="M51" s="147"/>
      <c r="N51" s="147"/>
      <c r="O51" s="147"/>
      <c r="P51" s="147"/>
      <c r="Q51" s="147"/>
      <c r="R51" s="147"/>
      <c r="S51" s="29"/>
    </row>
    <row r="52" spans="1:19" x14ac:dyDescent="0.35">
      <c r="A52" s="632" t="s">
        <v>40</v>
      </c>
      <c r="B52" s="81"/>
      <c r="C52" s="81"/>
      <c r="D52" s="56"/>
      <c r="E52" s="56"/>
      <c r="F52" s="713"/>
      <c r="G52" s="659">
        <f>G46</f>
        <v>2156185.6519232797</v>
      </c>
      <c r="H52" s="29"/>
      <c r="I52" s="558"/>
      <c r="J52" s="147"/>
      <c r="K52" s="147"/>
      <c r="L52" s="147"/>
      <c r="M52" s="147"/>
      <c r="N52" s="147"/>
      <c r="O52" s="147"/>
      <c r="P52" s="147"/>
      <c r="Q52" s="147"/>
      <c r="R52" s="147"/>
      <c r="S52" s="29"/>
    </row>
    <row r="53" spans="1:19" ht="17" x14ac:dyDescent="0.5">
      <c r="A53" s="718" t="s">
        <v>154</v>
      </c>
      <c r="B53" s="81"/>
      <c r="C53" s="81" t="s">
        <v>155</v>
      </c>
      <c r="D53" s="56"/>
      <c r="E53" s="56"/>
      <c r="F53" s="719" t="s">
        <v>116</v>
      </c>
      <c r="G53" s="721">
        <f>'Debt Serv'!M54</f>
        <v>223148.32550499999</v>
      </c>
      <c r="H53" s="29"/>
      <c r="I53" s="148"/>
      <c r="J53" s="147"/>
      <c r="K53" s="147"/>
      <c r="L53" s="147"/>
      <c r="M53" s="147"/>
      <c r="N53" s="147"/>
      <c r="O53" s="147"/>
      <c r="P53" s="147"/>
      <c r="Q53" s="147"/>
      <c r="R53" s="147"/>
      <c r="S53" s="29"/>
    </row>
    <row r="54" spans="1:19" ht="17" x14ac:dyDescent="0.5">
      <c r="A54" s="718"/>
      <c r="B54" s="81"/>
      <c r="C54" s="81" t="s">
        <v>156</v>
      </c>
      <c r="D54" s="56"/>
      <c r="E54" s="56"/>
      <c r="F54" s="719" t="s">
        <v>117</v>
      </c>
      <c r="G54" s="722">
        <f>'Debt Serv'!M56</f>
        <v>44629.665100999999</v>
      </c>
      <c r="H54" s="29"/>
      <c r="I54" s="147"/>
      <c r="J54" s="147"/>
      <c r="K54" s="147"/>
      <c r="L54" s="147"/>
      <c r="M54" s="147"/>
      <c r="N54" s="147"/>
      <c r="O54" s="147"/>
      <c r="P54" s="147"/>
      <c r="Q54" s="148"/>
      <c r="R54" s="147"/>
      <c r="S54" s="29"/>
    </row>
    <row r="55" spans="1:19" x14ac:dyDescent="0.35">
      <c r="A55" s="632" t="s">
        <v>91</v>
      </c>
      <c r="B55" s="81"/>
      <c r="C55" s="81"/>
      <c r="D55" s="56"/>
      <c r="E55" s="56"/>
      <c r="F55" s="713"/>
      <c r="G55" s="659">
        <f>SUM(G52:G54)</f>
        <v>2423963.6425292799</v>
      </c>
      <c r="H55" s="29"/>
      <c r="I55" s="147"/>
      <c r="J55" s="147"/>
      <c r="K55" s="147"/>
      <c r="L55" s="147"/>
      <c r="M55" s="147"/>
      <c r="N55" s="147"/>
      <c r="O55" s="147"/>
      <c r="P55" s="147"/>
      <c r="Q55" s="147"/>
      <c r="R55" s="147"/>
      <c r="S55" s="29"/>
    </row>
    <row r="56" spans="1:19" x14ac:dyDescent="0.35">
      <c r="A56" s="718" t="s">
        <v>157</v>
      </c>
      <c r="B56" s="81"/>
      <c r="C56" s="81" t="s">
        <v>26</v>
      </c>
      <c r="D56" s="56"/>
      <c r="E56" s="56"/>
      <c r="F56" s="713"/>
      <c r="G56" s="721">
        <f>-G12</f>
        <v>-40071.57</v>
      </c>
      <c r="H56" s="29"/>
      <c r="I56" s="147"/>
      <c r="J56" s="147"/>
      <c r="K56" s="147"/>
      <c r="L56" s="147"/>
      <c r="M56" s="147"/>
      <c r="N56" s="147"/>
      <c r="O56" s="147"/>
      <c r="P56" s="147"/>
      <c r="Q56" s="147"/>
      <c r="R56" s="147"/>
      <c r="S56" s="29"/>
    </row>
    <row r="57" spans="1:19" ht="17" x14ac:dyDescent="0.5">
      <c r="A57" s="718"/>
      <c r="B57" s="81"/>
      <c r="C57" s="81" t="s">
        <v>158</v>
      </c>
      <c r="D57" s="56">
        <v>0</v>
      </c>
      <c r="E57" s="56"/>
      <c r="F57" s="713"/>
      <c r="G57" s="152">
        <v>-3217.81</v>
      </c>
      <c r="H57" s="29"/>
      <c r="I57" s="29" t="s">
        <v>573</v>
      </c>
      <c r="J57" s="147"/>
      <c r="K57" s="147"/>
      <c r="L57" s="147"/>
      <c r="M57" s="147"/>
      <c r="N57" s="147"/>
      <c r="O57" s="147"/>
      <c r="P57" s="147"/>
      <c r="Q57" s="148"/>
      <c r="R57" s="147"/>
      <c r="S57" s="29"/>
    </row>
    <row r="58" spans="1:19" ht="17" x14ac:dyDescent="0.5">
      <c r="A58" s="718"/>
      <c r="B58" s="81"/>
      <c r="C58" s="81" t="s">
        <v>159</v>
      </c>
      <c r="D58" s="56"/>
      <c r="E58" s="56"/>
      <c r="F58" s="713"/>
      <c r="G58" s="720">
        <v>-68014</v>
      </c>
      <c r="H58" s="29"/>
      <c r="I58" s="29" t="s">
        <v>573</v>
      </c>
      <c r="J58" s="147"/>
      <c r="K58" s="147"/>
      <c r="L58" s="147"/>
      <c r="M58" s="147"/>
      <c r="N58" s="147"/>
      <c r="O58" s="147"/>
      <c r="P58" s="147"/>
      <c r="Q58" s="148"/>
      <c r="R58" s="147"/>
      <c r="S58" s="29"/>
    </row>
    <row r="59" spans="1:19" ht="17" x14ac:dyDescent="0.5">
      <c r="A59" s="632" t="s">
        <v>160</v>
      </c>
      <c r="B59" s="81"/>
      <c r="C59" s="81"/>
      <c r="D59" s="56"/>
      <c r="E59" s="56"/>
      <c r="F59" s="713"/>
      <c r="G59" s="659">
        <f>G55+G56+G57+G58</f>
        <v>2312660.26252928</v>
      </c>
      <c r="H59" s="29"/>
      <c r="I59" s="105"/>
      <c r="J59" s="147"/>
      <c r="K59" s="147"/>
      <c r="L59" s="147"/>
      <c r="M59" s="147"/>
      <c r="N59" s="147"/>
      <c r="O59" s="147"/>
      <c r="P59" s="147"/>
      <c r="Q59" s="147"/>
      <c r="R59" s="148"/>
      <c r="S59" s="29"/>
    </row>
    <row r="60" spans="1:19" ht="17" x14ac:dyDescent="0.5">
      <c r="A60" s="718" t="s">
        <v>157</v>
      </c>
      <c r="B60" s="81"/>
      <c r="C60" s="81" t="s">
        <v>161</v>
      </c>
      <c r="D60" s="56"/>
      <c r="E60" s="56"/>
      <c r="F60" s="713"/>
      <c r="G60" s="720">
        <f>-G11</f>
        <v>-2242594.2400000002</v>
      </c>
      <c r="H60" s="29"/>
      <c r="I60" s="147"/>
      <c r="J60" s="147"/>
      <c r="K60" s="147"/>
      <c r="L60" s="147"/>
      <c r="M60" s="369"/>
      <c r="N60" s="147"/>
      <c r="O60" s="147"/>
      <c r="P60" s="147"/>
      <c r="Q60" s="147"/>
      <c r="R60" s="147"/>
      <c r="S60" s="29"/>
    </row>
    <row r="61" spans="1:19" x14ac:dyDescent="0.35">
      <c r="A61" s="632" t="s">
        <v>94</v>
      </c>
      <c r="B61" s="81"/>
      <c r="C61" s="81"/>
      <c r="D61" s="56"/>
      <c r="E61" s="56"/>
      <c r="F61" s="713"/>
      <c r="G61" s="659">
        <f>+G59+G60</f>
        <v>70066.022529279813</v>
      </c>
      <c r="H61" s="29"/>
      <c r="I61" s="147"/>
      <c r="J61" s="147"/>
      <c r="K61" s="147"/>
      <c r="L61" s="147"/>
      <c r="M61" s="147"/>
      <c r="N61" s="147"/>
      <c r="O61" s="147"/>
      <c r="P61" s="147"/>
      <c r="Q61" s="147"/>
      <c r="R61" s="147"/>
      <c r="S61" s="29"/>
    </row>
    <row r="62" spans="1:19" x14ac:dyDescent="0.35">
      <c r="A62" s="628" t="s">
        <v>95</v>
      </c>
      <c r="B62" s="723"/>
      <c r="C62" s="723"/>
      <c r="D62" s="52"/>
      <c r="E62" s="52"/>
      <c r="F62" s="724"/>
      <c r="G62" s="725">
        <f>G61/-G60</f>
        <v>3.1243290150107496E-2</v>
      </c>
      <c r="K62" s="147"/>
      <c r="L62" s="147"/>
      <c r="M62" s="147"/>
      <c r="N62" s="147"/>
      <c r="O62" s="147"/>
      <c r="P62" s="147"/>
      <c r="Q62" s="147"/>
      <c r="R62" s="147"/>
      <c r="S62" s="29"/>
    </row>
    <row r="63" spans="1:19" x14ac:dyDescent="0.35">
      <c r="A63" s="166"/>
      <c r="B63" s="32"/>
      <c r="C63" s="32"/>
      <c r="D63" s="29"/>
      <c r="E63" s="29"/>
      <c r="F63" s="163"/>
      <c r="G63" s="29"/>
      <c r="H63" s="29"/>
      <c r="I63" s="29"/>
      <c r="J63" s="29"/>
      <c r="K63" s="29"/>
      <c r="L63" s="29"/>
      <c r="M63" s="29"/>
      <c r="N63" s="29"/>
      <c r="O63" s="29"/>
      <c r="P63" s="29"/>
      <c r="Q63" s="29"/>
      <c r="R63" s="29"/>
      <c r="S63" s="29"/>
    </row>
  </sheetData>
  <mergeCells count="5">
    <mergeCell ref="A1:G1"/>
    <mergeCell ref="A2:G2"/>
    <mergeCell ref="A3:G3"/>
    <mergeCell ref="A51:G51"/>
    <mergeCell ref="A49:G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7E577-ECF8-4FEC-AE5F-60F7D47D6139}">
  <sheetPr>
    <tabColor rgb="FF92D050"/>
  </sheetPr>
  <dimension ref="B2:C69"/>
  <sheetViews>
    <sheetView tabSelected="1" topLeftCell="A7" workbookViewId="0">
      <selection activeCell="B30" sqref="B30:C48"/>
    </sheetView>
  </sheetViews>
  <sheetFormatPr defaultRowHeight="15.5" x14ac:dyDescent="0.35"/>
  <cols>
    <col min="3" max="3" width="92.15234375" customWidth="1"/>
  </cols>
  <sheetData>
    <row r="2" spans="2:3" x14ac:dyDescent="0.35">
      <c r="C2" s="709" t="s">
        <v>625</v>
      </c>
    </row>
    <row r="3" spans="2:3" x14ac:dyDescent="0.35">
      <c r="B3" s="750" t="s">
        <v>687</v>
      </c>
      <c r="C3" s="751"/>
    </row>
    <row r="4" spans="2:3" ht="18" x14ac:dyDescent="0.4">
      <c r="B4" s="641"/>
      <c r="C4" s="642"/>
    </row>
    <row r="5" spans="2:3" x14ac:dyDescent="0.35">
      <c r="B5" s="643" t="s">
        <v>581</v>
      </c>
      <c r="C5" s="644" t="s">
        <v>701</v>
      </c>
    </row>
    <row r="6" spans="2:3" ht="17.5" x14ac:dyDescent="0.35">
      <c r="B6" s="641"/>
      <c r="C6" s="645"/>
    </row>
    <row r="7" spans="2:3" x14ac:dyDescent="0.35">
      <c r="B7" s="643" t="s">
        <v>582</v>
      </c>
      <c r="C7" s="399" t="s">
        <v>702</v>
      </c>
    </row>
    <row r="8" spans="2:3" ht="17.5" x14ac:dyDescent="0.35">
      <c r="B8" s="643"/>
      <c r="C8" s="645"/>
    </row>
    <row r="9" spans="2:3" ht="46.5" x14ac:dyDescent="0.35">
      <c r="B9" s="643" t="s">
        <v>583</v>
      </c>
      <c r="C9" s="646" t="s">
        <v>594</v>
      </c>
    </row>
    <row r="10" spans="2:3" x14ac:dyDescent="0.35">
      <c r="B10" s="643"/>
      <c r="C10" s="647"/>
    </row>
    <row r="11" spans="2:3" x14ac:dyDescent="0.35">
      <c r="B11" s="643" t="s">
        <v>584</v>
      </c>
      <c r="C11" s="648" t="s">
        <v>703</v>
      </c>
    </row>
    <row r="12" spans="2:3" x14ac:dyDescent="0.35">
      <c r="B12" s="643"/>
      <c r="C12" s="646"/>
    </row>
    <row r="13" spans="2:3" ht="31" x14ac:dyDescent="0.35">
      <c r="B13" s="643" t="s">
        <v>585</v>
      </c>
      <c r="C13" s="648" t="s">
        <v>595</v>
      </c>
    </row>
    <row r="14" spans="2:3" x14ac:dyDescent="0.35">
      <c r="B14" s="643"/>
      <c r="C14" s="646"/>
    </row>
    <row r="15" spans="2:3" ht="31" x14ac:dyDescent="0.35">
      <c r="B15" s="643" t="s">
        <v>586</v>
      </c>
      <c r="C15" s="646" t="s">
        <v>596</v>
      </c>
    </row>
    <row r="16" spans="2:3" x14ac:dyDescent="0.35">
      <c r="B16" s="643"/>
      <c r="C16" s="647"/>
    </row>
    <row r="17" spans="2:3" x14ac:dyDescent="0.35">
      <c r="B17" s="643" t="s">
        <v>587</v>
      </c>
      <c r="C17" s="646" t="s">
        <v>704</v>
      </c>
    </row>
    <row r="18" spans="2:3" x14ac:dyDescent="0.35">
      <c r="B18" s="641"/>
      <c r="C18" s="646"/>
    </row>
    <row r="19" spans="2:3" ht="62" x14ac:dyDescent="0.35">
      <c r="B19" s="643" t="s">
        <v>588</v>
      </c>
      <c r="C19" s="648" t="s">
        <v>694</v>
      </c>
    </row>
    <row r="20" spans="2:3" x14ac:dyDescent="0.35">
      <c r="B20" s="641"/>
      <c r="C20" s="649"/>
    </row>
    <row r="21" spans="2:3" x14ac:dyDescent="0.35">
      <c r="B21" s="643" t="s">
        <v>589</v>
      </c>
      <c r="C21" s="646" t="s">
        <v>601</v>
      </c>
    </row>
    <row r="22" spans="2:3" x14ac:dyDescent="0.35">
      <c r="B22" s="641"/>
      <c r="C22" s="649"/>
    </row>
    <row r="23" spans="2:3" x14ac:dyDescent="0.35">
      <c r="B23" s="643" t="s">
        <v>590</v>
      </c>
      <c r="C23" s="646" t="s">
        <v>597</v>
      </c>
    </row>
    <row r="24" spans="2:3" x14ac:dyDescent="0.35">
      <c r="B24" s="641"/>
      <c r="C24" s="649"/>
    </row>
    <row r="25" spans="2:3" ht="46.5" x14ac:dyDescent="0.35">
      <c r="B25" s="643" t="s">
        <v>591</v>
      </c>
      <c r="C25" s="646" t="s">
        <v>636</v>
      </c>
    </row>
    <row r="26" spans="2:3" x14ac:dyDescent="0.35">
      <c r="B26" s="641"/>
      <c r="C26" s="9"/>
    </row>
    <row r="27" spans="2:3" ht="31" x14ac:dyDescent="0.35">
      <c r="B27" s="643" t="s">
        <v>592</v>
      </c>
      <c r="C27" s="648" t="s">
        <v>637</v>
      </c>
    </row>
    <row r="28" spans="2:3" x14ac:dyDescent="0.35">
      <c r="B28" s="653"/>
      <c r="C28" s="654"/>
    </row>
    <row r="29" spans="2:3" x14ac:dyDescent="0.35">
      <c r="B29" s="707" t="s">
        <v>128</v>
      </c>
      <c r="C29" s="648"/>
    </row>
    <row r="30" spans="2:3" x14ac:dyDescent="0.35">
      <c r="B30" s="750" t="s">
        <v>687</v>
      </c>
      <c r="C30" s="751"/>
    </row>
    <row r="31" spans="2:3" x14ac:dyDescent="0.35">
      <c r="B31" s="641"/>
      <c r="C31" s="649"/>
    </row>
    <row r="32" spans="2:3" x14ac:dyDescent="0.35">
      <c r="B32" s="643" t="s">
        <v>581</v>
      </c>
      <c r="C32" s="650" t="s">
        <v>688</v>
      </c>
    </row>
    <row r="33" spans="2:3" x14ac:dyDescent="0.35">
      <c r="B33" s="643"/>
      <c r="C33" s="649"/>
    </row>
    <row r="34" spans="2:3" x14ac:dyDescent="0.35">
      <c r="B34" s="643" t="s">
        <v>582</v>
      </c>
      <c r="C34" s="399" t="s">
        <v>692</v>
      </c>
    </row>
    <row r="35" spans="2:3" x14ac:dyDescent="0.35">
      <c r="B35" s="641"/>
      <c r="C35" s="649"/>
    </row>
    <row r="36" spans="2:3" ht="31" x14ac:dyDescent="0.35">
      <c r="B36" s="643" t="s">
        <v>583</v>
      </c>
      <c r="C36" s="646" t="s">
        <v>693</v>
      </c>
    </row>
    <row r="37" spans="2:3" x14ac:dyDescent="0.35">
      <c r="B37" s="641"/>
      <c r="C37" s="647"/>
    </row>
    <row r="38" spans="2:3" ht="31" x14ac:dyDescent="0.35">
      <c r="B38" s="643" t="s">
        <v>584</v>
      </c>
      <c r="C38" s="646" t="s">
        <v>697</v>
      </c>
    </row>
    <row r="39" spans="2:3" x14ac:dyDescent="0.35">
      <c r="B39" s="641"/>
      <c r="C39" s="649"/>
    </row>
    <row r="40" spans="2:3" x14ac:dyDescent="0.35">
      <c r="B40" s="643" t="s">
        <v>585</v>
      </c>
      <c r="C40" s="646" t="s">
        <v>698</v>
      </c>
    </row>
    <row r="41" spans="2:3" x14ac:dyDescent="0.35">
      <c r="B41" s="641"/>
      <c r="C41" s="649"/>
    </row>
    <row r="42" spans="2:3" ht="62" x14ac:dyDescent="0.35">
      <c r="B42" s="643" t="s">
        <v>586</v>
      </c>
      <c r="C42" s="648" t="s">
        <v>695</v>
      </c>
    </row>
    <row r="43" spans="2:3" x14ac:dyDescent="0.35">
      <c r="B43" s="651"/>
      <c r="C43" s="649"/>
    </row>
    <row r="44" spans="2:3" x14ac:dyDescent="0.35">
      <c r="B44" s="643" t="s">
        <v>587</v>
      </c>
      <c r="C44" s="646" t="s">
        <v>699</v>
      </c>
    </row>
    <row r="45" spans="2:3" x14ac:dyDescent="0.35">
      <c r="B45" s="641"/>
      <c r="C45" s="649"/>
    </row>
    <row r="46" spans="2:3" ht="46.5" x14ac:dyDescent="0.35">
      <c r="B46" s="643" t="s">
        <v>588</v>
      </c>
      <c r="C46" s="646" t="s">
        <v>700</v>
      </c>
    </row>
    <row r="47" spans="2:3" x14ac:dyDescent="0.35">
      <c r="B47" s="652"/>
      <c r="C47" s="647"/>
    </row>
    <row r="48" spans="2:3" ht="31" x14ac:dyDescent="0.35">
      <c r="B48" s="653" t="s">
        <v>589</v>
      </c>
      <c r="C48" s="654" t="s">
        <v>696</v>
      </c>
    </row>
    <row r="49" spans="2:3" x14ac:dyDescent="0.35">
      <c r="B49" s="173"/>
      <c r="C49" s="534"/>
    </row>
    <row r="50" spans="2:3" x14ac:dyDescent="0.35">
      <c r="B50" s="532"/>
      <c r="C50" s="533"/>
    </row>
    <row r="51" spans="2:3" x14ac:dyDescent="0.35">
      <c r="B51" s="173"/>
      <c r="C51" s="536"/>
    </row>
    <row r="52" spans="2:3" x14ac:dyDescent="0.35">
      <c r="B52" s="532"/>
      <c r="C52" s="616"/>
    </row>
    <row r="53" spans="2:3" x14ac:dyDescent="0.35">
      <c r="B53" s="531"/>
      <c r="C53" s="536"/>
    </row>
    <row r="54" spans="2:3" x14ac:dyDescent="0.35">
      <c r="B54" s="532"/>
    </row>
    <row r="55" spans="2:3" x14ac:dyDescent="0.35">
      <c r="B55" s="173"/>
    </row>
    <row r="56" spans="2:3" x14ac:dyDescent="0.35">
      <c r="B56" s="532"/>
    </row>
    <row r="57" spans="2:3" x14ac:dyDescent="0.35">
      <c r="B57" s="173"/>
      <c r="C57" s="536"/>
    </row>
    <row r="58" spans="2:3" x14ac:dyDescent="0.35">
      <c r="B58" s="531"/>
      <c r="C58" s="535"/>
    </row>
    <row r="59" spans="2:3" x14ac:dyDescent="0.35">
      <c r="B59" s="173"/>
      <c r="C59" s="536"/>
    </row>
    <row r="60" spans="2:3" x14ac:dyDescent="0.35">
      <c r="B60" s="531"/>
      <c r="C60" s="533"/>
    </row>
    <row r="61" spans="2:3" x14ac:dyDescent="0.35">
      <c r="B61" s="173"/>
      <c r="C61" s="534"/>
    </row>
    <row r="62" spans="2:3" x14ac:dyDescent="0.35">
      <c r="B62" s="531"/>
      <c r="C62" s="533"/>
    </row>
    <row r="63" spans="2:3" x14ac:dyDescent="0.35">
      <c r="B63" s="173"/>
      <c r="C63" s="534"/>
    </row>
    <row r="64" spans="2:3" x14ac:dyDescent="0.35">
      <c r="B64" s="531"/>
      <c r="C64" s="535"/>
    </row>
    <row r="67" spans="3:3" x14ac:dyDescent="0.35">
      <c r="C67" s="535"/>
    </row>
    <row r="69" spans="3:3" x14ac:dyDescent="0.35">
      <c r="C69" s="535"/>
    </row>
  </sheetData>
  <mergeCells count="2">
    <mergeCell ref="B3:C3"/>
    <mergeCell ref="B30:C3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2:Z46"/>
  <sheetViews>
    <sheetView topLeftCell="D7" zoomScale="75" zoomScaleNormal="75" workbookViewId="0">
      <selection activeCell="T22" sqref="T22"/>
    </sheetView>
  </sheetViews>
  <sheetFormatPr defaultColWidth="8.84375" defaultRowHeight="20" customHeight="1" x14ac:dyDescent="0.35"/>
  <cols>
    <col min="1" max="1" width="2.3046875" style="273" customWidth="1"/>
    <col min="2" max="2" width="10.53515625" style="273" customWidth="1"/>
    <col min="3" max="3" width="10.07421875" style="273" customWidth="1"/>
    <col min="4" max="4" width="10.3046875" style="273" customWidth="1"/>
    <col min="5" max="5" width="9.765625" style="273" customWidth="1"/>
    <col min="6" max="6" width="12.07421875" style="273" customWidth="1"/>
    <col min="7" max="7" width="9.765625" style="273" customWidth="1"/>
    <col min="8" max="8" width="15.23046875" style="273" customWidth="1"/>
    <col min="9" max="9" width="10.53515625" style="273" customWidth="1"/>
    <col min="10" max="10" width="9.53515625" style="273" customWidth="1"/>
    <col min="11" max="11" width="8.84375" style="273"/>
    <col min="12" max="17" width="5.69140625" style="273" customWidth="1"/>
    <col min="18" max="18" width="8.84375" style="273"/>
    <col min="19" max="19" width="10.07421875" style="273" customWidth="1"/>
    <col min="20" max="20" width="10.23046875" style="273" customWidth="1"/>
    <col min="21" max="21" width="9.765625" style="273" customWidth="1"/>
    <col min="22" max="22" width="17.23046875" style="273" customWidth="1"/>
    <col min="23" max="23" width="10.4609375" style="273" customWidth="1"/>
    <col min="24" max="24" width="3.23046875" style="273" customWidth="1"/>
    <col min="25" max="25" width="9.4609375" style="273" customWidth="1"/>
    <col min="26" max="26" width="12" style="273" customWidth="1"/>
    <col min="27" max="16384" width="8.84375" style="273"/>
  </cols>
  <sheetData>
    <row r="2" spans="2:25" ht="20" customHeight="1" x14ac:dyDescent="0.35">
      <c r="B2" s="392" t="s">
        <v>442</v>
      </c>
      <c r="E2" s="393"/>
      <c r="F2" s="393"/>
      <c r="G2" s="393"/>
    </row>
    <row r="3" spans="2:25" ht="20" customHeight="1" x14ac:dyDescent="0.35">
      <c r="D3" s="392"/>
      <c r="E3" s="393"/>
      <c r="F3" s="393"/>
      <c r="G3" s="393"/>
    </row>
    <row r="4" spans="2:25" ht="20" customHeight="1" x14ac:dyDescent="0.35">
      <c r="B4" s="394" t="s">
        <v>292</v>
      </c>
      <c r="C4" s="395"/>
      <c r="D4" s="395"/>
      <c r="E4" s="395"/>
      <c r="F4" s="395"/>
      <c r="G4" s="396"/>
      <c r="H4" s="490"/>
      <c r="I4" s="497" t="s">
        <v>479</v>
      </c>
      <c r="J4" s="498"/>
      <c r="K4" s="396"/>
      <c r="S4" s="394" t="s">
        <v>54</v>
      </c>
      <c r="T4" s="498"/>
      <c r="U4" s="498"/>
      <c r="V4" s="396"/>
    </row>
    <row r="5" spans="2:25" ht="20" customHeight="1" x14ac:dyDescent="0.35">
      <c r="B5" s="398"/>
      <c r="G5" s="399"/>
      <c r="H5" s="398"/>
      <c r="K5" s="399"/>
      <c r="Q5" s="365"/>
      <c r="S5" s="398" t="s">
        <v>452</v>
      </c>
      <c r="V5" s="399"/>
    </row>
    <row r="6" spans="2:25" ht="20" customHeight="1" x14ac:dyDescent="0.35">
      <c r="B6" s="400" t="s">
        <v>42</v>
      </c>
      <c r="C6" s="401"/>
      <c r="D6" s="401">
        <v>683876</v>
      </c>
      <c r="E6" s="401"/>
      <c r="F6" s="402"/>
      <c r="G6" s="399"/>
      <c r="H6" s="398"/>
      <c r="I6" s="376" t="s">
        <v>83</v>
      </c>
      <c r="J6" s="376" t="s">
        <v>242</v>
      </c>
      <c r="K6" s="499" t="s">
        <v>13</v>
      </c>
      <c r="L6" s="365"/>
      <c r="M6" s="365"/>
      <c r="N6" s="365"/>
      <c r="O6" s="365"/>
      <c r="P6" s="365"/>
      <c r="Q6" s="365"/>
      <c r="S6" s="502" t="s">
        <v>446</v>
      </c>
      <c r="T6" s="376" t="s">
        <v>447</v>
      </c>
      <c r="U6" s="376" t="s">
        <v>451</v>
      </c>
      <c r="V6" s="499" t="s">
        <v>78</v>
      </c>
    </row>
    <row r="7" spans="2:25" ht="20" customHeight="1" x14ac:dyDescent="0.35">
      <c r="B7" s="400" t="s">
        <v>43</v>
      </c>
      <c r="C7" s="401"/>
      <c r="D7" s="401">
        <f>429942</f>
        <v>429942</v>
      </c>
      <c r="E7" s="401"/>
      <c r="F7" s="401"/>
      <c r="G7" s="399"/>
      <c r="H7" s="398" t="s">
        <v>533</v>
      </c>
      <c r="I7" s="365">
        <v>6285</v>
      </c>
      <c r="J7" s="365">
        <v>1305</v>
      </c>
      <c r="K7" s="492">
        <f>SUM(I7:J7)</f>
        <v>7590</v>
      </c>
      <c r="L7" s="365"/>
      <c r="M7" s="365"/>
      <c r="N7" s="365"/>
      <c r="O7" s="365"/>
      <c r="P7" s="365"/>
      <c r="Q7" s="365"/>
      <c r="S7" s="398" t="s">
        <v>448</v>
      </c>
      <c r="T7" s="273">
        <v>58</v>
      </c>
      <c r="U7" s="503">
        <v>800</v>
      </c>
      <c r="V7" s="504">
        <f>T7*U7</f>
        <v>46400</v>
      </c>
    </row>
    <row r="8" spans="2:25" ht="20" customHeight="1" x14ac:dyDescent="0.65">
      <c r="B8" s="400" t="s">
        <v>44</v>
      </c>
      <c r="C8" s="401"/>
      <c r="D8" s="401"/>
      <c r="E8" s="401"/>
      <c r="F8" s="401"/>
      <c r="G8" s="399"/>
      <c r="H8" s="494"/>
      <c r="I8" s="500">
        <f>ROUND((I7/K7),4)</f>
        <v>0.82809999999999995</v>
      </c>
      <c r="J8" s="500">
        <f>ROUND((J7/K7),4)</f>
        <v>0.1719</v>
      </c>
      <c r="K8" s="501"/>
      <c r="L8" s="404"/>
      <c r="M8" s="404"/>
      <c r="N8" s="405"/>
      <c r="O8" s="405"/>
      <c r="P8" s="405"/>
      <c r="Q8" s="405"/>
      <c r="S8" s="398" t="s">
        <v>449</v>
      </c>
      <c r="T8" s="505">
        <v>0.3</v>
      </c>
      <c r="U8" s="506">
        <f>V7*T8</f>
        <v>13920</v>
      </c>
      <c r="V8" s="507"/>
    </row>
    <row r="9" spans="2:25" ht="20" customHeight="1" x14ac:dyDescent="0.35">
      <c r="B9" s="398" t="s">
        <v>46</v>
      </c>
      <c r="C9" s="401">
        <f>118993+1200</f>
        <v>120193</v>
      </c>
      <c r="D9" s="401"/>
      <c r="E9" s="401"/>
      <c r="F9" s="401"/>
      <c r="G9" s="399"/>
      <c r="I9" s="405"/>
      <c r="J9" s="404"/>
      <c r="K9" s="404"/>
      <c r="L9" s="404"/>
      <c r="M9" s="404"/>
      <c r="N9" s="405"/>
      <c r="O9" s="405"/>
      <c r="P9" s="405"/>
      <c r="Q9" s="405"/>
      <c r="S9" s="494" t="s">
        <v>450</v>
      </c>
      <c r="T9" s="508">
        <v>0.7</v>
      </c>
      <c r="U9" s="509">
        <f>V7*T9</f>
        <v>32479.999999999996</v>
      </c>
      <c r="V9" s="510"/>
    </row>
    <row r="10" spans="2:25" ht="20" customHeight="1" x14ac:dyDescent="0.35">
      <c r="B10" s="400" t="s">
        <v>45</v>
      </c>
      <c r="C10" s="401">
        <v>26544</v>
      </c>
      <c r="D10" s="401"/>
      <c r="E10" s="401"/>
      <c r="F10" s="401"/>
      <c r="G10" s="399"/>
      <c r="I10" s="405"/>
      <c r="J10" s="404"/>
      <c r="K10" s="404"/>
      <c r="L10" s="404"/>
      <c r="M10" s="407"/>
      <c r="N10" s="408"/>
      <c r="O10" s="407"/>
      <c r="P10" s="407"/>
      <c r="Q10" s="405"/>
      <c r="U10" s="409"/>
      <c r="V10" s="405"/>
    </row>
    <row r="11" spans="2:25" ht="20" customHeight="1" x14ac:dyDescent="0.35">
      <c r="B11" s="400" t="s">
        <v>47</v>
      </c>
      <c r="C11" s="401">
        <v>4780</v>
      </c>
      <c r="D11" s="401"/>
      <c r="E11" s="401"/>
      <c r="F11" s="401"/>
      <c r="G11" s="399"/>
      <c r="I11" s="405"/>
      <c r="J11" s="404"/>
      <c r="K11" s="404"/>
      <c r="L11" s="404"/>
      <c r="M11" s="407"/>
      <c r="N11" s="408"/>
      <c r="O11" s="407"/>
      <c r="P11" s="407"/>
      <c r="Q11" s="405"/>
      <c r="S11" s="394" t="s">
        <v>122</v>
      </c>
      <c r="T11" s="498"/>
      <c r="U11" s="511"/>
      <c r="V11" s="512"/>
      <c r="W11" s="497"/>
      <c r="X11" s="498"/>
      <c r="Y11" s="396"/>
    </row>
    <row r="12" spans="2:25" ht="20" customHeight="1" x14ac:dyDescent="0.35">
      <c r="B12" s="400" t="s">
        <v>48</v>
      </c>
      <c r="C12" s="411">
        <v>10958</v>
      </c>
      <c r="D12" s="401"/>
      <c r="E12" s="401"/>
      <c r="F12" s="401"/>
      <c r="G12" s="399"/>
      <c r="I12" s="405"/>
      <c r="J12" s="404"/>
      <c r="K12" s="404"/>
      <c r="L12" s="404"/>
      <c r="M12" s="407"/>
      <c r="N12" s="408"/>
      <c r="O12" s="407"/>
      <c r="P12" s="407"/>
      <c r="Q12" s="405"/>
      <c r="S12" s="398"/>
      <c r="U12" s="513"/>
      <c r="V12" s="514"/>
      <c r="Y12" s="399"/>
    </row>
    <row r="13" spans="2:25" ht="20" customHeight="1" x14ac:dyDescent="0.65">
      <c r="B13" s="400"/>
      <c r="C13" s="401"/>
      <c r="D13" s="401">
        <f>SUM(C9:C12)</f>
        <v>162475</v>
      </c>
      <c r="E13" s="401"/>
      <c r="F13" s="401"/>
      <c r="G13" s="399"/>
      <c r="I13" s="405"/>
      <c r="J13" s="404"/>
      <c r="K13" s="404"/>
      <c r="L13" s="404"/>
      <c r="M13" s="407"/>
      <c r="N13" s="408"/>
      <c r="O13" s="407"/>
      <c r="P13" s="407"/>
      <c r="Q13" s="405"/>
      <c r="S13" s="752" t="s">
        <v>121</v>
      </c>
      <c r="T13" s="753"/>
      <c r="U13" s="515" t="s">
        <v>104</v>
      </c>
      <c r="V13" s="273" t="s">
        <v>104</v>
      </c>
      <c r="W13" s="516"/>
      <c r="Y13" s="517"/>
    </row>
    <row r="14" spans="2:25" ht="20" customHeight="1" x14ac:dyDescent="0.35">
      <c r="B14" s="400" t="s">
        <v>49</v>
      </c>
      <c r="C14" s="401">
        <v>0</v>
      </c>
      <c r="D14" s="401"/>
      <c r="E14" s="401"/>
      <c r="F14" s="401"/>
      <c r="G14" s="399"/>
      <c r="I14" s="405"/>
      <c r="J14" s="404"/>
      <c r="K14" s="404"/>
      <c r="L14" s="404"/>
      <c r="M14" s="404"/>
      <c r="N14" s="408"/>
      <c r="O14" s="407"/>
      <c r="P14" s="407"/>
      <c r="Q14" s="405"/>
      <c r="S14" s="518">
        <v>10500</v>
      </c>
      <c r="T14" s="273" t="s">
        <v>110</v>
      </c>
      <c r="U14" s="515"/>
      <c r="W14" s="519"/>
      <c r="Y14" s="520"/>
    </row>
    <row r="15" spans="2:25" ht="20" customHeight="1" x14ac:dyDescent="0.65">
      <c r="B15" s="400" t="s">
        <v>50</v>
      </c>
      <c r="C15" s="401">
        <v>7024</v>
      </c>
      <c r="D15" s="401"/>
      <c r="E15" s="401"/>
      <c r="F15" s="401"/>
      <c r="G15" s="399"/>
      <c r="I15" s="405"/>
      <c r="J15" s="404"/>
      <c r="K15" s="404"/>
      <c r="L15" s="404"/>
      <c r="M15" s="404"/>
      <c r="N15" s="408"/>
      <c r="O15" s="407"/>
      <c r="P15" s="407"/>
      <c r="Q15" s="405"/>
      <c r="S15" s="521"/>
      <c r="U15" s="414"/>
      <c r="W15" s="522"/>
      <c r="Y15" s="523"/>
    </row>
    <row r="16" spans="2:25" ht="20" customHeight="1" x14ac:dyDescent="0.35">
      <c r="B16" s="398" t="s">
        <v>100</v>
      </c>
      <c r="C16" s="411">
        <v>84435</v>
      </c>
      <c r="D16" s="401"/>
      <c r="E16" s="401"/>
      <c r="F16" s="401"/>
      <c r="G16" s="399"/>
      <c r="I16" s="405"/>
      <c r="J16" s="404"/>
      <c r="K16" s="404"/>
      <c r="L16" s="404"/>
      <c r="M16" s="404"/>
      <c r="N16" s="408"/>
      <c r="O16" s="407"/>
      <c r="P16" s="407"/>
      <c r="Q16" s="405"/>
      <c r="R16" s="415"/>
      <c r="S16" s="524">
        <f>S14+S15</f>
        <v>10500</v>
      </c>
      <c r="W16" s="525"/>
      <c r="Y16" s="526"/>
    </row>
    <row r="17" spans="2:26" ht="20" customHeight="1" x14ac:dyDescent="0.65">
      <c r="B17" s="400"/>
      <c r="C17" s="401"/>
      <c r="D17" s="401">
        <f>SUM(C14:C16)</f>
        <v>91459</v>
      </c>
      <c r="E17" s="418">
        <f>D17/D6</f>
        <v>0.13373623288432407</v>
      </c>
      <c r="F17" s="401" t="s">
        <v>51</v>
      </c>
      <c r="G17" s="399"/>
      <c r="I17" s="405"/>
      <c r="J17" s="404"/>
      <c r="K17" s="404"/>
      <c r="L17" s="404"/>
      <c r="M17" s="404"/>
      <c r="N17" s="408"/>
      <c r="O17" s="407"/>
      <c r="P17" s="407"/>
      <c r="Q17" s="405"/>
      <c r="S17" s="527">
        <v>3</v>
      </c>
      <c r="T17" s="273" t="s">
        <v>124</v>
      </c>
      <c r="Y17" s="399"/>
    </row>
    <row r="18" spans="2:26" ht="20" customHeight="1" x14ac:dyDescent="0.35">
      <c r="B18" s="419" t="s">
        <v>52</v>
      </c>
      <c r="C18" s="401">
        <f>SUM(D7:D17)</f>
        <v>683876</v>
      </c>
      <c r="E18" s="420">
        <v>0.15</v>
      </c>
      <c r="F18" s="401" t="s">
        <v>53</v>
      </c>
      <c r="G18" s="399"/>
      <c r="I18" s="405"/>
      <c r="J18" s="404"/>
      <c r="K18" s="404"/>
      <c r="L18" s="404"/>
      <c r="M18" s="404"/>
      <c r="N18" s="408"/>
      <c r="O18" s="407"/>
      <c r="P18" s="407"/>
      <c r="Q18" s="405"/>
      <c r="R18" s="415"/>
      <c r="S18" s="528">
        <f>S16/S17</f>
        <v>3500</v>
      </c>
      <c r="T18" s="414" t="s">
        <v>534</v>
      </c>
      <c r="Y18" s="399"/>
    </row>
    <row r="19" spans="2:26" ht="20" customHeight="1" x14ac:dyDescent="0.35">
      <c r="B19" s="421"/>
      <c r="C19" s="411"/>
      <c r="D19" s="411"/>
      <c r="E19" s="422">
        <f>E17-E18</f>
        <v>-1.6263767115675926E-2</v>
      </c>
      <c r="F19" s="423" t="s">
        <v>101</v>
      </c>
      <c r="G19" s="424"/>
      <c r="I19" s="405"/>
      <c r="J19" s="404"/>
      <c r="K19" s="404"/>
      <c r="L19" s="404"/>
      <c r="M19" s="404"/>
      <c r="N19" s="408"/>
      <c r="O19" s="407"/>
      <c r="P19" s="407"/>
      <c r="Q19" s="405"/>
      <c r="S19" s="398"/>
      <c r="Y19" s="399"/>
    </row>
    <row r="20" spans="2:26" ht="20" customHeight="1" x14ac:dyDescent="0.35">
      <c r="I20" s="405"/>
      <c r="J20" s="404"/>
      <c r="K20" s="404"/>
      <c r="L20" s="404"/>
      <c r="M20" s="404"/>
      <c r="N20" s="408"/>
      <c r="O20" s="407"/>
      <c r="P20" s="407"/>
      <c r="Q20" s="405"/>
      <c r="S20" s="398"/>
      <c r="T20" s="376" t="s">
        <v>83</v>
      </c>
      <c r="U20" s="376" t="s">
        <v>242</v>
      </c>
      <c r="Y20" s="399"/>
    </row>
    <row r="21" spans="2:26" ht="20" customHeight="1" x14ac:dyDescent="0.65">
      <c r="I21" s="408"/>
      <c r="J21" s="404"/>
      <c r="K21" s="425"/>
      <c r="L21" s="425"/>
      <c r="M21" s="425"/>
      <c r="N21" s="408"/>
      <c r="O21" s="407"/>
      <c r="P21" s="407"/>
      <c r="Q21" s="406"/>
      <c r="S21" s="494"/>
      <c r="T21" s="529">
        <f>ROUND((S18*I8),0)</f>
        <v>2898</v>
      </c>
      <c r="U21" s="529">
        <f>ROUND((S18*J8),0)</f>
        <v>602</v>
      </c>
      <c r="V21" s="530" t="s">
        <v>535</v>
      </c>
      <c r="W21" s="530"/>
      <c r="X21" s="530"/>
      <c r="Y21" s="424"/>
    </row>
    <row r="22" spans="2:26" ht="20" customHeight="1" x14ac:dyDescent="0.35">
      <c r="B22" s="397"/>
      <c r="C22" s="404"/>
      <c r="D22" s="404"/>
      <c r="E22" s="405"/>
      <c r="I22" s="405"/>
      <c r="J22" s="405"/>
      <c r="K22" s="405"/>
      <c r="L22" s="405"/>
      <c r="M22" s="404"/>
      <c r="N22" s="405"/>
      <c r="O22" s="405"/>
      <c r="P22" s="178"/>
      <c r="Q22" s="427"/>
      <c r="S22" s="397"/>
    </row>
    <row r="23" spans="2:26" ht="20" customHeight="1" x14ac:dyDescent="0.65">
      <c r="B23" s="401"/>
      <c r="C23" s="404"/>
      <c r="D23" s="404"/>
      <c r="E23" s="405"/>
      <c r="H23" s="405"/>
      <c r="I23" s="405"/>
      <c r="J23" s="405"/>
      <c r="K23" s="405"/>
      <c r="L23" s="405"/>
      <c r="M23" s="404"/>
      <c r="N23" s="405"/>
      <c r="O23" s="428"/>
      <c r="P23" s="428"/>
      <c r="Q23" s="406"/>
      <c r="T23" s="376"/>
      <c r="U23" s="376"/>
      <c r="V23" s="376"/>
    </row>
    <row r="24" spans="2:26" ht="20" customHeight="1" x14ac:dyDescent="0.65">
      <c r="C24" s="429"/>
      <c r="D24" s="429"/>
      <c r="E24" s="429"/>
      <c r="F24" s="429"/>
      <c r="H24" s="405"/>
      <c r="I24" s="430"/>
      <c r="J24" s="405"/>
      <c r="K24" s="405"/>
      <c r="L24" s="405"/>
      <c r="Q24" s="431"/>
      <c r="S24" s="365"/>
      <c r="T24" s="416"/>
      <c r="U24" s="432"/>
      <c r="V24" s="415"/>
      <c r="Y24" s="300"/>
      <c r="Z24" s="415"/>
    </row>
    <row r="25" spans="2:26" ht="20" customHeight="1" x14ac:dyDescent="0.65">
      <c r="C25" s="429"/>
      <c r="D25" s="429"/>
      <c r="E25" s="429"/>
      <c r="F25" s="429"/>
      <c r="H25" s="405"/>
      <c r="I25" s="176"/>
      <c r="L25" s="405"/>
      <c r="Q25" s="427"/>
      <c r="S25" s="365"/>
      <c r="T25" s="413"/>
      <c r="U25" s="432"/>
      <c r="V25" s="433"/>
      <c r="Y25" s="300"/>
      <c r="Z25" s="415"/>
    </row>
    <row r="26" spans="2:26" ht="20" customHeight="1" x14ac:dyDescent="0.65">
      <c r="B26" s="401"/>
      <c r="C26" s="404"/>
      <c r="D26" s="434"/>
      <c r="E26" s="404"/>
      <c r="F26" s="404"/>
      <c r="H26" s="405"/>
      <c r="I26" s="435"/>
      <c r="J26" s="436"/>
      <c r="K26" s="404"/>
      <c r="L26" s="405"/>
      <c r="Q26" s="406"/>
      <c r="T26" s="416"/>
      <c r="U26" s="416"/>
      <c r="V26" s="415"/>
      <c r="Y26" s="426"/>
      <c r="Z26" s="426"/>
    </row>
    <row r="27" spans="2:26" ht="20" customHeight="1" x14ac:dyDescent="0.35">
      <c r="B27" s="401"/>
      <c r="C27" s="404"/>
      <c r="D27" s="434"/>
      <c r="E27" s="404"/>
      <c r="F27" s="404"/>
      <c r="H27" s="405"/>
      <c r="I27" s="437"/>
      <c r="J27" s="436"/>
      <c r="K27" s="404"/>
      <c r="L27" s="405"/>
      <c r="M27" s="438"/>
      <c r="N27" s="438"/>
      <c r="O27" s="438"/>
      <c r="P27" s="438"/>
      <c r="Q27" s="455"/>
      <c r="T27" s="416"/>
      <c r="U27" s="416"/>
      <c r="V27" s="416"/>
    </row>
    <row r="28" spans="2:26" ht="20" customHeight="1" x14ac:dyDescent="0.35">
      <c r="B28" s="401"/>
      <c r="C28" s="404"/>
      <c r="D28" s="434"/>
      <c r="E28" s="404"/>
      <c r="F28" s="404"/>
      <c r="H28" s="405"/>
      <c r="I28" s="435"/>
      <c r="J28" s="436"/>
      <c r="K28" s="404"/>
      <c r="L28" s="405"/>
      <c r="U28" s="416"/>
    </row>
    <row r="29" spans="2:26" ht="20" customHeight="1" x14ac:dyDescent="0.65">
      <c r="B29" s="401"/>
      <c r="C29" s="404"/>
      <c r="D29" s="434"/>
      <c r="E29" s="404"/>
      <c r="F29" s="440"/>
      <c r="H29" s="405"/>
      <c r="I29" s="405"/>
      <c r="J29" s="405"/>
      <c r="K29" s="405"/>
      <c r="L29" s="405"/>
      <c r="Q29" s="441"/>
      <c r="U29" s="416"/>
      <c r="V29" s="442"/>
    </row>
    <row r="30" spans="2:26" ht="20" customHeight="1" x14ac:dyDescent="0.35">
      <c r="B30" s="401"/>
      <c r="E30" s="443"/>
      <c r="F30" s="404"/>
      <c r="G30" s="405">
        <f>C31*12</f>
        <v>0</v>
      </c>
      <c r="H30" s="405"/>
      <c r="I30" s="405"/>
      <c r="J30" s="405"/>
      <c r="K30" s="405"/>
      <c r="L30" s="405"/>
      <c r="Q30" s="444"/>
    </row>
    <row r="31" spans="2:26" ht="20" customHeight="1" x14ac:dyDescent="0.35">
      <c r="B31" s="401"/>
      <c r="C31" s="404"/>
      <c r="E31" s="443"/>
      <c r="F31" s="404"/>
      <c r="H31" s="405"/>
      <c r="I31" s="405"/>
      <c r="J31" s="405"/>
      <c r="K31" s="405"/>
      <c r="L31" s="405"/>
      <c r="Q31" s="405"/>
      <c r="R31" s="403"/>
      <c r="S31" s="410"/>
      <c r="T31" s="410"/>
    </row>
    <row r="32" spans="2:26" ht="20" customHeight="1" x14ac:dyDescent="0.65">
      <c r="B32" s="401"/>
      <c r="C32" s="404"/>
      <c r="E32" s="443"/>
      <c r="F32" s="440"/>
      <c r="H32" s="405"/>
      <c r="I32" s="405"/>
      <c r="J32" s="405"/>
      <c r="K32" s="405"/>
      <c r="L32" s="405"/>
      <c r="Q32" s="445"/>
      <c r="S32" s="397"/>
      <c r="T32" s="410"/>
    </row>
    <row r="33" spans="2:22" ht="20" customHeight="1" thickBot="1" x14ac:dyDescent="0.4">
      <c r="B33" s="401"/>
      <c r="C33" s="404"/>
      <c r="D33" s="446"/>
      <c r="E33" s="409"/>
      <c r="F33" s="446"/>
      <c r="H33" s="405"/>
      <c r="I33" s="405"/>
      <c r="J33" s="405"/>
      <c r="K33" s="405"/>
      <c r="L33" s="405"/>
      <c r="M33" s="414"/>
      <c r="Q33" s="447"/>
      <c r="T33" s="496"/>
      <c r="U33" s="376"/>
      <c r="V33" s="376"/>
    </row>
    <row r="34" spans="2:22" ht="20" customHeight="1" thickTop="1" x14ac:dyDescent="0.35">
      <c r="B34" s="401"/>
      <c r="C34" s="404"/>
      <c r="D34" s="404"/>
      <c r="E34" s="404"/>
      <c r="F34" s="404"/>
      <c r="H34" s="405"/>
      <c r="I34" s="405"/>
      <c r="J34" s="405"/>
      <c r="K34" s="405"/>
      <c r="L34" s="405"/>
      <c r="R34" s="405"/>
      <c r="T34" s="412"/>
      <c r="U34" s="442"/>
      <c r="V34" s="417"/>
    </row>
    <row r="35" spans="2:22" ht="20" customHeight="1" x14ac:dyDescent="0.35">
      <c r="B35" s="401"/>
      <c r="C35" s="404"/>
      <c r="D35" s="404"/>
      <c r="E35" s="404"/>
      <c r="F35" s="404"/>
      <c r="H35" s="405"/>
      <c r="I35" s="405"/>
      <c r="J35" s="405"/>
      <c r="K35" s="405"/>
      <c r="L35" s="405"/>
      <c r="Q35" s="441"/>
      <c r="R35" s="405"/>
    </row>
    <row r="36" spans="2:22" ht="20" customHeight="1" x14ac:dyDescent="0.35">
      <c r="B36" s="401"/>
      <c r="C36" s="404"/>
      <c r="D36" s="404"/>
      <c r="E36" s="404"/>
      <c r="F36" s="404"/>
      <c r="H36" s="405"/>
      <c r="I36" s="405"/>
      <c r="J36" s="405"/>
      <c r="K36" s="405"/>
      <c r="L36" s="405"/>
      <c r="Q36" s="444"/>
      <c r="R36" s="405"/>
      <c r="V36" s="448"/>
    </row>
    <row r="37" spans="2:22" ht="20" customHeight="1" x14ac:dyDescent="0.35">
      <c r="B37" s="397"/>
      <c r="F37" s="404"/>
      <c r="H37" s="405"/>
      <c r="I37" s="405"/>
      <c r="J37" s="405"/>
      <c r="K37" s="405"/>
      <c r="L37" s="405"/>
      <c r="Q37" s="405"/>
    </row>
    <row r="38" spans="2:22" ht="20" customHeight="1" x14ac:dyDescent="0.65">
      <c r="F38" s="429"/>
      <c r="H38" s="405"/>
      <c r="I38" s="405"/>
      <c r="J38" s="405"/>
      <c r="K38" s="405"/>
      <c r="L38" s="405"/>
      <c r="Q38" s="449"/>
    </row>
    <row r="39" spans="2:22" ht="20" customHeight="1" thickBot="1" x14ac:dyDescent="0.7">
      <c r="B39" s="300"/>
      <c r="C39" s="450"/>
      <c r="D39" s="450"/>
      <c r="E39" s="450"/>
      <c r="F39" s="300"/>
      <c r="I39" s="405"/>
      <c r="J39" s="405"/>
      <c r="K39" s="405"/>
      <c r="L39" s="405"/>
      <c r="M39" s="438"/>
      <c r="N39" s="438"/>
      <c r="O39" s="438"/>
      <c r="P39" s="438"/>
      <c r="Q39" s="439"/>
    </row>
    <row r="40" spans="2:22" ht="20" customHeight="1" thickTop="1" x14ac:dyDescent="0.35">
      <c r="B40" s="300"/>
      <c r="C40" s="451"/>
      <c r="D40" s="407"/>
      <c r="E40" s="300"/>
      <c r="F40" s="300"/>
      <c r="O40" s="405"/>
      <c r="P40" s="405"/>
      <c r="Q40" s="405"/>
    </row>
    <row r="41" spans="2:22" ht="20" customHeight="1" x14ac:dyDescent="0.35">
      <c r="B41" s="300"/>
      <c r="C41" s="451"/>
      <c r="D41" s="407"/>
      <c r="E41" s="300"/>
      <c r="F41" s="300"/>
      <c r="O41" s="405"/>
      <c r="P41" s="405"/>
      <c r="Q41" s="405"/>
    </row>
    <row r="42" spans="2:22" ht="20" customHeight="1" x14ac:dyDescent="0.65">
      <c r="B42" s="300"/>
      <c r="C42" s="452"/>
      <c r="D42" s="407"/>
      <c r="E42" s="453"/>
      <c r="F42" s="300"/>
    </row>
    <row r="43" spans="2:22" ht="20" customHeight="1" x14ac:dyDescent="0.35">
      <c r="B43" s="300"/>
      <c r="C43" s="300"/>
      <c r="D43" s="300"/>
      <c r="E43" s="300"/>
      <c r="F43" s="300"/>
    </row>
    <row r="44" spans="2:22" ht="20" customHeight="1" x14ac:dyDescent="0.65">
      <c r="B44" s="300"/>
      <c r="C44" s="300"/>
      <c r="D44" s="407"/>
      <c r="E44" s="453"/>
      <c r="F44" s="300"/>
    </row>
    <row r="45" spans="2:22" ht="20" customHeight="1" x14ac:dyDescent="0.35">
      <c r="B45" s="300"/>
      <c r="C45" s="300"/>
      <c r="D45" s="454"/>
      <c r="E45" s="300"/>
      <c r="F45" s="300"/>
    </row>
    <row r="46" spans="2:22" ht="20" customHeight="1" x14ac:dyDescent="0.35">
      <c r="B46" s="300"/>
      <c r="C46" s="300"/>
      <c r="D46" s="300"/>
      <c r="E46" s="300"/>
      <c r="F46" s="300"/>
    </row>
  </sheetData>
  <mergeCells count="1">
    <mergeCell ref="S13:T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B2:M69"/>
  <sheetViews>
    <sheetView topLeftCell="A47" zoomScale="112" zoomScaleNormal="112" workbookViewId="0">
      <selection activeCell="M61" sqref="M61"/>
    </sheetView>
  </sheetViews>
  <sheetFormatPr defaultRowHeight="15.5" x14ac:dyDescent="0.35"/>
  <cols>
    <col min="2" max="2" width="4.07421875" customWidth="1"/>
    <col min="3" max="3" width="23.921875" customWidth="1"/>
    <col min="4" max="4" width="9.23046875" customWidth="1"/>
    <col min="5" max="5" width="10.15234375" customWidth="1"/>
    <col min="6" max="6" width="5.765625" customWidth="1"/>
    <col min="7" max="7" width="9.765625" customWidth="1"/>
    <col min="8" max="8" width="5.765625" customWidth="1"/>
    <col min="9" max="9" width="9.765625" customWidth="1"/>
    <col min="10" max="10" width="10.69140625" customWidth="1"/>
    <col min="11" max="11" width="1.53515625" customWidth="1"/>
    <col min="12" max="12" width="9.921875" bestFit="1" customWidth="1"/>
  </cols>
  <sheetData>
    <row r="2" spans="2:13" x14ac:dyDescent="0.35">
      <c r="B2" s="6"/>
      <c r="C2" s="7"/>
      <c r="D2" s="7"/>
      <c r="E2" s="7"/>
      <c r="F2" s="7"/>
      <c r="G2" s="7"/>
      <c r="H2" s="7"/>
      <c r="I2" s="7"/>
      <c r="J2" s="7"/>
      <c r="K2" s="8"/>
    </row>
    <row r="3" spans="2:13" ht="18.5" x14ac:dyDescent="0.45">
      <c r="B3" s="765" t="s">
        <v>32</v>
      </c>
      <c r="C3" s="766"/>
      <c r="D3" s="766"/>
      <c r="E3" s="766"/>
      <c r="F3" s="766"/>
      <c r="G3" s="766"/>
      <c r="H3" s="766"/>
      <c r="I3" s="766"/>
      <c r="J3" s="766"/>
      <c r="K3" s="767"/>
    </row>
    <row r="4" spans="2:13" ht="18.5" x14ac:dyDescent="0.45">
      <c r="B4" s="760" t="s">
        <v>57</v>
      </c>
      <c r="C4" s="761"/>
      <c r="D4" s="761"/>
      <c r="E4" s="761"/>
      <c r="F4" s="761"/>
      <c r="G4" s="761"/>
      <c r="H4" s="761"/>
      <c r="I4" s="761"/>
      <c r="J4" s="761"/>
      <c r="K4" s="762"/>
    </row>
    <row r="5" spans="2:13" ht="18.5" x14ac:dyDescent="0.45">
      <c r="B5" s="94"/>
      <c r="C5" s="746" t="s">
        <v>293</v>
      </c>
      <c r="D5" s="746"/>
      <c r="E5" s="746"/>
      <c r="F5" s="746"/>
      <c r="G5" s="746"/>
      <c r="H5" s="746"/>
      <c r="I5" s="746"/>
      <c r="J5" s="746"/>
      <c r="K5" s="96"/>
    </row>
    <row r="6" spans="2:13" ht="18.5" x14ac:dyDescent="0.45">
      <c r="B6" s="143"/>
      <c r="C6" s="144"/>
      <c r="D6" s="144"/>
      <c r="E6" s="144"/>
      <c r="F6" s="144"/>
      <c r="G6" s="144"/>
      <c r="H6" s="144"/>
      <c r="I6" s="144"/>
      <c r="J6" s="144"/>
      <c r="K6" s="145"/>
    </row>
    <row r="7" spans="2:13" ht="8.15" customHeight="1" x14ac:dyDescent="0.45">
      <c r="B7" s="94"/>
      <c r="C7" s="95"/>
      <c r="D7" s="95"/>
      <c r="E7" s="95"/>
      <c r="F7" s="95"/>
      <c r="G7" s="95"/>
      <c r="H7" s="95"/>
      <c r="I7" s="95"/>
      <c r="J7" s="95"/>
      <c r="K7" s="96"/>
    </row>
    <row r="8" spans="2:13" ht="17" x14ac:dyDescent="0.5">
      <c r="B8" s="44"/>
      <c r="C8" s="56"/>
      <c r="D8" s="56"/>
      <c r="E8" s="56"/>
      <c r="F8" s="130"/>
      <c r="G8" s="98"/>
      <c r="H8" s="130"/>
      <c r="I8" s="116"/>
      <c r="J8" s="58" t="s">
        <v>58</v>
      </c>
      <c r="K8" s="9"/>
    </row>
    <row r="9" spans="2:13" ht="17" x14ac:dyDescent="0.5">
      <c r="B9" s="758" t="s">
        <v>59</v>
      </c>
      <c r="C9" s="759"/>
      <c r="D9" s="58" t="s">
        <v>60</v>
      </c>
      <c r="E9" s="58" t="s">
        <v>61</v>
      </c>
      <c r="F9" s="759" t="s">
        <v>77</v>
      </c>
      <c r="G9" s="759"/>
      <c r="H9" s="131" t="s">
        <v>37</v>
      </c>
      <c r="I9" s="132"/>
      <c r="J9" s="58" t="s">
        <v>62</v>
      </c>
      <c r="K9" s="9"/>
    </row>
    <row r="10" spans="2:13" ht="17" x14ac:dyDescent="0.5">
      <c r="B10" s="123" t="s">
        <v>63</v>
      </c>
      <c r="C10" s="124" t="s">
        <v>64</v>
      </c>
      <c r="D10" s="124" t="s">
        <v>65</v>
      </c>
      <c r="E10" s="124" t="s">
        <v>120</v>
      </c>
      <c r="F10" s="133" t="s">
        <v>66</v>
      </c>
      <c r="G10" s="124" t="s">
        <v>67</v>
      </c>
      <c r="H10" s="133" t="s">
        <v>66</v>
      </c>
      <c r="I10" s="124" t="s">
        <v>67</v>
      </c>
      <c r="J10" s="124" t="s">
        <v>55</v>
      </c>
      <c r="K10" s="9"/>
    </row>
    <row r="11" spans="2:13" x14ac:dyDescent="0.35">
      <c r="B11" s="59"/>
      <c r="C11" s="82"/>
      <c r="D11" s="82"/>
      <c r="E11" s="82"/>
      <c r="F11" s="60"/>
      <c r="G11" s="82"/>
      <c r="H11" s="60"/>
      <c r="I11" s="82"/>
      <c r="J11" s="82"/>
      <c r="K11" s="9"/>
    </row>
    <row r="12" spans="2:13" x14ac:dyDescent="0.35">
      <c r="B12" s="754" t="s">
        <v>640</v>
      </c>
      <c r="C12" s="755"/>
      <c r="D12" s="113"/>
      <c r="E12" s="112"/>
      <c r="F12" s="114"/>
      <c r="G12" s="112"/>
      <c r="H12" s="114"/>
      <c r="I12" s="112"/>
      <c r="J12" s="112"/>
      <c r="K12" s="9"/>
    </row>
    <row r="13" spans="2:13" x14ac:dyDescent="0.35">
      <c r="B13" s="115"/>
      <c r="C13" s="323"/>
      <c r="D13" s="113" t="s">
        <v>80</v>
      </c>
      <c r="E13" s="112">
        <v>11902663</v>
      </c>
      <c r="F13" s="114" t="s">
        <v>81</v>
      </c>
      <c r="G13" s="112">
        <v>317404</v>
      </c>
      <c r="H13" s="114">
        <v>37.5</v>
      </c>
      <c r="I13" s="112">
        <f>E13/H13</f>
        <v>317404.34666666668</v>
      </c>
      <c r="J13" s="112">
        <f t="shared" ref="J13" si="0">I13-G13</f>
        <v>0.3466666666790843</v>
      </c>
      <c r="K13" s="9"/>
    </row>
    <row r="14" spans="2:13" x14ac:dyDescent="0.35">
      <c r="B14" s="754" t="s">
        <v>458</v>
      </c>
      <c r="C14" s="755"/>
      <c r="D14" s="321" t="s">
        <v>459</v>
      </c>
      <c r="E14" s="112"/>
      <c r="F14" s="114"/>
      <c r="G14" s="112">
        <v>384</v>
      </c>
      <c r="H14" s="114"/>
      <c r="I14" s="322">
        <v>0</v>
      </c>
      <c r="J14" s="112">
        <f t="shared" ref="J14:J17" si="1">I14-G14</f>
        <v>-384</v>
      </c>
      <c r="K14" s="9"/>
    </row>
    <row r="15" spans="2:13" x14ac:dyDescent="0.35">
      <c r="B15" s="754" t="s">
        <v>469</v>
      </c>
      <c r="C15" s="755"/>
      <c r="D15" s="113">
        <v>40534</v>
      </c>
      <c r="E15" s="112">
        <v>225000</v>
      </c>
      <c r="F15" s="114">
        <v>12.5</v>
      </c>
      <c r="G15" s="112">
        <f>E15/F15</f>
        <v>18000</v>
      </c>
      <c r="H15" s="114">
        <v>12.5</v>
      </c>
      <c r="I15" s="112">
        <f>G15</f>
        <v>18000</v>
      </c>
      <c r="J15" s="112">
        <f t="shared" si="1"/>
        <v>0</v>
      </c>
      <c r="K15" s="9"/>
    </row>
    <row r="16" spans="2:13" x14ac:dyDescent="0.35">
      <c r="B16" s="754" t="s">
        <v>470</v>
      </c>
      <c r="C16" s="755"/>
      <c r="D16" s="113" t="s">
        <v>80</v>
      </c>
      <c r="E16" s="112">
        <v>1681068</v>
      </c>
      <c r="F16" s="114" t="s">
        <v>81</v>
      </c>
      <c r="G16" s="112">
        <v>59877</v>
      </c>
      <c r="H16" s="114" t="s">
        <v>81</v>
      </c>
      <c r="I16" s="112">
        <v>59877</v>
      </c>
      <c r="J16" s="112">
        <f t="shared" si="1"/>
        <v>0</v>
      </c>
      <c r="K16" s="9"/>
      <c r="M16" s="149"/>
    </row>
    <row r="17" spans="2:11" x14ac:dyDescent="0.35">
      <c r="B17" s="754" t="s">
        <v>471</v>
      </c>
      <c r="C17" s="755"/>
      <c r="D17" s="325">
        <v>40189</v>
      </c>
      <c r="E17" s="324">
        <v>3070460</v>
      </c>
      <c r="F17" s="326">
        <v>37.5</v>
      </c>
      <c r="G17" s="324">
        <v>81879</v>
      </c>
      <c r="H17" s="326">
        <v>37.5</v>
      </c>
      <c r="I17" s="327">
        <v>81879</v>
      </c>
      <c r="J17" s="112">
        <f t="shared" si="1"/>
        <v>0</v>
      </c>
      <c r="K17" s="9"/>
    </row>
    <row r="18" spans="2:11" x14ac:dyDescent="0.35">
      <c r="B18" s="754" t="s">
        <v>460</v>
      </c>
      <c r="C18" s="755"/>
      <c r="D18" s="113"/>
      <c r="E18" s="112"/>
      <c r="F18" s="114"/>
      <c r="G18" s="112"/>
      <c r="H18" s="114"/>
      <c r="I18" s="112"/>
      <c r="J18" s="112"/>
      <c r="K18" s="9"/>
    </row>
    <row r="19" spans="2:11" x14ac:dyDescent="0.35">
      <c r="B19" s="115"/>
      <c r="C19" s="112" t="s">
        <v>461</v>
      </c>
      <c r="D19" s="113" t="s">
        <v>80</v>
      </c>
      <c r="E19" s="112">
        <v>3230619</v>
      </c>
      <c r="F19" s="114">
        <v>40</v>
      </c>
      <c r="G19" s="112">
        <f>E19/F19</f>
        <v>80765.475000000006</v>
      </c>
      <c r="H19" s="114">
        <v>62.5</v>
      </c>
      <c r="I19" s="112">
        <f t="shared" ref="I19:I20" si="2">E19/H19</f>
        <v>51689.904000000002</v>
      </c>
      <c r="J19" s="112">
        <f t="shared" ref="J19:J20" si="3">I19-G19</f>
        <v>-29075.571000000004</v>
      </c>
      <c r="K19" s="9"/>
    </row>
    <row r="20" spans="2:11" x14ac:dyDescent="0.35">
      <c r="B20" s="115"/>
      <c r="C20" s="112" t="s">
        <v>462</v>
      </c>
      <c r="D20" s="129" t="s">
        <v>80</v>
      </c>
      <c r="E20" s="112">
        <f>9535+3186+3288</f>
        <v>16009</v>
      </c>
      <c r="F20" s="114">
        <v>27.5</v>
      </c>
      <c r="G20" s="112">
        <f>E20/F20</f>
        <v>582.14545454545453</v>
      </c>
      <c r="H20" s="114">
        <v>27.5</v>
      </c>
      <c r="I20" s="112">
        <f t="shared" si="2"/>
        <v>582.14545454545453</v>
      </c>
      <c r="J20" s="112">
        <f t="shared" si="3"/>
        <v>0</v>
      </c>
      <c r="K20" s="9"/>
    </row>
    <row r="21" spans="2:11" x14ac:dyDescent="0.35">
      <c r="B21" s="115"/>
      <c r="C21" s="112"/>
      <c r="D21" s="129"/>
      <c r="E21" s="112"/>
      <c r="F21" s="114"/>
      <c r="G21" s="112"/>
      <c r="H21" s="114"/>
      <c r="I21" s="112"/>
      <c r="J21" s="112"/>
      <c r="K21" s="9"/>
    </row>
    <row r="22" spans="2:11" x14ac:dyDescent="0.35">
      <c r="B22" s="754" t="s">
        <v>472</v>
      </c>
      <c r="C22" s="755"/>
      <c r="D22" s="129" t="s">
        <v>80</v>
      </c>
      <c r="E22" s="112">
        <v>4082509</v>
      </c>
      <c r="F22" s="114" t="s">
        <v>81</v>
      </c>
      <c r="G22" s="112">
        <v>74436</v>
      </c>
      <c r="H22" s="114" t="s">
        <v>81</v>
      </c>
      <c r="I22" s="112">
        <v>74436</v>
      </c>
      <c r="J22" s="112">
        <f t="shared" ref="J22:J27" si="4">I22-G22</f>
        <v>0</v>
      </c>
      <c r="K22" s="9"/>
    </row>
    <row r="23" spans="2:11" x14ac:dyDescent="0.35">
      <c r="B23" s="754" t="s">
        <v>473</v>
      </c>
      <c r="C23" s="755"/>
      <c r="D23" s="129" t="s">
        <v>80</v>
      </c>
      <c r="E23" s="112">
        <v>18216238</v>
      </c>
      <c r="F23" s="114">
        <v>62.5</v>
      </c>
      <c r="G23" s="112">
        <v>298174</v>
      </c>
      <c r="H23" s="114">
        <v>62.5</v>
      </c>
      <c r="I23" s="112">
        <v>298174</v>
      </c>
      <c r="J23" s="112">
        <f t="shared" si="4"/>
        <v>0</v>
      </c>
      <c r="K23" s="9"/>
    </row>
    <row r="24" spans="2:11" x14ac:dyDescent="0.35">
      <c r="B24" s="754" t="s">
        <v>474</v>
      </c>
      <c r="C24" s="755"/>
      <c r="D24" s="129" t="s">
        <v>80</v>
      </c>
      <c r="E24" s="112">
        <v>1431685</v>
      </c>
      <c r="F24" s="114">
        <v>40</v>
      </c>
      <c r="G24" s="112">
        <v>16723</v>
      </c>
      <c r="H24" s="114">
        <v>40</v>
      </c>
      <c r="I24" s="112">
        <v>16723</v>
      </c>
      <c r="J24" s="112">
        <f t="shared" si="4"/>
        <v>0</v>
      </c>
      <c r="K24" s="9"/>
    </row>
    <row r="25" spans="2:11" x14ac:dyDescent="0.35">
      <c r="B25" s="754" t="s">
        <v>475</v>
      </c>
      <c r="C25" s="755"/>
      <c r="D25" s="129" t="s">
        <v>80</v>
      </c>
      <c r="E25" s="112">
        <v>995678</v>
      </c>
      <c r="F25" s="114">
        <v>20</v>
      </c>
      <c r="G25" s="112">
        <v>49353</v>
      </c>
      <c r="H25" s="114">
        <v>20</v>
      </c>
      <c r="I25" s="112">
        <v>49353</v>
      </c>
      <c r="J25" s="112">
        <f t="shared" si="4"/>
        <v>0</v>
      </c>
      <c r="K25" s="9"/>
    </row>
    <row r="26" spans="2:11" x14ac:dyDescent="0.35">
      <c r="B26" s="754" t="s">
        <v>476</v>
      </c>
      <c r="C26" s="755"/>
      <c r="D26" s="129" t="s">
        <v>80</v>
      </c>
      <c r="E26" s="112">
        <v>242265</v>
      </c>
      <c r="F26" s="114">
        <v>50</v>
      </c>
      <c r="G26" s="112">
        <v>3966</v>
      </c>
      <c r="H26" s="114">
        <v>50</v>
      </c>
      <c r="I26" s="112">
        <v>3966</v>
      </c>
      <c r="J26" s="112">
        <f t="shared" si="4"/>
        <v>0</v>
      </c>
      <c r="K26" s="9"/>
    </row>
    <row r="27" spans="2:11" x14ac:dyDescent="0.35">
      <c r="B27" s="754" t="s">
        <v>463</v>
      </c>
      <c r="C27" s="755"/>
      <c r="D27" s="129" t="s">
        <v>80</v>
      </c>
      <c r="E27" s="112">
        <v>973099</v>
      </c>
      <c r="F27" s="114">
        <v>22.5</v>
      </c>
      <c r="G27" s="112">
        <v>43022</v>
      </c>
      <c r="H27" s="114">
        <v>22.5</v>
      </c>
      <c r="I27" s="112">
        <v>43022</v>
      </c>
      <c r="J27" s="112">
        <f t="shared" si="4"/>
        <v>0</v>
      </c>
      <c r="K27" s="9"/>
    </row>
    <row r="28" spans="2:11" x14ac:dyDescent="0.35">
      <c r="B28" s="115"/>
      <c r="C28" s="112" t="s">
        <v>464</v>
      </c>
      <c r="D28" s="113" t="s">
        <v>80</v>
      </c>
      <c r="E28" s="112">
        <f>3096+3345</f>
        <v>6441</v>
      </c>
      <c r="F28" s="114">
        <v>22.5</v>
      </c>
      <c r="G28" s="112">
        <f>E28/F28</f>
        <v>286.26666666666665</v>
      </c>
      <c r="H28" s="114">
        <v>10</v>
      </c>
      <c r="I28" s="112">
        <f t="shared" ref="I28" si="5">E28/H28</f>
        <v>644.1</v>
      </c>
      <c r="J28" s="112">
        <f t="shared" ref="J28" si="6">I28-G28</f>
        <v>357.83333333333337</v>
      </c>
      <c r="K28" s="9"/>
    </row>
    <row r="29" spans="2:11" x14ac:dyDescent="0.35">
      <c r="B29" s="115"/>
      <c r="C29" s="112"/>
      <c r="D29" s="113"/>
      <c r="E29" s="112"/>
      <c r="F29" s="114"/>
      <c r="G29" s="112"/>
      <c r="H29" s="114"/>
      <c r="I29" s="112"/>
      <c r="J29" s="112"/>
      <c r="K29" s="9"/>
    </row>
    <row r="30" spans="2:11" x14ac:dyDescent="0.35">
      <c r="B30" s="754" t="s">
        <v>465</v>
      </c>
      <c r="C30" s="755"/>
      <c r="D30" s="113"/>
      <c r="E30" s="112"/>
      <c r="F30" s="114"/>
      <c r="G30" s="112"/>
      <c r="H30" s="114"/>
      <c r="I30" s="112"/>
      <c r="J30" s="112"/>
      <c r="K30" s="9"/>
    </row>
    <row r="31" spans="2:11" x14ac:dyDescent="0.35">
      <c r="B31" s="115"/>
      <c r="C31" s="112" t="s">
        <v>466</v>
      </c>
      <c r="D31" s="113" t="s">
        <v>80</v>
      </c>
      <c r="E31" s="112">
        <f>16698+24000</f>
        <v>40698</v>
      </c>
      <c r="F31" s="114">
        <v>22.5</v>
      </c>
      <c r="G31" s="112">
        <f>742+533</f>
        <v>1275</v>
      </c>
      <c r="H31" s="114">
        <v>10</v>
      </c>
      <c r="I31" s="112">
        <f t="shared" ref="I31" si="7">E31/H31</f>
        <v>4069.8</v>
      </c>
      <c r="J31" s="112">
        <f t="shared" ref="J31:J34" si="8">I31-G31</f>
        <v>2794.8</v>
      </c>
      <c r="K31" s="9"/>
    </row>
    <row r="32" spans="2:11" x14ac:dyDescent="0.35">
      <c r="B32" s="115"/>
      <c r="C32" s="112"/>
      <c r="D32" s="113" t="s">
        <v>80</v>
      </c>
      <c r="E32" s="112">
        <v>121193</v>
      </c>
      <c r="F32" s="114">
        <v>22.5</v>
      </c>
      <c r="G32" s="112">
        <f>1689-G31</f>
        <v>414</v>
      </c>
      <c r="H32" s="114">
        <v>22.5</v>
      </c>
      <c r="I32" s="112">
        <v>414</v>
      </c>
      <c r="J32" s="112">
        <f t="shared" si="8"/>
        <v>0</v>
      </c>
      <c r="K32" s="9"/>
    </row>
    <row r="33" spans="2:11" x14ac:dyDescent="0.35">
      <c r="B33" s="115"/>
      <c r="C33" s="112"/>
      <c r="D33" s="113"/>
      <c r="E33" s="112"/>
      <c r="F33" s="114"/>
      <c r="G33" s="112"/>
      <c r="H33" s="114"/>
      <c r="I33" s="112"/>
      <c r="J33" s="112"/>
      <c r="K33" s="9"/>
    </row>
    <row r="34" spans="2:11" x14ac:dyDescent="0.35">
      <c r="B34" s="754" t="s">
        <v>477</v>
      </c>
      <c r="C34" s="755"/>
      <c r="D34" s="113" t="s">
        <v>80</v>
      </c>
      <c r="E34" s="112">
        <v>414736</v>
      </c>
      <c r="F34" s="114">
        <v>7</v>
      </c>
      <c r="G34" s="112">
        <v>28264</v>
      </c>
      <c r="H34" s="114">
        <v>7</v>
      </c>
      <c r="I34" s="112">
        <v>28264</v>
      </c>
      <c r="J34" s="112">
        <f t="shared" si="8"/>
        <v>0</v>
      </c>
      <c r="K34" s="9"/>
    </row>
    <row r="35" spans="2:11" x14ac:dyDescent="0.35">
      <c r="B35" s="754" t="s">
        <v>478</v>
      </c>
      <c r="C35" s="755"/>
      <c r="D35" s="113" t="s">
        <v>80</v>
      </c>
      <c r="E35" s="112"/>
      <c r="F35" s="114"/>
      <c r="G35" s="112"/>
      <c r="H35" s="114"/>
      <c r="I35" s="112"/>
      <c r="J35" s="112"/>
      <c r="K35" s="9"/>
    </row>
    <row r="36" spans="2:11" x14ac:dyDescent="0.35">
      <c r="B36" s="756"/>
      <c r="C36" s="757"/>
      <c r="D36" s="113"/>
      <c r="E36" s="112"/>
      <c r="F36" s="114"/>
      <c r="G36" s="112"/>
      <c r="H36" s="114"/>
      <c r="I36" s="112"/>
      <c r="J36" s="112"/>
      <c r="K36" s="9"/>
    </row>
    <row r="37" spans="2:11" x14ac:dyDescent="0.35">
      <c r="B37" s="319" t="s">
        <v>467</v>
      </c>
      <c r="C37" s="320"/>
      <c r="D37" s="113" t="s">
        <v>80</v>
      </c>
      <c r="E37" s="112">
        <v>530457</v>
      </c>
      <c r="F37" s="114">
        <v>12.5</v>
      </c>
      <c r="G37" s="112">
        <v>7441</v>
      </c>
      <c r="H37" s="114">
        <v>12.5</v>
      </c>
      <c r="I37" s="112">
        <v>7441</v>
      </c>
      <c r="J37" s="112">
        <f t="shared" ref="J37" si="9">I37-G37</f>
        <v>0</v>
      </c>
      <c r="K37" s="9"/>
    </row>
    <row r="38" spans="2:11" x14ac:dyDescent="0.35">
      <c r="B38" s="115"/>
      <c r="C38" s="112" t="s">
        <v>468</v>
      </c>
      <c r="D38" s="113" t="s">
        <v>80</v>
      </c>
      <c r="E38" s="112">
        <v>110788</v>
      </c>
      <c r="F38" s="114">
        <v>17.5</v>
      </c>
      <c r="G38" s="112">
        <f>E38/F38</f>
        <v>6330.7428571428572</v>
      </c>
      <c r="H38" s="114">
        <v>10</v>
      </c>
      <c r="I38" s="112">
        <f>E38/H38</f>
        <v>11078.8</v>
      </c>
      <c r="J38" s="112">
        <f>I38-G38</f>
        <v>4748.057142857142</v>
      </c>
      <c r="K38" s="9"/>
    </row>
    <row r="39" spans="2:11" x14ac:dyDescent="0.35">
      <c r="B39" s="328"/>
      <c r="C39" s="323"/>
      <c r="D39" s="113"/>
      <c r="E39" s="112"/>
      <c r="F39" s="114"/>
      <c r="G39" s="112"/>
      <c r="H39" s="114"/>
      <c r="I39" s="112"/>
      <c r="J39" s="112"/>
      <c r="K39" s="9"/>
    </row>
    <row r="40" spans="2:11" x14ac:dyDescent="0.35">
      <c r="B40" s="756"/>
      <c r="C40" s="757"/>
      <c r="D40" s="113"/>
      <c r="E40" s="112"/>
      <c r="F40" s="114"/>
      <c r="G40" s="112"/>
      <c r="H40" s="114"/>
      <c r="I40" s="112"/>
      <c r="J40" s="112"/>
      <c r="K40" s="9"/>
    </row>
    <row r="41" spans="2:11" x14ac:dyDescent="0.35">
      <c r="B41" s="328"/>
      <c r="C41" s="323"/>
      <c r="D41" s="113"/>
      <c r="E41" s="112"/>
      <c r="F41" s="114"/>
      <c r="G41" s="112"/>
      <c r="H41" s="114"/>
      <c r="I41" s="112"/>
      <c r="J41" s="112"/>
      <c r="K41" s="9"/>
    </row>
    <row r="42" spans="2:11" ht="16" x14ac:dyDescent="0.35">
      <c r="B42" s="115"/>
      <c r="C42" s="117" t="s">
        <v>41</v>
      </c>
      <c r="D42" s="117"/>
      <c r="E42" s="112"/>
      <c r="F42" s="114"/>
      <c r="G42" s="329">
        <f>SUM(G13:G41)</f>
        <v>1088576.629978355</v>
      </c>
      <c r="H42" s="114"/>
      <c r="I42" s="329">
        <f>SUM(I13:I41)</f>
        <v>1067018.0961212122</v>
      </c>
      <c r="J42" s="330">
        <f>SUM(J13:J41)</f>
        <v>-21558.533857142851</v>
      </c>
      <c r="K42" s="9"/>
    </row>
    <row r="43" spans="2:11" x14ac:dyDescent="0.35">
      <c r="B43" s="118"/>
      <c r="C43" s="119"/>
      <c r="D43" s="120"/>
      <c r="E43" s="119"/>
      <c r="F43" s="121"/>
      <c r="G43" s="119"/>
      <c r="H43" s="121"/>
      <c r="I43" s="119"/>
      <c r="J43" s="119"/>
      <c r="K43" s="10"/>
    </row>
    <row r="45" spans="2:11" x14ac:dyDescent="0.35">
      <c r="C45" s="5" t="s">
        <v>119</v>
      </c>
    </row>
    <row r="47" spans="2:11" x14ac:dyDescent="0.35">
      <c r="B47" s="763" t="s">
        <v>32</v>
      </c>
      <c r="C47" s="764"/>
      <c r="D47" s="764"/>
      <c r="E47" s="764"/>
      <c r="F47" s="764"/>
      <c r="G47" s="764"/>
      <c r="H47" s="764"/>
      <c r="I47" s="764"/>
      <c r="J47" s="764"/>
      <c r="K47" s="751"/>
    </row>
    <row r="48" spans="2:11" ht="18.5" x14ac:dyDescent="0.45">
      <c r="B48" s="760" t="s">
        <v>57</v>
      </c>
      <c r="C48" s="761"/>
      <c r="D48" s="761"/>
      <c r="E48" s="761"/>
      <c r="F48" s="761"/>
      <c r="G48" s="761"/>
      <c r="H48" s="761"/>
      <c r="I48" s="761"/>
      <c r="J48" s="761"/>
      <c r="K48" s="762"/>
    </row>
    <row r="49" spans="2:11" ht="18.5" x14ac:dyDescent="0.45">
      <c r="B49" s="94"/>
      <c r="C49" s="746" t="s">
        <v>304</v>
      </c>
      <c r="D49" s="746"/>
      <c r="E49" s="746"/>
      <c r="F49" s="746"/>
      <c r="G49" s="746"/>
      <c r="H49" s="746"/>
      <c r="I49" s="746"/>
      <c r="J49" s="746"/>
      <c r="K49" s="96"/>
    </row>
    <row r="50" spans="2:11" ht="18.5" x14ac:dyDescent="0.45">
      <c r="B50" s="143"/>
      <c r="C50" s="144"/>
      <c r="D50" s="144"/>
      <c r="E50" s="144"/>
      <c r="F50" s="144"/>
      <c r="G50" s="144"/>
      <c r="H50" s="144"/>
      <c r="I50" s="144"/>
      <c r="J50" s="144"/>
      <c r="K50" s="145"/>
    </row>
    <row r="51" spans="2:11" ht="18.5" x14ac:dyDescent="0.45">
      <c r="B51" s="94"/>
      <c r="C51" s="95"/>
      <c r="D51" s="95"/>
      <c r="E51" s="95"/>
      <c r="F51" s="95"/>
      <c r="G51" s="95"/>
      <c r="H51" s="95"/>
      <c r="I51" s="95"/>
      <c r="J51" s="95"/>
      <c r="K51" s="96"/>
    </row>
    <row r="52" spans="2:11" ht="17" x14ac:dyDescent="0.5">
      <c r="B52" s="44"/>
      <c r="C52" s="56"/>
      <c r="D52" s="56"/>
      <c r="E52" s="56"/>
      <c r="F52" s="130"/>
      <c r="G52" s="98"/>
      <c r="H52" s="130"/>
      <c r="I52" s="116"/>
      <c r="J52" s="58" t="s">
        <v>58</v>
      </c>
      <c r="K52" s="9"/>
    </row>
    <row r="53" spans="2:11" ht="17" x14ac:dyDescent="0.5">
      <c r="B53" s="758" t="s">
        <v>59</v>
      </c>
      <c r="C53" s="759"/>
      <c r="D53" s="58" t="s">
        <v>60</v>
      </c>
      <c r="E53" s="58" t="s">
        <v>61</v>
      </c>
      <c r="F53" s="759" t="s">
        <v>77</v>
      </c>
      <c r="G53" s="759"/>
      <c r="H53" s="131" t="s">
        <v>37</v>
      </c>
      <c r="I53" s="132"/>
      <c r="J53" s="58" t="s">
        <v>62</v>
      </c>
      <c r="K53" s="9"/>
    </row>
    <row r="54" spans="2:11" ht="17" x14ac:dyDescent="0.5">
      <c r="B54" s="123" t="s">
        <v>63</v>
      </c>
      <c r="C54" s="124" t="s">
        <v>64</v>
      </c>
      <c r="D54" s="124" t="s">
        <v>65</v>
      </c>
      <c r="E54" s="124" t="s">
        <v>120</v>
      </c>
      <c r="F54" s="133" t="s">
        <v>66</v>
      </c>
      <c r="G54" s="124" t="s">
        <v>67</v>
      </c>
      <c r="H54" s="133" t="s">
        <v>66</v>
      </c>
      <c r="I54" s="124" t="s">
        <v>67</v>
      </c>
      <c r="J54" s="124" t="s">
        <v>55</v>
      </c>
      <c r="K54" s="9"/>
    </row>
    <row r="55" spans="2:11" x14ac:dyDescent="0.35">
      <c r="B55" s="59"/>
      <c r="C55" s="82"/>
      <c r="D55" s="82"/>
      <c r="E55" s="82"/>
      <c r="F55" s="60"/>
      <c r="G55" s="82"/>
      <c r="H55" s="60"/>
      <c r="I55" s="82"/>
      <c r="J55" s="82"/>
      <c r="K55" s="9"/>
    </row>
    <row r="56" spans="2:11" x14ac:dyDescent="0.35">
      <c r="B56" s="754" t="s">
        <v>458</v>
      </c>
      <c r="C56" s="755"/>
      <c r="D56" s="321" t="s">
        <v>459</v>
      </c>
      <c r="E56" s="112"/>
      <c r="F56" s="114">
        <v>62.5</v>
      </c>
      <c r="G56" s="112">
        <v>0</v>
      </c>
      <c r="H56" s="114">
        <v>62.5</v>
      </c>
      <c r="I56" s="112">
        <v>384</v>
      </c>
      <c r="J56" s="112">
        <f>I56</f>
        <v>384</v>
      </c>
      <c r="K56" s="9"/>
    </row>
    <row r="57" spans="2:11" x14ac:dyDescent="0.35">
      <c r="B57" s="754" t="s">
        <v>480</v>
      </c>
      <c r="C57" s="755"/>
      <c r="D57" s="113" t="s">
        <v>80</v>
      </c>
      <c r="E57" s="112">
        <v>10126730</v>
      </c>
      <c r="F57" s="114">
        <v>35</v>
      </c>
      <c r="G57" s="112">
        <v>289078</v>
      </c>
      <c r="H57" s="114">
        <v>35</v>
      </c>
      <c r="I57" s="112">
        <v>289078</v>
      </c>
      <c r="J57" s="112"/>
      <c r="K57" s="9"/>
    </row>
    <row r="58" spans="2:11" x14ac:dyDescent="0.35">
      <c r="B58" s="754" t="s">
        <v>481</v>
      </c>
      <c r="C58" s="755"/>
      <c r="D58" s="113" t="s">
        <v>80</v>
      </c>
      <c r="E58" s="112">
        <v>10569968</v>
      </c>
      <c r="F58" s="114">
        <v>35</v>
      </c>
      <c r="G58" s="112">
        <v>253651</v>
      </c>
      <c r="H58" s="114">
        <v>35</v>
      </c>
      <c r="I58" s="322">
        <v>253651</v>
      </c>
      <c r="J58" s="112"/>
      <c r="K58" s="9"/>
    </row>
    <row r="59" spans="2:11" x14ac:dyDescent="0.35">
      <c r="B59" s="754" t="s">
        <v>482</v>
      </c>
      <c r="C59" s="755"/>
      <c r="D59" s="113" t="s">
        <v>80</v>
      </c>
      <c r="E59" s="112">
        <v>1583940</v>
      </c>
      <c r="F59" s="114">
        <v>52</v>
      </c>
      <c r="G59" s="112">
        <v>20179</v>
      </c>
      <c r="H59" s="114">
        <v>52.5</v>
      </c>
      <c r="I59" s="112">
        <v>19987</v>
      </c>
      <c r="J59" s="112">
        <f>I59-G59</f>
        <v>-192</v>
      </c>
      <c r="K59" s="9"/>
    </row>
    <row r="60" spans="2:11" x14ac:dyDescent="0.35">
      <c r="B60" s="754" t="s">
        <v>483</v>
      </c>
      <c r="C60" s="755"/>
      <c r="D60" s="113" t="s">
        <v>80</v>
      </c>
      <c r="E60" s="112">
        <v>468209</v>
      </c>
      <c r="F60" s="114">
        <v>7</v>
      </c>
      <c r="G60" s="112">
        <v>29434</v>
      </c>
      <c r="H60" s="114">
        <v>7</v>
      </c>
      <c r="I60" s="112">
        <v>29434</v>
      </c>
      <c r="J60" s="112"/>
      <c r="K60" s="9"/>
    </row>
    <row r="61" spans="2:11" x14ac:dyDescent="0.35">
      <c r="B61" s="754" t="s">
        <v>484</v>
      </c>
      <c r="C61" s="755"/>
      <c r="D61" s="113">
        <v>44703</v>
      </c>
      <c r="E61" s="324">
        <v>10680</v>
      </c>
      <c r="F61" s="326">
        <v>7</v>
      </c>
      <c r="G61" s="324">
        <v>1526</v>
      </c>
      <c r="H61" s="326">
        <v>7</v>
      </c>
      <c r="I61" s="336">
        <v>1526</v>
      </c>
      <c r="J61" s="112"/>
      <c r="K61" s="9"/>
    </row>
    <row r="62" spans="2:11" x14ac:dyDescent="0.35">
      <c r="B62" s="754" t="s">
        <v>485</v>
      </c>
      <c r="C62" s="755"/>
      <c r="D62" s="113" t="s">
        <v>80</v>
      </c>
      <c r="E62" s="112">
        <v>156509</v>
      </c>
      <c r="F62" s="114">
        <v>5</v>
      </c>
      <c r="G62" s="112">
        <v>22711</v>
      </c>
      <c r="H62" s="114">
        <v>7</v>
      </c>
      <c r="I62" s="112">
        <v>16222</v>
      </c>
      <c r="J62" s="112">
        <f>I62-G62</f>
        <v>-6489</v>
      </c>
      <c r="K62" s="9"/>
    </row>
    <row r="63" spans="2:11" x14ac:dyDescent="0.35">
      <c r="B63" s="754" t="s">
        <v>486</v>
      </c>
      <c r="C63" s="755"/>
      <c r="D63" s="113" t="s">
        <v>80</v>
      </c>
      <c r="E63" s="112">
        <v>59958</v>
      </c>
      <c r="F63" s="114">
        <v>10</v>
      </c>
      <c r="G63" s="112">
        <v>3159</v>
      </c>
      <c r="H63" s="114">
        <v>10</v>
      </c>
      <c r="I63" s="112">
        <v>3159</v>
      </c>
      <c r="J63" s="112"/>
      <c r="K63" s="9"/>
    </row>
    <row r="64" spans="2:11" x14ac:dyDescent="0.35">
      <c r="B64" s="756"/>
      <c r="C64" s="757"/>
      <c r="D64" s="113"/>
      <c r="E64" s="112"/>
      <c r="F64" s="114"/>
      <c r="G64" s="112"/>
      <c r="H64" s="114"/>
      <c r="I64" s="112"/>
      <c r="J64" s="112"/>
      <c r="K64" s="9"/>
    </row>
    <row r="65" spans="2:12" x14ac:dyDescent="0.35">
      <c r="B65" s="328"/>
      <c r="C65" s="323"/>
      <c r="D65" s="113"/>
      <c r="E65" s="112"/>
      <c r="F65" s="114"/>
      <c r="G65" s="112"/>
      <c r="H65" s="114"/>
      <c r="I65" s="112"/>
      <c r="J65" s="112"/>
      <c r="K65" s="9"/>
    </row>
    <row r="66" spans="2:12" ht="16" x14ac:dyDescent="0.35">
      <c r="B66" s="115"/>
      <c r="C66" s="117" t="s">
        <v>41</v>
      </c>
      <c r="D66" s="117"/>
      <c r="E66" s="112"/>
      <c r="F66" s="114"/>
      <c r="G66" s="333">
        <v>619737</v>
      </c>
      <c r="H66" s="334"/>
      <c r="I66" s="333">
        <v>613440</v>
      </c>
      <c r="J66" s="332">
        <f>SUM(J56:J65)</f>
        <v>-6297</v>
      </c>
      <c r="K66" s="9"/>
      <c r="L66" s="335"/>
    </row>
    <row r="67" spans="2:12" x14ac:dyDescent="0.35">
      <c r="B67" s="337"/>
      <c r="C67" s="271"/>
      <c r="D67" s="271"/>
      <c r="E67" s="271"/>
      <c r="F67" s="271"/>
      <c r="G67" s="271"/>
      <c r="H67" s="271"/>
      <c r="I67" s="271"/>
      <c r="J67" s="271"/>
      <c r="K67" s="10"/>
    </row>
    <row r="69" spans="2:12" x14ac:dyDescent="0.35">
      <c r="C69" s="5" t="s">
        <v>119</v>
      </c>
    </row>
  </sheetData>
  <mergeCells count="36">
    <mergeCell ref="B14:C14"/>
    <mergeCell ref="B18:C18"/>
    <mergeCell ref="B22:C22"/>
    <mergeCell ref="B25:C25"/>
    <mergeCell ref="B15:C15"/>
    <mergeCell ref="B16:C16"/>
    <mergeCell ref="B17:C17"/>
    <mergeCell ref="B23:C23"/>
    <mergeCell ref="B24:C24"/>
    <mergeCell ref="B3:K3"/>
    <mergeCell ref="B4:K4"/>
    <mergeCell ref="B9:C9"/>
    <mergeCell ref="F9:G9"/>
    <mergeCell ref="B12:C12"/>
    <mergeCell ref="C5:J5"/>
    <mergeCell ref="B26:C26"/>
    <mergeCell ref="B53:C53"/>
    <mergeCell ref="F53:G53"/>
    <mergeCell ref="B56:C56"/>
    <mergeCell ref="C49:J49"/>
    <mergeCell ref="B36:C36"/>
    <mergeCell ref="B40:C40"/>
    <mergeCell ref="B34:C34"/>
    <mergeCell ref="B35:C35"/>
    <mergeCell ref="B48:K48"/>
    <mergeCell ref="B30:C30"/>
    <mergeCell ref="B27:C27"/>
    <mergeCell ref="B47:K47"/>
    <mergeCell ref="B57:C57"/>
    <mergeCell ref="B63:C63"/>
    <mergeCell ref="B64:C64"/>
    <mergeCell ref="B58:C58"/>
    <mergeCell ref="B59:C59"/>
    <mergeCell ref="B60:C60"/>
    <mergeCell ref="B61:C61"/>
    <mergeCell ref="B62:C62"/>
  </mergeCells>
  <printOptions horizontalCentered="1"/>
  <pageMargins left="0.7" right="0.45" top="0.75" bottom="0.5" header="0.3" footer="0.3"/>
  <pageSetup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B0162-C482-4B9C-A263-6B15C9BD22D6}">
  <sheetPr>
    <tabColor rgb="FF92D050"/>
  </sheetPr>
  <dimension ref="A1:T69"/>
  <sheetViews>
    <sheetView topLeftCell="A57" workbookViewId="0">
      <selection activeCell="J67" sqref="J67"/>
    </sheetView>
  </sheetViews>
  <sheetFormatPr defaultRowHeight="15.5" x14ac:dyDescent="0.35"/>
  <cols>
    <col min="1" max="1" width="12.07421875" customWidth="1"/>
    <col min="2" max="2" width="14.765625" customWidth="1"/>
    <col min="3" max="3" width="8.3828125" customWidth="1"/>
    <col min="4" max="4" width="7.61328125" bestFit="1" customWidth="1"/>
    <col min="5" max="5" width="8.53515625" customWidth="1"/>
    <col min="6" max="6" width="10.69140625" customWidth="1"/>
    <col min="7" max="7" width="10.3828125" bestFit="1" customWidth="1"/>
    <col min="8" max="8" width="7.69140625" customWidth="1"/>
    <col min="9" max="9" width="7.61328125" customWidth="1"/>
    <col min="10" max="10" width="7.4609375" customWidth="1"/>
    <col min="11" max="11" width="12.69140625" bestFit="1" customWidth="1"/>
    <col min="12" max="12" width="8.84375" bestFit="1" customWidth="1"/>
    <col min="14" max="14" width="9.23046875" hidden="1" customWidth="1"/>
    <col min="16" max="16" width="11.4609375" style="1" bestFit="1" customWidth="1"/>
    <col min="19" max="19" width="22" bestFit="1" customWidth="1"/>
    <col min="20" max="20" width="12.69140625" bestFit="1" customWidth="1"/>
  </cols>
  <sheetData>
    <row r="1" spans="2:17" x14ac:dyDescent="0.35">
      <c r="B1" s="29"/>
      <c r="C1" s="29"/>
      <c r="D1" s="29"/>
      <c r="E1" s="29"/>
      <c r="F1" s="29"/>
      <c r="G1" s="29"/>
      <c r="H1" s="29"/>
      <c r="I1" s="29"/>
      <c r="J1" s="29"/>
      <c r="K1" s="29"/>
      <c r="L1" s="29"/>
      <c r="M1" s="29"/>
      <c r="N1" s="29"/>
      <c r="O1" s="29"/>
      <c r="P1" s="29"/>
    </row>
    <row r="2" spans="2:17" x14ac:dyDescent="0.35">
      <c r="B2" s="39"/>
      <c r="C2" s="40"/>
      <c r="D2" s="40"/>
      <c r="E2" s="40"/>
      <c r="F2" s="40"/>
      <c r="G2" s="40"/>
      <c r="H2" s="40"/>
      <c r="I2" s="40"/>
      <c r="J2" s="40"/>
      <c r="K2" s="40"/>
      <c r="L2" s="40"/>
      <c r="M2" s="41"/>
      <c r="N2" s="41"/>
      <c r="O2" s="29"/>
      <c r="P2" s="29"/>
    </row>
    <row r="3" spans="2:17" ht="18.5" x14ac:dyDescent="0.45">
      <c r="B3" s="208" t="s">
        <v>118</v>
      </c>
      <c r="C3" s="209"/>
      <c r="D3" s="209"/>
      <c r="E3" s="209"/>
      <c r="F3" s="209"/>
      <c r="G3" s="209"/>
      <c r="H3" s="209"/>
      <c r="I3" s="209"/>
      <c r="J3" s="209"/>
      <c r="K3" s="209"/>
      <c r="L3" s="209"/>
      <c r="M3" s="661"/>
      <c r="N3" s="152"/>
      <c r="O3" s="29"/>
      <c r="P3" s="29"/>
    </row>
    <row r="4" spans="2:17" ht="18.5" x14ac:dyDescent="0.45">
      <c r="B4" s="210" t="s">
        <v>308</v>
      </c>
      <c r="C4" s="211"/>
      <c r="D4" s="211"/>
      <c r="E4" s="211"/>
      <c r="F4" s="211"/>
      <c r="G4" s="211"/>
      <c r="H4" s="211"/>
      <c r="I4" s="211"/>
      <c r="J4" s="211"/>
      <c r="K4" s="211"/>
      <c r="L4" s="211"/>
      <c r="M4" s="662"/>
      <c r="N4" s="152"/>
      <c r="O4" s="29"/>
      <c r="P4" s="29"/>
    </row>
    <row r="5" spans="2:17" x14ac:dyDescent="0.35">
      <c r="B5" s="212"/>
      <c r="C5" s="209"/>
      <c r="D5" s="209"/>
      <c r="E5" s="209"/>
      <c r="F5" s="209"/>
      <c r="G5" s="209"/>
      <c r="H5" s="209"/>
      <c r="I5" s="209"/>
      <c r="J5" s="209"/>
      <c r="K5" s="209"/>
      <c r="L5" s="209"/>
      <c r="M5" s="661"/>
      <c r="N5" s="152"/>
      <c r="O5" s="29"/>
      <c r="P5" s="29"/>
    </row>
    <row r="6" spans="2:17" x14ac:dyDescent="0.35">
      <c r="B6" s="213" t="s">
        <v>309</v>
      </c>
      <c r="C6" s="214"/>
      <c r="D6" s="214"/>
      <c r="E6" s="214"/>
      <c r="F6" s="214"/>
      <c r="G6" s="214"/>
      <c r="H6" s="214"/>
      <c r="I6" s="214"/>
      <c r="J6" s="214"/>
      <c r="K6" s="214"/>
      <c r="L6" s="214"/>
      <c r="M6" s="663"/>
      <c r="N6" s="152"/>
      <c r="O6" s="29"/>
      <c r="P6" s="29"/>
    </row>
    <row r="7" spans="2:17" x14ac:dyDescent="0.35">
      <c r="B7" s="215"/>
      <c r="C7" s="214"/>
      <c r="D7" s="214"/>
      <c r="E7" s="214"/>
      <c r="F7" s="214"/>
      <c r="G7" s="214"/>
      <c r="H7" s="214"/>
      <c r="I7" s="214"/>
      <c r="J7" s="214"/>
      <c r="K7" s="214"/>
      <c r="L7" s="214"/>
      <c r="M7" s="664"/>
      <c r="N7" s="152"/>
      <c r="O7" s="29"/>
      <c r="P7" s="29"/>
    </row>
    <row r="8" spans="2:17" x14ac:dyDescent="0.35">
      <c r="B8" s="216"/>
      <c r="C8" s="217"/>
      <c r="D8" s="218"/>
      <c r="E8" s="217"/>
      <c r="F8" s="219"/>
      <c r="G8" s="217"/>
      <c r="H8" s="219"/>
      <c r="I8" s="217"/>
      <c r="J8" s="219"/>
      <c r="K8" s="217"/>
      <c r="L8" s="219"/>
      <c r="M8" s="219"/>
      <c r="N8" s="41"/>
      <c r="O8" s="29"/>
      <c r="P8" s="29"/>
    </row>
    <row r="9" spans="2:17" ht="17" x14ac:dyDescent="0.5">
      <c r="B9" s="317" t="s">
        <v>625</v>
      </c>
      <c r="C9" s="773" t="s">
        <v>310</v>
      </c>
      <c r="D9" s="774"/>
      <c r="E9" s="773" t="s">
        <v>311</v>
      </c>
      <c r="F9" s="774"/>
      <c r="G9" s="773" t="s">
        <v>312</v>
      </c>
      <c r="H9" s="774"/>
      <c r="I9" s="773" t="s">
        <v>313</v>
      </c>
      <c r="J9" s="774"/>
      <c r="K9" s="773" t="s">
        <v>314</v>
      </c>
      <c r="L9" s="774"/>
      <c r="M9" s="152"/>
      <c r="N9" s="152"/>
      <c r="O9" s="29"/>
      <c r="P9" s="29"/>
    </row>
    <row r="10" spans="2:17" ht="16" x14ac:dyDescent="0.35">
      <c r="B10" s="220"/>
      <c r="C10" s="222"/>
      <c r="D10" s="223" t="s">
        <v>315</v>
      </c>
      <c r="E10" s="206"/>
      <c r="F10" s="223" t="s">
        <v>315</v>
      </c>
      <c r="G10" s="206"/>
      <c r="H10" s="223" t="s">
        <v>315</v>
      </c>
      <c r="I10" s="206"/>
      <c r="J10" s="223" t="s">
        <v>315</v>
      </c>
      <c r="K10" s="206"/>
      <c r="L10" s="223" t="s">
        <v>315</v>
      </c>
      <c r="M10" s="152"/>
      <c r="N10" s="152"/>
      <c r="O10" s="29"/>
      <c r="P10" s="286" t="s">
        <v>575</v>
      </c>
      <c r="Q10" s="365" t="s">
        <v>498</v>
      </c>
    </row>
    <row r="11" spans="2:17" ht="16" x14ac:dyDescent="0.35">
      <c r="B11" s="220"/>
      <c r="C11" s="222" t="s">
        <v>316</v>
      </c>
      <c r="D11" s="221" t="s">
        <v>317</v>
      </c>
      <c r="E11" s="222" t="s">
        <v>316</v>
      </c>
      <c r="F11" s="221" t="s">
        <v>317</v>
      </c>
      <c r="G11" s="222" t="s">
        <v>316</v>
      </c>
      <c r="H11" s="221" t="s">
        <v>317</v>
      </c>
      <c r="I11" s="222" t="s">
        <v>316</v>
      </c>
      <c r="J11" s="221" t="s">
        <v>317</v>
      </c>
      <c r="K11" s="222" t="s">
        <v>316</v>
      </c>
      <c r="L11" s="221" t="s">
        <v>317</v>
      </c>
      <c r="M11" s="221" t="s">
        <v>41</v>
      </c>
      <c r="N11" s="152"/>
      <c r="O11" s="29"/>
      <c r="P11" s="286" t="s">
        <v>321</v>
      </c>
      <c r="Q11" s="365" t="s">
        <v>499</v>
      </c>
    </row>
    <row r="12" spans="2:17" x14ac:dyDescent="0.35">
      <c r="B12" s="338" t="s">
        <v>689</v>
      </c>
      <c r="C12" s="225">
        <v>13500</v>
      </c>
      <c r="D12" s="226">
        <f>4832.81+4706.25</f>
        <v>9539.0600000000013</v>
      </c>
      <c r="E12" s="225">
        <v>13500</v>
      </c>
      <c r="F12" s="226">
        <f>4706.25+4579.69</f>
        <v>9285.9399999999987</v>
      </c>
      <c r="G12" s="340">
        <v>14000</v>
      </c>
      <c r="H12" s="341">
        <f>4579.69+4448.44</f>
        <v>9028.1299999999992</v>
      </c>
      <c r="I12" s="340">
        <v>14500</v>
      </c>
      <c r="J12" s="341">
        <f>44448.44+4312.5</f>
        <v>48760.94</v>
      </c>
      <c r="K12" s="340">
        <v>14500</v>
      </c>
      <c r="L12" s="341">
        <f>4312.5+4176.56</f>
        <v>8489.0600000000013</v>
      </c>
      <c r="M12" s="655">
        <f>SUM(C12:L12)</f>
        <v>155103.13</v>
      </c>
      <c r="N12" s="9"/>
      <c r="O12" s="29"/>
      <c r="P12" s="29">
        <v>635000</v>
      </c>
    </row>
    <row r="13" spans="2:17" x14ac:dyDescent="0.35">
      <c r="B13" s="338" t="s">
        <v>322</v>
      </c>
      <c r="C13" s="225">
        <v>27000</v>
      </c>
      <c r="D13" s="226">
        <f>9993.75+9740.63</f>
        <v>19734.379999999997</v>
      </c>
      <c r="E13" s="225">
        <v>27500</v>
      </c>
      <c r="F13" s="226">
        <f>9740.63+9482.81</f>
        <v>19223.439999999999</v>
      </c>
      <c r="G13" s="340">
        <v>28000</v>
      </c>
      <c r="H13" s="341">
        <f>9482.81+9220.31</f>
        <v>18703.12</v>
      </c>
      <c r="I13" s="340">
        <v>29000</v>
      </c>
      <c r="J13" s="341">
        <f>9220.31+8948.44</f>
        <v>18168.75</v>
      </c>
      <c r="K13" s="340">
        <v>29500</v>
      </c>
      <c r="L13" s="341">
        <f>8948.44+8671.88</f>
        <v>17620.32</v>
      </c>
      <c r="M13" s="655">
        <f t="shared" ref="M13:M26" si="0">SUM(C13:L13)</f>
        <v>234450.01</v>
      </c>
      <c r="N13" s="152"/>
      <c r="O13" s="29"/>
      <c r="P13" s="29">
        <v>1300000</v>
      </c>
    </row>
    <row r="14" spans="2:17" x14ac:dyDescent="0.35">
      <c r="B14" s="338" t="s">
        <v>323</v>
      </c>
      <c r="C14" s="225">
        <v>20000</v>
      </c>
      <c r="D14" s="226">
        <f>12943.75+12693.75</f>
        <v>25637.5</v>
      </c>
      <c r="E14" s="225">
        <v>20500</v>
      </c>
      <c r="F14" s="226">
        <f>12693.75+12437.5</f>
        <v>25131.25</v>
      </c>
      <c r="G14" s="340">
        <v>21000</v>
      </c>
      <c r="H14" s="341">
        <f>12437.5+12175</f>
        <v>24612.5</v>
      </c>
      <c r="I14" s="340">
        <v>22000</v>
      </c>
      <c r="J14" s="341">
        <f>1275+11900</f>
        <v>13175</v>
      </c>
      <c r="K14" s="340">
        <v>22500</v>
      </c>
      <c r="L14" s="341">
        <f>11900+11618.75</f>
        <v>23518.75</v>
      </c>
      <c r="M14" s="655">
        <f t="shared" si="0"/>
        <v>218075</v>
      </c>
      <c r="N14" s="152"/>
      <c r="O14" s="29"/>
      <c r="P14" s="29">
        <v>1158000</v>
      </c>
    </row>
    <row r="15" spans="2:17" x14ac:dyDescent="0.35">
      <c r="B15" s="338" t="s">
        <v>324</v>
      </c>
      <c r="C15" s="225">
        <v>22000</v>
      </c>
      <c r="D15" s="226">
        <f>8531.88+8380.63</f>
        <v>16912.509999999998</v>
      </c>
      <c r="E15" s="225">
        <v>22500</v>
      </c>
      <c r="F15" s="226">
        <f>8380.63+8225.94</f>
        <v>16606.57</v>
      </c>
      <c r="G15" s="340">
        <v>23000</v>
      </c>
      <c r="H15" s="341">
        <f>8225.94+8067.81</f>
        <v>16293.75</v>
      </c>
      <c r="I15" s="340">
        <v>24000</v>
      </c>
      <c r="J15" s="341">
        <f>8067.81+7902.81</f>
        <v>15970.62</v>
      </c>
      <c r="K15" s="340">
        <v>24500</v>
      </c>
      <c r="L15" s="341">
        <f>7902.81+7734.38</f>
        <v>15637.19</v>
      </c>
      <c r="M15" s="655">
        <f t="shared" si="0"/>
        <v>197420.63999999998</v>
      </c>
      <c r="N15" s="152"/>
      <c r="O15" s="29"/>
      <c r="P15" s="29">
        <v>1324000</v>
      </c>
    </row>
    <row r="16" spans="2:17" x14ac:dyDescent="0.35">
      <c r="B16" s="338" t="s">
        <v>325</v>
      </c>
      <c r="C16" s="225">
        <v>10500</v>
      </c>
      <c r="D16" s="226">
        <f>5667.19+5568.75</f>
        <v>11235.939999999999</v>
      </c>
      <c r="E16" s="225">
        <v>11000</v>
      </c>
      <c r="F16" s="226">
        <f>5568.75+5465.63</f>
        <v>11034.380000000001</v>
      </c>
      <c r="G16" s="340">
        <v>11000</v>
      </c>
      <c r="H16" s="341">
        <f>5465.63+5362.5</f>
        <v>10828.130000000001</v>
      </c>
      <c r="I16" s="340">
        <v>11500</v>
      </c>
      <c r="J16" s="341">
        <f>5362.5+5254.69</f>
        <v>10617.189999999999</v>
      </c>
      <c r="K16" s="340">
        <v>11500</v>
      </c>
      <c r="L16" s="341">
        <f>5254.69+5146.88</f>
        <v>10401.57</v>
      </c>
      <c r="M16" s="655">
        <f t="shared" si="0"/>
        <v>109617.20999999999</v>
      </c>
      <c r="N16" s="152"/>
      <c r="O16" s="29"/>
      <c r="P16" s="29">
        <v>615000</v>
      </c>
    </row>
    <row r="17" spans="1:16" x14ac:dyDescent="0.35">
      <c r="B17" s="338" t="s">
        <v>326</v>
      </c>
      <c r="C17" s="225">
        <v>9500</v>
      </c>
      <c r="D17" s="226">
        <f>4497.5+4414.38</f>
        <v>8911.880000000001</v>
      </c>
      <c r="E17" s="225">
        <v>10000</v>
      </c>
      <c r="F17" s="226">
        <f>4414.38+4326.88</f>
        <v>8741.26</v>
      </c>
      <c r="G17" s="340">
        <v>10000</v>
      </c>
      <c r="H17" s="341">
        <f>4326.88+4239.38</f>
        <v>8566.26</v>
      </c>
      <c r="I17" s="340">
        <v>10500</v>
      </c>
      <c r="J17" s="341">
        <f>4239.38+4147.5</f>
        <v>8386.880000000001</v>
      </c>
      <c r="K17" s="340">
        <v>10500</v>
      </c>
      <c r="L17" s="341">
        <f>4147.5+4066.63</f>
        <v>8214.130000000001</v>
      </c>
      <c r="M17" s="655">
        <f t="shared" si="0"/>
        <v>93320.41</v>
      </c>
      <c r="N17" s="152"/>
      <c r="O17" s="29"/>
      <c r="P17" s="29">
        <v>542000</v>
      </c>
    </row>
    <row r="18" spans="1:16" x14ac:dyDescent="0.35">
      <c r="B18" s="338" t="s">
        <v>606</v>
      </c>
      <c r="C18" s="225">
        <f>175000*G69</f>
        <v>116725</v>
      </c>
      <c r="D18" s="226">
        <f>(60808.75+57658.75+450)*G69</f>
        <v>79317.972500000003</v>
      </c>
      <c r="E18" s="225">
        <f>180000*G69</f>
        <v>120060</v>
      </c>
      <c r="F18" s="226">
        <f>(57658.75+54418.75+450)*G69</f>
        <v>75055.842499999999</v>
      </c>
      <c r="G18" s="340">
        <f>185000*G69</f>
        <v>123395</v>
      </c>
      <c r="H18" s="341">
        <f>(54418.75+50996.25+450)*G69</f>
        <v>70611.955000000002</v>
      </c>
      <c r="I18" s="340">
        <f>195000*G69</f>
        <v>130065</v>
      </c>
      <c r="J18" s="341">
        <f>(50996.25+47388.75+450)*G69</f>
        <v>65922.945000000007</v>
      </c>
      <c r="K18" s="340">
        <f>200000*G69</f>
        <v>133400</v>
      </c>
      <c r="L18" s="341">
        <f>(47388.75+43688.75+450)*G69</f>
        <v>61048.842500000006</v>
      </c>
      <c r="M18" s="655">
        <f t="shared" si="0"/>
        <v>975602.55750000011</v>
      </c>
      <c r="N18" s="152"/>
      <c r="O18" s="29"/>
      <c r="P18" s="29">
        <v>4800000</v>
      </c>
    </row>
    <row r="19" spans="1:16" x14ac:dyDescent="0.35">
      <c r="A19" t="s">
        <v>327</v>
      </c>
      <c r="B19" s="338" t="s">
        <v>607</v>
      </c>
      <c r="C19" s="225">
        <f>10000*Adj!I8</f>
        <v>8281</v>
      </c>
      <c r="D19" s="226">
        <f>(6768.75+6556.25+225)*Adj!I8</f>
        <v>11220.754999999999</v>
      </c>
      <c r="E19" s="225">
        <f>10000*Adj!I8</f>
        <v>8281</v>
      </c>
      <c r="F19" s="226">
        <f>(6556.25+6343.75+225)*Adj!I8</f>
        <v>10868.8125</v>
      </c>
      <c r="G19" s="340">
        <f>15000*Adj!I8</f>
        <v>12421.5</v>
      </c>
      <c r="H19" s="341">
        <f>(6343.75+6025+225)*Adj!I8</f>
        <v>10428.884375</v>
      </c>
      <c r="I19" s="340">
        <f>15000*Adj!I8</f>
        <v>12421.5</v>
      </c>
      <c r="J19" s="341">
        <f>(6025+5706.25+225)*Adj!I8</f>
        <v>9900.9706249999999</v>
      </c>
      <c r="K19" s="340">
        <f>15000*Adj!I8</f>
        <v>12421.5</v>
      </c>
      <c r="L19" s="341">
        <f>(5706.25+5387.5+225)*Adj!I8</f>
        <v>9373.0568750000002</v>
      </c>
      <c r="M19" s="655">
        <f t="shared" si="0"/>
        <v>105618.979375</v>
      </c>
      <c r="N19" s="152"/>
      <c r="O19" s="29"/>
      <c r="P19" s="29">
        <v>495000</v>
      </c>
    </row>
    <row r="20" spans="1:16" x14ac:dyDescent="0.35">
      <c r="B20" s="338" t="s">
        <v>615</v>
      </c>
      <c r="C20" s="225">
        <f>35000*L69</f>
        <v>28420.000000000004</v>
      </c>
      <c r="D20" s="226">
        <f>(14984.38+14284.38+225)*L69</f>
        <v>23948.933120000002</v>
      </c>
      <c r="E20" s="225">
        <f>40000*L69</f>
        <v>32480.000000000004</v>
      </c>
      <c r="F20" s="226">
        <f>(14284.38+13484.38+225)*L69</f>
        <v>22730.933120000002</v>
      </c>
      <c r="G20" s="340">
        <f>40000*L69</f>
        <v>32480.000000000004</v>
      </c>
      <c r="H20" s="341">
        <f>(13484.38+12684.38+225)*L69</f>
        <v>21431.733120000001</v>
      </c>
      <c r="I20" s="340">
        <f>40000*L69</f>
        <v>32480.000000000004</v>
      </c>
      <c r="J20" s="341">
        <f>(12684.38+11884.38+225)*L69</f>
        <v>20132.53312</v>
      </c>
      <c r="K20" s="340">
        <f>45000*L69</f>
        <v>36540</v>
      </c>
      <c r="L20" s="341">
        <f>(11884.38+10984.38+225)*L69</f>
        <v>18752.133119999999</v>
      </c>
      <c r="M20" s="655">
        <f t="shared" si="0"/>
        <v>269396.26559999998</v>
      </c>
      <c r="N20" s="152"/>
      <c r="O20" s="29"/>
      <c r="P20" s="29">
        <v>1210000</v>
      </c>
    </row>
    <row r="21" spans="1:16" x14ac:dyDescent="0.35">
      <c r="B21" s="338" t="s">
        <v>328</v>
      </c>
      <c r="C21" s="225">
        <f>39637.75+39835.93</f>
        <v>79473.679999999993</v>
      </c>
      <c r="D21" s="226">
        <f>(597.54+149.39)+(399.36+99.84)</f>
        <v>1246.1300000000001</v>
      </c>
      <c r="E21" s="225">
        <v>40035.129999999997</v>
      </c>
      <c r="F21" s="226">
        <f>200.15+50.04</f>
        <v>250.19</v>
      </c>
      <c r="G21" s="340"/>
      <c r="H21" s="341"/>
      <c r="I21" s="340"/>
      <c r="J21" s="341"/>
      <c r="K21" s="340"/>
      <c r="L21" s="341"/>
      <c r="M21" s="655">
        <f t="shared" si="0"/>
        <v>121005.13</v>
      </c>
      <c r="N21" s="152"/>
      <c r="O21" s="29"/>
      <c r="P21" s="29">
        <v>1455400</v>
      </c>
    </row>
    <row r="22" spans="1:16" x14ac:dyDescent="0.35">
      <c r="B22" s="338" t="s">
        <v>329</v>
      </c>
      <c r="C22" s="225">
        <v>100000</v>
      </c>
      <c r="D22" s="226">
        <f>5855+4330+450</f>
        <v>10635</v>
      </c>
      <c r="E22" s="225">
        <v>100000</v>
      </c>
      <c r="F22" s="226">
        <f>4330+2805+450</f>
        <v>7585</v>
      </c>
      <c r="G22" s="340">
        <v>45000</v>
      </c>
      <c r="H22" s="341">
        <f>2805+2062.5+450</f>
        <v>5317.5</v>
      </c>
      <c r="I22" s="340">
        <v>40000</v>
      </c>
      <c r="J22" s="341">
        <f>2062.5+1402.5+450</f>
        <v>3915</v>
      </c>
      <c r="K22" s="340">
        <v>40000</v>
      </c>
      <c r="L22" s="341">
        <f>1402.5+742.5+450</f>
        <v>2595</v>
      </c>
      <c r="M22" s="655">
        <f t="shared" si="0"/>
        <v>355047.5</v>
      </c>
      <c r="N22" s="152"/>
      <c r="O22" s="29"/>
      <c r="P22" s="29">
        <v>1415000</v>
      </c>
    </row>
    <row r="23" spans="1:16" x14ac:dyDescent="0.35">
      <c r="B23" s="338" t="s">
        <v>330</v>
      </c>
      <c r="C23" s="225">
        <v>83662.039999999994</v>
      </c>
      <c r="D23" s="226">
        <v>14004.74</v>
      </c>
      <c r="E23" s="225">
        <v>86962.71</v>
      </c>
      <c r="F23" s="226">
        <v>10704.07</v>
      </c>
      <c r="G23" s="340">
        <v>90393.600000000006</v>
      </c>
      <c r="H23" s="341">
        <v>7273.18</v>
      </c>
      <c r="I23" s="340">
        <v>93959.84</v>
      </c>
      <c r="J23" s="341">
        <v>3706.94</v>
      </c>
      <c r="K23" s="340"/>
      <c r="L23" s="341"/>
      <c r="M23" s="655">
        <f t="shared" si="0"/>
        <v>390667.12000000005</v>
      </c>
      <c r="N23" s="152"/>
      <c r="O23" s="29"/>
      <c r="P23" s="29">
        <v>976667.8</v>
      </c>
    </row>
    <row r="24" spans="1:16" x14ac:dyDescent="0.35">
      <c r="B24" s="339" t="s">
        <v>501</v>
      </c>
      <c r="C24" s="228">
        <f>1775.44+1777.66</f>
        <v>3553.1000000000004</v>
      </c>
      <c r="D24" s="229">
        <f>128.65+126.43+128.65+126.43</f>
        <v>510.16</v>
      </c>
      <c r="E24" s="228">
        <f>1779.88+1782.11</f>
        <v>3561.99</v>
      </c>
      <c r="F24" s="229">
        <f>124.21+121.98+124.21+121.98</f>
        <v>492.38</v>
      </c>
      <c r="G24" s="228">
        <f>1784.33+1786.56</f>
        <v>3570.89</v>
      </c>
      <c r="H24" s="229">
        <f>119.76+117.53+119.76+117.53</f>
        <v>474.58000000000004</v>
      </c>
      <c r="I24" s="228">
        <f>1788.8+1791.03</f>
        <v>3579.83</v>
      </c>
      <c r="J24" s="229">
        <f>115.29+113.06+115.29+113.06</f>
        <v>456.70000000000005</v>
      </c>
      <c r="K24" s="228">
        <f>1793.27+1795.51</f>
        <v>3588.7799999999997</v>
      </c>
      <c r="L24" s="229">
        <f>110.82+108.58+110.82+108.58</f>
        <v>438.79999999999995</v>
      </c>
      <c r="M24" s="655">
        <f t="shared" si="0"/>
        <v>20227.21</v>
      </c>
      <c r="N24" s="152"/>
      <c r="O24" s="29"/>
      <c r="P24" s="29">
        <v>270000</v>
      </c>
    </row>
    <row r="25" spans="1:16" x14ac:dyDescent="0.35">
      <c r="B25" s="227"/>
      <c r="C25" s="228"/>
      <c r="D25" s="230"/>
      <c r="E25" s="228"/>
      <c r="F25" s="229"/>
      <c r="G25" s="228"/>
      <c r="H25" s="229"/>
      <c r="I25" s="228"/>
      <c r="J25" s="229"/>
      <c r="K25" s="228"/>
      <c r="L25" s="229"/>
      <c r="M25" s="655">
        <f t="shared" si="0"/>
        <v>0</v>
      </c>
      <c r="N25" s="152"/>
      <c r="O25" s="29"/>
      <c r="P25" s="29"/>
    </row>
    <row r="26" spans="1:16" x14ac:dyDescent="0.35">
      <c r="B26" s="231"/>
      <c r="C26" s="232"/>
      <c r="D26" s="233"/>
      <c r="E26" s="232"/>
      <c r="F26" s="233"/>
      <c r="G26" s="232"/>
      <c r="H26" s="233"/>
      <c r="I26" s="232"/>
      <c r="J26" s="233"/>
      <c r="K26" s="232"/>
      <c r="L26" s="234"/>
      <c r="M26" s="655">
        <f t="shared" si="0"/>
        <v>0</v>
      </c>
      <c r="N26" s="152"/>
      <c r="O26" s="29"/>
      <c r="P26" s="29"/>
    </row>
    <row r="27" spans="1:16" x14ac:dyDescent="0.35">
      <c r="B27" s="235" t="s">
        <v>41</v>
      </c>
      <c r="C27" s="236">
        <f>SUM(C12:C25)</f>
        <v>522614.81999999995</v>
      </c>
      <c r="D27" s="236">
        <f t="shared" ref="D27:M27" si="1">SUM(D12:D25)</f>
        <v>232854.96062</v>
      </c>
      <c r="E27" s="236">
        <f t="shared" si="1"/>
        <v>496380.83</v>
      </c>
      <c r="F27" s="236">
        <f t="shared" si="1"/>
        <v>217710.06812000001</v>
      </c>
      <c r="G27" s="236">
        <f t="shared" si="1"/>
        <v>414260.99</v>
      </c>
      <c r="H27" s="236">
        <f t="shared" si="1"/>
        <v>203569.72249499997</v>
      </c>
      <c r="I27" s="236">
        <f t="shared" si="1"/>
        <v>424006.17</v>
      </c>
      <c r="J27" s="236">
        <f t="shared" si="1"/>
        <v>219114.46874500002</v>
      </c>
      <c r="K27" s="236">
        <f>SUM(K12:K25)</f>
        <v>338950.28</v>
      </c>
      <c r="L27" s="236">
        <f>SUM(L12:L25)</f>
        <v>176088.852495</v>
      </c>
      <c r="M27" s="657">
        <f t="shared" si="1"/>
        <v>3245551.1624750001</v>
      </c>
      <c r="N27" s="152"/>
      <c r="O27" s="29"/>
      <c r="P27" s="29">
        <f>SUM(C27:L27)</f>
        <v>3245551.1624750001</v>
      </c>
    </row>
    <row r="28" spans="1:16" x14ac:dyDescent="0.35">
      <c r="B28" s="237"/>
      <c r="C28" s="238"/>
      <c r="D28" s="239"/>
      <c r="E28" s="238"/>
      <c r="F28" s="240"/>
      <c r="G28" s="238"/>
      <c r="H28" s="240"/>
      <c r="I28" s="238"/>
      <c r="J28" s="241"/>
      <c r="K28" s="238"/>
      <c r="L28" s="240"/>
      <c r="M28" s="240"/>
      <c r="N28" s="42"/>
      <c r="O28" s="29"/>
      <c r="P28" s="29"/>
    </row>
    <row r="29" spans="1:16" x14ac:dyDescent="0.35">
      <c r="B29" s="242"/>
      <c r="C29" s="43"/>
      <c r="D29" s="43"/>
      <c r="E29" s="43"/>
      <c r="F29" s="43"/>
      <c r="G29" s="43"/>
      <c r="H29" s="43"/>
      <c r="I29" s="43"/>
      <c r="J29" s="243"/>
      <c r="K29" s="243"/>
      <c r="L29" s="243"/>
      <c r="M29" s="658"/>
      <c r="N29" s="152"/>
      <c r="O29" s="29"/>
      <c r="P29" s="29"/>
    </row>
    <row r="30" spans="1:16" x14ac:dyDescent="0.35">
      <c r="B30" s="244"/>
      <c r="C30" s="245"/>
      <c r="D30" s="45"/>
      <c r="E30" s="245"/>
      <c r="F30" s="245"/>
      <c r="G30" s="245"/>
      <c r="H30" s="245"/>
      <c r="I30" s="45" t="s">
        <v>318</v>
      </c>
      <c r="J30" s="29"/>
      <c r="K30" s="150"/>
      <c r="L30" s="85"/>
      <c r="M30" s="656">
        <f>M27/5</f>
        <v>649110.232495</v>
      </c>
      <c r="N30" s="152"/>
      <c r="O30" s="29"/>
      <c r="P30" s="29"/>
    </row>
    <row r="31" spans="1:16" x14ac:dyDescent="0.35">
      <c r="B31" s="44"/>
      <c r="C31" s="45"/>
      <c r="D31" s="29"/>
      <c r="E31" s="45"/>
      <c r="F31" s="45"/>
      <c r="G31" s="45"/>
      <c r="H31" s="45"/>
      <c r="I31" s="45"/>
      <c r="J31" s="29"/>
      <c r="K31" s="56"/>
      <c r="L31" s="150"/>
      <c r="M31" s="659"/>
      <c r="N31" s="152"/>
      <c r="O31" s="29"/>
      <c r="P31" s="29"/>
    </row>
    <row r="32" spans="1:16" x14ac:dyDescent="0.35">
      <c r="B32" s="244"/>
      <c r="C32" s="45"/>
      <c r="D32" s="45"/>
      <c r="E32" s="45"/>
      <c r="F32" s="45"/>
      <c r="G32" s="45"/>
      <c r="H32" s="45"/>
      <c r="I32" s="45" t="s">
        <v>319</v>
      </c>
      <c r="J32" s="29"/>
      <c r="K32" s="150"/>
      <c r="L32" s="45"/>
      <c r="M32" s="656">
        <f>M30*0.2</f>
        <v>129822.046499</v>
      </c>
      <c r="N32" s="152"/>
      <c r="O32" s="29"/>
      <c r="P32" s="29">
        <f>M32+M30</f>
        <v>778932.27899400005</v>
      </c>
    </row>
    <row r="33" spans="2:20" x14ac:dyDescent="0.35">
      <c r="B33" s="244"/>
      <c r="C33" s="45"/>
      <c r="D33" s="45"/>
      <c r="E33" s="45"/>
      <c r="F33" s="45"/>
      <c r="G33" s="45"/>
      <c r="H33" s="45"/>
      <c r="I33" s="45"/>
      <c r="J33" s="29"/>
      <c r="K33" s="150"/>
      <c r="L33" s="45"/>
      <c r="M33" s="656"/>
      <c r="N33" s="152"/>
      <c r="O33" s="29"/>
      <c r="P33" s="29"/>
    </row>
    <row r="34" spans="2:20" x14ac:dyDescent="0.35">
      <c r="B34" s="244"/>
      <c r="C34" s="45"/>
      <c r="D34" s="45"/>
      <c r="E34" s="45"/>
      <c r="F34" s="45"/>
      <c r="G34" s="45"/>
      <c r="H34" s="45"/>
      <c r="I34" s="45" t="s">
        <v>320</v>
      </c>
      <c r="J34" s="29"/>
      <c r="K34" s="150"/>
      <c r="L34" s="45"/>
      <c r="M34" s="656">
        <f>(D27+F27+H27+J27+L27)/5</f>
        <v>209867.61449500002</v>
      </c>
      <c r="N34" s="152"/>
      <c r="O34" s="29"/>
      <c r="P34" s="29"/>
    </row>
    <row r="35" spans="2:20" x14ac:dyDescent="0.35">
      <c r="B35" s="246"/>
      <c r="C35" s="247"/>
      <c r="D35" s="247"/>
      <c r="E35" s="247"/>
      <c r="F35" s="247"/>
      <c r="G35" s="247"/>
      <c r="H35" s="247"/>
      <c r="I35" s="247"/>
      <c r="J35" s="247"/>
      <c r="K35" s="247"/>
      <c r="L35" s="247"/>
      <c r="M35" s="660"/>
      <c r="N35" s="42"/>
      <c r="O35" s="29"/>
      <c r="P35" s="29"/>
    </row>
    <row r="37" spans="2:20" x14ac:dyDescent="0.35">
      <c r="B37" s="273" t="s">
        <v>613</v>
      </c>
    </row>
    <row r="38" spans="2:20" x14ac:dyDescent="0.35">
      <c r="B38" s="273" t="s">
        <v>616</v>
      </c>
    </row>
    <row r="39" spans="2:20" x14ac:dyDescent="0.35">
      <c r="B39" s="273"/>
    </row>
    <row r="40" spans="2:20" ht="18.5" x14ac:dyDescent="0.45">
      <c r="B40" s="770" t="s">
        <v>118</v>
      </c>
      <c r="C40" s="771"/>
      <c r="D40" s="771"/>
      <c r="E40" s="771"/>
      <c r="F40" s="771"/>
      <c r="G40" s="771"/>
      <c r="H40" s="771"/>
      <c r="I40" s="771"/>
      <c r="J40" s="771"/>
      <c r="K40" s="771"/>
      <c r="L40" s="771"/>
      <c r="M40" s="772"/>
    </row>
    <row r="41" spans="2:20" ht="18.5" x14ac:dyDescent="0.45">
      <c r="B41" s="760" t="s">
        <v>308</v>
      </c>
      <c r="C41" s="761"/>
      <c r="D41" s="761"/>
      <c r="E41" s="761"/>
      <c r="F41" s="761"/>
      <c r="G41" s="761"/>
      <c r="H41" s="761"/>
      <c r="I41" s="761"/>
      <c r="J41" s="761"/>
      <c r="K41" s="761"/>
      <c r="L41" s="761"/>
      <c r="M41" s="762"/>
    </row>
    <row r="42" spans="2:20" x14ac:dyDescent="0.35">
      <c r="B42" s="337"/>
      <c r="C42" s="271"/>
      <c r="D42" s="271"/>
      <c r="E42" s="271"/>
      <c r="F42" s="271"/>
      <c r="G42" s="271"/>
      <c r="H42" s="271"/>
      <c r="I42" s="271"/>
      <c r="J42" s="271"/>
      <c r="K42" s="271"/>
      <c r="L42" s="271"/>
      <c r="M42" s="10"/>
      <c r="S42" s="490" t="s">
        <v>578</v>
      </c>
      <c r="T42" s="491" t="s">
        <v>575</v>
      </c>
    </row>
    <row r="43" spans="2:20" ht="16" x14ac:dyDescent="0.35">
      <c r="B43" s="316"/>
      <c r="C43" s="768" t="s">
        <v>310</v>
      </c>
      <c r="D43" s="769"/>
      <c r="E43" s="768" t="s">
        <v>311</v>
      </c>
      <c r="F43" s="769"/>
      <c r="G43" s="768" t="s">
        <v>312</v>
      </c>
      <c r="H43" s="769"/>
      <c r="I43" s="768" t="s">
        <v>313</v>
      </c>
      <c r="J43" s="769"/>
      <c r="K43" s="768" t="s">
        <v>314</v>
      </c>
      <c r="L43" s="769"/>
      <c r="M43" s="41"/>
      <c r="N43" s="41"/>
      <c r="S43" s="398" t="s">
        <v>440</v>
      </c>
      <c r="T43" s="492" t="s">
        <v>321</v>
      </c>
    </row>
    <row r="44" spans="2:20" ht="17" x14ac:dyDescent="0.5">
      <c r="B44" s="317" t="s">
        <v>128</v>
      </c>
      <c r="C44" s="222"/>
      <c r="D44" s="223" t="s">
        <v>315</v>
      </c>
      <c r="E44" s="206"/>
      <c r="F44" s="223" t="s">
        <v>315</v>
      </c>
      <c r="G44" s="206"/>
      <c r="H44" s="223" t="s">
        <v>315</v>
      </c>
      <c r="I44" s="206"/>
      <c r="J44" s="223" t="s">
        <v>315</v>
      </c>
      <c r="K44" s="206"/>
      <c r="L44" s="223" t="s">
        <v>315</v>
      </c>
      <c r="M44" s="152"/>
      <c r="N44" s="152"/>
      <c r="P44" s="286" t="s">
        <v>61</v>
      </c>
      <c r="Q44" s="365" t="s">
        <v>498</v>
      </c>
      <c r="S44" s="398" t="s">
        <v>574</v>
      </c>
      <c r="T44" s="493">
        <v>1595000</v>
      </c>
    </row>
    <row r="45" spans="2:20" ht="16" x14ac:dyDescent="0.35">
      <c r="B45" s="318"/>
      <c r="C45" s="222" t="s">
        <v>316</v>
      </c>
      <c r="D45" s="221" t="s">
        <v>317</v>
      </c>
      <c r="E45" s="222" t="s">
        <v>316</v>
      </c>
      <c r="F45" s="221" t="s">
        <v>317</v>
      </c>
      <c r="G45" s="222" t="s">
        <v>316</v>
      </c>
      <c r="H45" s="221" t="s">
        <v>317</v>
      </c>
      <c r="I45" s="222" t="s">
        <v>316</v>
      </c>
      <c r="J45" s="221" t="s">
        <v>317</v>
      </c>
      <c r="K45" s="222" t="s">
        <v>316</v>
      </c>
      <c r="L45" s="221" t="s">
        <v>317</v>
      </c>
      <c r="M45" s="221" t="s">
        <v>41</v>
      </c>
      <c r="N45" s="559" t="s">
        <v>492</v>
      </c>
      <c r="P45" s="286" t="s">
        <v>321</v>
      </c>
      <c r="Q45" s="365" t="s">
        <v>499</v>
      </c>
      <c r="S45" s="398" t="s">
        <v>576</v>
      </c>
      <c r="T45" s="493">
        <v>234694.15</v>
      </c>
    </row>
    <row r="46" spans="2:20" x14ac:dyDescent="0.35">
      <c r="B46" s="362" t="s">
        <v>497</v>
      </c>
      <c r="C46" s="726">
        <f>44854.96+44967.1</f>
        <v>89822.06</v>
      </c>
      <c r="D46" s="727">
        <f>6989.77+2795.91+6877.63+2751.05</f>
        <v>19414.36</v>
      </c>
      <c r="E46" s="363">
        <f>45079.52+45192.22</f>
        <v>90271.739999999991</v>
      </c>
      <c r="F46" s="727">
        <f>6765.21+2706.08+6652.51+2661.01</f>
        <v>18784.810000000001</v>
      </c>
      <c r="G46" s="363">
        <f>45305.2+45418.46</f>
        <v>90723.66</v>
      </c>
      <c r="H46" s="727">
        <f>6539.53+2615.81+6426.27+2570.51</f>
        <v>18152.120000000003</v>
      </c>
      <c r="I46" s="363">
        <f>45532.01+45645.84</f>
        <v>91177.85</v>
      </c>
      <c r="J46" s="727">
        <f>6312.72+2525.09+6198.89+2479.56</f>
        <v>17516.260000000002</v>
      </c>
      <c r="K46" s="363">
        <f>45759.95+45874.35</f>
        <v>91634.299999999988</v>
      </c>
      <c r="L46" s="727">
        <f>6084.78+2433.91+5970.38+2388.15</f>
        <v>16877.22</v>
      </c>
      <c r="M46" s="223">
        <f>SUM(C46:L46)</f>
        <v>544374.37999999989</v>
      </c>
      <c r="N46" s="560">
        <f>54640.64+54595.78+54550.81+54505.74+54460.54+54415.24+54369.82+54324.29+54278.64+54232.88</f>
        <v>544374.37999999989</v>
      </c>
      <c r="P46" s="13">
        <v>3568950</v>
      </c>
      <c r="Q46" t="s">
        <v>605</v>
      </c>
      <c r="S46" s="494" t="s">
        <v>577</v>
      </c>
      <c r="T46" s="495">
        <v>589777.34</v>
      </c>
    </row>
    <row r="47" spans="2:20" x14ac:dyDescent="0.35">
      <c r="B47" s="338" t="s">
        <v>606</v>
      </c>
      <c r="C47" s="225">
        <f>175000*F69</f>
        <v>58275</v>
      </c>
      <c r="D47" s="226">
        <f>(60808.75+57658.75+450)*F69</f>
        <v>39599.527500000004</v>
      </c>
      <c r="E47" s="225">
        <f>180000*F69</f>
        <v>59940</v>
      </c>
      <c r="F47" s="226">
        <f>(57658.75+54418.75+450)*F69</f>
        <v>37471.657500000001</v>
      </c>
      <c r="G47" s="340">
        <f>185000*F69</f>
        <v>61605</v>
      </c>
      <c r="H47" s="341">
        <f>(54418.75+50996.25+450)*F69</f>
        <v>35253.045000000006</v>
      </c>
      <c r="I47" s="340">
        <f>195000*F69</f>
        <v>64935</v>
      </c>
      <c r="J47" s="341">
        <f>(50996.25+47388.75+450)*F69</f>
        <v>32912.055</v>
      </c>
      <c r="K47" s="340">
        <f>200000*F69</f>
        <v>66600</v>
      </c>
      <c r="L47" s="341">
        <f>(47388.75+43688.75+450)*F69</f>
        <v>30478.657500000001</v>
      </c>
      <c r="M47" s="655">
        <f t="shared" ref="M47" si="2">SUM(C47:L47)</f>
        <v>487069.9425</v>
      </c>
      <c r="N47" s="152"/>
      <c r="P47" s="13"/>
      <c r="S47" s="273"/>
      <c r="T47" s="555"/>
    </row>
    <row r="48" spans="2:20" hidden="1" x14ac:dyDescent="0.35">
      <c r="B48" s="556"/>
      <c r="C48" s="363"/>
      <c r="D48" s="364"/>
      <c r="E48" s="363"/>
      <c r="F48" s="364"/>
      <c r="G48" s="363"/>
      <c r="H48" s="364"/>
      <c r="I48" s="363"/>
      <c r="J48" s="364"/>
      <c r="K48" s="363"/>
      <c r="L48" s="364"/>
      <c r="M48" s="223"/>
      <c r="N48" s="152"/>
      <c r="P48" s="13"/>
      <c r="S48" s="273"/>
      <c r="T48" s="555"/>
    </row>
    <row r="49" spans="2:16" x14ac:dyDescent="0.35">
      <c r="B49" s="338" t="s">
        <v>607</v>
      </c>
      <c r="C49" s="225">
        <f>10000*Adj!J8</f>
        <v>1719</v>
      </c>
      <c r="D49" s="226">
        <f>(6768.75+6556.25+225)*Adj!J8</f>
        <v>2329.2449999999999</v>
      </c>
      <c r="E49" s="225">
        <f>10000*Adj!J8</f>
        <v>1719</v>
      </c>
      <c r="F49" s="226">
        <f>(6556.25+6343.75+225)*Adj!J8</f>
        <v>2256.1875</v>
      </c>
      <c r="G49" s="340">
        <f>15000*Adj!J8</f>
        <v>2578.5</v>
      </c>
      <c r="H49" s="341">
        <f>(6343.75+6025+225)*Adj!J8</f>
        <v>2164.8656249999999</v>
      </c>
      <c r="I49" s="340">
        <f>15000*Adj!J8</f>
        <v>2578.5</v>
      </c>
      <c r="J49" s="341">
        <f>(6025+5706.25+225)*Adj!J8</f>
        <v>2055.2793750000001</v>
      </c>
      <c r="K49" s="340">
        <f>15000*Adj!J8</f>
        <v>2578.5</v>
      </c>
      <c r="L49" s="341">
        <f>(5706.25+5387.5+225)*Adj!J8</f>
        <v>1945.693125</v>
      </c>
      <c r="M49" s="655">
        <f t="shared" ref="M49" si="3">SUM(C49:L49)</f>
        <v>21924.770625000001</v>
      </c>
      <c r="N49" s="152"/>
    </row>
    <row r="50" spans="2:16" x14ac:dyDescent="0.35">
      <c r="B50" s="338" t="s">
        <v>614</v>
      </c>
      <c r="C50" s="225">
        <f>35000*K69</f>
        <v>6580</v>
      </c>
      <c r="D50" s="226">
        <f>(14984.38+14284.38+225)*K69</f>
        <v>5544.8268799999996</v>
      </c>
      <c r="E50" s="225">
        <f>40000*K69</f>
        <v>7520</v>
      </c>
      <c r="F50" s="226">
        <f>(14284.38+13484.38+225)*K69</f>
        <v>5262.8268799999996</v>
      </c>
      <c r="G50" s="340">
        <f>40000*K69</f>
        <v>7520</v>
      </c>
      <c r="H50" s="341">
        <f>(13484.38+12684.38+225)*K69</f>
        <v>4962.0268799999994</v>
      </c>
      <c r="I50" s="340">
        <f>40000*K69</f>
        <v>7520</v>
      </c>
      <c r="J50" s="341">
        <f>(12684.38+11884.38+225)*K69</f>
        <v>4661.2268800000002</v>
      </c>
      <c r="K50" s="340">
        <f>45000*K69</f>
        <v>8460</v>
      </c>
      <c r="L50" s="341">
        <f>(11884.38+10984.38+225)*K69</f>
        <v>4341.6268799999998</v>
      </c>
      <c r="M50" s="655">
        <f t="shared" ref="M50" si="4">SUM(C50:L50)</f>
        <v>62372.534400000004</v>
      </c>
      <c r="N50" s="152"/>
      <c r="O50">
        <v>331769</v>
      </c>
      <c r="P50" s="1">
        <f>O50*Adj!I8</f>
        <v>274737.90889999998</v>
      </c>
    </row>
    <row r="51" spans="2:16" ht="16" x14ac:dyDescent="0.35">
      <c r="B51" s="362"/>
      <c r="C51" s="222"/>
      <c r="D51" s="224"/>
      <c r="E51" s="222"/>
      <c r="F51" s="224"/>
      <c r="G51" s="222"/>
      <c r="H51" s="224"/>
      <c r="I51" s="222"/>
      <c r="J51" s="224"/>
      <c r="K51" s="222"/>
      <c r="L51" s="224"/>
      <c r="M51" s="221"/>
      <c r="N51" s="152"/>
      <c r="O51" s="149">
        <f>M20+M50</f>
        <v>331768.8</v>
      </c>
      <c r="P51" s="61">
        <f>O51*Adj!J8</f>
        <v>57031.05672</v>
      </c>
    </row>
    <row r="52" spans="2:16" x14ac:dyDescent="0.35">
      <c r="B52" s="39"/>
      <c r="C52" s="40">
        <f t="shared" ref="C52:L52" si="5">SUM(C46:C51)</f>
        <v>156396.06</v>
      </c>
      <c r="D52" s="40">
        <f t="shared" si="5"/>
        <v>66887.95938</v>
      </c>
      <c r="E52" s="40">
        <f t="shared" si="5"/>
        <v>159450.74</v>
      </c>
      <c r="F52" s="40">
        <f t="shared" si="5"/>
        <v>63775.481879999999</v>
      </c>
      <c r="G52" s="40">
        <f t="shared" si="5"/>
        <v>162427.16</v>
      </c>
      <c r="H52" s="40">
        <f t="shared" si="5"/>
        <v>60532.057505000004</v>
      </c>
      <c r="I52" s="40">
        <f t="shared" si="5"/>
        <v>166211.35</v>
      </c>
      <c r="J52" s="40">
        <f t="shared" si="5"/>
        <v>57144.821255000003</v>
      </c>
      <c r="K52" s="40">
        <f t="shared" si="5"/>
        <v>169272.8</v>
      </c>
      <c r="L52" s="40">
        <f t="shared" si="5"/>
        <v>53643.197505000004</v>
      </c>
      <c r="M52" s="41">
        <f>SUM(M46:M51)</f>
        <v>1115741.6275249999</v>
      </c>
      <c r="N52" s="41"/>
    </row>
    <row r="53" spans="2:16" x14ac:dyDescent="0.35">
      <c r="B53" s="44"/>
      <c r="C53" s="56"/>
      <c r="D53" s="56"/>
      <c r="E53" s="56"/>
      <c r="F53" s="56"/>
      <c r="G53" s="56"/>
      <c r="H53" s="56"/>
      <c r="I53" s="56"/>
      <c r="J53" s="56"/>
      <c r="K53" s="56"/>
      <c r="L53" s="56"/>
      <c r="M53" s="152"/>
      <c r="N53" s="152"/>
    </row>
    <row r="54" spans="2:16" x14ac:dyDescent="0.35">
      <c r="B54" s="44"/>
      <c r="C54" s="56"/>
      <c r="D54" s="56"/>
      <c r="E54" s="56"/>
      <c r="F54" s="56"/>
      <c r="G54" s="56"/>
      <c r="H54" s="150" t="s">
        <v>500</v>
      </c>
      <c r="I54" s="29"/>
      <c r="J54" s="56"/>
      <c r="K54" s="150"/>
      <c r="L54" s="85"/>
      <c r="M54" s="656">
        <f>M52/5</f>
        <v>223148.32550499999</v>
      </c>
      <c r="N54" s="152"/>
    </row>
    <row r="55" spans="2:16" x14ac:dyDescent="0.35">
      <c r="B55" s="44"/>
      <c r="C55" s="56"/>
      <c r="D55" s="56"/>
      <c r="E55" s="56"/>
      <c r="F55" s="56"/>
      <c r="G55" s="56"/>
      <c r="H55" s="150"/>
      <c r="I55" s="29"/>
      <c r="J55" s="56"/>
      <c r="K55" s="150"/>
      <c r="L55" s="85"/>
      <c r="M55" s="656"/>
      <c r="N55" s="152"/>
    </row>
    <row r="56" spans="2:16" x14ac:dyDescent="0.35">
      <c r="B56" s="44"/>
      <c r="C56" s="56"/>
      <c r="D56" s="56"/>
      <c r="E56" s="56"/>
      <c r="F56" s="56"/>
      <c r="G56" s="56"/>
      <c r="H56" s="45" t="s">
        <v>457</v>
      </c>
      <c r="I56" s="29"/>
      <c r="J56" s="56"/>
      <c r="K56" s="150"/>
      <c r="L56" s="150"/>
      <c r="M56" s="656">
        <f>M54*0.2</f>
        <v>44629.665100999999</v>
      </c>
      <c r="N56" s="152"/>
    </row>
    <row r="57" spans="2:16" x14ac:dyDescent="0.35">
      <c r="B57" s="91"/>
      <c r="C57" s="52"/>
      <c r="D57" s="52"/>
      <c r="E57" s="52"/>
      <c r="F57" s="52"/>
      <c r="G57" s="52"/>
      <c r="H57" s="52"/>
      <c r="I57" s="52"/>
      <c r="J57" s="52"/>
      <c r="K57" s="52"/>
      <c r="L57" s="52"/>
      <c r="M57" s="42"/>
      <c r="N57" s="42"/>
    </row>
    <row r="59" spans="2:16" x14ac:dyDescent="0.35">
      <c r="B59" s="273" t="s">
        <v>690</v>
      </c>
    </row>
    <row r="60" spans="2:16" x14ac:dyDescent="0.35">
      <c r="B60" s="273" t="s">
        <v>616</v>
      </c>
    </row>
    <row r="63" spans="2:16" x14ac:dyDescent="0.35">
      <c r="B63" s="273" t="s">
        <v>691</v>
      </c>
      <c r="C63" s="273"/>
      <c r="E63" s="273" t="s">
        <v>617</v>
      </c>
      <c r="F63" s="273" t="s">
        <v>619</v>
      </c>
      <c r="J63" s="273" t="s">
        <v>617</v>
      </c>
      <c r="K63" s="273" t="s">
        <v>618</v>
      </c>
    </row>
    <row r="64" spans="2:16" x14ac:dyDescent="0.35">
      <c r="C64" s="376"/>
      <c r="D64" s="376"/>
      <c r="F64" s="376" t="s">
        <v>242</v>
      </c>
      <c r="G64" s="376" t="s">
        <v>83</v>
      </c>
      <c r="K64" s="376" t="s">
        <v>242</v>
      </c>
      <c r="L64" s="376" t="s">
        <v>83</v>
      </c>
    </row>
    <row r="65" spans="3:13" x14ac:dyDescent="0.35">
      <c r="E65" s="178" t="s">
        <v>609</v>
      </c>
      <c r="F65" s="299">
        <v>820000</v>
      </c>
      <c r="G65" s="299">
        <v>620000</v>
      </c>
      <c r="H65" s="273" t="s">
        <v>608</v>
      </c>
      <c r="J65" s="273" t="s">
        <v>620</v>
      </c>
      <c r="K65" s="299">
        <v>232500</v>
      </c>
      <c r="L65" s="299">
        <v>603000</v>
      </c>
      <c r="M65" s="273" t="s">
        <v>622</v>
      </c>
    </row>
    <row r="66" spans="3:13" x14ac:dyDescent="0.35">
      <c r="E66" s="178" t="s">
        <v>611</v>
      </c>
      <c r="F66" s="299">
        <v>775000</v>
      </c>
      <c r="G66" s="299">
        <v>325000</v>
      </c>
      <c r="H66" s="273" t="s">
        <v>609</v>
      </c>
      <c r="J66" s="273" t="s">
        <v>621</v>
      </c>
      <c r="K66" s="299"/>
      <c r="L66" s="299">
        <v>275000</v>
      </c>
      <c r="M66" s="273" t="s">
        <v>623</v>
      </c>
    </row>
    <row r="67" spans="3:13" x14ac:dyDescent="0.35">
      <c r="F67" s="299"/>
      <c r="G67" s="299">
        <v>2250000</v>
      </c>
      <c r="H67" s="273" t="s">
        <v>610</v>
      </c>
      <c r="K67" s="299"/>
      <c r="L67" s="299">
        <v>127000</v>
      </c>
      <c r="M67" s="273" t="s">
        <v>624</v>
      </c>
    </row>
    <row r="69" spans="3:13" x14ac:dyDescent="0.35">
      <c r="C69" s="344"/>
      <c r="D69" s="344"/>
      <c r="E69" s="178" t="s">
        <v>612</v>
      </c>
      <c r="F69" s="344">
        <f>ROUND((F65+F66)/(SUM(F65:G67)),3)</f>
        <v>0.33300000000000002</v>
      </c>
      <c r="G69" s="344">
        <f>ROUND(SUM(G65:G68)/SUM(F65:G67),3)</f>
        <v>0.66700000000000004</v>
      </c>
      <c r="K69" s="344">
        <f>ROUND(K65/(SUM(K65:L67)),3)</f>
        <v>0.188</v>
      </c>
      <c r="L69" s="344">
        <f>ROUND(SUM(L65:L68)/SUM(K65:L67),3)</f>
        <v>0.81200000000000006</v>
      </c>
    </row>
  </sheetData>
  <mergeCells count="12">
    <mergeCell ref="B40:M40"/>
    <mergeCell ref="B41:M41"/>
    <mergeCell ref="C9:D9"/>
    <mergeCell ref="E9:F9"/>
    <mergeCell ref="G9:H9"/>
    <mergeCell ref="I9:J9"/>
    <mergeCell ref="K9:L9"/>
    <mergeCell ref="C43:D43"/>
    <mergeCell ref="E43:F43"/>
    <mergeCell ref="G43:H43"/>
    <mergeCell ref="I43:J43"/>
    <mergeCell ref="K43:L43"/>
  </mergeCells>
  <pageMargins left="0.7" right="0.7" top="0.75" bottom="0.75" header="0.3" footer="0.3"/>
  <ignoredErrors>
    <ignoredError sqref="D19:J19 D49 H49 J4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F8E0E-D508-48D7-8C6D-52E32FF6AA9B}">
  <sheetPr>
    <tabColor rgb="FF92D050"/>
  </sheetPr>
  <dimension ref="A3:AL80"/>
  <sheetViews>
    <sheetView topLeftCell="E53" zoomScaleNormal="100" workbookViewId="0">
      <selection activeCell="N57" sqref="N57"/>
    </sheetView>
  </sheetViews>
  <sheetFormatPr defaultRowHeight="15.5" x14ac:dyDescent="0.35"/>
  <cols>
    <col min="1" max="2" width="16.53515625" bestFit="1" customWidth="1"/>
    <col min="3" max="3" width="29.53515625" customWidth="1"/>
    <col min="5" max="5" width="11.61328125" bestFit="1" customWidth="1"/>
    <col min="6" max="6" width="11.53515625" bestFit="1" customWidth="1"/>
    <col min="7" max="7" width="10.15234375" customWidth="1"/>
    <col min="8" max="8" width="12.69140625" bestFit="1" customWidth="1"/>
    <col min="10" max="10" width="9.921875" bestFit="1" customWidth="1"/>
    <col min="12" max="12" width="12.4609375" bestFit="1" customWidth="1"/>
    <col min="13" max="13" width="12.84375" customWidth="1"/>
    <col min="17" max="17" width="12.15234375" bestFit="1" customWidth="1"/>
    <col min="21" max="21" width="12" customWidth="1"/>
    <col min="29" max="29" width="12.3046875" customWidth="1"/>
    <col min="37" max="37" width="12.4609375" customWidth="1"/>
  </cols>
  <sheetData>
    <row r="3" spans="2:37" x14ac:dyDescent="0.35">
      <c r="D3" s="169" t="s">
        <v>96</v>
      </c>
    </row>
    <row r="5" spans="2:37" x14ac:dyDescent="0.35">
      <c r="B5" t="s">
        <v>341</v>
      </c>
    </row>
    <row r="6" spans="2:37" ht="43.5" x14ac:dyDescent="0.35">
      <c r="C6" s="170" t="s">
        <v>176</v>
      </c>
      <c r="D6" s="48" t="s">
        <v>99</v>
      </c>
      <c r="E6" s="48"/>
      <c r="F6" s="171" t="s">
        <v>177</v>
      </c>
      <c r="G6" s="171" t="s">
        <v>178</v>
      </c>
      <c r="H6" s="171" t="s">
        <v>179</v>
      </c>
      <c r="I6" s="171" t="s">
        <v>180</v>
      </c>
      <c r="J6" s="171" t="s">
        <v>181</v>
      </c>
      <c r="K6" s="172" t="s">
        <v>182</v>
      </c>
      <c r="L6" s="172" t="s">
        <v>381</v>
      </c>
      <c r="M6" s="260" t="s">
        <v>382</v>
      </c>
      <c r="N6" s="171" t="s">
        <v>383</v>
      </c>
      <c r="O6" s="171" t="s">
        <v>384</v>
      </c>
      <c r="P6" s="171" t="s">
        <v>385</v>
      </c>
      <c r="Q6" s="171" t="s">
        <v>386</v>
      </c>
      <c r="R6" s="171" t="s">
        <v>387</v>
      </c>
      <c r="S6" s="172" t="s">
        <v>182</v>
      </c>
      <c r="T6" s="172" t="s">
        <v>381</v>
      </c>
      <c r="U6" s="261" t="s">
        <v>388</v>
      </c>
      <c r="V6" s="171" t="s">
        <v>383</v>
      </c>
      <c r="W6" s="171" t="s">
        <v>384</v>
      </c>
      <c r="X6" s="171" t="s">
        <v>385</v>
      </c>
      <c r="Y6" s="171" t="s">
        <v>386</v>
      </c>
      <c r="Z6" s="171" t="s">
        <v>387</v>
      </c>
      <c r="AA6" s="172" t="s">
        <v>182</v>
      </c>
      <c r="AB6" s="172" t="s">
        <v>381</v>
      </c>
      <c r="AC6" s="262" t="s">
        <v>389</v>
      </c>
      <c r="AD6" s="171" t="s">
        <v>383</v>
      </c>
      <c r="AE6" s="171" t="s">
        <v>384</v>
      </c>
      <c r="AF6" s="171" t="s">
        <v>385</v>
      </c>
      <c r="AG6" s="171" t="s">
        <v>386</v>
      </c>
      <c r="AH6" s="171" t="s">
        <v>387</v>
      </c>
      <c r="AI6" s="172" t="s">
        <v>182</v>
      </c>
      <c r="AJ6" s="172" t="s">
        <v>381</v>
      </c>
      <c r="AK6" s="263" t="s">
        <v>390</v>
      </c>
    </row>
    <row r="7" spans="2:37" s="460" customFormat="1" x14ac:dyDescent="0.35">
      <c r="B7" s="458" t="s">
        <v>343</v>
      </c>
      <c r="C7" s="458" t="s">
        <v>204</v>
      </c>
      <c r="D7" s="459">
        <v>27.39</v>
      </c>
      <c r="E7" s="458" t="s">
        <v>183</v>
      </c>
      <c r="F7" s="462">
        <v>435</v>
      </c>
      <c r="G7" s="462">
        <v>8.5</v>
      </c>
      <c r="H7" s="462">
        <v>16</v>
      </c>
      <c r="I7" s="462">
        <v>28.5</v>
      </c>
      <c r="J7" s="462">
        <v>12</v>
      </c>
      <c r="K7" s="458">
        <v>0</v>
      </c>
      <c r="L7" s="458">
        <f>SUM(F7:K7)</f>
        <v>500</v>
      </c>
      <c r="M7" s="459">
        <v>13811.48</v>
      </c>
      <c r="N7" s="458"/>
      <c r="O7" s="458"/>
      <c r="P7" s="458"/>
      <c r="Q7" s="458"/>
    </row>
    <row r="8" spans="2:37" x14ac:dyDescent="0.35">
      <c r="B8" s="173" t="s">
        <v>344</v>
      </c>
      <c r="C8" s="173" t="s">
        <v>184</v>
      </c>
      <c r="D8" s="174">
        <v>14</v>
      </c>
      <c r="E8" s="173" t="s">
        <v>185</v>
      </c>
      <c r="F8" s="264">
        <v>515</v>
      </c>
      <c r="G8" s="264">
        <v>12.5</v>
      </c>
      <c r="H8" s="264">
        <v>8</v>
      </c>
      <c r="I8" s="264">
        <v>0</v>
      </c>
      <c r="J8" s="264">
        <v>0</v>
      </c>
      <c r="K8" s="173">
        <v>0</v>
      </c>
      <c r="L8" s="173">
        <f t="shared" ref="L8:L14" si="0">SUM(F8:K8)</f>
        <v>535.5</v>
      </c>
      <c r="M8" s="174">
        <v>7584.5</v>
      </c>
      <c r="N8" s="173"/>
      <c r="O8" s="173"/>
      <c r="P8" s="173"/>
      <c r="Q8" s="173"/>
      <c r="S8" s="175"/>
    </row>
    <row r="9" spans="2:37" s="460" customFormat="1" x14ac:dyDescent="0.35">
      <c r="B9" s="458" t="s">
        <v>345</v>
      </c>
      <c r="C9" s="458" t="s">
        <v>187</v>
      </c>
      <c r="D9" s="459">
        <v>18.77</v>
      </c>
      <c r="E9" s="458" t="s">
        <v>186</v>
      </c>
      <c r="F9" s="458">
        <v>1429</v>
      </c>
      <c r="G9" s="458">
        <v>31</v>
      </c>
      <c r="H9" s="458">
        <v>64</v>
      </c>
      <c r="I9" s="458">
        <v>57</v>
      </c>
      <c r="J9" s="458">
        <v>32</v>
      </c>
      <c r="K9" s="458">
        <v>0</v>
      </c>
      <c r="L9" s="458">
        <f t="shared" si="0"/>
        <v>1613</v>
      </c>
      <c r="M9" s="459">
        <v>31152.71</v>
      </c>
      <c r="N9" s="458"/>
      <c r="O9" s="458"/>
      <c r="P9" s="458"/>
      <c r="Q9" s="458"/>
    </row>
    <row r="10" spans="2:37" s="460" customFormat="1" x14ac:dyDescent="0.35">
      <c r="B10" s="458" t="s">
        <v>346</v>
      </c>
      <c r="C10" s="458" t="s">
        <v>189</v>
      </c>
      <c r="D10" s="459">
        <v>26.35</v>
      </c>
      <c r="E10" s="458" t="s">
        <v>188</v>
      </c>
      <c r="F10" s="458">
        <v>1804.5</v>
      </c>
      <c r="G10" s="458">
        <v>131.5</v>
      </c>
      <c r="H10" s="458">
        <v>72</v>
      </c>
      <c r="I10" s="458">
        <v>34.5</v>
      </c>
      <c r="J10" s="458">
        <v>112</v>
      </c>
      <c r="K10" s="458">
        <v>87.5</v>
      </c>
      <c r="L10" s="458">
        <f t="shared" si="0"/>
        <v>2242</v>
      </c>
      <c r="M10" s="459">
        <v>60855.839999999997</v>
      </c>
      <c r="N10" s="458"/>
      <c r="O10" s="458"/>
      <c r="P10" s="458"/>
      <c r="Q10" s="458"/>
    </row>
    <row r="11" spans="2:37" s="460" customFormat="1" x14ac:dyDescent="0.35">
      <c r="B11" s="458" t="s">
        <v>347</v>
      </c>
      <c r="C11" s="458" t="s">
        <v>191</v>
      </c>
      <c r="D11" s="459">
        <v>18.77</v>
      </c>
      <c r="E11" s="458" t="s">
        <v>190</v>
      </c>
      <c r="F11" s="458">
        <v>1800</v>
      </c>
      <c r="G11" s="458">
        <v>145.5</v>
      </c>
      <c r="H11" s="458">
        <v>72</v>
      </c>
      <c r="I11" s="458">
        <v>81</v>
      </c>
      <c r="J11" s="458">
        <v>16</v>
      </c>
      <c r="K11" s="458">
        <v>20</v>
      </c>
      <c r="L11" s="458">
        <f t="shared" si="0"/>
        <v>2134.5</v>
      </c>
      <c r="M11" s="459">
        <v>42747.59</v>
      </c>
      <c r="N11" s="458"/>
      <c r="O11" s="458"/>
      <c r="P11" s="458"/>
      <c r="Q11" s="458"/>
    </row>
    <row r="12" spans="2:37" s="460" customFormat="1" x14ac:dyDescent="0.35">
      <c r="B12" s="458" t="s">
        <v>348</v>
      </c>
      <c r="C12" s="458" t="s">
        <v>184</v>
      </c>
      <c r="D12" s="459">
        <v>18</v>
      </c>
      <c r="E12" s="458" t="s">
        <v>192</v>
      </c>
      <c r="F12" s="458">
        <v>1656</v>
      </c>
      <c r="G12" s="458">
        <v>45</v>
      </c>
      <c r="H12" s="458">
        <v>72.5</v>
      </c>
      <c r="I12" s="458">
        <v>88</v>
      </c>
      <c r="J12" s="458">
        <v>40</v>
      </c>
      <c r="K12" s="458">
        <v>0</v>
      </c>
      <c r="L12" s="458">
        <f t="shared" si="0"/>
        <v>1901.5</v>
      </c>
      <c r="M12" s="459">
        <v>34596.33</v>
      </c>
      <c r="N12" s="458"/>
      <c r="O12" s="458"/>
      <c r="P12" s="458"/>
      <c r="Q12" s="458"/>
    </row>
    <row r="13" spans="2:37" s="460" customFormat="1" x14ac:dyDescent="0.35">
      <c r="B13" s="458" t="s">
        <v>349</v>
      </c>
      <c r="C13" s="458" t="s">
        <v>184</v>
      </c>
      <c r="D13" s="459">
        <v>14.77</v>
      </c>
      <c r="E13" s="458" t="s">
        <v>193</v>
      </c>
      <c r="F13" s="458">
        <v>1839</v>
      </c>
      <c r="G13" s="458">
        <v>198</v>
      </c>
      <c r="H13" s="458">
        <v>72</v>
      </c>
      <c r="I13" s="458">
        <v>31</v>
      </c>
      <c r="J13" s="458">
        <v>0</v>
      </c>
      <c r="K13" s="458">
        <v>0</v>
      </c>
      <c r="L13" s="458">
        <f t="shared" si="0"/>
        <v>2140</v>
      </c>
      <c r="M13" s="459">
        <v>33743.82</v>
      </c>
      <c r="N13" s="458"/>
      <c r="O13" s="458"/>
      <c r="P13" s="458"/>
      <c r="Q13" s="458"/>
    </row>
    <row r="14" spans="2:37" x14ac:dyDescent="0.35">
      <c r="B14" s="173" t="s">
        <v>350</v>
      </c>
      <c r="C14" s="173" t="s">
        <v>195</v>
      </c>
      <c r="D14" s="174">
        <v>22.55</v>
      </c>
      <c r="E14" s="173" t="s">
        <v>194</v>
      </c>
      <c r="F14" s="173">
        <v>338.5</v>
      </c>
      <c r="G14" s="173">
        <v>11.5</v>
      </c>
      <c r="H14" s="173">
        <v>16</v>
      </c>
      <c r="I14" s="173">
        <v>24.5</v>
      </c>
      <c r="J14" s="173">
        <v>50</v>
      </c>
      <c r="K14" s="173">
        <v>0</v>
      </c>
      <c r="L14" s="173">
        <f t="shared" si="0"/>
        <v>440.5</v>
      </c>
      <c r="M14" s="174">
        <v>10063.02</v>
      </c>
      <c r="N14" s="173"/>
      <c r="O14" s="173"/>
      <c r="P14" s="173"/>
      <c r="Q14" s="173"/>
    </row>
    <row r="15" spans="2:37" s="460" customFormat="1" x14ac:dyDescent="0.35">
      <c r="B15" s="458" t="s">
        <v>351</v>
      </c>
      <c r="C15" s="458" t="s">
        <v>198</v>
      </c>
      <c r="D15" s="459">
        <v>16.02</v>
      </c>
      <c r="E15" s="458" t="s">
        <v>197</v>
      </c>
      <c r="F15" s="461"/>
      <c r="G15" s="461"/>
      <c r="H15" s="459"/>
      <c r="I15" s="461"/>
      <c r="J15" s="461"/>
      <c r="K15" s="461"/>
      <c r="L15" s="458"/>
      <c r="M15" s="458"/>
      <c r="N15" s="458"/>
      <c r="O15" s="458"/>
      <c r="P15" s="458"/>
      <c r="Q15" s="458"/>
      <c r="R15" s="458"/>
      <c r="S15" s="458"/>
      <c r="T15" s="458"/>
      <c r="U15" s="459"/>
      <c r="V15" s="458">
        <v>1726</v>
      </c>
      <c r="W15" s="458">
        <v>49</v>
      </c>
      <c r="X15" s="458">
        <v>72</v>
      </c>
      <c r="Y15" s="458">
        <v>89</v>
      </c>
      <c r="Z15" s="458">
        <v>0</v>
      </c>
      <c r="AA15" s="458">
        <v>24</v>
      </c>
      <c r="AB15" s="458">
        <f>SUM(V15:AA15)</f>
        <v>1960</v>
      </c>
      <c r="AC15" s="459">
        <v>32145.85</v>
      </c>
      <c r="AD15" s="458"/>
      <c r="AE15" s="458"/>
      <c r="AF15" s="458"/>
      <c r="AG15" s="458"/>
      <c r="AH15" s="458"/>
      <c r="AI15" s="458"/>
      <c r="AJ15" s="458"/>
      <c r="AK15" s="459"/>
    </row>
    <row r="16" spans="2:37" s="460" customFormat="1" x14ac:dyDescent="0.35">
      <c r="B16" s="458" t="s">
        <v>352</v>
      </c>
      <c r="C16" s="458" t="s">
        <v>191</v>
      </c>
      <c r="D16" s="459">
        <v>23.46</v>
      </c>
      <c r="E16" s="458" t="s">
        <v>199</v>
      </c>
      <c r="F16" s="461"/>
      <c r="G16" s="461"/>
      <c r="H16" s="459"/>
      <c r="I16" s="461"/>
      <c r="J16" s="461"/>
      <c r="K16" s="461"/>
      <c r="L16" s="458"/>
      <c r="M16" s="458"/>
      <c r="N16" s="458"/>
      <c r="O16" s="458"/>
      <c r="P16" s="458"/>
      <c r="Q16" s="458"/>
      <c r="R16" s="458"/>
      <c r="S16" s="458"/>
      <c r="T16" s="458"/>
      <c r="U16" s="459"/>
      <c r="V16" s="458">
        <v>1804</v>
      </c>
      <c r="W16" s="458">
        <v>187.5</v>
      </c>
      <c r="X16" s="458">
        <v>72</v>
      </c>
      <c r="Y16" s="458">
        <v>77.5</v>
      </c>
      <c r="Z16" s="458">
        <v>32</v>
      </c>
      <c r="AA16" s="458">
        <v>0</v>
      </c>
      <c r="AB16" s="458">
        <f>SUM(V16:AA16)</f>
        <v>2173</v>
      </c>
      <c r="AC16" s="459">
        <v>53051.17</v>
      </c>
      <c r="AD16" s="458"/>
      <c r="AE16" s="458"/>
      <c r="AF16" s="458"/>
      <c r="AG16" s="458"/>
      <c r="AH16" s="458"/>
      <c r="AI16" s="458"/>
      <c r="AJ16" s="458"/>
      <c r="AK16" s="459"/>
    </row>
    <row r="17" spans="2:37" x14ac:dyDescent="0.35">
      <c r="B17" s="173" t="s">
        <v>353</v>
      </c>
      <c r="C17" s="173" t="s">
        <v>342</v>
      </c>
      <c r="D17" s="174">
        <v>20</v>
      </c>
      <c r="E17" s="173" t="s">
        <v>200</v>
      </c>
      <c r="F17" s="29"/>
      <c r="G17" s="29"/>
      <c r="H17" s="174"/>
      <c r="I17" s="29"/>
      <c r="J17" s="29"/>
      <c r="K17" s="29"/>
      <c r="N17" s="173"/>
      <c r="O17" s="173"/>
      <c r="P17" s="173"/>
      <c r="Q17" s="173"/>
      <c r="R17" s="173"/>
      <c r="S17" s="173"/>
      <c r="T17" s="173"/>
      <c r="U17" s="174"/>
      <c r="V17" s="173">
        <v>858</v>
      </c>
      <c r="W17" s="173">
        <v>0</v>
      </c>
      <c r="X17" s="173">
        <v>56</v>
      </c>
      <c r="Y17" s="173">
        <v>0</v>
      </c>
      <c r="Z17" s="173">
        <v>0</v>
      </c>
      <c r="AA17" s="173">
        <v>0</v>
      </c>
      <c r="AB17" s="173">
        <f>SUM(V17:AA17)</f>
        <v>914</v>
      </c>
      <c r="AC17" s="174">
        <v>18549.29</v>
      </c>
      <c r="AD17" s="173"/>
      <c r="AE17" s="173"/>
      <c r="AF17" s="173"/>
      <c r="AG17" s="173"/>
      <c r="AH17" s="173"/>
      <c r="AI17" s="173"/>
      <c r="AJ17" s="173"/>
      <c r="AK17" s="174"/>
    </row>
    <row r="18" spans="2:37" s="460" customFormat="1" x14ac:dyDescent="0.35">
      <c r="B18" s="458" t="s">
        <v>354</v>
      </c>
      <c r="C18" s="458" t="s">
        <v>202</v>
      </c>
      <c r="D18" s="459">
        <v>16.27</v>
      </c>
      <c r="E18" s="458" t="s">
        <v>201</v>
      </c>
      <c r="F18" s="461"/>
      <c r="G18" s="461"/>
      <c r="H18" s="459"/>
      <c r="I18" s="461"/>
      <c r="J18" s="461"/>
      <c r="K18" s="461"/>
      <c r="N18" s="458">
        <v>1870</v>
      </c>
      <c r="O18" s="458">
        <v>107</v>
      </c>
      <c r="P18" s="458">
        <v>72</v>
      </c>
      <c r="Q18" s="458">
        <v>35</v>
      </c>
      <c r="R18" s="458">
        <v>0</v>
      </c>
      <c r="S18" s="458">
        <v>0</v>
      </c>
      <c r="T18" s="458">
        <f>SUM(N18:S18)</f>
        <v>2084</v>
      </c>
      <c r="U18" s="459">
        <v>35458.339999999997</v>
      </c>
      <c r="V18" s="458"/>
      <c r="W18" s="458"/>
      <c r="X18" s="458"/>
      <c r="Y18" s="458"/>
      <c r="Z18" s="458"/>
      <c r="AA18" s="458"/>
      <c r="AB18" s="458"/>
      <c r="AC18" s="459"/>
      <c r="AD18" s="458"/>
      <c r="AE18" s="458"/>
      <c r="AF18" s="458"/>
      <c r="AG18" s="458"/>
      <c r="AH18" s="458"/>
      <c r="AI18" s="458"/>
      <c r="AJ18" s="458"/>
      <c r="AK18" s="459"/>
    </row>
    <row r="19" spans="2:37" s="460" customFormat="1" x14ac:dyDescent="0.35">
      <c r="B19" s="458" t="s">
        <v>343</v>
      </c>
      <c r="C19" s="458" t="s">
        <v>204</v>
      </c>
      <c r="D19" s="459">
        <v>27.39</v>
      </c>
      <c r="E19" s="458" t="s">
        <v>203</v>
      </c>
      <c r="F19" s="461"/>
      <c r="G19" s="461"/>
      <c r="H19" s="459"/>
      <c r="I19" s="461"/>
      <c r="J19" s="461"/>
      <c r="K19" s="461"/>
      <c r="N19" s="458"/>
      <c r="O19" s="458"/>
      <c r="P19" s="458"/>
      <c r="Q19" s="458"/>
      <c r="R19" s="458"/>
      <c r="S19" s="458"/>
      <c r="T19" s="458"/>
      <c r="U19" s="459"/>
      <c r="V19" s="458">
        <v>1116</v>
      </c>
      <c r="W19" s="458">
        <v>31.5</v>
      </c>
      <c r="X19" s="458">
        <v>56</v>
      </c>
      <c r="Y19" s="458">
        <v>64.5</v>
      </c>
      <c r="Z19" s="458">
        <v>112.5</v>
      </c>
      <c r="AA19" s="458">
        <v>44</v>
      </c>
      <c r="AB19" s="458">
        <f>SUM(V19:AA19)</f>
        <v>1424.5</v>
      </c>
      <c r="AC19" s="459">
        <v>40079.47</v>
      </c>
      <c r="AD19" s="458"/>
      <c r="AE19" s="458"/>
      <c r="AF19" s="458"/>
      <c r="AG19" s="458"/>
      <c r="AH19" s="458"/>
      <c r="AI19" s="458"/>
      <c r="AJ19" s="458"/>
      <c r="AK19" s="459"/>
    </row>
    <row r="20" spans="2:37" x14ac:dyDescent="0.35">
      <c r="B20" s="173" t="s">
        <v>355</v>
      </c>
      <c r="C20" s="173" t="s">
        <v>184</v>
      </c>
      <c r="D20" s="174">
        <v>14</v>
      </c>
      <c r="E20" s="173" t="s">
        <v>205</v>
      </c>
      <c r="F20" s="29"/>
      <c r="G20" s="29"/>
      <c r="H20" s="174"/>
      <c r="I20" s="29"/>
      <c r="J20" s="29"/>
      <c r="K20" s="29"/>
      <c r="N20" s="173"/>
      <c r="O20" s="173"/>
      <c r="P20" s="173"/>
      <c r="Q20" s="173"/>
      <c r="R20" s="173"/>
      <c r="S20" s="173"/>
      <c r="T20" s="173"/>
      <c r="U20" s="174"/>
      <c r="V20" s="173">
        <v>1438.5</v>
      </c>
      <c r="W20" s="173">
        <v>37</v>
      </c>
      <c r="X20" s="173">
        <v>64</v>
      </c>
      <c r="Y20" s="173">
        <v>0</v>
      </c>
      <c r="Z20" s="173">
        <v>0</v>
      </c>
      <c r="AA20" s="173">
        <v>0</v>
      </c>
      <c r="AB20" s="173">
        <f>SUM(V20:AA20)</f>
        <v>1539.5</v>
      </c>
      <c r="AC20" s="174">
        <v>22451.69</v>
      </c>
      <c r="AD20" s="173"/>
      <c r="AE20" s="173"/>
      <c r="AF20" s="173"/>
      <c r="AG20" s="173"/>
      <c r="AH20" s="173"/>
      <c r="AI20" s="173"/>
      <c r="AJ20" s="173"/>
      <c r="AK20" s="174"/>
    </row>
    <row r="21" spans="2:37" s="460" customFormat="1" x14ac:dyDescent="0.35">
      <c r="B21" s="458" t="s">
        <v>356</v>
      </c>
      <c r="C21" s="458" t="s">
        <v>184</v>
      </c>
      <c r="D21" s="459">
        <v>20.78</v>
      </c>
      <c r="E21" s="458" t="s">
        <v>207</v>
      </c>
      <c r="F21" s="461"/>
      <c r="G21" s="461"/>
      <c r="H21" s="459"/>
      <c r="I21" s="461"/>
      <c r="J21" s="461"/>
      <c r="K21" s="461"/>
      <c r="N21" s="458"/>
      <c r="O21" s="458"/>
      <c r="P21" s="458"/>
      <c r="Q21" s="458"/>
      <c r="R21" s="458"/>
      <c r="S21" s="458"/>
      <c r="T21" s="458"/>
      <c r="U21" s="459"/>
      <c r="V21" s="458">
        <v>1784.5</v>
      </c>
      <c r="W21" s="458">
        <v>165</v>
      </c>
      <c r="X21" s="458">
        <v>72</v>
      </c>
      <c r="Y21" s="458">
        <v>87</v>
      </c>
      <c r="Z21" s="458">
        <v>39.5</v>
      </c>
      <c r="AA21" s="458">
        <v>0</v>
      </c>
      <c r="AB21" s="458">
        <f>SUM(V21:AA21)</f>
        <v>2148</v>
      </c>
      <c r="AC21" s="459">
        <v>46989.67</v>
      </c>
      <c r="AD21" s="458"/>
      <c r="AE21" s="458"/>
      <c r="AF21" s="458"/>
      <c r="AG21" s="458"/>
      <c r="AH21" s="458"/>
      <c r="AI21" s="458"/>
      <c r="AJ21" s="458"/>
      <c r="AK21" s="459"/>
    </row>
    <row r="22" spans="2:37" s="460" customFormat="1" x14ac:dyDescent="0.35">
      <c r="B22" s="458" t="s">
        <v>357</v>
      </c>
      <c r="C22" s="458" t="s">
        <v>184</v>
      </c>
      <c r="D22" s="459">
        <v>14.77</v>
      </c>
      <c r="E22" s="458" t="s">
        <v>208</v>
      </c>
      <c r="F22" s="461"/>
      <c r="G22" s="461"/>
      <c r="H22" s="459"/>
      <c r="I22" s="461"/>
      <c r="J22" s="461"/>
      <c r="K22" s="461"/>
      <c r="N22" s="458"/>
      <c r="O22" s="458"/>
      <c r="P22" s="458"/>
      <c r="Q22" s="458"/>
      <c r="R22" s="458"/>
      <c r="S22" s="458"/>
      <c r="T22" s="458"/>
      <c r="U22" s="459"/>
      <c r="V22" s="458">
        <v>1812.5</v>
      </c>
      <c r="W22" s="458">
        <v>98</v>
      </c>
      <c r="X22" s="458">
        <v>72</v>
      </c>
      <c r="Y22" s="458">
        <v>0</v>
      </c>
      <c r="Z22" s="458">
        <v>0</v>
      </c>
      <c r="AA22" s="458">
        <v>0</v>
      </c>
      <c r="AB22" s="458">
        <f>SUM(V22:AA22)</f>
        <v>1982.5</v>
      </c>
      <c r="AC22" s="459">
        <v>30645.46</v>
      </c>
      <c r="AD22" s="458"/>
      <c r="AE22" s="458"/>
      <c r="AF22" s="458"/>
      <c r="AG22" s="458"/>
      <c r="AH22" s="458"/>
      <c r="AI22" s="458"/>
      <c r="AJ22" s="458"/>
      <c r="AK22" s="459"/>
    </row>
    <row r="23" spans="2:37" s="460" customFormat="1" x14ac:dyDescent="0.35">
      <c r="B23" s="458" t="s">
        <v>358</v>
      </c>
      <c r="C23" s="458" t="s">
        <v>206</v>
      </c>
      <c r="D23" s="459">
        <v>18.77</v>
      </c>
      <c r="E23" s="458" t="s">
        <v>209</v>
      </c>
      <c r="F23" s="461"/>
      <c r="G23" s="461"/>
      <c r="H23" s="459"/>
      <c r="I23" s="461"/>
      <c r="J23" s="461"/>
      <c r="K23" s="461"/>
      <c r="N23" s="458"/>
      <c r="O23" s="458"/>
      <c r="P23" s="458"/>
      <c r="Q23" s="458"/>
      <c r="R23" s="458"/>
      <c r="S23" s="458"/>
      <c r="T23" s="458"/>
      <c r="U23" s="459"/>
      <c r="V23" s="458"/>
      <c r="W23" s="458"/>
      <c r="X23" s="458"/>
      <c r="Y23" s="458"/>
      <c r="Z23" s="458"/>
      <c r="AA23" s="458"/>
      <c r="AB23" s="458"/>
      <c r="AC23" s="459"/>
      <c r="AD23" s="458">
        <v>1791</v>
      </c>
      <c r="AE23" s="458">
        <v>86.5</v>
      </c>
      <c r="AF23" s="458">
        <v>72</v>
      </c>
      <c r="AG23" s="458">
        <v>119</v>
      </c>
      <c r="AH23" s="458">
        <v>11</v>
      </c>
      <c r="AI23" s="458">
        <v>0</v>
      </c>
      <c r="AJ23" s="458">
        <f>SUM(AD23:AI23)</f>
        <v>2079.5</v>
      </c>
      <c r="AK23" s="459">
        <v>40516.660000000003</v>
      </c>
    </row>
    <row r="24" spans="2:37" s="460" customFormat="1" x14ac:dyDescent="0.35">
      <c r="B24" s="458" t="s">
        <v>359</v>
      </c>
      <c r="C24" s="458" t="s">
        <v>204</v>
      </c>
      <c r="D24" s="459">
        <v>22.96</v>
      </c>
      <c r="E24" s="458" t="s">
        <v>210</v>
      </c>
      <c r="F24" s="461"/>
      <c r="G24" s="461"/>
      <c r="H24" s="459"/>
      <c r="I24" s="461"/>
      <c r="J24" s="461"/>
      <c r="K24" s="461"/>
      <c r="N24" s="458"/>
      <c r="O24" s="458"/>
      <c r="P24" s="458"/>
      <c r="Q24" s="458"/>
      <c r="R24" s="458"/>
      <c r="S24" s="458"/>
      <c r="T24" s="458"/>
      <c r="U24" s="459"/>
      <c r="V24" s="458">
        <v>1781</v>
      </c>
      <c r="W24" s="458">
        <v>113.5</v>
      </c>
      <c r="X24" s="458">
        <v>72</v>
      </c>
      <c r="Y24" s="458">
        <v>91</v>
      </c>
      <c r="Z24" s="458">
        <v>16</v>
      </c>
      <c r="AA24" s="458">
        <v>24</v>
      </c>
      <c r="AB24" s="458">
        <f>SUM(V24:AA24)</f>
        <v>2097.5</v>
      </c>
      <c r="AC24" s="459">
        <v>50090.29</v>
      </c>
      <c r="AD24" s="458"/>
      <c r="AE24" s="458"/>
      <c r="AF24" s="458"/>
      <c r="AG24" s="458"/>
      <c r="AH24" s="458"/>
      <c r="AI24" s="458"/>
      <c r="AJ24" s="458"/>
      <c r="AK24" s="459"/>
    </row>
    <row r="25" spans="2:37" s="460" customFormat="1" x14ac:dyDescent="0.35">
      <c r="B25" s="458" t="s">
        <v>360</v>
      </c>
      <c r="C25" s="458" t="s">
        <v>212</v>
      </c>
      <c r="D25" s="459">
        <v>26.98</v>
      </c>
      <c r="E25" s="458" t="s">
        <v>211</v>
      </c>
      <c r="F25" s="461"/>
      <c r="G25" s="461"/>
      <c r="H25" s="459"/>
      <c r="I25" s="461"/>
      <c r="J25" s="461"/>
      <c r="K25" s="461"/>
      <c r="N25" s="458"/>
      <c r="O25" s="458"/>
      <c r="P25" s="458"/>
      <c r="Q25" s="458"/>
      <c r="R25" s="458"/>
      <c r="S25" s="458"/>
      <c r="T25" s="458"/>
      <c r="U25" s="459"/>
      <c r="V25" s="458">
        <v>1694.5</v>
      </c>
      <c r="W25" s="458">
        <v>89</v>
      </c>
      <c r="X25" s="458">
        <v>72</v>
      </c>
      <c r="Y25" s="458">
        <v>102.5</v>
      </c>
      <c r="Z25" s="458">
        <v>98.5</v>
      </c>
      <c r="AA25" s="458">
        <v>8</v>
      </c>
      <c r="AB25" s="458">
        <f>SUM(V25:AA25)</f>
        <v>2064.5</v>
      </c>
      <c r="AC25" s="459">
        <v>56123.59</v>
      </c>
      <c r="AD25" s="458"/>
      <c r="AE25" s="458"/>
      <c r="AF25" s="458"/>
      <c r="AG25" s="458"/>
      <c r="AH25" s="458"/>
      <c r="AI25" s="458"/>
      <c r="AJ25" s="458"/>
      <c r="AK25" s="459"/>
    </row>
    <row r="26" spans="2:37" s="460" customFormat="1" x14ac:dyDescent="0.35">
      <c r="B26" s="458" t="s">
        <v>361</v>
      </c>
      <c r="C26" s="458" t="s">
        <v>184</v>
      </c>
      <c r="D26" s="459">
        <v>15.27</v>
      </c>
      <c r="E26" s="458" t="s">
        <v>213</v>
      </c>
      <c r="F26" s="461"/>
      <c r="G26" s="461"/>
      <c r="H26" s="459"/>
      <c r="I26" s="461"/>
      <c r="J26" s="461"/>
      <c r="K26" s="461"/>
      <c r="N26" s="458"/>
      <c r="O26" s="458"/>
      <c r="P26" s="458"/>
      <c r="Q26" s="458"/>
      <c r="R26" s="458"/>
      <c r="S26" s="458"/>
      <c r="T26" s="458"/>
      <c r="U26" s="459"/>
      <c r="V26" s="458">
        <v>1790.5</v>
      </c>
      <c r="W26" s="458">
        <v>86</v>
      </c>
      <c r="X26" s="458">
        <v>72</v>
      </c>
      <c r="Y26" s="458">
        <v>46.5</v>
      </c>
      <c r="Z26" s="458">
        <v>18.5</v>
      </c>
      <c r="AA26" s="458">
        <v>8</v>
      </c>
      <c r="AB26" s="458">
        <f>SUM(V26:AA26)</f>
        <v>2021.5</v>
      </c>
      <c r="AC26" s="459">
        <v>32885.519999999997</v>
      </c>
      <c r="AD26" s="458"/>
      <c r="AE26" s="458"/>
      <c r="AF26" s="458"/>
      <c r="AG26" s="458"/>
      <c r="AH26" s="458"/>
      <c r="AI26" s="458"/>
      <c r="AJ26" s="458"/>
      <c r="AK26" s="459"/>
    </row>
    <row r="27" spans="2:37" s="381" customFormat="1" x14ac:dyDescent="0.35">
      <c r="B27" s="378" t="s">
        <v>362</v>
      </c>
      <c r="C27" s="378" t="s">
        <v>215</v>
      </c>
      <c r="D27" s="379">
        <v>30.78</v>
      </c>
      <c r="E27" s="378" t="s">
        <v>214</v>
      </c>
      <c r="F27" s="380"/>
      <c r="G27" s="380"/>
      <c r="H27" s="379"/>
      <c r="I27" s="380"/>
      <c r="J27" s="380"/>
      <c r="K27" s="380"/>
      <c r="N27" s="378">
        <v>1850</v>
      </c>
      <c r="O27" s="378">
        <v>184</v>
      </c>
      <c r="P27" s="378">
        <v>72</v>
      </c>
      <c r="Q27" s="378">
        <v>60.5</v>
      </c>
      <c r="R27" s="378">
        <v>200</v>
      </c>
      <c r="S27" s="378">
        <v>0</v>
      </c>
      <c r="T27" s="378">
        <f>SUM(N27:S27)</f>
        <v>2366.5</v>
      </c>
      <c r="U27" s="379">
        <v>76351</v>
      </c>
      <c r="V27" s="378"/>
      <c r="W27" s="378"/>
      <c r="X27" s="378"/>
      <c r="Y27" s="378"/>
      <c r="Z27" s="378"/>
      <c r="AA27" s="378"/>
      <c r="AB27" s="378" t="s">
        <v>104</v>
      </c>
      <c r="AC27" s="379"/>
      <c r="AD27" s="378"/>
      <c r="AE27" s="378"/>
      <c r="AF27" s="378"/>
      <c r="AG27" s="378"/>
      <c r="AH27" s="378"/>
      <c r="AI27" s="378"/>
      <c r="AJ27" s="378"/>
      <c r="AK27" s="379"/>
    </row>
    <row r="28" spans="2:37" s="460" customFormat="1" x14ac:dyDescent="0.35">
      <c r="B28" s="458" t="s">
        <v>363</v>
      </c>
      <c r="C28" s="458" t="s">
        <v>202</v>
      </c>
      <c r="D28" s="459">
        <v>15.27</v>
      </c>
      <c r="E28" s="458" t="s">
        <v>216</v>
      </c>
      <c r="F28" s="461"/>
      <c r="G28" s="461"/>
      <c r="H28" s="459"/>
      <c r="I28" s="461"/>
      <c r="J28" s="461"/>
      <c r="K28" s="461"/>
      <c r="N28" s="458">
        <v>1714</v>
      </c>
      <c r="O28" s="458">
        <v>52</v>
      </c>
      <c r="P28" s="458">
        <v>72</v>
      </c>
      <c r="Q28" s="458">
        <v>94.5</v>
      </c>
      <c r="R28" s="458">
        <v>97</v>
      </c>
      <c r="S28" s="458">
        <v>0</v>
      </c>
      <c r="T28" s="458">
        <f>SUM(N28:S28)</f>
        <v>2029.5</v>
      </c>
      <c r="U28" s="459">
        <v>32075.83</v>
      </c>
      <c r="V28" s="458"/>
      <c r="W28" s="458"/>
      <c r="X28" s="458"/>
      <c r="Y28" s="458"/>
      <c r="Z28" s="458"/>
      <c r="AA28" s="458"/>
      <c r="AB28" s="458"/>
      <c r="AC28" s="459"/>
      <c r="AD28" s="458"/>
      <c r="AE28" s="458"/>
      <c r="AF28" s="458"/>
      <c r="AG28" s="458"/>
      <c r="AH28" s="458"/>
      <c r="AI28" s="458"/>
      <c r="AJ28" s="458"/>
      <c r="AK28" s="459"/>
    </row>
    <row r="29" spans="2:37" x14ac:dyDescent="0.35">
      <c r="B29" s="173" t="s">
        <v>364</v>
      </c>
      <c r="C29" s="173" t="s">
        <v>218</v>
      </c>
      <c r="D29" s="174">
        <v>14.77</v>
      </c>
      <c r="E29" s="173" t="s">
        <v>217</v>
      </c>
      <c r="F29" s="29"/>
      <c r="G29" s="29"/>
      <c r="H29" s="174"/>
      <c r="I29" s="29"/>
      <c r="J29" s="29"/>
      <c r="K29" s="29"/>
      <c r="N29" s="173">
        <v>962</v>
      </c>
      <c r="O29" s="173">
        <v>7</v>
      </c>
      <c r="P29" s="173">
        <v>72</v>
      </c>
      <c r="Q29" s="173">
        <v>0</v>
      </c>
      <c r="R29" s="173">
        <v>0</v>
      </c>
      <c r="S29" s="173">
        <v>0</v>
      </c>
      <c r="T29" s="173">
        <f>SUM(N29:S29)</f>
        <v>1041</v>
      </c>
      <c r="U29" s="174">
        <v>16054.38</v>
      </c>
      <c r="V29" s="173"/>
      <c r="W29" s="173"/>
      <c r="X29" s="173"/>
      <c r="Y29" s="173"/>
      <c r="Z29" s="173"/>
      <c r="AA29" s="173"/>
      <c r="AB29" s="173"/>
      <c r="AC29" s="174"/>
      <c r="AD29" s="173"/>
      <c r="AE29" s="173"/>
      <c r="AF29" s="173"/>
      <c r="AG29" s="173"/>
      <c r="AH29" s="173"/>
      <c r="AI29" s="173"/>
      <c r="AJ29" s="173"/>
      <c r="AK29" s="174"/>
    </row>
    <row r="30" spans="2:37" x14ac:dyDescent="0.35">
      <c r="B30" s="173" t="s">
        <v>365</v>
      </c>
      <c r="C30" s="173" t="s">
        <v>184</v>
      </c>
      <c r="D30" s="174">
        <v>14</v>
      </c>
      <c r="E30" s="173" t="s">
        <v>219</v>
      </c>
      <c r="F30" s="29"/>
      <c r="G30" s="29"/>
      <c r="H30" s="174"/>
      <c r="I30" s="29"/>
      <c r="J30" s="29"/>
      <c r="K30" s="29"/>
      <c r="N30" s="173"/>
      <c r="O30" s="173"/>
      <c r="P30" s="173"/>
      <c r="Q30" s="173"/>
      <c r="R30" s="173"/>
      <c r="S30" s="173"/>
      <c r="T30" s="173"/>
      <c r="U30" s="174"/>
      <c r="V30" s="173">
        <v>655</v>
      </c>
      <c r="W30" s="173">
        <v>14.5</v>
      </c>
      <c r="X30" s="173">
        <v>24</v>
      </c>
      <c r="Y30" s="173">
        <v>0</v>
      </c>
      <c r="Z30" s="173">
        <v>0</v>
      </c>
      <c r="AA30" s="173">
        <v>0</v>
      </c>
      <c r="AB30" s="173">
        <f>SUM(V30:AA30)</f>
        <v>693.5</v>
      </c>
      <c r="AC30" s="174">
        <v>9810.5</v>
      </c>
      <c r="AD30" s="173"/>
      <c r="AE30" s="173"/>
      <c r="AF30" s="173"/>
      <c r="AG30" s="173"/>
      <c r="AH30" s="173"/>
      <c r="AI30" s="173"/>
      <c r="AJ30" s="173"/>
      <c r="AK30" s="174"/>
    </row>
    <row r="31" spans="2:37" s="460" customFormat="1" x14ac:dyDescent="0.35">
      <c r="B31" s="458" t="s">
        <v>366</v>
      </c>
      <c r="C31" s="458" t="s">
        <v>206</v>
      </c>
      <c r="D31" s="459">
        <v>25.32</v>
      </c>
      <c r="E31" s="458" t="s">
        <v>220</v>
      </c>
      <c r="F31" s="461"/>
      <c r="G31" s="461"/>
      <c r="H31" s="459"/>
      <c r="I31" s="461"/>
      <c r="J31" s="461"/>
      <c r="K31" s="461"/>
      <c r="N31" s="458"/>
      <c r="O31" s="458"/>
      <c r="P31" s="458"/>
      <c r="Q31" s="458"/>
      <c r="R31" s="458"/>
      <c r="S31" s="458"/>
      <c r="T31" s="458"/>
      <c r="U31" s="459"/>
      <c r="V31" s="458"/>
      <c r="W31" s="458"/>
      <c r="X31" s="458"/>
      <c r="Y31" s="458"/>
      <c r="Z31" s="458"/>
      <c r="AA31" s="458"/>
      <c r="AB31" s="458"/>
      <c r="AC31" s="459"/>
      <c r="AD31" s="458">
        <v>1758</v>
      </c>
      <c r="AE31" s="458">
        <v>129</v>
      </c>
      <c r="AF31" s="458">
        <v>73</v>
      </c>
      <c r="AG31" s="458">
        <v>62</v>
      </c>
      <c r="AH31" s="458">
        <v>114</v>
      </c>
      <c r="AI31" s="458">
        <v>24</v>
      </c>
      <c r="AJ31" s="458">
        <f>SUM(AD31:AI31)</f>
        <v>2160</v>
      </c>
      <c r="AK31" s="459">
        <v>56990.02</v>
      </c>
    </row>
    <row r="32" spans="2:37" s="460" customFormat="1" ht="15" customHeight="1" x14ac:dyDescent="0.35">
      <c r="B32" s="458" t="s">
        <v>367</v>
      </c>
      <c r="C32" s="458" t="s">
        <v>222</v>
      </c>
      <c r="D32" s="459">
        <v>24.88</v>
      </c>
      <c r="E32" s="458" t="s">
        <v>221</v>
      </c>
      <c r="F32" s="461"/>
      <c r="G32" s="461"/>
      <c r="H32" s="459"/>
      <c r="I32" s="461"/>
      <c r="J32" s="461"/>
      <c r="K32" s="461"/>
      <c r="N32" s="458">
        <v>1808.5</v>
      </c>
      <c r="O32" s="458">
        <v>221.5</v>
      </c>
      <c r="P32" s="458">
        <v>72</v>
      </c>
      <c r="Q32" s="458">
        <v>68.5</v>
      </c>
      <c r="R32" s="458">
        <v>66.5</v>
      </c>
      <c r="S32" s="458">
        <v>13</v>
      </c>
      <c r="T32" s="458">
        <f>SUM(N32:S32)</f>
        <v>2250</v>
      </c>
      <c r="U32" s="459">
        <v>57406.91</v>
      </c>
      <c r="V32" s="458"/>
      <c r="W32" s="458"/>
      <c r="X32" s="458"/>
      <c r="Y32" s="458"/>
      <c r="Z32" s="458"/>
      <c r="AA32" s="458"/>
      <c r="AB32" s="458"/>
      <c r="AC32" s="459"/>
      <c r="AD32" s="458"/>
      <c r="AE32" s="458"/>
      <c r="AF32" s="458"/>
      <c r="AG32" s="458"/>
      <c r="AH32" s="458"/>
      <c r="AI32" s="458"/>
      <c r="AJ32" s="458"/>
      <c r="AK32" s="459"/>
    </row>
    <row r="33" spans="2:37" s="460" customFormat="1" x14ac:dyDescent="0.35">
      <c r="B33" s="458" t="s">
        <v>368</v>
      </c>
      <c r="C33" s="458" t="s">
        <v>206</v>
      </c>
      <c r="D33" s="459">
        <v>19.77</v>
      </c>
      <c r="E33" s="458" t="s">
        <v>223</v>
      </c>
      <c r="F33" s="461"/>
      <c r="G33" s="461"/>
      <c r="H33" s="459"/>
      <c r="I33" s="461"/>
      <c r="J33" s="461"/>
      <c r="K33" s="461"/>
      <c r="N33" s="458"/>
      <c r="O33" s="458"/>
      <c r="P33" s="458"/>
      <c r="Q33" s="458"/>
      <c r="R33" s="458"/>
      <c r="S33" s="458"/>
      <c r="T33" s="458"/>
      <c r="U33" s="459"/>
      <c r="V33" s="458"/>
      <c r="W33" s="458"/>
      <c r="X33" s="458"/>
      <c r="Y33" s="458"/>
      <c r="Z33" s="458"/>
      <c r="AA33" s="458"/>
      <c r="AB33" s="458"/>
      <c r="AC33" s="459"/>
      <c r="AD33" s="458">
        <v>1903.5</v>
      </c>
      <c r="AE33" s="458">
        <v>126</v>
      </c>
      <c r="AF33" s="458">
        <v>72</v>
      </c>
      <c r="AG33" s="458">
        <v>43</v>
      </c>
      <c r="AH33" s="458">
        <v>80</v>
      </c>
      <c r="AI33" s="458">
        <v>0</v>
      </c>
      <c r="AJ33" s="458">
        <f>SUM(AD33:AI33)</f>
        <v>2224.5</v>
      </c>
      <c r="AK33" s="459">
        <v>45898.92</v>
      </c>
    </row>
    <row r="34" spans="2:37" s="460" customFormat="1" x14ac:dyDescent="0.35">
      <c r="B34" s="458" t="s">
        <v>369</v>
      </c>
      <c r="C34" s="458" t="s">
        <v>225</v>
      </c>
      <c r="D34" s="459">
        <v>25.61</v>
      </c>
      <c r="E34" s="458" t="s">
        <v>224</v>
      </c>
      <c r="F34" s="461"/>
      <c r="G34" s="461"/>
      <c r="H34" s="459"/>
      <c r="I34" s="461"/>
      <c r="J34" s="461"/>
      <c r="K34" s="461"/>
      <c r="N34" s="458"/>
      <c r="O34" s="458"/>
      <c r="P34" s="458"/>
      <c r="Q34" s="458"/>
      <c r="R34" s="458"/>
      <c r="S34" s="458"/>
      <c r="T34" s="458"/>
      <c r="U34" s="459"/>
      <c r="V34" s="458"/>
      <c r="W34" s="458"/>
      <c r="X34" s="458"/>
      <c r="Y34" s="458"/>
      <c r="Z34" s="458"/>
      <c r="AA34" s="458"/>
      <c r="AB34" s="458"/>
      <c r="AC34" s="459"/>
      <c r="AD34" s="458">
        <v>1829.5</v>
      </c>
      <c r="AE34" s="458">
        <v>305</v>
      </c>
      <c r="AF34" s="458">
        <v>72</v>
      </c>
      <c r="AG34" s="458">
        <v>96</v>
      </c>
      <c r="AH34" s="458">
        <v>152</v>
      </c>
      <c r="AI34" s="458">
        <v>0</v>
      </c>
      <c r="AJ34" s="458">
        <f>SUM(AD34:AI34)</f>
        <v>2454.5</v>
      </c>
      <c r="AK34" s="459">
        <v>67373.240000000005</v>
      </c>
    </row>
    <row r="35" spans="2:37" s="460" customFormat="1" x14ac:dyDescent="0.35">
      <c r="B35" s="458" t="s">
        <v>370</v>
      </c>
      <c r="C35" s="458" t="s">
        <v>227</v>
      </c>
      <c r="D35" s="459">
        <v>18.77</v>
      </c>
      <c r="E35" s="458" t="s">
        <v>226</v>
      </c>
      <c r="F35" s="461"/>
      <c r="G35" s="461"/>
      <c r="H35" s="459"/>
      <c r="I35" s="461"/>
      <c r="J35" s="461"/>
      <c r="K35" s="461"/>
      <c r="N35" s="458"/>
      <c r="O35" s="458"/>
      <c r="P35" s="458"/>
      <c r="Q35" s="458"/>
      <c r="R35" s="458"/>
      <c r="S35" s="458"/>
      <c r="T35" s="458"/>
      <c r="U35" s="459"/>
      <c r="V35" s="458">
        <v>1884</v>
      </c>
      <c r="W35" s="458">
        <v>213.5</v>
      </c>
      <c r="X35" s="458">
        <v>72</v>
      </c>
      <c r="Y35" s="458">
        <v>28</v>
      </c>
      <c r="Z35" s="458">
        <v>40</v>
      </c>
      <c r="AA35" s="458">
        <v>0</v>
      </c>
      <c r="AB35" s="458">
        <f>SUM(V35:AA35)</f>
        <v>2237.5</v>
      </c>
      <c r="AC35" s="459">
        <v>44653.57</v>
      </c>
      <c r="AD35" s="458"/>
      <c r="AE35" s="458"/>
      <c r="AF35" s="458"/>
      <c r="AG35" s="458"/>
      <c r="AH35" s="458"/>
      <c r="AI35" s="458"/>
      <c r="AJ35" s="458"/>
      <c r="AK35" s="459"/>
    </row>
    <row r="36" spans="2:37" s="460" customFormat="1" x14ac:dyDescent="0.35">
      <c r="B36" s="458" t="s">
        <v>371</v>
      </c>
      <c r="C36" s="458" t="s">
        <v>229</v>
      </c>
      <c r="D36" s="459">
        <v>18.77</v>
      </c>
      <c r="E36" s="458" t="s">
        <v>228</v>
      </c>
      <c r="F36" s="461"/>
      <c r="G36" s="461"/>
      <c r="H36" s="459"/>
      <c r="I36" s="461"/>
      <c r="J36" s="461"/>
      <c r="K36" s="461"/>
      <c r="N36" s="458"/>
      <c r="O36" s="458"/>
      <c r="P36" s="458"/>
      <c r="Q36" s="458"/>
      <c r="R36" s="458"/>
      <c r="S36" s="458"/>
      <c r="T36" s="458"/>
      <c r="U36" s="459"/>
      <c r="V36" s="458">
        <v>1816.5</v>
      </c>
      <c r="W36" s="458">
        <v>106.5</v>
      </c>
      <c r="X36" s="458">
        <v>72</v>
      </c>
      <c r="Y36" s="458">
        <v>66.5</v>
      </c>
      <c r="Z36" s="458">
        <v>40</v>
      </c>
      <c r="AA36" s="458">
        <v>35</v>
      </c>
      <c r="AB36" s="458">
        <f>SUM(V36:AA36)</f>
        <v>2136.5</v>
      </c>
      <c r="AC36" s="459">
        <v>41761.78</v>
      </c>
      <c r="AD36" s="458"/>
      <c r="AE36" s="458"/>
      <c r="AF36" s="458"/>
      <c r="AG36" s="458"/>
      <c r="AH36" s="458"/>
      <c r="AI36" s="458"/>
      <c r="AJ36" s="458"/>
      <c r="AK36" s="459"/>
    </row>
    <row r="37" spans="2:37" s="460" customFormat="1" x14ac:dyDescent="0.35">
      <c r="B37" s="458" t="s">
        <v>372</v>
      </c>
      <c r="C37" s="458" t="s">
        <v>198</v>
      </c>
      <c r="D37" s="459">
        <v>18.77</v>
      </c>
      <c r="E37" s="458" t="s">
        <v>230</v>
      </c>
      <c r="F37" s="461"/>
      <c r="G37" s="461"/>
      <c r="H37" s="459"/>
      <c r="I37" s="461"/>
      <c r="J37" s="461"/>
      <c r="K37" s="461"/>
      <c r="N37" s="458"/>
      <c r="O37" s="458"/>
      <c r="P37" s="458"/>
      <c r="Q37" s="458"/>
      <c r="R37" s="458"/>
      <c r="S37" s="458"/>
      <c r="T37" s="458"/>
      <c r="V37" s="458">
        <v>1879</v>
      </c>
      <c r="W37" s="458">
        <v>227</v>
      </c>
      <c r="X37" s="458">
        <v>72</v>
      </c>
      <c r="Y37" s="458">
        <v>62</v>
      </c>
      <c r="Z37" s="458">
        <v>40</v>
      </c>
      <c r="AA37" s="458">
        <v>0</v>
      </c>
      <c r="AB37" s="458">
        <f>SUM(V37:AA37)</f>
        <v>2280</v>
      </c>
      <c r="AC37" s="459">
        <v>45615.14</v>
      </c>
      <c r="AD37" s="458"/>
      <c r="AE37" s="458"/>
      <c r="AF37" s="458"/>
      <c r="AG37" s="458"/>
      <c r="AH37" s="458"/>
      <c r="AI37" s="458"/>
      <c r="AJ37" s="458"/>
    </row>
    <row r="38" spans="2:37" s="460" customFormat="1" x14ac:dyDescent="0.35">
      <c r="B38" s="458" t="s">
        <v>373</v>
      </c>
      <c r="C38" s="458" t="s">
        <v>202</v>
      </c>
      <c r="D38" s="459">
        <v>16.420000000000002</v>
      </c>
      <c r="E38" s="458" t="s">
        <v>231</v>
      </c>
      <c r="F38" s="461"/>
      <c r="G38" s="461"/>
      <c r="H38" s="459"/>
      <c r="I38" s="461"/>
      <c r="J38" s="461"/>
      <c r="K38" s="461"/>
      <c r="N38" s="458">
        <v>1767.5</v>
      </c>
      <c r="O38" s="458">
        <v>60</v>
      </c>
      <c r="P38" s="458">
        <v>72</v>
      </c>
      <c r="Q38" s="458">
        <v>74</v>
      </c>
      <c r="R38" s="458">
        <v>95</v>
      </c>
      <c r="S38" s="458">
        <v>42</v>
      </c>
      <c r="T38" s="458">
        <f>SUM(N38:S38)</f>
        <v>2110.5</v>
      </c>
      <c r="U38" s="459">
        <v>35824.18</v>
      </c>
      <c r="V38" s="458"/>
      <c r="W38" s="458"/>
      <c r="X38" s="458"/>
      <c r="Y38" s="458"/>
      <c r="Z38" s="458"/>
      <c r="AA38" s="458"/>
      <c r="AB38" s="458"/>
      <c r="AC38" s="459"/>
      <c r="AD38" s="458"/>
      <c r="AE38" s="458"/>
      <c r="AF38" s="458"/>
      <c r="AG38" s="458"/>
      <c r="AH38" s="458"/>
      <c r="AI38" s="458"/>
      <c r="AJ38" s="458"/>
      <c r="AK38" s="459"/>
    </row>
    <row r="39" spans="2:37" x14ac:dyDescent="0.35">
      <c r="B39" s="173" t="s">
        <v>374</v>
      </c>
      <c r="C39" s="173" t="s">
        <v>218</v>
      </c>
      <c r="D39" s="174">
        <v>18.77</v>
      </c>
      <c r="E39" s="173" t="s">
        <v>232</v>
      </c>
      <c r="F39" s="29"/>
      <c r="G39" s="29"/>
      <c r="H39" s="174"/>
      <c r="I39" s="29"/>
      <c r="J39" s="29"/>
      <c r="K39" s="29"/>
      <c r="N39" s="173">
        <v>994.5</v>
      </c>
      <c r="O39" s="173">
        <v>0</v>
      </c>
      <c r="P39" s="173">
        <v>72</v>
      </c>
      <c r="Q39" s="173">
        <v>0</v>
      </c>
      <c r="R39" s="173">
        <v>0</v>
      </c>
      <c r="S39" s="173">
        <v>0</v>
      </c>
      <c r="T39" s="173">
        <f>SUM(N39:S39)</f>
        <v>1066.5</v>
      </c>
      <c r="U39" s="174">
        <v>20624.54</v>
      </c>
      <c r="V39" s="173"/>
      <c r="W39" s="173"/>
      <c r="X39" s="173"/>
      <c r="Y39" s="173"/>
      <c r="Z39" s="173"/>
      <c r="AA39" s="173"/>
      <c r="AB39" s="173"/>
      <c r="AC39" s="174"/>
      <c r="AD39" s="173"/>
      <c r="AE39" s="173"/>
      <c r="AF39" s="173"/>
      <c r="AG39" s="173"/>
      <c r="AH39" s="173"/>
      <c r="AI39" s="173"/>
      <c r="AJ39" s="173"/>
      <c r="AK39" s="174"/>
    </row>
    <row r="40" spans="2:37" s="460" customFormat="1" x14ac:dyDescent="0.35">
      <c r="B40" s="458" t="s">
        <v>375</v>
      </c>
      <c r="C40" s="458" t="s">
        <v>202</v>
      </c>
      <c r="D40" s="459">
        <v>15</v>
      </c>
      <c r="E40" s="458" t="s">
        <v>233</v>
      </c>
      <c r="F40" s="461"/>
      <c r="G40" s="461"/>
      <c r="H40" s="459"/>
      <c r="I40" s="461"/>
      <c r="J40" s="461"/>
      <c r="K40" s="461"/>
      <c r="N40" s="458">
        <v>1737</v>
      </c>
      <c r="O40" s="458">
        <v>9</v>
      </c>
      <c r="P40" s="458">
        <v>72</v>
      </c>
      <c r="Q40" s="458">
        <v>86.5</v>
      </c>
      <c r="R40" s="458">
        <v>0</v>
      </c>
      <c r="S40" s="458">
        <v>24</v>
      </c>
      <c r="T40" s="458">
        <f>SUM(N40:S40)</f>
        <v>1928.5</v>
      </c>
      <c r="U40" s="459">
        <v>29647.15</v>
      </c>
      <c r="V40" s="458"/>
      <c r="W40" s="458"/>
      <c r="X40" s="458"/>
      <c r="Y40" s="458"/>
      <c r="Z40" s="458"/>
      <c r="AA40" s="458"/>
      <c r="AB40" s="458"/>
      <c r="AC40" s="459"/>
      <c r="AD40" s="458"/>
      <c r="AE40" s="458"/>
      <c r="AF40" s="458"/>
      <c r="AG40" s="458"/>
      <c r="AH40" s="458"/>
      <c r="AI40" s="458"/>
      <c r="AJ40" s="458"/>
      <c r="AK40" s="459"/>
    </row>
    <row r="41" spans="2:37" s="460" customFormat="1" x14ac:dyDescent="0.35">
      <c r="B41" s="458" t="s">
        <v>376</v>
      </c>
      <c r="C41" s="458" t="s">
        <v>235</v>
      </c>
      <c r="D41" s="459">
        <v>29.38</v>
      </c>
      <c r="E41" s="458" t="s">
        <v>234</v>
      </c>
      <c r="F41" s="461"/>
      <c r="G41" s="461"/>
      <c r="H41" s="459"/>
      <c r="I41" s="461"/>
      <c r="J41" s="461"/>
      <c r="K41" s="461"/>
      <c r="N41" s="458"/>
      <c r="O41" s="458"/>
      <c r="P41" s="458"/>
      <c r="Q41" s="458"/>
      <c r="R41" s="458"/>
      <c r="S41" s="458"/>
      <c r="T41" s="458"/>
      <c r="U41" s="459"/>
      <c r="V41" s="458">
        <v>1857.5</v>
      </c>
      <c r="W41" s="458">
        <v>212.5</v>
      </c>
      <c r="X41" s="458">
        <v>72</v>
      </c>
      <c r="Y41" s="458">
        <v>69</v>
      </c>
      <c r="Z41" s="458">
        <v>128</v>
      </c>
      <c r="AA41" s="458">
        <v>0</v>
      </c>
      <c r="AB41" s="458">
        <f>SUM(V41:AA41)</f>
        <v>2339</v>
      </c>
      <c r="AC41" s="459">
        <v>72484.44</v>
      </c>
      <c r="AD41" s="458"/>
      <c r="AE41" s="458"/>
      <c r="AF41" s="458"/>
      <c r="AG41" s="458"/>
      <c r="AH41" s="458"/>
      <c r="AI41" s="458"/>
      <c r="AJ41" s="458"/>
      <c r="AK41" s="459"/>
    </row>
    <row r="42" spans="2:37" s="460" customFormat="1" x14ac:dyDescent="0.35">
      <c r="B42" s="458" t="s">
        <v>377</v>
      </c>
      <c r="C42" s="458" t="s">
        <v>237</v>
      </c>
      <c r="D42" s="459">
        <v>31.2</v>
      </c>
      <c r="E42" s="458" t="s">
        <v>236</v>
      </c>
      <c r="F42" s="461"/>
      <c r="G42" s="461"/>
      <c r="H42" s="459"/>
      <c r="I42" s="461"/>
      <c r="J42" s="461"/>
      <c r="K42" s="461"/>
      <c r="N42" s="458"/>
      <c r="O42" s="458"/>
      <c r="P42" s="458"/>
      <c r="Q42" s="458"/>
      <c r="R42" s="458"/>
      <c r="S42" s="458"/>
      <c r="T42" s="458"/>
      <c r="U42" s="459"/>
      <c r="V42" s="458">
        <v>1859.5</v>
      </c>
      <c r="W42" s="458">
        <v>252.5</v>
      </c>
      <c r="X42" s="458">
        <v>72</v>
      </c>
      <c r="Y42" s="458">
        <v>69.5</v>
      </c>
      <c r="Z42" s="458">
        <v>160</v>
      </c>
      <c r="AA42" s="458">
        <v>0</v>
      </c>
      <c r="AB42" s="458">
        <f>SUM(V42:AA42)</f>
        <v>2413.5</v>
      </c>
      <c r="AC42" s="459">
        <v>81229.38</v>
      </c>
      <c r="AD42" s="458"/>
      <c r="AE42" s="458"/>
      <c r="AF42" s="458"/>
      <c r="AG42" s="458"/>
      <c r="AH42" s="458"/>
      <c r="AI42" s="458"/>
      <c r="AJ42" s="458"/>
      <c r="AK42" s="459"/>
    </row>
    <row r="43" spans="2:37" s="381" customFormat="1" x14ac:dyDescent="0.35">
      <c r="B43" s="378" t="s">
        <v>378</v>
      </c>
      <c r="C43" s="378" t="s">
        <v>239</v>
      </c>
      <c r="D43" s="379"/>
      <c r="E43" s="378" t="s">
        <v>238</v>
      </c>
      <c r="F43" s="380"/>
      <c r="G43" s="380"/>
      <c r="H43" s="379"/>
      <c r="I43" s="380"/>
      <c r="J43" s="380"/>
      <c r="K43" s="380"/>
      <c r="N43" s="378"/>
      <c r="O43" s="378"/>
      <c r="P43" s="378"/>
      <c r="Q43" s="378"/>
      <c r="R43" s="378"/>
      <c r="S43" s="378"/>
      <c r="T43" s="378"/>
      <c r="U43" s="379">
        <v>136992.18</v>
      </c>
      <c r="V43" s="378"/>
      <c r="W43" s="378"/>
      <c r="X43" s="378"/>
      <c r="Y43" s="378"/>
      <c r="Z43" s="378"/>
      <c r="AA43" s="378"/>
      <c r="AB43" s="378"/>
      <c r="AC43" s="379"/>
      <c r="AD43" s="378"/>
      <c r="AE43" s="378"/>
      <c r="AF43" s="378"/>
      <c r="AG43" s="378"/>
      <c r="AH43" s="378"/>
      <c r="AI43" s="378"/>
      <c r="AJ43" s="378"/>
      <c r="AK43" s="379"/>
    </row>
    <row r="44" spans="2:37" s="460" customFormat="1" x14ac:dyDescent="0.35">
      <c r="B44" s="458" t="s">
        <v>379</v>
      </c>
      <c r="C44" s="458" t="s">
        <v>206</v>
      </c>
      <c r="D44" s="459">
        <v>24.69</v>
      </c>
      <c r="E44" s="458" t="s">
        <v>240</v>
      </c>
      <c r="F44" s="461"/>
      <c r="G44" s="461"/>
      <c r="H44" s="459"/>
      <c r="I44" s="461"/>
      <c r="J44" s="461"/>
      <c r="K44" s="461"/>
      <c r="N44" s="458"/>
      <c r="O44" s="458"/>
      <c r="P44" s="458"/>
      <c r="Q44" s="458"/>
      <c r="R44" s="458"/>
      <c r="S44" s="458"/>
      <c r="T44" s="458"/>
      <c r="U44" s="459"/>
      <c r="V44" s="458"/>
      <c r="W44" s="458"/>
      <c r="X44" s="458"/>
      <c r="Y44" s="458"/>
      <c r="Z44" s="458"/>
      <c r="AA44" s="458"/>
      <c r="AB44" s="458"/>
      <c r="AC44" s="459"/>
      <c r="AD44" s="458">
        <v>1850</v>
      </c>
      <c r="AE44" s="458">
        <v>306</v>
      </c>
      <c r="AF44" s="458">
        <v>72</v>
      </c>
      <c r="AG44" s="458">
        <v>85</v>
      </c>
      <c r="AH44" s="458">
        <v>120</v>
      </c>
      <c r="AI44" s="458">
        <v>0</v>
      </c>
      <c r="AJ44" s="458">
        <f>SUM(AD44:AI44)</f>
        <v>2433</v>
      </c>
      <c r="AK44" s="459">
        <v>62302.34</v>
      </c>
    </row>
    <row r="45" spans="2:37" s="460" customFormat="1" x14ac:dyDescent="0.35">
      <c r="B45" s="458" t="s">
        <v>380</v>
      </c>
      <c r="C45" s="458" t="s">
        <v>206</v>
      </c>
      <c r="D45" s="459">
        <v>18.77</v>
      </c>
      <c r="E45" s="458" t="s">
        <v>241</v>
      </c>
      <c r="F45" s="461"/>
      <c r="G45" s="461"/>
      <c r="H45" s="459"/>
      <c r="I45" s="461"/>
      <c r="J45" s="461"/>
      <c r="K45" s="461"/>
      <c r="N45" s="458"/>
      <c r="O45" s="458"/>
      <c r="P45" s="458"/>
      <c r="Q45" s="458"/>
      <c r="R45" s="458"/>
      <c r="S45" s="458"/>
      <c r="T45" s="458"/>
      <c r="U45" s="459"/>
      <c r="V45" s="458"/>
      <c r="W45" s="458"/>
      <c r="X45" s="458"/>
      <c r="Y45" s="458"/>
      <c r="Z45" s="458"/>
      <c r="AA45" s="458"/>
      <c r="AB45" s="458"/>
      <c r="AC45" s="459"/>
      <c r="AD45" s="458">
        <v>1960</v>
      </c>
      <c r="AE45" s="458">
        <v>282.5</v>
      </c>
      <c r="AF45" s="458">
        <v>72</v>
      </c>
      <c r="AG45" s="458">
        <v>0</v>
      </c>
      <c r="AH45" s="458">
        <v>0</v>
      </c>
      <c r="AI45" s="458">
        <v>0</v>
      </c>
      <c r="AJ45" s="458">
        <f>SUM(AD45:AI45)</f>
        <v>2314.5</v>
      </c>
      <c r="AK45" s="459">
        <v>46768</v>
      </c>
    </row>
    <row r="46" spans="2:37" ht="17" x14ac:dyDescent="0.5">
      <c r="D46" s="29"/>
      <c r="E46" s="1"/>
      <c r="F46" s="29"/>
      <c r="G46" s="147"/>
      <c r="H46" s="265"/>
      <c r="I46" s="266"/>
      <c r="J46" s="266"/>
      <c r="K46" s="29"/>
      <c r="M46" s="271"/>
      <c r="N46" s="170"/>
      <c r="O46" s="170"/>
      <c r="P46" s="170"/>
      <c r="Q46" s="170"/>
      <c r="R46" s="170"/>
      <c r="S46" s="170"/>
      <c r="T46" s="170"/>
      <c r="U46" s="272"/>
      <c r="V46" s="170"/>
      <c r="W46" s="170"/>
      <c r="X46" s="170"/>
      <c r="Y46" s="170"/>
      <c r="Z46" s="170"/>
      <c r="AA46" s="170"/>
      <c r="AB46" s="170"/>
      <c r="AC46" s="272"/>
      <c r="AD46" s="170"/>
      <c r="AE46" s="170"/>
      <c r="AF46" s="170"/>
      <c r="AG46" s="170"/>
      <c r="AH46" s="170"/>
      <c r="AI46" s="170"/>
      <c r="AJ46" s="170"/>
      <c r="AK46" s="272"/>
    </row>
    <row r="47" spans="2:37" x14ac:dyDescent="0.35">
      <c r="D47" s="147"/>
      <c r="E47" s="1"/>
      <c r="F47" s="29"/>
      <c r="G47" s="147"/>
      <c r="H47" s="267"/>
      <c r="I47" s="268"/>
      <c r="J47" s="268"/>
      <c r="K47" s="29"/>
      <c r="M47" s="270">
        <f t="shared" ref="M47:T47" si="1">SUM(M7:M46)</f>
        <v>234555.29</v>
      </c>
      <c r="N47" s="173">
        <f t="shared" si="1"/>
        <v>12703.5</v>
      </c>
      <c r="O47" s="173">
        <f t="shared" si="1"/>
        <v>640.5</v>
      </c>
      <c r="P47" s="173">
        <f t="shared" si="1"/>
        <v>576</v>
      </c>
      <c r="Q47" s="173">
        <f t="shared" si="1"/>
        <v>419</v>
      </c>
      <c r="R47" s="173">
        <f t="shared" si="1"/>
        <v>458.5</v>
      </c>
      <c r="S47" s="173">
        <f t="shared" si="1"/>
        <v>79</v>
      </c>
      <c r="T47" s="173">
        <f t="shared" si="1"/>
        <v>14876.5</v>
      </c>
      <c r="U47" s="174">
        <f>SUM(U7:U46)</f>
        <v>440434.51</v>
      </c>
      <c r="V47" s="173">
        <f t="shared" ref="V47:AB47" si="2">SUM(V7:V46)</f>
        <v>25757</v>
      </c>
      <c r="W47" s="173">
        <f t="shared" si="2"/>
        <v>1883</v>
      </c>
      <c r="X47" s="173">
        <f t="shared" si="2"/>
        <v>1064</v>
      </c>
      <c r="Y47" s="173">
        <f t="shared" si="2"/>
        <v>853</v>
      </c>
      <c r="Z47" s="173">
        <f t="shared" si="2"/>
        <v>725</v>
      </c>
      <c r="AA47" s="173">
        <f t="shared" si="2"/>
        <v>143</v>
      </c>
      <c r="AB47" s="173">
        <f t="shared" si="2"/>
        <v>30425</v>
      </c>
      <c r="AC47" s="174">
        <f>SUM(AC7:AC46)</f>
        <v>678566.80999999994</v>
      </c>
      <c r="AD47" s="173">
        <f t="shared" ref="AD47:AJ47" si="3">SUM(AD7:AD46)</f>
        <v>11092</v>
      </c>
      <c r="AE47" s="173">
        <f t="shared" si="3"/>
        <v>1235</v>
      </c>
      <c r="AF47" s="173">
        <f t="shared" si="3"/>
        <v>433</v>
      </c>
      <c r="AG47" s="173">
        <f t="shared" si="3"/>
        <v>405</v>
      </c>
      <c r="AH47" s="173">
        <f t="shared" si="3"/>
        <v>477</v>
      </c>
      <c r="AI47" s="173">
        <f t="shared" si="3"/>
        <v>24</v>
      </c>
      <c r="AJ47" s="173">
        <f t="shared" si="3"/>
        <v>13666</v>
      </c>
      <c r="AK47" s="174">
        <f>SUM(AK7:AK46)</f>
        <v>319849.17999999993</v>
      </c>
    </row>
    <row r="48" spans="2:37" ht="45" x14ac:dyDescent="0.5">
      <c r="D48" s="29"/>
      <c r="E48" s="1"/>
      <c r="F48" s="146" t="s">
        <v>83</v>
      </c>
      <c r="G48" s="146" t="s">
        <v>242</v>
      </c>
      <c r="H48" s="1"/>
      <c r="I48" s="269"/>
      <c r="J48" s="269"/>
      <c r="K48" s="108"/>
      <c r="M48" s="172" t="s">
        <v>382</v>
      </c>
      <c r="U48" s="172" t="s">
        <v>388</v>
      </c>
      <c r="AC48" s="171" t="s">
        <v>389</v>
      </c>
      <c r="AK48" s="171" t="s">
        <v>390</v>
      </c>
    </row>
    <row r="49" spans="1:38" x14ac:dyDescent="0.35">
      <c r="C49" s="474" t="s">
        <v>382</v>
      </c>
      <c r="D49" s="29"/>
      <c r="E49" s="104">
        <f>M47</f>
        <v>234555.29</v>
      </c>
      <c r="F49" s="29"/>
      <c r="G49" s="147">
        <f>E49</f>
        <v>234555.29</v>
      </c>
      <c r="H49" s="1"/>
      <c r="I49" s="269"/>
      <c r="J49" s="269"/>
      <c r="K49" s="108"/>
      <c r="M49" s="172"/>
      <c r="U49" s="464">
        <f>U47-U43-U27</f>
        <v>227091.33000000002</v>
      </c>
      <c r="V49" s="273" t="s">
        <v>554</v>
      </c>
      <c r="AC49" s="171"/>
      <c r="AK49" s="171"/>
    </row>
    <row r="50" spans="1:38" x14ac:dyDescent="0.35">
      <c r="C50" s="474" t="s">
        <v>579</v>
      </c>
      <c r="D50" s="29"/>
      <c r="E50" s="377">
        <f>U47-U43-U27</f>
        <v>227091.33000000002</v>
      </c>
      <c r="F50" s="29">
        <f>E50*Adj!I8</f>
        <v>188054.330373</v>
      </c>
      <c r="G50" s="147">
        <f>E50*Adj!J8</f>
        <v>39036.999627000005</v>
      </c>
      <c r="H50" s="1" t="s">
        <v>542</v>
      </c>
      <c r="I50" s="269"/>
      <c r="J50" s="269"/>
      <c r="K50" s="108"/>
      <c r="L50" s="463" t="s">
        <v>540</v>
      </c>
      <c r="M50" s="464">
        <f>M7+M9+M10+M11+M12+M13</f>
        <v>216907.77000000002</v>
      </c>
      <c r="T50" s="463" t="s">
        <v>540</v>
      </c>
      <c r="U50" s="464">
        <f>U18+U27+U28+U32+U38+U43+U40</f>
        <v>403755.58999999997</v>
      </c>
      <c r="AB50" s="463" t="s">
        <v>540</v>
      </c>
      <c r="AC50" s="465">
        <f>AC42+AC41+AC37+AC36+AC35+AC26+AC25+AC24+AC22+AC21+AC19+AC16+AC15</f>
        <v>627755.33000000007</v>
      </c>
      <c r="AJ50" s="463" t="s">
        <v>540</v>
      </c>
      <c r="AK50" s="465">
        <f>AK45+AK44+AK34+AK33+AK31+AK23</f>
        <v>319849.18000000005</v>
      </c>
    </row>
    <row r="51" spans="1:38" x14ac:dyDescent="0.35">
      <c r="C51" s="475"/>
      <c r="D51" s="29"/>
      <c r="E51" s="477"/>
      <c r="F51" s="93"/>
      <c r="G51" s="478"/>
      <c r="H51" s="1"/>
      <c r="I51" s="269"/>
      <c r="J51" s="269"/>
      <c r="K51" s="108"/>
      <c r="L51" s="463"/>
      <c r="M51" s="464"/>
      <c r="T51" s="463"/>
      <c r="U51" s="464"/>
      <c r="AB51" s="463"/>
      <c r="AC51" s="465"/>
      <c r="AJ51" s="463"/>
      <c r="AK51" s="465"/>
    </row>
    <row r="52" spans="1:38" x14ac:dyDescent="0.35">
      <c r="C52" t="s">
        <v>509</v>
      </c>
      <c r="D52" s="29"/>
      <c r="E52" s="377">
        <f>AC47</f>
        <v>678566.80999999994</v>
      </c>
      <c r="F52" s="29">
        <f>E52</f>
        <v>678566.80999999994</v>
      </c>
      <c r="G52" s="147"/>
      <c r="H52" s="1"/>
      <c r="I52" s="269"/>
      <c r="J52" s="269"/>
      <c r="K52" s="108"/>
      <c r="M52" s="470">
        <f>M47-M50</f>
        <v>17647.51999999999</v>
      </c>
      <c r="N52" s="485" t="s">
        <v>564</v>
      </c>
      <c r="U52" s="470">
        <f>U47-U50</f>
        <v>36678.920000000042</v>
      </c>
      <c r="V52" s="485" t="s">
        <v>555</v>
      </c>
      <c r="AC52" s="470">
        <f>AC47-AC50</f>
        <v>50811.479999999865</v>
      </c>
      <c r="AD52" s="485" t="s">
        <v>556</v>
      </c>
      <c r="AK52" s="470">
        <f>AK47-AK50</f>
        <v>0</v>
      </c>
      <c r="AL52" s="485" t="s">
        <v>557</v>
      </c>
    </row>
    <row r="53" spans="1:38" x14ac:dyDescent="0.35">
      <c r="C53" t="s">
        <v>510</v>
      </c>
      <c r="D53" s="29"/>
      <c r="E53" s="377">
        <f>AK47</f>
        <v>319849.17999999993</v>
      </c>
      <c r="F53" s="29">
        <f>E53</f>
        <v>319849.17999999993</v>
      </c>
      <c r="G53" s="147"/>
      <c r="H53" s="1"/>
      <c r="I53" s="269"/>
      <c r="J53" s="269"/>
      <c r="L53" s="277"/>
      <c r="M53" s="466">
        <f>M8+AC17+U29+AC3+M149+U39+AC20+M14+AC30</f>
        <v>105137.92</v>
      </c>
      <c r="N53" s="467" t="s">
        <v>541</v>
      </c>
      <c r="O53" s="167"/>
      <c r="P53" s="167"/>
      <c r="Q53" s="179"/>
      <c r="U53" s="172"/>
      <c r="AC53" s="171"/>
      <c r="AK53" s="171"/>
    </row>
    <row r="54" spans="1:38" x14ac:dyDescent="0.35">
      <c r="D54" s="83" t="s">
        <v>580</v>
      </c>
      <c r="E54" s="469">
        <f>SUM(E49:E53)</f>
        <v>1460062.6099999999</v>
      </c>
      <c r="F54" s="40">
        <f>SUM(F50:F53)</f>
        <v>1186470.3203729999</v>
      </c>
      <c r="G54" s="343">
        <f>SUM(G49:G53)</f>
        <v>273592.28962699999</v>
      </c>
      <c r="H54" s="1"/>
      <c r="I54" s="269"/>
      <c r="J54" s="269"/>
      <c r="K54" s="108"/>
      <c r="L54" s="468"/>
      <c r="M54" s="471"/>
      <c r="N54" s="167"/>
      <c r="O54" s="167"/>
      <c r="P54" s="167"/>
      <c r="U54" s="172"/>
      <c r="AC54" s="171"/>
      <c r="AK54" s="171"/>
    </row>
    <row r="55" spans="1:38" x14ac:dyDescent="0.35">
      <c r="C55" s="475" t="s">
        <v>546</v>
      </c>
      <c r="D55" s="83"/>
      <c r="E55" s="479">
        <f>U43+U27</f>
        <v>213343.18</v>
      </c>
      <c r="F55" s="480">
        <f>ROUND((E55*Adj!I8),0)</f>
        <v>176669</v>
      </c>
      <c r="G55" s="481">
        <f>ROUND((E55*Adj!J8),0)</f>
        <v>36674</v>
      </c>
      <c r="H55" s="1" t="s">
        <v>542</v>
      </c>
      <c r="I55" s="269"/>
      <c r="J55" s="269"/>
      <c r="K55" s="108"/>
      <c r="M55" s="175"/>
      <c r="U55" s="172"/>
      <c r="AC55" s="171"/>
      <c r="AK55" s="171"/>
    </row>
    <row r="56" spans="1:38" x14ac:dyDescent="0.35">
      <c r="D56" s="83" t="s">
        <v>391</v>
      </c>
      <c r="E56" s="476">
        <f>SUM(E54:E55)</f>
        <v>1673405.7899999998</v>
      </c>
      <c r="F56" s="476">
        <f t="shared" ref="F56:G56" si="4">SUM(F54:F55)</f>
        <v>1363139.3203729999</v>
      </c>
      <c r="G56" s="476">
        <f t="shared" si="4"/>
        <v>310266.28962699999</v>
      </c>
      <c r="H56" s="1"/>
      <c r="I56" s="269"/>
      <c r="J56" s="269"/>
      <c r="K56" s="108"/>
      <c r="L56" s="175"/>
      <c r="M56" s="478"/>
      <c r="U56" s="172"/>
      <c r="AC56" s="171"/>
      <c r="AK56" s="171"/>
    </row>
    <row r="57" spans="1:38" x14ac:dyDescent="0.35">
      <c r="D57" s="83"/>
      <c r="E57" s="476"/>
      <c r="F57" s="56"/>
      <c r="G57" s="357"/>
      <c r="H57" s="1"/>
      <c r="I57" s="269"/>
      <c r="J57" s="269"/>
      <c r="K57" s="108"/>
      <c r="L57" s="175"/>
      <c r="M57" s="478"/>
      <c r="U57" s="172"/>
      <c r="AC57" s="171"/>
      <c r="AK57" s="171"/>
    </row>
    <row r="58" spans="1:38" x14ac:dyDescent="0.35">
      <c r="E58" s="1"/>
      <c r="G58" s="147"/>
      <c r="H58" s="1"/>
      <c r="I58" s="269"/>
      <c r="J58" s="269"/>
      <c r="K58" s="108"/>
      <c r="L58" s="175"/>
      <c r="M58" s="478"/>
      <c r="U58" s="172"/>
      <c r="AC58" s="171"/>
      <c r="AK58" s="171"/>
    </row>
    <row r="59" spans="1:38" x14ac:dyDescent="0.35">
      <c r="D59" s="83" t="s">
        <v>506</v>
      </c>
      <c r="E59" s="2">
        <f>F59+G59</f>
        <v>1568267.6899999997</v>
      </c>
      <c r="F59" s="93">
        <f>F56-U52-AC52</f>
        <v>1275648.9203729997</v>
      </c>
      <c r="G59" s="147">
        <f>G56-M52</f>
        <v>292618.76962699997</v>
      </c>
      <c r="H59" s="1"/>
      <c r="I59" s="269"/>
      <c r="J59" s="269"/>
      <c r="K59" s="108"/>
      <c r="L59" s="478"/>
      <c r="M59" s="172"/>
      <c r="U59" s="172"/>
      <c r="AC59" s="171"/>
      <c r="AK59" s="171"/>
    </row>
    <row r="60" spans="1:38" ht="17" x14ac:dyDescent="0.5">
      <c r="D60" s="29"/>
      <c r="E60" s="1"/>
      <c r="F60" s="29"/>
      <c r="G60" s="29"/>
      <c r="H60" s="108" t="s">
        <v>35</v>
      </c>
      <c r="I60" s="146" t="s">
        <v>83</v>
      </c>
      <c r="J60" s="146" t="s">
        <v>242</v>
      </c>
      <c r="K60" s="1"/>
    </row>
    <row r="61" spans="1:38" x14ac:dyDescent="0.35">
      <c r="D61" s="1" t="s">
        <v>243</v>
      </c>
      <c r="E61" s="1"/>
      <c r="F61" s="1"/>
      <c r="G61" s="1"/>
      <c r="H61" s="106">
        <f>E54</f>
        <v>1460062.6099999999</v>
      </c>
      <c r="I61" s="106">
        <f>F54</f>
        <v>1186470.3203729999</v>
      </c>
      <c r="J61" s="106">
        <f>G54</f>
        <v>273592.28962699999</v>
      </c>
      <c r="K61" s="106"/>
    </row>
    <row r="62" spans="1:38" ht="17" x14ac:dyDescent="0.5">
      <c r="D62" s="1" t="s">
        <v>102</v>
      </c>
      <c r="E62" s="1"/>
      <c r="F62" s="1"/>
      <c r="G62" s="1"/>
      <c r="H62" s="327"/>
      <c r="I62" s="482">
        <f>-SAOw!F24</f>
        <v>-1030048.92</v>
      </c>
      <c r="J62" s="327"/>
      <c r="K62" s="74"/>
    </row>
    <row r="63" spans="1:38" x14ac:dyDescent="0.35">
      <c r="A63" s="176" t="s">
        <v>244</v>
      </c>
      <c r="D63" s="109" t="s">
        <v>103</v>
      </c>
      <c r="E63" s="1"/>
      <c r="F63" s="109"/>
      <c r="G63" s="109"/>
      <c r="H63" s="46">
        <f>H61+H62</f>
        <v>1460062.6099999999</v>
      </c>
      <c r="I63" s="46">
        <f>I61+I62</f>
        <v>156421.40037299984</v>
      </c>
      <c r="J63" s="46"/>
      <c r="K63" s="177"/>
    </row>
    <row r="64" spans="1:38" x14ac:dyDescent="0.35">
      <c r="A64" s="176"/>
      <c r="D64" s="109"/>
      <c r="E64" s="1"/>
      <c r="F64" s="109"/>
      <c r="G64" s="109"/>
      <c r="H64" s="46"/>
      <c r="I64" s="46"/>
      <c r="J64" s="46"/>
      <c r="K64" s="177"/>
    </row>
    <row r="65" spans="1:15" x14ac:dyDescent="0.35">
      <c r="A65" s="176"/>
      <c r="D65" s="1" t="s">
        <v>545</v>
      </c>
      <c r="E65" s="1"/>
      <c r="F65" s="109"/>
      <c r="G65" s="109"/>
      <c r="H65" s="46">
        <f>E55+B74</f>
        <v>243343.18</v>
      </c>
      <c r="I65" s="46">
        <f>ROUND((H65*Adj!I8),0)</f>
        <v>201512</v>
      </c>
      <c r="J65" s="46">
        <f>ROUND((H65*Adj!J8),0)</f>
        <v>41831</v>
      </c>
      <c r="K65" s="177" t="s">
        <v>560</v>
      </c>
      <c r="L65" s="273"/>
    </row>
    <row r="66" spans="1:15" ht="17" x14ac:dyDescent="0.5">
      <c r="A66" s="176"/>
      <c r="D66" s="1" t="s">
        <v>547</v>
      </c>
      <c r="E66" s="1"/>
      <c r="F66" s="109"/>
      <c r="G66" s="109"/>
      <c r="H66" s="46"/>
      <c r="I66" s="489">
        <f>SAOw!F26</f>
        <v>153654.10999999999</v>
      </c>
      <c r="J66" s="489">
        <f>-SAOs!D30</f>
        <v>-473719.16</v>
      </c>
      <c r="K66" s="483" t="s">
        <v>550</v>
      </c>
    </row>
    <row r="67" spans="1:15" x14ac:dyDescent="0.35">
      <c r="A67" s="176"/>
      <c r="D67" s="109" t="s">
        <v>549</v>
      </c>
      <c r="E67" s="1"/>
      <c r="F67" s="109"/>
      <c r="G67" s="109"/>
      <c r="H67" s="46"/>
      <c r="I67" s="46">
        <f>I65-I66</f>
        <v>47857.890000000014</v>
      </c>
      <c r="J67" s="486">
        <f>J61+J65+J66</f>
        <v>-158295.87037299998</v>
      </c>
      <c r="K67" s="487" t="s">
        <v>551</v>
      </c>
      <c r="L67" s="488"/>
      <c r="M67" s="488"/>
      <c r="N67" s="488"/>
    </row>
    <row r="68" spans="1:15" x14ac:dyDescent="0.35">
      <c r="A68" s="176"/>
      <c r="D68" s="109"/>
      <c r="E68" s="1"/>
      <c r="F68" s="109"/>
      <c r="G68" s="109"/>
      <c r="H68" s="46"/>
      <c r="I68" s="46"/>
      <c r="J68" s="46"/>
      <c r="K68" s="177"/>
    </row>
    <row r="69" spans="1:15" x14ac:dyDescent="0.35">
      <c r="A69" t="s">
        <v>245</v>
      </c>
      <c r="B69">
        <f>500*12</f>
        <v>6000</v>
      </c>
      <c r="D69" s="1"/>
      <c r="E69" s="1"/>
      <c r="F69" s="1"/>
      <c r="G69" s="1"/>
      <c r="H69" s="1" t="s">
        <v>104</v>
      </c>
      <c r="I69" s="1"/>
      <c r="J69" s="1"/>
      <c r="K69" s="47"/>
    </row>
    <row r="70" spans="1:15" x14ac:dyDescent="0.35">
      <c r="A70" t="s">
        <v>246</v>
      </c>
      <c r="B70">
        <f t="shared" ref="B70:B73" si="5">500*12</f>
        <v>6000</v>
      </c>
      <c r="D70" s="1" t="s">
        <v>489</v>
      </c>
      <c r="E70" s="1"/>
      <c r="F70" s="1"/>
      <c r="G70" s="1"/>
      <c r="H70" s="46">
        <f>H61+H65</f>
        <v>1703405.7899999998</v>
      </c>
      <c r="I70" s="472">
        <f>I61+I65</f>
        <v>1387982.3203729999</v>
      </c>
      <c r="J70" s="472">
        <f>J61+J65</f>
        <v>315423.28962699999</v>
      </c>
      <c r="K70" s="472"/>
      <c r="L70" s="273" t="s">
        <v>491</v>
      </c>
    </row>
    <row r="71" spans="1:15" x14ac:dyDescent="0.35">
      <c r="A71" t="s">
        <v>247</v>
      </c>
      <c r="B71">
        <f t="shared" si="5"/>
        <v>6000</v>
      </c>
      <c r="D71" s="1" t="s">
        <v>248</v>
      </c>
      <c r="E71" s="1"/>
      <c r="F71" s="1"/>
      <c r="G71" s="1"/>
      <c r="H71" s="111">
        <v>7.6499999999999999E-2</v>
      </c>
      <c r="I71" s="111">
        <v>7.6499999999999999E-2</v>
      </c>
      <c r="J71" s="111">
        <v>7.6499999999999999E-2</v>
      </c>
      <c r="K71" s="86"/>
    </row>
    <row r="72" spans="1:15" x14ac:dyDescent="0.35">
      <c r="A72" t="s">
        <v>249</v>
      </c>
      <c r="B72">
        <f t="shared" si="5"/>
        <v>6000</v>
      </c>
      <c r="D72" s="1" t="s">
        <v>105</v>
      </c>
      <c r="E72" s="1"/>
      <c r="F72" s="1"/>
      <c r="G72" s="1"/>
      <c r="H72" s="29">
        <f>+H70*H71</f>
        <v>130310.54293499998</v>
      </c>
      <c r="I72" s="29">
        <f>+I70*I71</f>
        <v>106180.64750853449</v>
      </c>
      <c r="J72" s="29">
        <f>+J70*J71</f>
        <v>24129.881656465499</v>
      </c>
      <c r="K72" s="29"/>
    </row>
    <row r="73" spans="1:15" x14ac:dyDescent="0.35">
      <c r="A73" t="s">
        <v>250</v>
      </c>
      <c r="B73" s="176">
        <f t="shared" si="5"/>
        <v>6000</v>
      </c>
      <c r="D73" s="1" t="s">
        <v>527</v>
      </c>
      <c r="E73" s="1"/>
      <c r="F73" s="1"/>
      <c r="G73" s="1"/>
      <c r="H73" s="390">
        <f>SUM(I73:J73)</f>
        <v>-132971.52000000002</v>
      </c>
      <c r="I73" s="390">
        <f>-SAOw!F49</f>
        <v>-95021.86</v>
      </c>
      <c r="J73" s="390">
        <f>-SAOs!D44</f>
        <v>-37949.660000000003</v>
      </c>
      <c r="K73" s="84"/>
    </row>
    <row r="74" spans="1:15" x14ac:dyDescent="0.35">
      <c r="A74" s="178" t="s">
        <v>73</v>
      </c>
      <c r="B74">
        <f>SUM(B69:B73)</f>
        <v>30000</v>
      </c>
      <c r="D74" s="109" t="s">
        <v>106</v>
      </c>
      <c r="E74" s="1"/>
      <c r="F74" s="109"/>
      <c r="G74" s="109"/>
      <c r="H74" s="46">
        <f>+H72+H73</f>
        <v>-2660.9770650000428</v>
      </c>
      <c r="I74" s="46">
        <f>+I72+I73</f>
        <v>11158.787508534486</v>
      </c>
      <c r="J74" s="46">
        <f>+J72+J73</f>
        <v>-13819.778343534505</v>
      </c>
      <c r="K74" s="177"/>
    </row>
    <row r="75" spans="1:15" x14ac:dyDescent="0.35">
      <c r="D75" s="1"/>
      <c r="E75" s="1"/>
      <c r="F75" s="1"/>
      <c r="G75" s="1"/>
      <c r="H75" s="1"/>
      <c r="I75" s="1"/>
      <c r="J75" s="1"/>
      <c r="K75" s="1"/>
    </row>
    <row r="76" spans="1:15" ht="17" x14ac:dyDescent="0.5">
      <c r="A76" s="146" t="s">
        <v>83</v>
      </c>
      <c r="B76" s="146" t="s">
        <v>242</v>
      </c>
      <c r="D76" s="1" t="s">
        <v>251</v>
      </c>
      <c r="E76" s="1"/>
      <c r="F76" s="1"/>
      <c r="G76" s="1"/>
      <c r="H76" s="472">
        <f>SUM(I76:J76)</f>
        <v>1568267.6899999997</v>
      </c>
      <c r="I76" s="472">
        <f>F59</f>
        <v>1275648.9203729997</v>
      </c>
      <c r="J76" s="472">
        <f>G59</f>
        <v>292618.76962699997</v>
      </c>
      <c r="K76" s="46"/>
      <c r="L76" s="61" t="s">
        <v>444</v>
      </c>
      <c r="M76" s="1"/>
      <c r="N76" s="1"/>
      <c r="O76" s="1"/>
    </row>
    <row r="77" spans="1:15" x14ac:dyDescent="0.35">
      <c r="A77" s="345">
        <v>6285</v>
      </c>
      <c r="B77" s="345">
        <v>1305</v>
      </c>
      <c r="D77" s="1" t="s">
        <v>107</v>
      </c>
      <c r="E77" s="1"/>
      <c r="F77" s="1"/>
      <c r="G77" s="1"/>
      <c r="H77" s="111">
        <f>(0.1971+0.1862)/2</f>
        <v>0.19164999999999999</v>
      </c>
      <c r="I77" s="111">
        <f t="shared" ref="I77:J77" si="6">(0.1971+0.1862)/2</f>
        <v>0.19164999999999999</v>
      </c>
      <c r="J77" s="111">
        <f t="shared" si="6"/>
        <v>0.19164999999999999</v>
      </c>
      <c r="K77" s="86"/>
      <c r="L77" s="1"/>
      <c r="M77" s="314">
        <v>45474</v>
      </c>
      <c r="N77" s="314">
        <v>45839</v>
      </c>
      <c r="O77" s="1"/>
    </row>
    <row r="78" spans="1:15" x14ac:dyDescent="0.35">
      <c r="A78" s="344">
        <f>ROUND(A77/(A77+B77),3)</f>
        <v>0.82799999999999996</v>
      </c>
      <c r="B78" s="344">
        <f>ROUND(B77/(A77+B77),3)</f>
        <v>0.17199999999999999</v>
      </c>
      <c r="D78" s="1" t="s">
        <v>108</v>
      </c>
      <c r="E78" s="1"/>
      <c r="F78" s="1"/>
      <c r="G78" s="1"/>
      <c r="H78" s="29">
        <f>+H76*H77</f>
        <v>300558.50278849993</v>
      </c>
      <c r="I78" s="29">
        <f t="shared" ref="I78:J78" si="7">+I76*I77</f>
        <v>244478.11558948539</v>
      </c>
      <c r="J78" s="29">
        <f t="shared" si="7"/>
        <v>56080.387199014542</v>
      </c>
      <c r="K78" s="29"/>
      <c r="L78" s="1"/>
      <c r="M78" s="1">
        <v>19.71</v>
      </c>
      <c r="N78" s="1">
        <v>18.62</v>
      </c>
      <c r="O78" s="1"/>
    </row>
    <row r="79" spans="1:15" x14ac:dyDescent="0.35">
      <c r="A79" s="346">
        <f>B74*A78</f>
        <v>24840</v>
      </c>
      <c r="B79" s="346">
        <f>B74*B78</f>
        <v>5160</v>
      </c>
      <c r="D79" s="1" t="s">
        <v>109</v>
      </c>
      <c r="E79" s="1"/>
      <c r="F79" s="1"/>
      <c r="G79" s="1"/>
      <c r="H79" s="52">
        <f>SUM(I79:J79)</f>
        <v>-282254.27</v>
      </c>
      <c r="I79" s="52">
        <v>-206089.67</v>
      </c>
      <c r="J79" s="52">
        <v>-76164.600000000006</v>
      </c>
      <c r="K79" s="56"/>
      <c r="L79" s="273" t="s">
        <v>505</v>
      </c>
    </row>
    <row r="80" spans="1:15" x14ac:dyDescent="0.35">
      <c r="A80" s="273" t="s">
        <v>490</v>
      </c>
      <c r="D80" s="109" t="s">
        <v>252</v>
      </c>
      <c r="E80" s="1"/>
      <c r="F80" s="109"/>
      <c r="G80" s="109"/>
      <c r="H80" s="46">
        <f>H78+H79</f>
        <v>18304.23278849991</v>
      </c>
      <c r="I80" s="46">
        <f t="shared" ref="I80:J80" si="8">I78+I79</f>
        <v>38388.445589485375</v>
      </c>
      <c r="J80" s="46">
        <f t="shared" si="8"/>
        <v>-20084.212800985464</v>
      </c>
      <c r="K80" s="17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867AE-FFD8-41FC-A277-90C6BBB3B94B}">
  <sheetPr>
    <tabColor rgb="FF92D050"/>
  </sheetPr>
  <dimension ref="B1:L64"/>
  <sheetViews>
    <sheetView topLeftCell="A15" workbookViewId="0">
      <selection activeCell="M55" sqref="M55"/>
    </sheetView>
  </sheetViews>
  <sheetFormatPr defaultRowHeight="15.5" x14ac:dyDescent="0.35"/>
  <cols>
    <col min="5" max="5" width="12.61328125" customWidth="1"/>
    <col min="6" max="6" width="12.3828125" customWidth="1"/>
    <col min="7" max="7" width="11.765625" bestFit="1" customWidth="1"/>
    <col min="8" max="8" width="9.69140625" customWidth="1"/>
    <col min="9" max="9" width="14.61328125" customWidth="1"/>
    <col min="10" max="10" width="11.4609375" customWidth="1"/>
    <col min="11" max="11" width="10.15234375" customWidth="1"/>
    <col min="12" max="12" width="10.15234375" bestFit="1" customWidth="1"/>
  </cols>
  <sheetData>
    <row r="1" spans="3:12" x14ac:dyDescent="0.35">
      <c r="E1" s="167" t="s">
        <v>253</v>
      </c>
      <c r="H1" s="365" t="s">
        <v>515</v>
      </c>
    </row>
    <row r="2" spans="3:12" x14ac:dyDescent="0.35">
      <c r="C2" t="s">
        <v>254</v>
      </c>
      <c r="E2" t="s">
        <v>255</v>
      </c>
      <c r="H2" s="376" t="s">
        <v>511</v>
      </c>
      <c r="I2" s="376" t="s">
        <v>511</v>
      </c>
      <c r="J2" t="s">
        <v>256</v>
      </c>
    </row>
    <row r="3" spans="3:12" x14ac:dyDescent="0.35">
      <c r="C3" t="s">
        <v>257</v>
      </c>
      <c r="E3" t="s">
        <v>258</v>
      </c>
      <c r="F3" t="s">
        <v>259</v>
      </c>
      <c r="G3" t="s">
        <v>255</v>
      </c>
      <c r="H3" s="273" t="s">
        <v>514</v>
      </c>
      <c r="I3" s="376" t="s">
        <v>512</v>
      </c>
      <c r="J3" t="s">
        <v>258</v>
      </c>
      <c r="K3" t="s">
        <v>259</v>
      </c>
      <c r="L3" t="s">
        <v>255</v>
      </c>
    </row>
    <row r="4" spans="3:12" x14ac:dyDescent="0.35">
      <c r="C4" t="s">
        <v>98</v>
      </c>
      <c r="E4" s="182">
        <v>673.47</v>
      </c>
      <c r="F4">
        <v>13</v>
      </c>
      <c r="G4" s="180">
        <f>E4*F4</f>
        <v>8755.11</v>
      </c>
      <c r="H4" s="383">
        <v>0.78</v>
      </c>
      <c r="I4" s="162">
        <f>G4*H4</f>
        <v>6828.9858000000004</v>
      </c>
      <c r="J4" s="182">
        <v>4</v>
      </c>
      <c r="K4">
        <v>11</v>
      </c>
      <c r="L4" s="182">
        <f t="shared" ref="L4:L7" si="0">J4*K4</f>
        <v>44</v>
      </c>
    </row>
    <row r="5" spans="3:12" x14ac:dyDescent="0.35">
      <c r="C5" t="s">
        <v>260</v>
      </c>
      <c r="E5">
        <v>1399.67</v>
      </c>
      <c r="F5">
        <v>2</v>
      </c>
      <c r="G5" s="180">
        <f t="shared" ref="G5:G7" si="1">E5*F5</f>
        <v>2799.34</v>
      </c>
      <c r="H5" s="384">
        <v>0.67</v>
      </c>
      <c r="I5" s="162">
        <f t="shared" ref="I5:I7" si="2">G5*H5</f>
        <v>1875.5578000000003</v>
      </c>
      <c r="J5" s="310">
        <v>4</v>
      </c>
      <c r="K5">
        <v>3</v>
      </c>
      <c r="L5" s="182">
        <f t="shared" si="0"/>
        <v>12</v>
      </c>
    </row>
    <row r="6" spans="3:12" x14ac:dyDescent="0.35">
      <c r="C6" t="s">
        <v>261</v>
      </c>
      <c r="E6">
        <v>1201.6099999999999</v>
      </c>
      <c r="F6">
        <v>5</v>
      </c>
      <c r="G6" s="180">
        <f t="shared" si="1"/>
        <v>6008.0499999999993</v>
      </c>
      <c r="H6" s="384">
        <v>0.67</v>
      </c>
      <c r="I6" s="162">
        <f t="shared" si="2"/>
        <v>4025.3934999999997</v>
      </c>
      <c r="J6" s="310">
        <v>4</v>
      </c>
      <c r="K6">
        <v>5</v>
      </c>
      <c r="L6" s="182">
        <f t="shared" si="0"/>
        <v>20</v>
      </c>
    </row>
    <row r="7" spans="3:12" x14ac:dyDescent="0.35">
      <c r="C7" t="s">
        <v>262</v>
      </c>
      <c r="E7">
        <v>2125.87</v>
      </c>
      <c r="F7" s="271">
        <v>7</v>
      </c>
      <c r="G7" s="312">
        <f t="shared" si="1"/>
        <v>14881.09</v>
      </c>
      <c r="H7" s="384">
        <v>0.67</v>
      </c>
      <c r="I7" s="386">
        <f t="shared" si="2"/>
        <v>9970.3303000000014</v>
      </c>
      <c r="J7" s="310">
        <v>4</v>
      </c>
      <c r="K7" s="271">
        <v>7</v>
      </c>
      <c r="L7" s="311">
        <f t="shared" si="0"/>
        <v>28</v>
      </c>
    </row>
    <row r="8" spans="3:12" x14ac:dyDescent="0.35">
      <c r="F8">
        <f>SUM(F4:F7)</f>
        <v>27</v>
      </c>
      <c r="G8" s="180">
        <f>SUM(G4:G7)</f>
        <v>32443.59</v>
      </c>
      <c r="H8" s="383"/>
      <c r="I8" s="162">
        <f>SUM(I4:I7)</f>
        <v>22700.267400000004</v>
      </c>
      <c r="K8">
        <f>SUM(K4:K7)</f>
        <v>26</v>
      </c>
      <c r="L8" s="182">
        <f>SUM(L4:L7)</f>
        <v>104</v>
      </c>
    </row>
    <row r="9" spans="3:12" ht="18.5" x14ac:dyDescent="0.65">
      <c r="G9" s="181" t="s">
        <v>263</v>
      </c>
      <c r="H9" s="385"/>
      <c r="I9" s="181" t="s">
        <v>263</v>
      </c>
      <c r="L9" s="183" t="s">
        <v>263</v>
      </c>
    </row>
    <row r="10" spans="3:12" x14ac:dyDescent="0.35">
      <c r="D10" t="s">
        <v>264</v>
      </c>
      <c r="G10" s="180">
        <f>G8*12</f>
        <v>389323.08</v>
      </c>
      <c r="H10" s="383"/>
      <c r="I10" s="162">
        <f>I8*12</f>
        <v>272403.20880000002</v>
      </c>
      <c r="L10" s="182">
        <f>L8*12</f>
        <v>1248</v>
      </c>
    </row>
    <row r="11" spans="3:12" x14ac:dyDescent="0.35">
      <c r="G11" s="180"/>
      <c r="H11" s="383"/>
    </row>
    <row r="12" spans="3:12" x14ac:dyDescent="0.35">
      <c r="C12" t="s">
        <v>265</v>
      </c>
      <c r="E12" t="s">
        <v>255</v>
      </c>
      <c r="G12" s="180"/>
      <c r="H12" s="383"/>
    </row>
    <row r="13" spans="3:12" x14ac:dyDescent="0.35">
      <c r="C13" t="s">
        <v>257</v>
      </c>
      <c r="E13" t="s">
        <v>258</v>
      </c>
      <c r="F13" t="s">
        <v>259</v>
      </c>
      <c r="G13" s="180" t="s">
        <v>255</v>
      </c>
      <c r="H13" s="383"/>
    </row>
    <row r="14" spans="3:12" x14ac:dyDescent="0.35">
      <c r="C14" t="s">
        <v>266</v>
      </c>
      <c r="E14" s="182">
        <v>21.34</v>
      </c>
      <c r="F14">
        <v>13</v>
      </c>
      <c r="G14" s="180">
        <f>F14*E14</f>
        <v>277.42</v>
      </c>
      <c r="H14" s="383">
        <v>0.6</v>
      </c>
      <c r="I14" s="162">
        <f t="shared" ref="I14:I17" si="3">G14*H14</f>
        <v>166.452</v>
      </c>
    </row>
    <row r="15" spans="3:12" x14ac:dyDescent="0.35">
      <c r="C15" t="s">
        <v>267</v>
      </c>
      <c r="E15">
        <v>44.89</v>
      </c>
      <c r="F15">
        <v>4</v>
      </c>
      <c r="G15" s="180">
        <f t="shared" ref="G15:G18" si="4">F15*E15</f>
        <v>179.56</v>
      </c>
      <c r="H15" s="383">
        <v>0.6</v>
      </c>
      <c r="I15" s="162">
        <f t="shared" si="3"/>
        <v>107.736</v>
      </c>
    </row>
    <row r="16" spans="3:12" x14ac:dyDescent="0.35">
      <c r="C16" t="s">
        <v>268</v>
      </c>
      <c r="E16">
        <v>87.29</v>
      </c>
      <c r="F16">
        <v>4</v>
      </c>
      <c r="G16" s="180">
        <f t="shared" si="4"/>
        <v>349.16</v>
      </c>
      <c r="H16" s="383">
        <v>0.6</v>
      </c>
      <c r="I16" s="162">
        <f t="shared" si="3"/>
        <v>209.49600000000001</v>
      </c>
    </row>
    <row r="17" spans="3:10" x14ac:dyDescent="0.35">
      <c r="C17" t="s">
        <v>269</v>
      </c>
      <c r="E17">
        <v>43.56</v>
      </c>
      <c r="F17">
        <v>4</v>
      </c>
      <c r="G17" s="180">
        <f t="shared" si="4"/>
        <v>174.24</v>
      </c>
      <c r="H17" s="383">
        <v>0.6</v>
      </c>
      <c r="I17" s="162">
        <f t="shared" si="3"/>
        <v>104.544</v>
      </c>
    </row>
    <row r="18" spans="3:10" x14ac:dyDescent="0.35">
      <c r="F18" s="271"/>
      <c r="G18" s="312">
        <f t="shared" si="4"/>
        <v>0</v>
      </c>
      <c r="H18" s="384"/>
    </row>
    <row r="19" spans="3:10" x14ac:dyDescent="0.35">
      <c r="F19">
        <f>SUM(F14:F18)</f>
        <v>25</v>
      </c>
      <c r="G19" s="180">
        <f>SUM(G14:G18)</f>
        <v>980.38000000000011</v>
      </c>
      <c r="H19" s="383"/>
      <c r="I19" s="162">
        <f>SUM(I14:I18)</f>
        <v>588.22799999999995</v>
      </c>
      <c r="J19" s="162"/>
    </row>
    <row r="20" spans="3:10" x14ac:dyDescent="0.35">
      <c r="G20" s="312" t="s">
        <v>263</v>
      </c>
      <c r="H20" s="384"/>
      <c r="I20" s="181" t="s">
        <v>263</v>
      </c>
    </row>
    <row r="21" spans="3:10" x14ac:dyDescent="0.35">
      <c r="D21" t="s">
        <v>264</v>
      </c>
      <c r="G21" s="182">
        <f>G19*12</f>
        <v>11764.560000000001</v>
      </c>
      <c r="H21" s="383">
        <v>0.6</v>
      </c>
      <c r="I21" s="180">
        <f>G21*H21</f>
        <v>7058.7360000000008</v>
      </c>
    </row>
    <row r="22" spans="3:10" x14ac:dyDescent="0.35">
      <c r="G22" s="180"/>
      <c r="H22" s="180"/>
    </row>
    <row r="23" spans="3:10" x14ac:dyDescent="0.35">
      <c r="C23" t="s">
        <v>270</v>
      </c>
      <c r="E23" t="s">
        <v>255</v>
      </c>
      <c r="G23" s="180"/>
      <c r="H23" s="180"/>
    </row>
    <row r="24" spans="3:10" x14ac:dyDescent="0.35">
      <c r="C24" t="s">
        <v>257</v>
      </c>
      <c r="E24" t="s">
        <v>258</v>
      </c>
      <c r="F24" t="s">
        <v>259</v>
      </c>
      <c r="G24" s="180" t="s">
        <v>255</v>
      </c>
      <c r="H24" s="180"/>
    </row>
    <row r="25" spans="3:10" x14ac:dyDescent="0.35">
      <c r="C25" t="s">
        <v>98</v>
      </c>
      <c r="E25">
        <v>6.88</v>
      </c>
      <c r="F25">
        <v>13</v>
      </c>
      <c r="G25" s="180">
        <f t="shared" ref="G25:G28" si="5">F25*E25</f>
        <v>89.44</v>
      </c>
      <c r="H25" s="180"/>
    </row>
    <row r="26" spans="3:10" x14ac:dyDescent="0.35">
      <c r="C26" t="s">
        <v>260</v>
      </c>
      <c r="E26">
        <v>13.07</v>
      </c>
      <c r="F26">
        <v>4</v>
      </c>
      <c r="G26" s="180">
        <f t="shared" si="5"/>
        <v>52.28</v>
      </c>
      <c r="H26" s="180"/>
    </row>
    <row r="27" spans="3:10" x14ac:dyDescent="0.35">
      <c r="C27" t="s">
        <v>271</v>
      </c>
      <c r="E27">
        <v>13.75</v>
      </c>
      <c r="F27">
        <v>4</v>
      </c>
      <c r="G27" s="180">
        <f t="shared" si="5"/>
        <v>55</v>
      </c>
      <c r="H27" s="180"/>
    </row>
    <row r="28" spans="3:10" x14ac:dyDescent="0.35">
      <c r="C28" t="s">
        <v>262</v>
      </c>
      <c r="E28">
        <v>20.22</v>
      </c>
      <c r="F28" s="271">
        <v>7</v>
      </c>
      <c r="G28" s="312">
        <f t="shared" si="5"/>
        <v>141.54</v>
      </c>
      <c r="H28" s="382"/>
    </row>
    <row r="29" spans="3:10" x14ac:dyDescent="0.35">
      <c r="F29">
        <f>SUM(F25:F28)</f>
        <v>28</v>
      </c>
      <c r="G29" s="180">
        <f>SUM(G25:G28)</f>
        <v>338.26</v>
      </c>
      <c r="H29" s="180"/>
    </row>
    <row r="30" spans="3:10" x14ac:dyDescent="0.35">
      <c r="G30" s="312" t="s">
        <v>263</v>
      </c>
      <c r="H30" s="382"/>
    </row>
    <row r="31" spans="3:10" x14ac:dyDescent="0.35">
      <c r="D31" t="s">
        <v>264</v>
      </c>
      <c r="G31" s="182">
        <f>G29*12</f>
        <v>4059.12</v>
      </c>
      <c r="H31" s="182"/>
    </row>
    <row r="32" spans="3:10" x14ac:dyDescent="0.35">
      <c r="E32" t="s">
        <v>255</v>
      </c>
      <c r="G32" s="180"/>
      <c r="H32" s="180"/>
    </row>
    <row r="33" spans="3:11" x14ac:dyDescent="0.35">
      <c r="C33" t="s">
        <v>272</v>
      </c>
      <c r="E33" s="173" t="s">
        <v>258</v>
      </c>
      <c r="F33" s="173" t="s">
        <v>259</v>
      </c>
      <c r="G33" s="313" t="s">
        <v>255</v>
      </c>
      <c r="H33" s="313"/>
    </row>
    <row r="34" spans="3:11" x14ac:dyDescent="0.35">
      <c r="C34" t="s">
        <v>513</v>
      </c>
      <c r="E34">
        <v>6</v>
      </c>
      <c r="F34">
        <v>27</v>
      </c>
      <c r="G34" s="180">
        <f t="shared" ref="G34" si="6">F34*E34</f>
        <v>162</v>
      </c>
      <c r="H34" s="180"/>
    </row>
    <row r="35" spans="3:11" x14ac:dyDescent="0.35">
      <c r="G35" s="312" t="s">
        <v>263</v>
      </c>
      <c r="H35" s="382"/>
    </row>
    <row r="36" spans="3:11" x14ac:dyDescent="0.35">
      <c r="D36" t="s">
        <v>264</v>
      </c>
      <c r="G36" s="182">
        <f>G34*12</f>
        <v>1944</v>
      </c>
      <c r="H36" s="182"/>
    </row>
    <row r="39" spans="3:11" x14ac:dyDescent="0.35">
      <c r="E39" s="273" t="s">
        <v>507</v>
      </c>
      <c r="G39" s="162">
        <f>G10+L10+G21+G31+G36</f>
        <v>408338.76</v>
      </c>
      <c r="H39" s="162"/>
      <c r="I39" s="162">
        <f>I10+I21+G31+G36+L10</f>
        <v>286713.06479999999</v>
      </c>
      <c r="J39" s="273" t="s">
        <v>516</v>
      </c>
    </row>
    <row r="40" spans="3:11" x14ac:dyDescent="0.35">
      <c r="I40" s="312">
        <f>-G63</f>
        <v>-250602.99</v>
      </c>
      <c r="J40" s="273" t="s">
        <v>530</v>
      </c>
    </row>
    <row r="41" spans="3:11" x14ac:dyDescent="0.35">
      <c r="G41" s="162"/>
      <c r="H41" s="391" t="s">
        <v>529</v>
      </c>
      <c r="I41" s="162">
        <f>I39+I40</f>
        <v>36110.074800000002</v>
      </c>
    </row>
    <row r="42" spans="3:11" x14ac:dyDescent="0.35">
      <c r="J42" s="456" t="s">
        <v>83</v>
      </c>
      <c r="K42" s="456" t="s">
        <v>242</v>
      </c>
    </row>
    <row r="43" spans="3:11" x14ac:dyDescent="0.35">
      <c r="H43" s="365" t="s">
        <v>532</v>
      </c>
      <c r="J43" s="457">
        <f>I41*E64</f>
        <v>34449.011359199998</v>
      </c>
      <c r="K43" s="457">
        <f>I41*F64</f>
        <v>1661.0634408000001</v>
      </c>
    </row>
    <row r="50" spans="2:11" x14ac:dyDescent="0.35">
      <c r="B50" t="s">
        <v>517</v>
      </c>
      <c r="E50" s="180"/>
      <c r="F50" t="s">
        <v>518</v>
      </c>
    </row>
    <row r="51" spans="2:11" x14ac:dyDescent="0.35">
      <c r="C51" s="775" t="s">
        <v>519</v>
      </c>
      <c r="D51" s="776"/>
      <c r="E51" s="776"/>
      <c r="F51" s="777"/>
      <c r="I51" s="763" t="s">
        <v>520</v>
      </c>
      <c r="J51" s="764"/>
      <c r="K51" s="751"/>
    </row>
    <row r="52" spans="2:11" x14ac:dyDescent="0.35">
      <c r="C52" s="387" t="s">
        <v>521</v>
      </c>
      <c r="E52" s="382">
        <v>229718.52</v>
      </c>
      <c r="F52" s="9"/>
      <c r="I52" s="387" t="s">
        <v>521</v>
      </c>
      <c r="J52" s="382">
        <v>11637.37</v>
      </c>
      <c r="K52" s="9"/>
    </row>
    <row r="53" spans="2:11" x14ac:dyDescent="0.35">
      <c r="C53" s="387" t="s">
        <v>522</v>
      </c>
      <c r="E53" s="382">
        <v>9247.1</v>
      </c>
      <c r="F53" s="388">
        <f>SUM(E52:E53)</f>
        <v>238965.62</v>
      </c>
      <c r="I53" s="387" t="s">
        <v>522</v>
      </c>
      <c r="J53" s="382"/>
      <c r="K53" s="9"/>
    </row>
    <row r="54" spans="2:11" x14ac:dyDescent="0.35">
      <c r="C54" s="387" t="s">
        <v>523</v>
      </c>
      <c r="E54" s="382">
        <v>11402.87</v>
      </c>
      <c r="F54" s="9"/>
      <c r="I54" s="387" t="s">
        <v>523</v>
      </c>
      <c r="J54" s="382">
        <v>4834.32</v>
      </c>
      <c r="K54" s="9"/>
    </row>
    <row r="55" spans="2:11" x14ac:dyDescent="0.35">
      <c r="C55" s="387" t="s">
        <v>524</v>
      </c>
      <c r="E55" s="382">
        <v>59092.75</v>
      </c>
      <c r="F55" s="9"/>
      <c r="I55" s="387" t="s">
        <v>524</v>
      </c>
      <c r="J55" s="382">
        <v>9224.26</v>
      </c>
      <c r="K55" s="9"/>
    </row>
    <row r="56" spans="2:11" x14ac:dyDescent="0.35">
      <c r="C56" s="387" t="s">
        <v>525</v>
      </c>
      <c r="E56" s="382">
        <v>-125385</v>
      </c>
      <c r="F56" s="9"/>
      <c r="I56" s="387" t="s">
        <v>525</v>
      </c>
      <c r="J56" s="382">
        <v>-43879</v>
      </c>
      <c r="K56" s="9"/>
    </row>
    <row r="57" spans="2:11" x14ac:dyDescent="0.35">
      <c r="C57" s="387" t="s">
        <v>526</v>
      </c>
      <c r="E57" s="382">
        <v>272381.92</v>
      </c>
      <c r="F57" s="388">
        <f>SUM(E55:E57)</f>
        <v>206089.66999999998</v>
      </c>
      <c r="I57" s="387" t="s">
        <v>526</v>
      </c>
      <c r="J57" s="382">
        <v>110819.34</v>
      </c>
      <c r="K57" s="388">
        <f>SUM(J55:J57)</f>
        <v>76164.600000000006</v>
      </c>
    </row>
    <row r="58" spans="2:11" x14ac:dyDescent="0.35">
      <c r="C58" s="387" t="s">
        <v>100</v>
      </c>
      <c r="E58" s="312">
        <v>1469.52</v>
      </c>
      <c r="F58" s="9"/>
      <c r="I58" s="387" t="s">
        <v>100</v>
      </c>
      <c r="J58" s="389">
        <v>-2107.6999999999998</v>
      </c>
      <c r="K58" s="9"/>
    </row>
    <row r="59" spans="2:11" x14ac:dyDescent="0.35">
      <c r="C59" s="337"/>
      <c r="D59" s="271"/>
      <c r="E59" s="312">
        <f>SUM(E52:E58)</f>
        <v>457927.67999999999</v>
      </c>
      <c r="F59" s="10" t="s">
        <v>440</v>
      </c>
      <c r="I59" s="337"/>
      <c r="J59" s="312">
        <f>SUM(J52:J58)</f>
        <v>90528.590000000011</v>
      </c>
      <c r="K59" s="10" t="s">
        <v>440</v>
      </c>
    </row>
    <row r="62" spans="2:11" x14ac:dyDescent="0.35">
      <c r="E62" s="376" t="s">
        <v>83</v>
      </c>
      <c r="F62" s="376" t="s">
        <v>242</v>
      </c>
      <c r="G62" s="376" t="s">
        <v>13</v>
      </c>
    </row>
    <row r="63" spans="2:11" x14ac:dyDescent="0.35">
      <c r="D63" s="178" t="s">
        <v>528</v>
      </c>
      <c r="E63" s="162">
        <f>F53</f>
        <v>238965.62</v>
      </c>
      <c r="F63" s="162">
        <f>J52</f>
        <v>11637.37</v>
      </c>
      <c r="G63" s="162">
        <f>F63+E63</f>
        <v>250602.99</v>
      </c>
    </row>
    <row r="64" spans="2:11" x14ac:dyDescent="0.35">
      <c r="E64" s="344">
        <f>ROUND((E63/G63),3)</f>
        <v>0.95399999999999996</v>
      </c>
      <c r="F64" s="344">
        <f>ROUND((F63/G63),3)</f>
        <v>4.5999999999999999E-2</v>
      </c>
    </row>
  </sheetData>
  <mergeCells count="2">
    <mergeCell ref="C51:F51"/>
    <mergeCell ref="I51:K5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EU118"/>
  <sheetViews>
    <sheetView topLeftCell="A95" workbookViewId="0">
      <selection activeCell="B4" sqref="B4:M4"/>
    </sheetView>
  </sheetViews>
  <sheetFormatPr defaultColWidth="8.84375" defaultRowHeight="14.5" x14ac:dyDescent="0.35"/>
  <cols>
    <col min="1" max="1" width="9.69140625" style="63" customWidth="1"/>
    <col min="2" max="2" width="1.07421875" style="63" customWidth="1"/>
    <col min="3" max="3" width="4.765625" style="63" customWidth="1"/>
    <col min="4" max="4" width="8.4609375" style="63" customWidth="1"/>
    <col min="5" max="5" width="10.07421875" style="63" customWidth="1"/>
    <col min="6" max="6" width="9.3828125" style="63" bestFit="1" customWidth="1"/>
    <col min="7" max="7" width="10.765625" style="63" customWidth="1"/>
    <col min="8" max="8" width="1.23046875" style="63" customWidth="1"/>
    <col min="9" max="9" width="4.765625" style="63" customWidth="1"/>
    <col min="10" max="10" width="8.4609375" style="63" customWidth="1"/>
    <col min="11" max="11" width="10" style="63" customWidth="1"/>
    <col min="12" max="12" width="11.921875" style="63" bestFit="1" customWidth="1"/>
    <col min="13" max="13" width="10.61328125" style="63" customWidth="1"/>
    <col min="14" max="21" width="9.69140625" style="63" customWidth="1"/>
    <col min="22" max="22" width="10.61328125" style="63" bestFit="1" customWidth="1"/>
    <col min="23" max="23" width="6.69140625" style="63" customWidth="1"/>
    <col min="24" max="24" width="9.69140625" style="63" customWidth="1"/>
    <col min="25" max="25" width="11.53515625" style="63" bestFit="1" customWidth="1"/>
    <col min="26" max="26" width="1.84375" style="63" customWidth="1"/>
    <col min="27" max="28" width="9.69140625" style="63" customWidth="1"/>
    <col min="29" max="29" width="7.84375" style="63" customWidth="1"/>
    <col min="30" max="30" width="9.69140625" style="63" customWidth="1"/>
    <col min="31" max="31" width="10.3828125" style="63" bestFit="1" customWidth="1"/>
    <col min="32" max="151" width="9.69140625" style="63" customWidth="1"/>
    <col min="152" max="16384" width="8.84375" style="21"/>
  </cols>
  <sheetData>
    <row r="1" spans="1:28" ht="15" customHeight="1" x14ac:dyDescent="0.35">
      <c r="A1" s="27"/>
      <c r="B1" s="27"/>
      <c r="C1" s="27"/>
      <c r="D1" s="27"/>
      <c r="E1" s="27"/>
      <c r="F1" s="27"/>
      <c r="G1" s="27"/>
      <c r="H1" s="27"/>
      <c r="I1" s="27"/>
      <c r="J1" s="27"/>
      <c r="K1" s="27"/>
      <c r="L1" s="27"/>
      <c r="M1" s="27"/>
      <c r="N1" s="27"/>
      <c r="O1" s="27"/>
      <c r="P1" s="27"/>
      <c r="Q1" s="27"/>
      <c r="R1" s="27"/>
    </row>
    <row r="2" spans="1:28" ht="15" customHeight="1" x14ac:dyDescent="0.35">
      <c r="A2" s="27"/>
      <c r="B2" s="27"/>
      <c r="C2" s="201"/>
      <c r="D2" s="27"/>
      <c r="E2" s="27"/>
      <c r="F2" s="27"/>
      <c r="G2" s="27"/>
      <c r="H2" s="27"/>
      <c r="I2" s="27"/>
      <c r="J2" s="27"/>
      <c r="K2" s="27"/>
      <c r="L2" s="27"/>
      <c r="M2" s="27"/>
      <c r="N2" s="27"/>
      <c r="O2" s="27"/>
      <c r="P2" s="27"/>
      <c r="Q2" s="27"/>
      <c r="R2" s="27"/>
      <c r="S2" s="161"/>
    </row>
    <row r="3" spans="1:28" ht="15" customHeight="1" x14ac:dyDescent="0.35">
      <c r="A3" s="27"/>
      <c r="B3" s="27"/>
      <c r="C3" s="27"/>
      <c r="D3" s="27"/>
      <c r="E3" s="27"/>
      <c r="F3" s="27"/>
      <c r="G3" s="27"/>
      <c r="H3" s="27"/>
      <c r="I3" s="27"/>
      <c r="J3" s="27"/>
      <c r="K3" s="27"/>
      <c r="L3" s="27"/>
      <c r="M3" s="27"/>
      <c r="N3" s="27"/>
      <c r="O3" s="27"/>
      <c r="P3" s="27"/>
      <c r="Q3" s="27"/>
      <c r="S3" s="161"/>
    </row>
    <row r="4" spans="1:28" ht="15" customHeight="1" x14ac:dyDescent="0.35">
      <c r="A4" s="27"/>
      <c r="B4" s="65"/>
      <c r="C4" s="66"/>
      <c r="D4" s="66"/>
      <c r="E4" s="66"/>
      <c r="F4" s="66"/>
      <c r="G4" s="66"/>
      <c r="H4" s="66"/>
      <c r="I4" s="66"/>
      <c r="J4" s="66"/>
      <c r="K4" s="66"/>
      <c r="L4" s="66"/>
      <c r="M4" s="67"/>
      <c r="N4" s="27"/>
      <c r="O4" s="27"/>
      <c r="P4" s="27"/>
      <c r="Q4" s="27"/>
      <c r="S4" s="161"/>
    </row>
    <row r="5" spans="1:28" ht="15" customHeight="1" x14ac:dyDescent="0.45">
      <c r="A5" s="27"/>
      <c r="B5" s="68"/>
      <c r="C5" s="786"/>
      <c r="D5" s="786"/>
      <c r="E5" s="786"/>
      <c r="F5" s="786"/>
      <c r="G5" s="786"/>
      <c r="H5" s="786"/>
      <c r="I5" s="786"/>
      <c r="J5" s="786"/>
      <c r="K5" s="786"/>
      <c r="L5" s="786"/>
      <c r="M5" s="787"/>
      <c r="N5" s="27"/>
      <c r="O5" s="27"/>
      <c r="P5" s="27"/>
      <c r="Q5" s="27"/>
      <c r="S5" s="161"/>
    </row>
    <row r="6" spans="1:28" ht="15" customHeight="1" x14ac:dyDescent="0.45">
      <c r="A6" s="27"/>
      <c r="B6" s="68"/>
      <c r="C6" s="786" t="s">
        <v>123</v>
      </c>
      <c r="D6" s="786"/>
      <c r="E6" s="786"/>
      <c r="F6" s="786"/>
      <c r="G6" s="786"/>
      <c r="H6" s="786"/>
      <c r="I6" s="786"/>
      <c r="J6" s="786"/>
      <c r="K6" s="786"/>
      <c r="L6" s="786"/>
      <c r="M6" s="787"/>
      <c r="N6" s="27"/>
      <c r="O6" s="27"/>
      <c r="P6" s="27"/>
      <c r="Q6" s="27"/>
      <c r="S6" s="161"/>
    </row>
    <row r="7" spans="1:28" ht="15" customHeight="1" x14ac:dyDescent="0.45">
      <c r="A7" s="27"/>
      <c r="B7" s="68"/>
      <c r="C7" s="797" t="str">
        <f>SAOw!C4</f>
        <v>McCreary County Water District</v>
      </c>
      <c r="D7" s="786"/>
      <c r="E7" s="786"/>
      <c r="F7" s="786"/>
      <c r="G7" s="786"/>
      <c r="H7" s="786"/>
      <c r="I7" s="786"/>
      <c r="J7" s="786"/>
      <c r="K7" s="786"/>
      <c r="L7" s="786"/>
      <c r="M7" s="787"/>
      <c r="N7" s="122"/>
      <c r="O7" s="122"/>
      <c r="P7" s="122"/>
      <c r="Q7" s="122"/>
      <c r="S7" s="161"/>
      <c r="U7" s="781" t="s">
        <v>127</v>
      </c>
      <c r="V7" s="781"/>
      <c r="W7" s="781"/>
      <c r="X7" s="781"/>
      <c r="Y7" s="781"/>
      <c r="Z7" s="781"/>
      <c r="AA7" s="781"/>
      <c r="AB7" s="781"/>
    </row>
    <row r="8" spans="1:28" ht="15" customHeight="1" x14ac:dyDescent="0.35">
      <c r="A8" s="27"/>
      <c r="B8" s="68"/>
      <c r="C8" s="737" t="s">
        <v>304</v>
      </c>
      <c r="D8" s="737"/>
      <c r="E8" s="737"/>
      <c r="F8" s="737"/>
      <c r="G8" s="737"/>
      <c r="H8" s="737"/>
      <c r="I8" s="737"/>
      <c r="J8" s="737"/>
      <c r="K8" s="737"/>
      <c r="L8" s="737"/>
      <c r="M8" s="789"/>
      <c r="N8" s="122"/>
      <c r="O8" s="122"/>
      <c r="P8" s="122"/>
      <c r="Q8" s="122"/>
      <c r="S8" s="161"/>
      <c r="U8" s="781" t="s">
        <v>293</v>
      </c>
      <c r="V8" s="781"/>
      <c r="W8" s="781"/>
      <c r="X8" s="781"/>
      <c r="Y8" s="781"/>
      <c r="Z8" s="781"/>
      <c r="AA8" s="781"/>
      <c r="AB8" s="781"/>
    </row>
    <row r="9" spans="1:28" ht="15" customHeight="1" x14ac:dyDescent="0.35">
      <c r="A9" s="27"/>
      <c r="B9" s="68"/>
      <c r="C9" s="1"/>
      <c r="D9" s="1"/>
      <c r="E9" s="1"/>
      <c r="F9" s="1"/>
      <c r="G9" s="1"/>
      <c r="H9" s="1"/>
      <c r="I9" s="1"/>
      <c r="J9" s="1"/>
      <c r="K9" s="1"/>
      <c r="L9" s="1"/>
      <c r="M9" s="78"/>
      <c r="N9" s="27"/>
      <c r="O9" s="27"/>
      <c r="P9" s="27"/>
      <c r="Q9" s="27"/>
      <c r="S9" s="161">
        <v>-0.15289256198347112</v>
      </c>
    </row>
    <row r="10" spans="1:28" ht="15" customHeight="1" x14ac:dyDescent="0.35">
      <c r="A10" s="27"/>
      <c r="B10" s="65"/>
      <c r="C10" s="66"/>
      <c r="D10" s="66"/>
      <c r="E10" s="66"/>
      <c r="F10" s="66"/>
      <c r="G10" s="67"/>
      <c r="H10" s="65"/>
      <c r="I10" s="798"/>
      <c r="J10" s="798"/>
      <c r="K10" s="798"/>
      <c r="L10" s="798"/>
      <c r="M10" s="799"/>
      <c r="N10" s="27"/>
      <c r="O10" s="27"/>
      <c r="P10" s="27"/>
      <c r="Q10" s="27"/>
      <c r="U10" s="781" t="s">
        <v>294</v>
      </c>
      <c r="V10" s="781"/>
      <c r="W10" s="781"/>
      <c r="X10" s="781"/>
      <c r="Y10" s="781"/>
    </row>
    <row r="11" spans="1:28" ht="15" customHeight="1" x14ac:dyDescent="0.35">
      <c r="A11" s="27"/>
      <c r="B11" s="68"/>
      <c r="C11" s="779" t="s">
        <v>294</v>
      </c>
      <c r="D11" s="779"/>
      <c r="E11" s="779"/>
      <c r="F11" s="779"/>
      <c r="G11" s="780"/>
      <c r="H11" s="1"/>
      <c r="I11" s="779" t="s">
        <v>686</v>
      </c>
      <c r="J11" s="779"/>
      <c r="K11" s="779"/>
      <c r="L11" s="779"/>
      <c r="M11" s="780"/>
      <c r="N11" s="27"/>
      <c r="O11" s="202">
        <f>SAOs!G62</f>
        <v>3.1243290150107496E-2</v>
      </c>
      <c r="P11" s="27" t="s">
        <v>508</v>
      </c>
      <c r="Q11" s="27"/>
      <c r="W11" s="63" t="s">
        <v>295</v>
      </c>
      <c r="AA11" s="47" t="s">
        <v>671</v>
      </c>
      <c r="AB11" s="47" t="s">
        <v>671</v>
      </c>
    </row>
    <row r="12" spans="1:28" ht="15" customHeight="1" x14ac:dyDescent="0.35">
      <c r="A12" s="27"/>
      <c r="B12" s="68"/>
      <c r="C12" s="1"/>
      <c r="D12"/>
      <c r="E12" s="1" t="s">
        <v>305</v>
      </c>
      <c r="F12" s="1"/>
      <c r="G12" s="78"/>
      <c r="H12" s="1"/>
      <c r="I12" s="1"/>
      <c r="J12" s="1"/>
      <c r="K12" s="1"/>
      <c r="L12" s="1"/>
      <c r="M12" s="78"/>
      <c r="N12" s="27"/>
      <c r="O12" s="27"/>
      <c r="P12" s="27"/>
      <c r="Q12" s="27"/>
      <c r="U12" s="63" t="s">
        <v>277</v>
      </c>
      <c r="AA12" s="33" t="s">
        <v>672</v>
      </c>
      <c r="AB12" s="33" t="s">
        <v>673</v>
      </c>
    </row>
    <row r="13" spans="1:28" ht="15" customHeight="1" x14ac:dyDescent="0.35">
      <c r="A13" s="27"/>
      <c r="B13" s="68"/>
      <c r="C13" s="192" t="s">
        <v>306</v>
      </c>
      <c r="D13" s="1"/>
      <c r="E13" s="1"/>
      <c r="F13" s="1"/>
      <c r="G13" s="78"/>
      <c r="H13" s="1"/>
      <c r="I13" s="192" t="s">
        <v>306</v>
      </c>
      <c r="J13" s="1"/>
      <c r="K13" s="1"/>
      <c r="L13" s="33"/>
      <c r="M13" s="78"/>
      <c r="N13" s="27"/>
      <c r="O13" s="678" t="s">
        <v>661</v>
      </c>
      <c r="P13" s="678"/>
      <c r="Q13" s="678"/>
      <c r="U13" s="63" t="s">
        <v>11</v>
      </c>
      <c r="V13" s="63">
        <v>2000</v>
      </c>
      <c r="W13" s="63" t="s">
        <v>296</v>
      </c>
      <c r="X13" s="63">
        <v>24.42</v>
      </c>
      <c r="Y13" s="63" t="s">
        <v>297</v>
      </c>
      <c r="AA13" s="567">
        <v>26.422440000000005</v>
      </c>
      <c r="AB13" s="567">
        <v>28.424880000000002</v>
      </c>
    </row>
    <row r="14" spans="1:28" ht="15" customHeight="1" x14ac:dyDescent="0.35">
      <c r="A14" s="27"/>
      <c r="B14" s="68"/>
      <c r="C14" s="49" t="s">
        <v>11</v>
      </c>
      <c r="D14" s="75">
        <v>2000</v>
      </c>
      <c r="E14" s="1" t="s">
        <v>296</v>
      </c>
      <c r="F14" s="156">
        <v>30.03</v>
      </c>
      <c r="G14" s="78" t="s">
        <v>297</v>
      </c>
      <c r="H14" s="1"/>
      <c r="I14" s="49" t="s">
        <v>11</v>
      </c>
      <c r="J14" s="75">
        <f>D14</f>
        <v>2000</v>
      </c>
      <c r="K14" s="1" t="s">
        <v>296</v>
      </c>
      <c r="L14" s="567">
        <f>ROUND(F14*(1+$O$11),2)</f>
        <v>30.97</v>
      </c>
      <c r="M14" s="78" t="s">
        <v>297</v>
      </c>
      <c r="N14" s="27"/>
      <c r="O14" s="679" t="s">
        <v>662</v>
      </c>
      <c r="P14" s="679" t="s">
        <v>663</v>
      </c>
      <c r="U14" s="63" t="s">
        <v>12</v>
      </c>
      <c r="V14" s="63">
        <v>2000</v>
      </c>
      <c r="W14" s="63" t="s">
        <v>296</v>
      </c>
      <c r="X14" s="710">
        <v>1.004E-2</v>
      </c>
      <c r="Y14" s="63" t="s">
        <v>298</v>
      </c>
      <c r="AA14" s="366">
        <v>1.0863280000000001E-2</v>
      </c>
      <c r="AB14" s="677">
        <v>1.168656E-2</v>
      </c>
    </row>
    <row r="15" spans="1:28" ht="15" customHeight="1" x14ac:dyDescent="0.35">
      <c r="A15" s="27"/>
      <c r="B15" s="68"/>
      <c r="C15" s="49" t="s">
        <v>287</v>
      </c>
      <c r="D15" s="75">
        <v>18000</v>
      </c>
      <c r="E15" s="1" t="s">
        <v>296</v>
      </c>
      <c r="F15" s="198">
        <v>1.048E-2</v>
      </c>
      <c r="G15" s="78" t="s">
        <v>307</v>
      </c>
      <c r="H15" s="1"/>
      <c r="I15" s="49" t="s">
        <v>287</v>
      </c>
      <c r="J15" s="75">
        <v>18000</v>
      </c>
      <c r="K15" s="1" t="s">
        <v>296</v>
      </c>
      <c r="L15" s="367">
        <f>ROUND(F15*(1+$O$11),5)</f>
        <v>1.081E-2</v>
      </c>
      <c r="M15" s="78" t="s">
        <v>307</v>
      </c>
      <c r="N15" s="27"/>
      <c r="O15" s="193">
        <f>(L15-F15)/F15</f>
        <v>3.1488549618320649E-2</v>
      </c>
      <c r="P15" s="204">
        <f>L15-F15</f>
        <v>3.3000000000000043E-4</v>
      </c>
      <c r="Q15" s="27"/>
      <c r="AA15" s="1"/>
      <c r="AB15" s="1"/>
    </row>
    <row r="16" spans="1:28" ht="15" customHeight="1" x14ac:dyDescent="0.35">
      <c r="A16" s="27"/>
      <c r="B16" s="68"/>
      <c r="C16" s="49" t="s">
        <v>12</v>
      </c>
      <c r="D16" s="75">
        <v>20000</v>
      </c>
      <c r="E16" s="1" t="s">
        <v>296</v>
      </c>
      <c r="F16" s="203">
        <v>9.3100000000000006E-3</v>
      </c>
      <c r="G16" s="78" t="s">
        <v>307</v>
      </c>
      <c r="H16" s="1"/>
      <c r="I16" s="49" t="s">
        <v>12</v>
      </c>
      <c r="J16" s="75">
        <f t="shared" ref="J16" si="0">D16</f>
        <v>20000</v>
      </c>
      <c r="K16" s="1" t="s">
        <v>296</v>
      </c>
      <c r="L16" s="367">
        <f>ROUND(F16*(1+$O$11),5)</f>
        <v>9.5999999999999992E-3</v>
      </c>
      <c r="M16" s="78" t="s">
        <v>307</v>
      </c>
      <c r="N16" s="27"/>
      <c r="O16" s="193">
        <f>(L16-F16)/F16</f>
        <v>3.1149301825993403E-2</v>
      </c>
      <c r="P16" s="204">
        <f>L16-F16</f>
        <v>2.8999999999999859E-4</v>
      </c>
      <c r="Q16" s="27"/>
      <c r="U16" s="63" t="s">
        <v>281</v>
      </c>
      <c r="AA16" s="1"/>
      <c r="AB16" s="1"/>
    </row>
    <row r="17" spans="1:31" ht="15" customHeight="1" x14ac:dyDescent="0.35">
      <c r="A17" s="27"/>
      <c r="B17" s="68"/>
      <c r="C17" s="49"/>
      <c r="D17" s="75"/>
      <c r="E17" s="1"/>
      <c r="F17" s="203"/>
      <c r="G17" s="78"/>
      <c r="H17" s="1"/>
      <c r="I17" s="49"/>
      <c r="J17" s="75"/>
      <c r="K17" s="1"/>
      <c r="L17" s="367"/>
      <c r="M17" s="78"/>
      <c r="N17" s="27"/>
      <c r="O17" s="193"/>
      <c r="P17" s="194"/>
      <c r="Q17" s="27"/>
      <c r="U17" s="63" t="s">
        <v>11</v>
      </c>
      <c r="V17" s="63">
        <v>1950000</v>
      </c>
      <c r="W17" s="63" t="s">
        <v>296</v>
      </c>
      <c r="X17" s="63">
        <v>15430.93</v>
      </c>
      <c r="Y17" s="63" t="s">
        <v>297</v>
      </c>
      <c r="AA17" s="692">
        <v>16696.26626</v>
      </c>
      <c r="AB17" s="567">
        <v>17961.60252</v>
      </c>
    </row>
    <row r="18" spans="1:31" ht="15" customHeight="1" x14ac:dyDescent="0.35">
      <c r="A18" s="27"/>
      <c r="B18" s="68"/>
      <c r="C18" s="188" t="s">
        <v>281</v>
      </c>
      <c r="D18" s="75"/>
      <c r="E18" s="1"/>
      <c r="F18" s="203"/>
      <c r="G18" s="78"/>
      <c r="H18" s="1"/>
      <c r="I18" s="188" t="s">
        <v>281</v>
      </c>
      <c r="J18" s="75"/>
      <c r="K18" s="1"/>
      <c r="L18" s="367"/>
      <c r="M18" s="78"/>
      <c r="N18" s="27"/>
      <c r="O18" s="193"/>
      <c r="P18" s="194"/>
      <c r="Q18" s="27"/>
      <c r="U18" s="63" t="s">
        <v>12</v>
      </c>
      <c r="V18" s="63">
        <v>1950000</v>
      </c>
      <c r="W18" s="63" t="s">
        <v>296</v>
      </c>
      <c r="X18" s="710">
        <v>7.9000000000000008E-3</v>
      </c>
      <c r="Y18" s="63" t="s">
        <v>298</v>
      </c>
      <c r="AA18" s="366">
        <v>8.5478000000000012E-3</v>
      </c>
      <c r="AB18" s="677">
        <v>9.1956E-3</v>
      </c>
    </row>
    <row r="19" spans="1:31" ht="15" customHeight="1" x14ac:dyDescent="0.35">
      <c r="A19" s="27"/>
      <c r="B19" s="68"/>
      <c r="C19" s="49" t="s">
        <v>11</v>
      </c>
      <c r="D19" s="75">
        <v>1300000</v>
      </c>
      <c r="E19" s="1" t="s">
        <v>296</v>
      </c>
      <c r="F19" s="205">
        <v>12044.27</v>
      </c>
      <c r="G19" s="78" t="s">
        <v>297</v>
      </c>
      <c r="H19" s="1"/>
      <c r="I19" s="49" t="s">
        <v>11</v>
      </c>
      <c r="J19" s="75">
        <v>1300000</v>
      </c>
      <c r="K19" s="1" t="s">
        <v>296</v>
      </c>
      <c r="L19" s="578">
        <f>ROUND(F19*(1+$O$11),2)</f>
        <v>12420.57</v>
      </c>
      <c r="M19" s="78" t="s">
        <v>297</v>
      </c>
      <c r="N19" s="27"/>
      <c r="O19" s="193">
        <f t="shared" ref="O19:O20" si="1">(L19-F19)/F19</f>
        <v>3.1243072431953057E-2</v>
      </c>
      <c r="P19" s="194">
        <f t="shared" ref="P19:P20" si="2">L19-F19</f>
        <v>376.29999999999927</v>
      </c>
      <c r="Q19" s="27"/>
      <c r="AA19" s="1"/>
      <c r="AB19" s="1"/>
    </row>
    <row r="20" spans="1:31" ht="15.5" x14ac:dyDescent="0.35">
      <c r="A20" s="27"/>
      <c r="B20" s="68"/>
      <c r="C20" s="49" t="s">
        <v>12</v>
      </c>
      <c r="D20" s="75">
        <v>1300000</v>
      </c>
      <c r="E20" s="1" t="s">
        <v>296</v>
      </c>
      <c r="F20" s="203">
        <v>1.048E-2</v>
      </c>
      <c r="G20" s="78" t="s">
        <v>307</v>
      </c>
      <c r="H20" s="1"/>
      <c r="I20" s="49" t="s">
        <v>12</v>
      </c>
      <c r="J20" s="75">
        <v>1300000</v>
      </c>
      <c r="K20" s="1" t="s">
        <v>296</v>
      </c>
      <c r="L20" s="367">
        <f>ROUND(F20*(1+$O$11),5)</f>
        <v>1.081E-2</v>
      </c>
      <c r="M20" s="78" t="s">
        <v>307</v>
      </c>
      <c r="N20" s="27"/>
      <c r="O20" s="193">
        <f t="shared" si="1"/>
        <v>3.1488549618320649E-2</v>
      </c>
      <c r="P20" s="204">
        <f t="shared" si="2"/>
        <v>3.3000000000000043E-4</v>
      </c>
      <c r="Q20" s="27"/>
      <c r="U20" s="63" t="s">
        <v>282</v>
      </c>
      <c r="AA20" s="1"/>
      <c r="AB20" s="1"/>
    </row>
    <row r="21" spans="1:31" ht="15.5" x14ac:dyDescent="0.35">
      <c r="A21" s="27"/>
      <c r="B21" s="72"/>
      <c r="C21" s="200"/>
      <c r="D21" s="54"/>
      <c r="E21" s="54"/>
      <c r="F21" s="54"/>
      <c r="G21" s="80"/>
      <c r="H21" s="54"/>
      <c r="I21" s="54"/>
      <c r="J21" s="54"/>
      <c r="K21" s="54"/>
      <c r="L21" s="54"/>
      <c r="M21" s="80"/>
      <c r="N21" s="27"/>
      <c r="O21" s="27"/>
      <c r="P21" s="27"/>
      <c r="Q21" s="27"/>
      <c r="U21" s="63" t="s">
        <v>11</v>
      </c>
      <c r="V21" s="63">
        <v>600000</v>
      </c>
      <c r="W21" s="63" t="s">
        <v>296</v>
      </c>
      <c r="X21" s="63">
        <v>4747.9799999999996</v>
      </c>
      <c r="Y21" s="63" t="s">
        <v>297</v>
      </c>
      <c r="AA21" s="692">
        <v>5137.3143600000003</v>
      </c>
      <c r="AB21" s="567">
        <v>5526.6487199999992</v>
      </c>
    </row>
    <row r="22" spans="1:31" x14ac:dyDescent="0.35">
      <c r="U22" s="63" t="s">
        <v>12</v>
      </c>
      <c r="V22" s="63">
        <v>600000</v>
      </c>
      <c r="W22" s="63" t="s">
        <v>296</v>
      </c>
      <c r="X22" s="710">
        <v>7.9000000000000008E-3</v>
      </c>
      <c r="Y22" s="63" t="s">
        <v>298</v>
      </c>
      <c r="AA22" s="366">
        <v>8.5478000000000012E-3</v>
      </c>
      <c r="AB22" s="677">
        <v>9.1956E-3</v>
      </c>
    </row>
    <row r="23" spans="1:31" x14ac:dyDescent="0.35">
      <c r="X23" s="710"/>
      <c r="AA23" s="1"/>
      <c r="AB23" s="1"/>
    </row>
    <row r="24" spans="1:31" x14ac:dyDescent="0.35">
      <c r="U24" s="63" t="s">
        <v>299</v>
      </c>
      <c r="X24" s="710"/>
      <c r="AA24" s="1"/>
      <c r="AB24" s="1"/>
    </row>
    <row r="25" spans="1:31" x14ac:dyDescent="0.35">
      <c r="U25" s="63" t="s">
        <v>284</v>
      </c>
      <c r="X25" s="710">
        <v>7.9000000000000008E-3</v>
      </c>
      <c r="Y25" s="63" t="s">
        <v>298</v>
      </c>
      <c r="AA25" s="366">
        <v>8.5478000000000012E-3</v>
      </c>
      <c r="AB25" s="677">
        <v>9.1956E-3</v>
      </c>
    </row>
    <row r="26" spans="1:31" x14ac:dyDescent="0.35">
      <c r="U26" s="63" t="s">
        <v>300</v>
      </c>
      <c r="X26" s="710">
        <v>7.9000000000000008E-3</v>
      </c>
      <c r="Y26" s="63" t="s">
        <v>298</v>
      </c>
      <c r="AA26" s="366">
        <v>8.5478000000000012E-3</v>
      </c>
      <c r="AB26" s="677">
        <v>9.1956E-3</v>
      </c>
    </row>
    <row r="27" spans="1:31" x14ac:dyDescent="0.35">
      <c r="U27" s="63" t="s">
        <v>301</v>
      </c>
      <c r="X27" s="710">
        <v>7.9000000000000008E-3</v>
      </c>
      <c r="Y27" s="63" t="s">
        <v>298</v>
      </c>
      <c r="AA27" s="366">
        <v>8.5478000000000012E-3</v>
      </c>
      <c r="AB27" s="677">
        <v>9.1956E-3</v>
      </c>
    </row>
    <row r="28" spans="1:31" ht="18.5" x14ac:dyDescent="0.45">
      <c r="C28" s="793" t="s">
        <v>655</v>
      </c>
      <c r="D28" s="794"/>
      <c r="E28" s="794"/>
      <c r="F28" s="794"/>
      <c r="G28" s="794"/>
      <c r="H28" s="794"/>
      <c r="I28" s="794"/>
      <c r="J28" s="794"/>
      <c r="K28" s="794"/>
      <c r="L28" s="794"/>
      <c r="M28" s="795"/>
      <c r="U28" s="63" t="s">
        <v>302</v>
      </c>
      <c r="X28" s="710">
        <v>7.9000000000000008E-3</v>
      </c>
      <c r="Y28" s="63" t="s">
        <v>298</v>
      </c>
      <c r="AA28" s="366">
        <v>8.5478000000000012E-3</v>
      </c>
      <c r="AB28" s="677">
        <v>9.1956E-3</v>
      </c>
    </row>
    <row r="29" spans="1:31" ht="18.5" x14ac:dyDescent="0.45">
      <c r="C29" s="796" t="s">
        <v>659</v>
      </c>
      <c r="D29" s="786"/>
      <c r="E29" s="786"/>
      <c r="F29" s="786"/>
      <c r="G29" s="786"/>
      <c r="H29" s="786"/>
      <c r="I29" s="786"/>
      <c r="J29" s="786"/>
      <c r="K29" s="786"/>
      <c r="L29" s="786"/>
      <c r="M29" s="787"/>
      <c r="N29" s="27"/>
      <c r="O29" s="27"/>
      <c r="P29" s="27"/>
      <c r="Q29" s="27"/>
      <c r="R29" s="27"/>
      <c r="U29" s="63" t="s">
        <v>303</v>
      </c>
      <c r="X29" s="710">
        <v>7.9000000000000008E-3</v>
      </c>
      <c r="Y29" s="63" t="s">
        <v>298</v>
      </c>
      <c r="AA29" s="366">
        <v>8.5478000000000012E-3</v>
      </c>
      <c r="AB29" s="677">
        <v>9.1956E-3</v>
      </c>
    </row>
    <row r="30" spans="1:31" ht="18.5" x14ac:dyDescent="0.45">
      <c r="C30" s="785" t="str">
        <f>SAOw!C4</f>
        <v>McCreary County Water District</v>
      </c>
      <c r="D30" s="786"/>
      <c r="E30" s="786"/>
      <c r="F30" s="786"/>
      <c r="G30" s="786"/>
      <c r="H30" s="786"/>
      <c r="I30" s="786"/>
      <c r="J30" s="786"/>
      <c r="K30" s="786"/>
      <c r="L30" s="786"/>
      <c r="M30" s="787"/>
      <c r="N30" s="122"/>
      <c r="O30" s="122"/>
      <c r="P30" s="122"/>
      <c r="Q30" s="122"/>
      <c r="R30" s="27"/>
    </row>
    <row r="31" spans="1:31" ht="18.5" x14ac:dyDescent="0.45">
      <c r="C31" s="788" t="s">
        <v>293</v>
      </c>
      <c r="D31" s="737"/>
      <c r="E31" s="737"/>
      <c r="F31" s="737"/>
      <c r="G31" s="737"/>
      <c r="H31" s="737"/>
      <c r="I31" s="737"/>
      <c r="J31" s="737"/>
      <c r="K31" s="737"/>
      <c r="L31" s="737"/>
      <c r="M31" s="789"/>
      <c r="N31" s="122"/>
      <c r="O31" s="122"/>
      <c r="P31" s="122"/>
      <c r="Q31" s="122"/>
      <c r="R31" s="27"/>
      <c r="U31" s="782" t="s">
        <v>123</v>
      </c>
      <c r="V31" s="783"/>
      <c r="W31" s="783"/>
      <c r="X31" s="783"/>
      <c r="Y31" s="783"/>
      <c r="Z31" s="783"/>
      <c r="AA31" s="783"/>
      <c r="AB31" s="783"/>
      <c r="AC31" s="783"/>
      <c r="AD31" s="783"/>
      <c r="AE31" s="784"/>
    </row>
    <row r="32" spans="1:31" ht="18.5" x14ac:dyDescent="0.45">
      <c r="C32" s="68"/>
      <c r="D32" s="1"/>
      <c r="E32" s="1"/>
      <c r="F32" s="1"/>
      <c r="G32" s="1"/>
      <c r="H32" s="1"/>
      <c r="I32" s="1"/>
      <c r="J32" s="1"/>
      <c r="K32" s="1"/>
      <c r="L32" s="1"/>
      <c r="M32" s="78"/>
      <c r="N32" s="27"/>
      <c r="O32" s="27"/>
      <c r="P32" s="27"/>
      <c r="Q32" s="27"/>
      <c r="R32" s="27"/>
      <c r="U32" s="785" t="str">
        <f>C7</f>
        <v>McCreary County Water District</v>
      </c>
      <c r="V32" s="786"/>
      <c r="W32" s="786"/>
      <c r="X32" s="786"/>
      <c r="Y32" s="786"/>
      <c r="Z32" s="786"/>
      <c r="AA32" s="786"/>
      <c r="AB32" s="786"/>
      <c r="AC32" s="786"/>
      <c r="AD32" s="786"/>
      <c r="AE32" s="787"/>
    </row>
    <row r="33" spans="3:31" ht="18.5" x14ac:dyDescent="0.35">
      <c r="C33" s="65"/>
      <c r="D33" s="66"/>
      <c r="E33" s="66"/>
      <c r="F33" s="66"/>
      <c r="G33" s="67"/>
      <c r="H33" s="65"/>
      <c r="I33" s="66"/>
      <c r="J33" s="66"/>
      <c r="K33" s="66"/>
      <c r="L33" s="66"/>
      <c r="M33" s="67"/>
      <c r="N33" s="27"/>
      <c r="O33" s="27"/>
      <c r="P33" s="27"/>
      <c r="Q33" s="27"/>
      <c r="R33" s="27"/>
      <c r="U33" s="788" t="s">
        <v>304</v>
      </c>
      <c r="V33" s="737"/>
      <c r="W33" s="737"/>
      <c r="X33" s="737"/>
      <c r="Y33" s="737"/>
      <c r="Z33" s="737"/>
      <c r="AA33" s="737"/>
      <c r="AB33" s="737"/>
      <c r="AC33" s="737"/>
      <c r="AD33" s="737"/>
      <c r="AE33" s="789"/>
    </row>
    <row r="34" spans="3:31" ht="15.5" x14ac:dyDescent="0.35">
      <c r="C34" s="778" t="s">
        <v>294</v>
      </c>
      <c r="D34" s="779"/>
      <c r="E34" s="779"/>
      <c r="F34" s="779"/>
      <c r="G34" s="780"/>
      <c r="H34" s="1"/>
      <c r="I34" s="779" t="s">
        <v>651</v>
      </c>
      <c r="J34" s="779"/>
      <c r="K34" s="779"/>
      <c r="L34" s="779"/>
      <c r="M34" s="780"/>
      <c r="N34" s="27"/>
      <c r="O34" s="27"/>
      <c r="P34" s="27"/>
      <c r="Q34" s="27"/>
      <c r="R34" s="27"/>
      <c r="U34" s="68"/>
      <c r="V34" s="1"/>
      <c r="W34" s="1"/>
      <c r="X34" s="1"/>
      <c r="Y34" s="1"/>
      <c r="Z34" s="1"/>
      <c r="AA34" s="1"/>
      <c r="AB34" s="1"/>
      <c r="AC34" s="1"/>
      <c r="AD34" s="1"/>
      <c r="AE34" s="78"/>
    </row>
    <row r="35" spans="3:31" ht="15.5" x14ac:dyDescent="0.35">
      <c r="C35" s="68"/>
      <c r="D35" s="1"/>
      <c r="E35" s="1" t="s">
        <v>295</v>
      </c>
      <c r="F35" s="1"/>
      <c r="G35" s="78"/>
      <c r="H35" s="1"/>
      <c r="I35" s="1"/>
      <c r="J35" s="1"/>
      <c r="K35" s="1"/>
      <c r="L35" s="47" t="s">
        <v>656</v>
      </c>
      <c r="M35" s="78"/>
      <c r="N35" s="27"/>
      <c r="O35" s="678" t="s">
        <v>661</v>
      </c>
      <c r="P35" s="678"/>
      <c r="Q35" s="678"/>
      <c r="R35" s="27"/>
      <c r="U35" s="68"/>
      <c r="V35" s="1"/>
      <c r="W35" s="1"/>
      <c r="X35" s="1"/>
      <c r="Y35" s="1"/>
      <c r="Z35" s="1"/>
      <c r="AA35" s="790"/>
      <c r="AB35" s="790"/>
      <c r="AC35" s="790"/>
      <c r="AD35" s="790"/>
      <c r="AE35" s="791"/>
    </row>
    <row r="36" spans="3:31" ht="15.5" x14ac:dyDescent="0.35">
      <c r="C36" s="607" t="s">
        <v>277</v>
      </c>
      <c r="D36" s="1"/>
      <c r="E36" s="1"/>
      <c r="F36" s="1"/>
      <c r="G36" s="78"/>
      <c r="H36" s="1"/>
      <c r="I36" s="192" t="s">
        <v>277</v>
      </c>
      <c r="J36" s="1"/>
      <c r="K36" s="1"/>
      <c r="L36" s="33">
        <v>2</v>
      </c>
      <c r="M36" s="78"/>
      <c r="N36" s="27"/>
      <c r="O36" s="679" t="s">
        <v>662</v>
      </c>
      <c r="P36" s="679"/>
      <c r="Q36" s="679" t="s">
        <v>663</v>
      </c>
      <c r="R36" s="27"/>
      <c r="U36" s="778" t="s">
        <v>294</v>
      </c>
      <c r="V36" s="779"/>
      <c r="W36" s="779"/>
      <c r="X36" s="779"/>
      <c r="Y36" s="779"/>
      <c r="Z36" s="1"/>
      <c r="AA36" s="779" t="s">
        <v>686</v>
      </c>
      <c r="AB36" s="779"/>
      <c r="AC36" s="779"/>
      <c r="AD36" s="779"/>
      <c r="AE36" s="780"/>
    </row>
    <row r="37" spans="3:31" ht="15.5" x14ac:dyDescent="0.35">
      <c r="C37" s="609" t="s">
        <v>11</v>
      </c>
      <c r="D37" s="75">
        <v>2000</v>
      </c>
      <c r="E37" s="1" t="s">
        <v>296</v>
      </c>
      <c r="F37" s="156">
        <v>24.42</v>
      </c>
      <c r="G37" s="78" t="s">
        <v>297</v>
      </c>
      <c r="H37" s="1"/>
      <c r="I37" s="49" t="s">
        <v>11</v>
      </c>
      <c r="J37" s="75">
        <f>D37</f>
        <v>2000</v>
      </c>
      <c r="K37" s="1" t="s">
        <v>296</v>
      </c>
      <c r="L37" s="567">
        <f>F37*(1+SAOw!I84)</f>
        <v>28.424880000000002</v>
      </c>
      <c r="M37" s="78" t="s">
        <v>297</v>
      </c>
      <c r="N37" s="27"/>
      <c r="O37" s="193">
        <f>(L37-F37)/F37</f>
        <v>0.16399999999999998</v>
      </c>
      <c r="P37" s="27"/>
      <c r="Q37" s="194">
        <f>L37-F37</f>
        <v>4.00488</v>
      </c>
      <c r="R37" s="27"/>
      <c r="U37" s="68"/>
      <c r="V37"/>
      <c r="W37" s="1"/>
      <c r="X37" s="1"/>
      <c r="Y37" s="1"/>
      <c r="Z37" s="1"/>
      <c r="AA37" s="1"/>
      <c r="AB37" s="1"/>
      <c r="AC37" s="1"/>
      <c r="AD37" s="1"/>
      <c r="AE37" s="78"/>
    </row>
    <row r="38" spans="3:31" ht="15.5" x14ac:dyDescent="0.35">
      <c r="C38" s="609" t="s">
        <v>12</v>
      </c>
      <c r="D38" s="75">
        <v>2000</v>
      </c>
      <c r="E38" s="1" t="s">
        <v>296</v>
      </c>
      <c r="F38" s="195">
        <v>1.004E-2</v>
      </c>
      <c r="G38" s="78" t="s">
        <v>298</v>
      </c>
      <c r="H38" s="1"/>
      <c r="I38" s="49" t="s">
        <v>12</v>
      </c>
      <c r="J38" s="75">
        <f t="shared" ref="J38" si="3">D38</f>
        <v>2000</v>
      </c>
      <c r="K38" s="1" t="s">
        <v>296</v>
      </c>
      <c r="L38" s="366">
        <f>F38*(1+SAOw!I84)</f>
        <v>1.168656E-2</v>
      </c>
      <c r="M38" s="78" t="s">
        <v>298</v>
      </c>
      <c r="N38" s="27"/>
      <c r="O38" s="193">
        <f>(L38-F38)/F38</f>
        <v>0.16400000000000001</v>
      </c>
      <c r="P38" s="27"/>
      <c r="Q38" s="360">
        <f>L38-F38</f>
        <v>1.64656E-3</v>
      </c>
      <c r="R38" s="27"/>
      <c r="U38" s="607" t="s">
        <v>306</v>
      </c>
      <c r="V38" s="1"/>
      <c r="W38" s="1"/>
      <c r="X38" s="1"/>
      <c r="Y38" s="1"/>
      <c r="Z38" s="1"/>
      <c r="AA38" s="192" t="s">
        <v>306</v>
      </c>
      <c r="AB38" s="1"/>
      <c r="AC38" s="1"/>
      <c r="AD38" s="33"/>
      <c r="AE38" s="78"/>
    </row>
    <row r="39" spans="3:31" ht="15.5" x14ac:dyDescent="0.35">
      <c r="C39" s="610"/>
      <c r="D39" s="1"/>
      <c r="E39" s="1"/>
      <c r="F39" s="1"/>
      <c r="G39" s="78"/>
      <c r="H39" s="1"/>
      <c r="I39" s="75"/>
      <c r="J39" s="1"/>
      <c r="K39" s="1"/>
      <c r="L39" s="1"/>
      <c r="M39" s="78"/>
      <c r="N39" s="27"/>
      <c r="O39" s="27"/>
      <c r="P39" s="27"/>
      <c r="Q39" s="27"/>
      <c r="R39" s="27"/>
      <c r="U39" s="609" t="s">
        <v>11</v>
      </c>
      <c r="V39" s="75">
        <v>2000</v>
      </c>
      <c r="W39" s="1" t="s">
        <v>296</v>
      </c>
      <c r="X39" s="156">
        <v>30.03</v>
      </c>
      <c r="Y39" s="1" t="s">
        <v>297</v>
      </c>
      <c r="Z39" s="1"/>
      <c r="AA39" s="49" t="s">
        <v>11</v>
      </c>
      <c r="AB39" s="75">
        <f>V39</f>
        <v>2000</v>
      </c>
      <c r="AC39" s="1" t="s">
        <v>296</v>
      </c>
      <c r="AD39" s="567">
        <f>ROUND(X39*(1+$O$11),2)</f>
        <v>30.97</v>
      </c>
      <c r="AE39" s="78" t="s">
        <v>297</v>
      </c>
    </row>
    <row r="40" spans="3:31" ht="15.5" x14ac:dyDescent="0.35">
      <c r="C40" s="607" t="s">
        <v>281</v>
      </c>
      <c r="D40" s="1"/>
      <c r="E40" s="1"/>
      <c r="F40" s="1"/>
      <c r="G40" s="78"/>
      <c r="H40" s="1"/>
      <c r="I40" s="192" t="str">
        <f>C40</f>
        <v>Federal Correctional Facility</v>
      </c>
      <c r="J40" s="1"/>
      <c r="K40" s="1"/>
      <c r="L40" s="1"/>
      <c r="M40" s="78"/>
      <c r="N40" s="27"/>
      <c r="O40" s="27"/>
      <c r="P40" s="27"/>
      <c r="Q40" s="27"/>
      <c r="R40" s="27"/>
      <c r="U40" s="609" t="s">
        <v>287</v>
      </c>
      <c r="V40" s="75">
        <v>18000</v>
      </c>
      <c r="W40" s="1" t="s">
        <v>296</v>
      </c>
      <c r="X40" s="198">
        <v>1.048E-2</v>
      </c>
      <c r="Y40" s="1" t="s">
        <v>307</v>
      </c>
      <c r="Z40" s="1"/>
      <c r="AA40" s="49" t="s">
        <v>287</v>
      </c>
      <c r="AB40" s="75">
        <v>18000</v>
      </c>
      <c r="AC40" s="1" t="s">
        <v>296</v>
      </c>
      <c r="AD40" s="367">
        <f>ROUND(X40*(1+$O$11),5)</f>
        <v>1.081E-2</v>
      </c>
      <c r="AE40" s="78" t="s">
        <v>307</v>
      </c>
    </row>
    <row r="41" spans="3:31" ht="15.5" x14ac:dyDescent="0.35">
      <c r="C41" s="609" t="s">
        <v>11</v>
      </c>
      <c r="D41" s="75">
        <v>1950000</v>
      </c>
      <c r="E41" s="1" t="s">
        <v>296</v>
      </c>
      <c r="F41" s="156">
        <v>15430.93</v>
      </c>
      <c r="G41" s="78" t="s">
        <v>297</v>
      </c>
      <c r="H41" s="1"/>
      <c r="I41" s="49" t="s">
        <v>11</v>
      </c>
      <c r="J41" s="75">
        <f t="shared" ref="J41:J42" si="4">D41</f>
        <v>1950000</v>
      </c>
      <c r="K41" s="1" t="s">
        <v>296</v>
      </c>
      <c r="L41" s="692">
        <f>F41*(1+SAOw!I84)</f>
        <v>17961.60252</v>
      </c>
      <c r="M41" s="78" t="s">
        <v>297</v>
      </c>
      <c r="N41" s="27"/>
      <c r="O41" s="193">
        <f>(L41-F41)/F41</f>
        <v>0.16400000000000001</v>
      </c>
      <c r="P41" s="27"/>
      <c r="Q41" s="196">
        <f>L41-F41</f>
        <v>2530.6725200000001</v>
      </c>
      <c r="R41" s="27"/>
      <c r="U41" s="609" t="s">
        <v>12</v>
      </c>
      <c r="V41" s="75">
        <v>20000</v>
      </c>
      <c r="W41" s="1" t="s">
        <v>296</v>
      </c>
      <c r="X41" s="203">
        <v>9.3100000000000006E-3</v>
      </c>
      <c r="Y41" s="1" t="s">
        <v>307</v>
      </c>
      <c r="Z41" s="1"/>
      <c r="AA41" s="49" t="s">
        <v>12</v>
      </c>
      <c r="AB41" s="75">
        <f t="shared" ref="AB41" si="5">V41</f>
        <v>20000</v>
      </c>
      <c r="AC41" s="1" t="s">
        <v>296</v>
      </c>
      <c r="AD41" s="367">
        <f>ROUND(X41*(1+$O$11),5)</f>
        <v>9.5999999999999992E-3</v>
      </c>
      <c r="AE41" s="78" t="s">
        <v>307</v>
      </c>
    </row>
    <row r="42" spans="3:31" ht="15.5" x14ac:dyDescent="0.35">
      <c r="C42" s="609" t="s">
        <v>12</v>
      </c>
      <c r="D42" s="75">
        <v>1950000</v>
      </c>
      <c r="E42" s="1" t="s">
        <v>296</v>
      </c>
      <c r="F42" s="195">
        <v>7.9000000000000008E-3</v>
      </c>
      <c r="G42" s="78" t="s">
        <v>298</v>
      </c>
      <c r="H42" s="1"/>
      <c r="I42" s="49" t="s">
        <v>12</v>
      </c>
      <c r="J42" s="75">
        <f t="shared" si="4"/>
        <v>1950000</v>
      </c>
      <c r="K42" s="1" t="s">
        <v>296</v>
      </c>
      <c r="L42" s="366">
        <f>F42*(1+SAOw!I84)</f>
        <v>9.1956E-3</v>
      </c>
      <c r="M42" s="78" t="s">
        <v>298</v>
      </c>
      <c r="N42" s="27"/>
      <c r="O42" s="193">
        <f>(L42-F42)/F42</f>
        <v>0.16399999999999987</v>
      </c>
      <c r="P42" s="27"/>
      <c r="Q42" s="360">
        <f>L42-F42</f>
        <v>1.2955999999999992E-3</v>
      </c>
      <c r="R42" s="27"/>
      <c r="U42" s="609"/>
      <c r="V42" s="75"/>
      <c r="W42" s="1"/>
      <c r="X42" s="203"/>
      <c r="Y42" s="1"/>
      <c r="Z42" s="1"/>
      <c r="AA42" s="49"/>
      <c r="AB42" s="75"/>
      <c r="AC42" s="1"/>
      <c r="AD42" s="367"/>
      <c r="AE42" s="78"/>
    </row>
    <row r="43" spans="3:31" ht="15.5" x14ac:dyDescent="0.35">
      <c r="C43" s="610"/>
      <c r="D43" s="1"/>
      <c r="E43" s="1"/>
      <c r="F43" s="1"/>
      <c r="G43" s="78"/>
      <c r="H43" s="1"/>
      <c r="I43" s="75"/>
      <c r="J43" s="1"/>
      <c r="K43" s="1"/>
      <c r="L43" s="1"/>
      <c r="M43" s="78"/>
      <c r="N43" s="27"/>
      <c r="O43" s="27"/>
      <c r="P43" s="27"/>
      <c r="Q43" s="27"/>
      <c r="R43" s="27"/>
      <c r="U43" s="612" t="s">
        <v>281</v>
      </c>
      <c r="V43" s="75"/>
      <c r="W43" s="1"/>
      <c r="X43" s="203"/>
      <c r="Y43" s="1"/>
      <c r="Z43" s="1"/>
      <c r="AA43" s="188" t="s">
        <v>281</v>
      </c>
      <c r="AB43" s="75"/>
      <c r="AC43" s="1"/>
      <c r="AD43" s="367"/>
      <c r="AE43" s="78"/>
    </row>
    <row r="44" spans="3:31" ht="15.5" x14ac:dyDescent="0.35">
      <c r="C44" s="607" t="s">
        <v>282</v>
      </c>
      <c r="D44" s="1"/>
      <c r="E44" s="1"/>
      <c r="F44" s="1"/>
      <c r="G44" s="78"/>
      <c r="H44" s="1"/>
      <c r="I44" s="192" t="str">
        <f>C44</f>
        <v>Cumberland Falls State Park</v>
      </c>
      <c r="J44" s="1"/>
      <c r="K44" s="1"/>
      <c r="L44" s="1"/>
      <c r="M44" s="78"/>
      <c r="N44" s="27"/>
      <c r="O44" s="27"/>
      <c r="P44" s="27"/>
      <c r="Q44" s="27"/>
      <c r="R44" s="27"/>
      <c r="U44" s="609" t="s">
        <v>11</v>
      </c>
      <c r="V44" s="75">
        <v>1300000</v>
      </c>
      <c r="W44" s="1" t="s">
        <v>296</v>
      </c>
      <c r="X44" s="205">
        <v>12044.27</v>
      </c>
      <c r="Y44" s="1" t="s">
        <v>297</v>
      </c>
      <c r="Z44" s="1"/>
      <c r="AA44" s="49" t="s">
        <v>11</v>
      </c>
      <c r="AB44" s="75">
        <v>1300000</v>
      </c>
      <c r="AC44" s="1" t="s">
        <v>296</v>
      </c>
      <c r="AD44" s="578">
        <f>ROUND(X44*(1+$O$11),2)</f>
        <v>12420.57</v>
      </c>
      <c r="AE44" s="78" t="s">
        <v>297</v>
      </c>
    </row>
    <row r="45" spans="3:31" ht="15.5" x14ac:dyDescent="0.35">
      <c r="C45" s="609" t="s">
        <v>11</v>
      </c>
      <c r="D45" s="75">
        <v>600000</v>
      </c>
      <c r="E45" s="1" t="s">
        <v>296</v>
      </c>
      <c r="F45" s="156">
        <v>4747.9799999999996</v>
      </c>
      <c r="G45" s="78" t="s">
        <v>297</v>
      </c>
      <c r="H45" s="1"/>
      <c r="I45" s="49" t="s">
        <v>11</v>
      </c>
      <c r="J45" s="75">
        <f t="shared" ref="J45:J46" si="6">D45</f>
        <v>600000</v>
      </c>
      <c r="K45" s="1" t="s">
        <v>296</v>
      </c>
      <c r="L45" s="692">
        <f>F45*(1+SAOw!I84)</f>
        <v>5526.6487199999992</v>
      </c>
      <c r="M45" s="78" t="s">
        <v>297</v>
      </c>
      <c r="N45" s="194"/>
      <c r="O45" s="193">
        <f>(L45-F45)/F45</f>
        <v>0.16399999999999995</v>
      </c>
      <c r="P45" s="27"/>
      <c r="Q45" s="194">
        <f>L45-F45</f>
        <v>778.66871999999967</v>
      </c>
      <c r="R45" s="27"/>
      <c r="U45" s="613" t="s">
        <v>12</v>
      </c>
      <c r="V45" s="200">
        <v>1300000</v>
      </c>
      <c r="W45" s="54" t="s">
        <v>296</v>
      </c>
      <c r="X45" s="614">
        <v>1.048E-2</v>
      </c>
      <c r="Y45" s="54" t="s">
        <v>307</v>
      </c>
      <c r="Z45" s="54"/>
      <c r="AA45" s="639" t="s">
        <v>12</v>
      </c>
      <c r="AB45" s="200">
        <v>1300000</v>
      </c>
      <c r="AC45" s="54" t="s">
        <v>296</v>
      </c>
      <c r="AD45" s="711">
        <f>ROUND(X45*(1+$O$11),5)</f>
        <v>1.081E-2</v>
      </c>
      <c r="AE45" s="80" t="s">
        <v>307</v>
      </c>
    </row>
    <row r="46" spans="3:31" ht="15.5" x14ac:dyDescent="0.35">
      <c r="C46" s="609" t="s">
        <v>12</v>
      </c>
      <c r="D46" s="75">
        <v>600000</v>
      </c>
      <c r="E46" s="1" t="s">
        <v>296</v>
      </c>
      <c r="F46" s="195">
        <v>7.9000000000000008E-3</v>
      </c>
      <c r="G46" s="78" t="s">
        <v>298</v>
      </c>
      <c r="H46" s="1"/>
      <c r="I46" s="49" t="s">
        <v>12</v>
      </c>
      <c r="J46" s="75">
        <f t="shared" si="6"/>
        <v>600000</v>
      </c>
      <c r="K46" s="1" t="s">
        <v>296</v>
      </c>
      <c r="L46" s="366">
        <f>F46*(1+SAOw!I84)</f>
        <v>9.1956E-3</v>
      </c>
      <c r="M46" s="78" t="s">
        <v>298</v>
      </c>
      <c r="N46" s="27"/>
      <c r="O46" s="193">
        <f>(L46-F46)/F46</f>
        <v>0.16399999999999987</v>
      </c>
      <c r="P46" s="27"/>
      <c r="Q46" s="360">
        <f>L46-F46</f>
        <v>1.2955999999999992E-3</v>
      </c>
      <c r="R46" s="27"/>
    </row>
    <row r="47" spans="3:31" ht="15.5" x14ac:dyDescent="0.35">
      <c r="C47" s="609"/>
      <c r="D47" s="75"/>
      <c r="E47" s="1"/>
      <c r="F47" s="76"/>
      <c r="G47" s="78"/>
      <c r="H47" s="1"/>
      <c r="I47" s="49"/>
      <c r="J47" s="75"/>
      <c r="K47" s="1"/>
      <c r="L47" s="1"/>
      <c r="M47" s="78"/>
      <c r="N47" s="27"/>
      <c r="O47" s="27"/>
      <c r="P47" s="27"/>
      <c r="Q47" s="27"/>
      <c r="R47" s="27"/>
    </row>
    <row r="48" spans="3:31" ht="15.5" x14ac:dyDescent="0.35">
      <c r="C48" s="607" t="s">
        <v>299</v>
      </c>
      <c r="D48" s="1"/>
      <c r="E48" s="1"/>
      <c r="F48" s="1"/>
      <c r="G48" s="78"/>
      <c r="H48" s="1"/>
      <c r="I48" s="192" t="s">
        <v>299</v>
      </c>
      <c r="J48" s="75"/>
      <c r="K48" s="1"/>
      <c r="L48" s="1"/>
      <c r="M48" s="78"/>
      <c r="N48" s="27"/>
      <c r="O48" s="27"/>
      <c r="P48" s="27"/>
      <c r="Q48" s="27"/>
      <c r="R48" s="27"/>
    </row>
    <row r="49" spans="3:18" ht="15.5" x14ac:dyDescent="0.35">
      <c r="C49" s="611" t="s">
        <v>284</v>
      </c>
      <c r="D49" s="75"/>
      <c r="E49" s="1"/>
      <c r="F49" s="198">
        <v>7.9000000000000008E-3</v>
      </c>
      <c r="G49" s="78" t="s">
        <v>298</v>
      </c>
      <c r="H49" s="1"/>
      <c r="I49" s="197" t="str">
        <f>C49</f>
        <v>Whitley County Water District</v>
      </c>
      <c r="J49" s="75"/>
      <c r="K49" s="1"/>
      <c r="L49" s="366">
        <f>F49*(1+SAOw!I84)</f>
        <v>9.1956E-3</v>
      </c>
      <c r="M49" s="78" t="s">
        <v>298</v>
      </c>
      <c r="N49" s="27"/>
      <c r="O49" s="193">
        <f>(L49-F49)/F49</f>
        <v>0.16399999999999987</v>
      </c>
      <c r="P49" s="199"/>
      <c r="Q49" s="204">
        <f>L49-F49</f>
        <v>1.2955999999999992E-3</v>
      </c>
      <c r="R49" s="27"/>
    </row>
    <row r="50" spans="3:18" ht="15.5" x14ac:dyDescent="0.35">
      <c r="C50" s="611" t="s">
        <v>300</v>
      </c>
      <c r="D50" s="75"/>
      <c r="E50" s="1"/>
      <c r="F50" s="198">
        <v>7.9000000000000008E-3</v>
      </c>
      <c r="G50" s="78" t="s">
        <v>298</v>
      </c>
      <c r="H50" s="1"/>
      <c r="I50" s="197" t="str">
        <f t="shared" ref="I50:I53" si="7">C50</f>
        <v>Oneida, Tennessee</v>
      </c>
      <c r="J50" s="75"/>
      <c r="K50" s="1"/>
      <c r="L50" s="366">
        <f>F50*(1+SAOw!I84)</f>
        <v>9.1956E-3</v>
      </c>
      <c r="M50" s="78" t="s">
        <v>298</v>
      </c>
      <c r="N50" s="27"/>
      <c r="O50" s="193">
        <f t="shared" ref="O50:O51" si="8">(L50-F50)/F50</f>
        <v>0.16399999999999987</v>
      </c>
      <c r="P50" s="199"/>
      <c r="Q50" s="204">
        <f t="shared" ref="Q50:Q51" si="9">L50-F50</f>
        <v>1.2955999999999992E-3</v>
      </c>
      <c r="R50" s="27"/>
    </row>
    <row r="51" spans="3:18" ht="15.5" x14ac:dyDescent="0.35">
      <c r="C51" s="611" t="s">
        <v>301</v>
      </c>
      <c r="D51" s="75"/>
      <c r="E51" s="1"/>
      <c r="F51" s="198">
        <v>7.9000000000000008E-3</v>
      </c>
      <c r="G51" s="78" t="s">
        <v>298</v>
      </c>
      <c r="H51" s="1"/>
      <c r="I51" s="197" t="str">
        <f t="shared" si="7"/>
        <v>Fibrotec, USA</v>
      </c>
      <c r="J51" s="75"/>
      <c r="K51" s="1"/>
      <c r="L51" s="366">
        <f>F51*(1+SAOw!I84)</f>
        <v>9.1956E-3</v>
      </c>
      <c r="M51" s="78" t="s">
        <v>298</v>
      </c>
      <c r="N51" s="27"/>
      <c r="O51" s="193">
        <f t="shared" si="8"/>
        <v>0.16399999999999987</v>
      </c>
      <c r="P51" s="199"/>
      <c r="Q51" s="204">
        <f t="shared" si="9"/>
        <v>1.2955999999999992E-3</v>
      </c>
      <c r="R51" s="27"/>
    </row>
    <row r="52" spans="3:18" ht="15.5" x14ac:dyDescent="0.35">
      <c r="C52" s="611" t="s">
        <v>302</v>
      </c>
      <c r="D52" s="75"/>
      <c r="E52" s="1"/>
      <c r="F52" s="198">
        <v>7.9000000000000008E-3</v>
      </c>
      <c r="G52" s="78" t="s">
        <v>298</v>
      </c>
      <c r="H52" s="1"/>
      <c r="I52" s="197" t="str">
        <f t="shared" si="7"/>
        <v>Pin Knot Job Center</v>
      </c>
      <c r="J52" s="75"/>
      <c r="K52" s="1"/>
      <c r="L52" s="366">
        <f>F52*(1+SAOw!I84)</f>
        <v>9.1956E-3</v>
      </c>
      <c r="M52" s="78" t="s">
        <v>298</v>
      </c>
      <c r="N52" s="27"/>
      <c r="O52" s="193">
        <f>(L52-F52)/F52</f>
        <v>0.16399999999999987</v>
      </c>
      <c r="P52" s="27"/>
      <c r="Q52" s="204">
        <f>L52-F52</f>
        <v>1.2955999999999992E-3</v>
      </c>
      <c r="R52" s="27"/>
    </row>
    <row r="53" spans="3:18" ht="15.5" x14ac:dyDescent="0.35">
      <c r="C53" s="611" t="s">
        <v>303</v>
      </c>
      <c r="D53" s="75"/>
      <c r="E53" s="1"/>
      <c r="F53" s="198">
        <v>7.9000000000000008E-3</v>
      </c>
      <c r="G53" s="78" t="s">
        <v>298</v>
      </c>
      <c r="H53" s="1"/>
      <c r="I53" s="197" t="str">
        <f t="shared" si="7"/>
        <v>McCreary County Housing Auth.</v>
      </c>
      <c r="J53" s="75"/>
      <c r="K53" s="1"/>
      <c r="L53" s="366">
        <f>F53*(1+SAOw!I84)</f>
        <v>9.1956E-3</v>
      </c>
      <c r="M53" s="78" t="s">
        <v>298</v>
      </c>
      <c r="N53" s="27"/>
      <c r="O53" s="193">
        <f>(L53-F53)/F53</f>
        <v>0.16399999999999987</v>
      </c>
      <c r="P53" s="27"/>
      <c r="Q53" s="361">
        <f>L53-F53</f>
        <v>1.2955999999999992E-3</v>
      </c>
      <c r="R53" s="27"/>
    </row>
    <row r="54" spans="3:18" ht="15.5" x14ac:dyDescent="0.35">
      <c r="C54" s="613"/>
      <c r="D54" s="637"/>
      <c r="E54" s="54"/>
      <c r="F54" s="638"/>
      <c r="G54" s="80"/>
      <c r="H54" s="54"/>
      <c r="I54" s="639"/>
      <c r="J54" s="637"/>
      <c r="K54" s="54"/>
      <c r="L54" s="640"/>
      <c r="M54" s="80"/>
      <c r="N54" s="27"/>
      <c r="O54" s="193"/>
      <c r="P54" s="27"/>
      <c r="Q54" s="196"/>
      <c r="R54" s="27"/>
    </row>
    <row r="55" spans="3:18" ht="15.5" x14ac:dyDescent="0.35">
      <c r="C55" s="49"/>
      <c r="D55" s="189"/>
      <c r="E55" s="1"/>
      <c r="F55" s="76"/>
      <c r="G55" s="78"/>
      <c r="H55" s="1"/>
      <c r="I55" s="188"/>
      <c r="J55" s="189"/>
      <c r="K55" s="1"/>
      <c r="L55" s="568"/>
      <c r="M55" s="78"/>
      <c r="N55" s="27"/>
      <c r="O55" s="193"/>
      <c r="P55" s="27"/>
      <c r="Q55" s="196"/>
      <c r="R55" s="27"/>
    </row>
    <row r="56" spans="3:18" ht="15.5" x14ac:dyDescent="0.35">
      <c r="C56" s="49"/>
      <c r="D56" s="189"/>
      <c r="E56" s="1"/>
      <c r="F56" s="76"/>
      <c r="G56" s="1"/>
      <c r="H56" s="1"/>
      <c r="I56" s="49"/>
      <c r="J56" s="189"/>
      <c r="K56" s="1"/>
      <c r="L56" s="156"/>
      <c r="M56" s="1"/>
      <c r="N56" s="27"/>
      <c r="O56" s="193"/>
      <c r="P56" s="27"/>
      <c r="Q56" s="196"/>
      <c r="R56" s="27"/>
    </row>
    <row r="57" spans="3:18" ht="15.5" x14ac:dyDescent="0.35">
      <c r="C57" s="75"/>
      <c r="D57" s="1"/>
      <c r="E57" s="1"/>
      <c r="F57" s="1"/>
      <c r="G57" s="1"/>
      <c r="H57" s="1"/>
      <c r="I57" s="1"/>
      <c r="J57" s="1"/>
      <c r="K57" s="1"/>
      <c r="L57" s="1"/>
      <c r="M57" s="1"/>
      <c r="N57" s="27"/>
      <c r="O57" s="27"/>
      <c r="P57" s="27"/>
      <c r="Q57" s="27"/>
      <c r="R57" s="27"/>
    </row>
    <row r="58" spans="3:18" ht="15.5" x14ac:dyDescent="0.35">
      <c r="C58" s="201"/>
      <c r="D58" s="27"/>
      <c r="E58" s="27"/>
      <c r="F58" s="27"/>
      <c r="G58" s="27"/>
      <c r="H58" s="27"/>
      <c r="I58" s="27"/>
      <c r="J58" s="27"/>
      <c r="K58" s="27"/>
      <c r="L58" s="27"/>
      <c r="M58" s="27"/>
      <c r="N58" s="27"/>
      <c r="O58" s="27"/>
      <c r="P58" s="27"/>
      <c r="Q58" s="27"/>
      <c r="R58" s="27"/>
    </row>
    <row r="59" spans="3:18" ht="15.5" x14ac:dyDescent="0.35">
      <c r="C59" s="27"/>
      <c r="D59" s="27"/>
      <c r="E59" s="27"/>
      <c r="F59" s="27"/>
      <c r="G59" s="27"/>
      <c r="H59" s="27"/>
      <c r="I59" s="27"/>
      <c r="J59" s="27"/>
      <c r="K59" s="27"/>
      <c r="L59" s="27"/>
      <c r="M59" s="27"/>
      <c r="N59" s="27"/>
      <c r="O59" s="27"/>
      <c r="P59" s="27"/>
      <c r="Q59" s="27"/>
    </row>
    <row r="60" spans="3:18" ht="18.5" x14ac:dyDescent="0.45">
      <c r="C60" s="793" t="s">
        <v>655</v>
      </c>
      <c r="D60" s="794"/>
      <c r="E60" s="794"/>
      <c r="F60" s="794"/>
      <c r="G60" s="794"/>
      <c r="H60" s="794"/>
      <c r="I60" s="794"/>
      <c r="J60" s="794"/>
      <c r="K60" s="794"/>
      <c r="L60" s="794"/>
      <c r="M60" s="795"/>
    </row>
    <row r="61" spans="3:18" ht="18.5" x14ac:dyDescent="0.45">
      <c r="C61" s="796" t="s">
        <v>658</v>
      </c>
      <c r="D61" s="786"/>
      <c r="E61" s="786"/>
      <c r="F61" s="786"/>
      <c r="G61" s="786"/>
      <c r="H61" s="786"/>
      <c r="I61" s="786"/>
      <c r="J61" s="786"/>
      <c r="K61" s="786"/>
      <c r="L61" s="786"/>
      <c r="M61" s="787"/>
      <c r="N61" s="27"/>
      <c r="O61" s="27"/>
      <c r="P61" s="27"/>
      <c r="Q61" s="27"/>
    </row>
    <row r="62" spans="3:18" ht="18.5" x14ac:dyDescent="0.45">
      <c r="C62" s="785" t="str">
        <f>SAOw!C4</f>
        <v>McCreary County Water District</v>
      </c>
      <c r="D62" s="786"/>
      <c r="E62" s="786"/>
      <c r="F62" s="786"/>
      <c r="G62" s="786"/>
      <c r="H62" s="786"/>
      <c r="I62" s="786"/>
      <c r="J62" s="786"/>
      <c r="K62" s="786"/>
      <c r="L62" s="786"/>
      <c r="M62" s="787"/>
      <c r="N62" s="122"/>
      <c r="O62" s="122"/>
      <c r="P62" s="122"/>
      <c r="Q62" s="122"/>
    </row>
    <row r="63" spans="3:18" ht="18.5" x14ac:dyDescent="0.35">
      <c r="C63" s="788" t="s">
        <v>293</v>
      </c>
      <c r="D63" s="737"/>
      <c r="E63" s="737"/>
      <c r="F63" s="737"/>
      <c r="G63" s="737"/>
      <c r="H63" s="737"/>
      <c r="I63" s="737"/>
      <c r="J63" s="737"/>
      <c r="K63" s="737"/>
      <c r="L63" s="737"/>
      <c r="M63" s="789"/>
      <c r="N63" s="122"/>
      <c r="O63" s="122"/>
      <c r="P63" s="122"/>
      <c r="Q63" s="122"/>
    </row>
    <row r="64" spans="3:18" ht="15.5" x14ac:dyDescent="0.35">
      <c r="C64" s="68"/>
      <c r="D64" s="1"/>
      <c r="E64" s="1"/>
      <c r="F64" s="1"/>
      <c r="G64" s="1"/>
      <c r="H64" s="1"/>
      <c r="I64" s="1"/>
      <c r="J64" s="1"/>
      <c r="K64" s="1"/>
      <c r="L64" s="1"/>
      <c r="M64" s="78"/>
      <c r="N64" s="27"/>
      <c r="O64" s="27"/>
      <c r="P64" s="27"/>
      <c r="Q64" s="27"/>
    </row>
    <row r="65" spans="3:17" ht="15.5" x14ac:dyDescent="0.35">
      <c r="C65" s="65"/>
      <c r="D65" s="66"/>
      <c r="E65" s="66"/>
      <c r="F65" s="66"/>
      <c r="G65" s="67"/>
      <c r="H65" s="65"/>
      <c r="I65" s="66"/>
      <c r="J65" s="66"/>
      <c r="K65" s="66"/>
      <c r="L65" s="66"/>
      <c r="M65" s="67"/>
      <c r="N65" s="27"/>
      <c r="O65" s="676">
        <v>8.2000000000000003E-2</v>
      </c>
      <c r="P65" s="27" t="s">
        <v>657</v>
      </c>
      <c r="Q65" s="27"/>
    </row>
    <row r="66" spans="3:17" ht="15.5" x14ac:dyDescent="0.35">
      <c r="C66" s="778" t="s">
        <v>294</v>
      </c>
      <c r="D66" s="779"/>
      <c r="E66" s="779"/>
      <c r="F66" s="779"/>
      <c r="G66" s="780"/>
      <c r="H66" s="1"/>
      <c r="I66" s="779" t="s">
        <v>651</v>
      </c>
      <c r="J66" s="779"/>
      <c r="K66" s="779"/>
      <c r="L66" s="779"/>
      <c r="M66" s="780"/>
      <c r="N66" s="27"/>
      <c r="O66" s="27"/>
      <c r="P66" s="27"/>
      <c r="Q66" s="27"/>
    </row>
    <row r="67" spans="3:17" ht="15.5" x14ac:dyDescent="0.35">
      <c r="C67" s="68"/>
      <c r="D67" s="1"/>
      <c r="E67" s="1" t="s">
        <v>295</v>
      </c>
      <c r="F67" s="1"/>
      <c r="G67" s="78"/>
      <c r="H67" s="1"/>
      <c r="I67" s="1"/>
      <c r="J67" s="1"/>
      <c r="K67" s="1"/>
      <c r="L67" s="47" t="s">
        <v>671</v>
      </c>
      <c r="M67" s="78"/>
      <c r="N67" s="27"/>
      <c r="O67" s="678" t="s">
        <v>661</v>
      </c>
      <c r="P67" s="678"/>
      <c r="Q67" s="678"/>
    </row>
    <row r="68" spans="3:17" ht="15.5" x14ac:dyDescent="0.35">
      <c r="C68" s="607" t="s">
        <v>277</v>
      </c>
      <c r="D68" s="1"/>
      <c r="E68" s="1"/>
      <c r="F68" s="1"/>
      <c r="G68" s="78"/>
      <c r="H68" s="1"/>
      <c r="I68" s="192" t="s">
        <v>277</v>
      </c>
      <c r="J68" s="1"/>
      <c r="K68" s="1"/>
      <c r="L68" s="33" t="s">
        <v>672</v>
      </c>
      <c r="M68" s="78"/>
      <c r="N68" s="27"/>
      <c r="O68" s="679" t="s">
        <v>662</v>
      </c>
      <c r="P68" s="679"/>
      <c r="Q68" s="679" t="s">
        <v>663</v>
      </c>
    </row>
    <row r="69" spans="3:17" ht="15.5" x14ac:dyDescent="0.35">
      <c r="C69" s="609" t="s">
        <v>11</v>
      </c>
      <c r="D69" s="75">
        <v>2000</v>
      </c>
      <c r="E69" s="1" t="s">
        <v>296</v>
      </c>
      <c r="F69" s="156">
        <v>24.42</v>
      </c>
      <c r="G69" s="78" t="s">
        <v>297</v>
      </c>
      <c r="H69" s="1"/>
      <c r="I69" s="49" t="s">
        <v>11</v>
      </c>
      <c r="J69" s="75">
        <f>D69</f>
        <v>2000</v>
      </c>
      <c r="K69" s="1" t="s">
        <v>296</v>
      </c>
      <c r="L69" s="567">
        <f>F69*(1+O65)</f>
        <v>26.422440000000005</v>
      </c>
      <c r="M69" s="78" t="s">
        <v>297</v>
      </c>
      <c r="N69" s="27"/>
      <c r="O69" s="193">
        <f>(L69-F69)/F69</f>
        <v>8.2000000000000142E-2</v>
      </c>
      <c r="P69" s="27"/>
      <c r="Q69" s="194">
        <f>L69-F69</f>
        <v>2.0024400000000036</v>
      </c>
    </row>
    <row r="70" spans="3:17" ht="15.5" x14ac:dyDescent="0.35">
      <c r="C70" s="609" t="s">
        <v>12</v>
      </c>
      <c r="D70" s="75">
        <v>2000</v>
      </c>
      <c r="E70" s="1" t="s">
        <v>296</v>
      </c>
      <c r="F70" s="195">
        <v>1.004E-2</v>
      </c>
      <c r="G70" s="78" t="s">
        <v>298</v>
      </c>
      <c r="H70" s="1"/>
      <c r="I70" s="49" t="s">
        <v>12</v>
      </c>
      <c r="J70" s="75">
        <f t="shared" ref="J70" si="10">D70</f>
        <v>2000</v>
      </c>
      <c r="K70" s="1" t="s">
        <v>296</v>
      </c>
      <c r="L70" s="366">
        <f>F70*(1+O65)</f>
        <v>1.0863280000000001E-2</v>
      </c>
      <c r="M70" s="78" t="s">
        <v>298</v>
      </c>
      <c r="N70" s="27"/>
      <c r="O70" s="193">
        <f>(L70-F70)/F70</f>
        <v>8.2000000000000087E-2</v>
      </c>
      <c r="P70" s="27"/>
      <c r="Q70" s="360">
        <f>L70-F70</f>
        <v>8.2328000000000089E-4</v>
      </c>
    </row>
    <row r="71" spans="3:17" ht="15.5" x14ac:dyDescent="0.35">
      <c r="C71" s="610"/>
      <c r="D71" s="1"/>
      <c r="E71" s="1"/>
      <c r="F71" s="1"/>
      <c r="G71" s="78"/>
      <c r="H71" s="1"/>
      <c r="I71" s="75"/>
      <c r="J71" s="1"/>
      <c r="K71" s="1"/>
      <c r="L71" s="1"/>
      <c r="M71" s="78"/>
      <c r="N71" s="27"/>
      <c r="O71" s="27"/>
      <c r="P71" s="27"/>
      <c r="Q71" s="27"/>
    </row>
    <row r="72" spans="3:17" ht="15.5" x14ac:dyDescent="0.35">
      <c r="C72" s="607" t="s">
        <v>281</v>
      </c>
      <c r="D72" s="1"/>
      <c r="E72" s="1"/>
      <c r="F72" s="1"/>
      <c r="G72" s="78"/>
      <c r="H72" s="1"/>
      <c r="I72" s="192" t="str">
        <f>C72</f>
        <v>Federal Correctional Facility</v>
      </c>
      <c r="J72" s="1"/>
      <c r="K72" s="1"/>
      <c r="L72" s="1"/>
      <c r="M72" s="78"/>
      <c r="N72" s="27"/>
      <c r="O72" s="27"/>
      <c r="P72" s="27"/>
      <c r="Q72" s="27"/>
    </row>
    <row r="73" spans="3:17" ht="15.5" x14ac:dyDescent="0.35">
      <c r="C73" s="609" t="s">
        <v>11</v>
      </c>
      <c r="D73" s="75">
        <v>1950000</v>
      </c>
      <c r="E73" s="1" t="s">
        <v>296</v>
      </c>
      <c r="F73" s="156">
        <v>15430.93</v>
      </c>
      <c r="G73" s="78" t="s">
        <v>297</v>
      </c>
      <c r="H73" s="1"/>
      <c r="I73" s="49" t="s">
        <v>11</v>
      </c>
      <c r="J73" s="75">
        <f t="shared" ref="J73:J74" si="11">D73</f>
        <v>1950000</v>
      </c>
      <c r="K73" s="1" t="s">
        <v>296</v>
      </c>
      <c r="L73" s="692">
        <f>F73*(1+O65)</f>
        <v>16696.26626</v>
      </c>
      <c r="M73" s="78" t="s">
        <v>297</v>
      </c>
      <c r="N73" s="27"/>
      <c r="O73" s="193">
        <f>(L73-F73)/F73</f>
        <v>8.2000000000000003E-2</v>
      </c>
      <c r="P73" s="27"/>
      <c r="Q73" s="196">
        <f>L73-F73</f>
        <v>1265.33626</v>
      </c>
    </row>
    <row r="74" spans="3:17" ht="15.5" x14ac:dyDescent="0.35">
      <c r="C74" s="609" t="s">
        <v>12</v>
      </c>
      <c r="D74" s="75">
        <v>1950000</v>
      </c>
      <c r="E74" s="1" t="s">
        <v>296</v>
      </c>
      <c r="F74" s="195">
        <v>7.9000000000000008E-3</v>
      </c>
      <c r="G74" s="78" t="s">
        <v>298</v>
      </c>
      <c r="H74" s="1"/>
      <c r="I74" s="49" t="s">
        <v>12</v>
      </c>
      <c r="J74" s="75">
        <f t="shared" si="11"/>
        <v>1950000</v>
      </c>
      <c r="K74" s="1" t="s">
        <v>296</v>
      </c>
      <c r="L74" s="366">
        <f>F74*(1+O65)</f>
        <v>8.5478000000000012E-3</v>
      </c>
      <c r="M74" s="78" t="s">
        <v>298</v>
      </c>
      <c r="N74" s="27"/>
      <c r="O74" s="193">
        <f>(L74-F74)/F74</f>
        <v>8.2000000000000045E-2</v>
      </c>
      <c r="P74" s="27"/>
      <c r="Q74" s="360">
        <f>L74-F74</f>
        <v>6.4780000000000046E-4</v>
      </c>
    </row>
    <row r="75" spans="3:17" ht="15.5" x14ac:dyDescent="0.35">
      <c r="C75" s="610"/>
      <c r="D75" s="1"/>
      <c r="E75" s="1"/>
      <c r="F75" s="1"/>
      <c r="G75" s="78"/>
      <c r="H75" s="1"/>
      <c r="I75" s="75"/>
      <c r="J75" s="1"/>
      <c r="K75" s="1"/>
      <c r="L75" s="1"/>
      <c r="M75" s="78"/>
      <c r="N75" s="27"/>
      <c r="O75" s="27"/>
      <c r="P75" s="27"/>
      <c r="Q75" s="27"/>
    </row>
    <row r="76" spans="3:17" ht="15.5" x14ac:dyDescent="0.35">
      <c r="C76" s="607" t="s">
        <v>282</v>
      </c>
      <c r="D76" s="1"/>
      <c r="E76" s="1"/>
      <c r="F76" s="1"/>
      <c r="G76" s="78"/>
      <c r="H76" s="1"/>
      <c r="I76" s="192" t="str">
        <f>C76</f>
        <v>Cumberland Falls State Park</v>
      </c>
      <c r="J76" s="1"/>
      <c r="K76" s="1"/>
      <c r="L76" s="1"/>
      <c r="M76" s="78"/>
      <c r="N76" s="27"/>
      <c r="O76" s="27"/>
      <c r="P76" s="27"/>
      <c r="Q76" s="27"/>
    </row>
    <row r="77" spans="3:17" ht="15.5" x14ac:dyDescent="0.35">
      <c r="C77" s="609" t="s">
        <v>11</v>
      </c>
      <c r="D77" s="75">
        <v>600000</v>
      </c>
      <c r="E77" s="1" t="s">
        <v>296</v>
      </c>
      <c r="F77" s="156">
        <v>4747.9799999999996</v>
      </c>
      <c r="G77" s="78" t="s">
        <v>297</v>
      </c>
      <c r="H77" s="1"/>
      <c r="I77" s="49" t="s">
        <v>11</v>
      </c>
      <c r="J77" s="75">
        <f t="shared" ref="J77:J78" si="12">D77</f>
        <v>600000</v>
      </c>
      <c r="K77" s="1" t="s">
        <v>296</v>
      </c>
      <c r="L77" s="692">
        <f>F77*(1+O65)</f>
        <v>5137.3143600000003</v>
      </c>
      <c r="M77" s="78" t="s">
        <v>297</v>
      </c>
      <c r="N77" s="194"/>
      <c r="O77" s="193">
        <f>(L77-F77)/F77</f>
        <v>8.200000000000017E-2</v>
      </c>
      <c r="P77" s="27"/>
      <c r="Q77" s="194">
        <f>L77-F77</f>
        <v>389.33436000000074</v>
      </c>
    </row>
    <row r="78" spans="3:17" ht="15.5" x14ac:dyDescent="0.35">
      <c r="C78" s="609" t="s">
        <v>12</v>
      </c>
      <c r="D78" s="75">
        <v>600000</v>
      </c>
      <c r="E78" s="1" t="s">
        <v>296</v>
      </c>
      <c r="F78" s="195">
        <v>7.9000000000000008E-3</v>
      </c>
      <c r="G78" s="78" t="s">
        <v>298</v>
      </c>
      <c r="H78" s="1"/>
      <c r="I78" s="49" t="s">
        <v>12</v>
      </c>
      <c r="J78" s="75">
        <f t="shared" si="12"/>
        <v>600000</v>
      </c>
      <c r="K78" s="1" t="s">
        <v>296</v>
      </c>
      <c r="L78" s="366">
        <f>F78*(1+O65)</f>
        <v>8.5478000000000012E-3</v>
      </c>
      <c r="M78" s="78" t="s">
        <v>298</v>
      </c>
      <c r="N78" s="27"/>
      <c r="O78" s="193">
        <f>(L78-F78)/F78</f>
        <v>8.2000000000000045E-2</v>
      </c>
      <c r="P78" s="27"/>
      <c r="Q78" s="360">
        <f>L78-F78</f>
        <v>6.4780000000000046E-4</v>
      </c>
    </row>
    <row r="79" spans="3:17" ht="15.5" x14ac:dyDescent="0.35">
      <c r="C79" s="609"/>
      <c r="D79" s="75"/>
      <c r="E79" s="1"/>
      <c r="F79" s="76"/>
      <c r="G79" s="78"/>
      <c r="H79" s="1"/>
      <c r="I79" s="49"/>
      <c r="J79" s="75"/>
      <c r="K79" s="1"/>
      <c r="L79" s="1"/>
      <c r="M79" s="78"/>
      <c r="N79" s="27"/>
      <c r="O79" s="27"/>
      <c r="P79" s="27"/>
      <c r="Q79" s="27"/>
    </row>
    <row r="80" spans="3:17" ht="15.5" x14ac:dyDescent="0.35">
      <c r="C80" s="607" t="s">
        <v>299</v>
      </c>
      <c r="D80" s="1"/>
      <c r="E80" s="1"/>
      <c r="F80" s="1"/>
      <c r="G80" s="78"/>
      <c r="H80" s="1"/>
      <c r="I80" s="192" t="s">
        <v>299</v>
      </c>
      <c r="J80" s="75"/>
      <c r="K80" s="1"/>
      <c r="L80" s="1"/>
      <c r="M80" s="78"/>
      <c r="N80" s="27"/>
      <c r="O80" s="27"/>
      <c r="P80" s="27"/>
      <c r="Q80" s="27"/>
    </row>
    <row r="81" spans="3:19" ht="15.5" x14ac:dyDescent="0.35">
      <c r="C81" s="611" t="s">
        <v>284</v>
      </c>
      <c r="D81" s="75"/>
      <c r="E81" s="1"/>
      <c r="F81" s="198">
        <v>7.9000000000000008E-3</v>
      </c>
      <c r="G81" s="78" t="s">
        <v>298</v>
      </c>
      <c r="H81" s="1"/>
      <c r="I81" s="197" t="str">
        <f>C81</f>
        <v>Whitley County Water District</v>
      </c>
      <c r="J81" s="75"/>
      <c r="K81" s="1"/>
      <c r="L81" s="366">
        <f>F81*(1+O65)</f>
        <v>8.5478000000000012E-3</v>
      </c>
      <c r="M81" s="78" t="s">
        <v>298</v>
      </c>
      <c r="N81" s="27"/>
      <c r="O81" s="193">
        <f>(L81-F81)/F81</f>
        <v>8.2000000000000045E-2</v>
      </c>
      <c r="P81" s="199"/>
      <c r="Q81" s="204">
        <f>L81-F81</f>
        <v>6.4780000000000046E-4</v>
      </c>
    </row>
    <row r="82" spans="3:19" ht="15.5" x14ac:dyDescent="0.35">
      <c r="C82" s="611" t="s">
        <v>300</v>
      </c>
      <c r="D82" s="75"/>
      <c r="E82" s="1"/>
      <c r="F82" s="198">
        <v>7.9000000000000008E-3</v>
      </c>
      <c r="G82" s="78" t="s">
        <v>298</v>
      </c>
      <c r="H82" s="1"/>
      <c r="I82" s="197" t="str">
        <f t="shared" ref="I82:I85" si="13">C82</f>
        <v>Oneida, Tennessee</v>
      </c>
      <c r="J82" s="75"/>
      <c r="K82" s="1"/>
      <c r="L82" s="366">
        <f>F82*(1+O65)</f>
        <v>8.5478000000000012E-3</v>
      </c>
      <c r="M82" s="78" t="s">
        <v>298</v>
      </c>
      <c r="N82" s="27"/>
      <c r="O82" s="193">
        <f t="shared" ref="O82:O83" si="14">(L82-F82)/F82</f>
        <v>8.2000000000000045E-2</v>
      </c>
      <c r="P82" s="199"/>
      <c r="Q82" s="204">
        <f t="shared" ref="Q82:Q83" si="15">L82-F82</f>
        <v>6.4780000000000046E-4</v>
      </c>
    </row>
    <row r="83" spans="3:19" ht="15.5" x14ac:dyDescent="0.35">
      <c r="C83" s="611" t="s">
        <v>301</v>
      </c>
      <c r="D83" s="75"/>
      <c r="E83" s="1"/>
      <c r="F83" s="198">
        <v>7.9000000000000008E-3</v>
      </c>
      <c r="G83" s="78" t="s">
        <v>298</v>
      </c>
      <c r="H83" s="1"/>
      <c r="I83" s="197" t="str">
        <f t="shared" si="13"/>
        <v>Fibrotec, USA</v>
      </c>
      <c r="J83" s="75"/>
      <c r="K83" s="1"/>
      <c r="L83" s="366">
        <f>F83*(1+O65)</f>
        <v>8.5478000000000012E-3</v>
      </c>
      <c r="M83" s="78" t="s">
        <v>298</v>
      </c>
      <c r="N83" s="27"/>
      <c r="O83" s="193">
        <f t="shared" si="14"/>
        <v>8.2000000000000045E-2</v>
      </c>
      <c r="P83" s="199"/>
      <c r="Q83" s="204">
        <f t="shared" si="15"/>
        <v>6.4780000000000046E-4</v>
      </c>
    </row>
    <row r="84" spans="3:19" ht="15.5" x14ac:dyDescent="0.35">
      <c r="C84" s="611" t="s">
        <v>302</v>
      </c>
      <c r="D84" s="75"/>
      <c r="E84" s="1"/>
      <c r="F84" s="198">
        <v>7.9000000000000008E-3</v>
      </c>
      <c r="G84" s="78" t="s">
        <v>298</v>
      </c>
      <c r="H84" s="1"/>
      <c r="I84" s="197" t="str">
        <f t="shared" si="13"/>
        <v>Pin Knot Job Center</v>
      </c>
      <c r="J84" s="75"/>
      <c r="K84" s="1"/>
      <c r="L84" s="366">
        <f>F84*(1+O65)</f>
        <v>8.5478000000000012E-3</v>
      </c>
      <c r="M84" s="78" t="s">
        <v>298</v>
      </c>
      <c r="N84" s="27"/>
      <c r="O84" s="193">
        <f>(L84-F84)/F84</f>
        <v>8.2000000000000045E-2</v>
      </c>
      <c r="P84" s="27"/>
      <c r="Q84" s="204">
        <f>L84-F84</f>
        <v>6.4780000000000046E-4</v>
      </c>
    </row>
    <row r="85" spans="3:19" ht="15.5" x14ac:dyDescent="0.35">
      <c r="C85" s="611" t="s">
        <v>303</v>
      </c>
      <c r="D85" s="75"/>
      <c r="E85" s="1"/>
      <c r="F85" s="198">
        <v>7.9000000000000008E-3</v>
      </c>
      <c r="G85" s="78" t="s">
        <v>298</v>
      </c>
      <c r="H85" s="1"/>
      <c r="I85" s="197" t="str">
        <f t="shared" si="13"/>
        <v>McCreary County Housing Auth.</v>
      </c>
      <c r="J85" s="75"/>
      <c r="K85" s="1"/>
      <c r="L85" s="366">
        <f>F85*(1+O65)</f>
        <v>8.5478000000000012E-3</v>
      </c>
      <c r="M85" s="78" t="s">
        <v>298</v>
      </c>
      <c r="N85" s="27"/>
      <c r="O85" s="193">
        <f>(L85-F85)/F85</f>
        <v>8.2000000000000045E-2</v>
      </c>
      <c r="P85" s="27"/>
      <c r="Q85" s="361">
        <f>L85-F85</f>
        <v>6.4780000000000046E-4</v>
      </c>
    </row>
    <row r="86" spans="3:19" ht="15.5" x14ac:dyDescent="0.35">
      <c r="C86" s="613"/>
      <c r="D86" s="637"/>
      <c r="E86" s="54"/>
      <c r="F86" s="638"/>
      <c r="G86" s="80"/>
      <c r="H86" s="54"/>
      <c r="I86" s="639"/>
      <c r="J86" s="637"/>
      <c r="K86" s="54"/>
      <c r="L86" s="640"/>
      <c r="M86" s="80"/>
      <c r="N86" s="27"/>
      <c r="O86" s="193"/>
      <c r="P86" s="27"/>
      <c r="Q86" s="196"/>
    </row>
    <row r="90" spans="3:19" ht="18.5" x14ac:dyDescent="0.45">
      <c r="C90" s="793" t="s">
        <v>655</v>
      </c>
      <c r="D90" s="794"/>
      <c r="E90" s="794"/>
      <c r="F90" s="794"/>
      <c r="G90" s="794"/>
      <c r="H90" s="794"/>
      <c r="I90" s="794"/>
      <c r="J90" s="794"/>
      <c r="K90" s="794"/>
      <c r="L90" s="794"/>
      <c r="M90" s="795"/>
    </row>
    <row r="91" spans="3:19" ht="18.5" x14ac:dyDescent="0.45">
      <c r="C91" s="796" t="s">
        <v>660</v>
      </c>
      <c r="D91" s="786"/>
      <c r="E91" s="786"/>
      <c r="F91" s="786"/>
      <c r="G91" s="786"/>
      <c r="H91" s="786"/>
      <c r="I91" s="786"/>
      <c r="J91" s="786"/>
      <c r="K91" s="786"/>
      <c r="L91" s="786"/>
      <c r="M91" s="787"/>
      <c r="N91" s="27"/>
      <c r="O91" s="27"/>
      <c r="P91" s="27"/>
      <c r="Q91" s="27"/>
    </row>
    <row r="92" spans="3:19" ht="18.5" x14ac:dyDescent="0.45">
      <c r="C92" s="792" t="str">
        <f>SAOw!C4</f>
        <v>McCreary County Water District</v>
      </c>
      <c r="D92" s="783"/>
      <c r="E92" s="783"/>
      <c r="F92" s="783"/>
      <c r="G92" s="783"/>
      <c r="H92" s="783"/>
      <c r="I92" s="783"/>
      <c r="J92" s="783"/>
      <c r="K92" s="783"/>
      <c r="L92" s="783"/>
      <c r="M92" s="784"/>
      <c r="N92" s="122"/>
      <c r="O92" s="122"/>
      <c r="P92" s="122"/>
      <c r="Q92" s="122"/>
    </row>
    <row r="93" spans="3:19" ht="18.5" x14ac:dyDescent="0.35">
      <c r="C93" s="788" t="s">
        <v>293</v>
      </c>
      <c r="D93" s="737"/>
      <c r="E93" s="737"/>
      <c r="F93" s="737"/>
      <c r="G93" s="737"/>
      <c r="H93" s="737"/>
      <c r="I93" s="737"/>
      <c r="J93" s="737"/>
      <c r="K93" s="737"/>
      <c r="L93" s="737"/>
      <c r="M93" s="789"/>
      <c r="N93" s="122"/>
      <c r="O93" s="122"/>
      <c r="P93" s="122"/>
      <c r="Q93" s="122"/>
    </row>
    <row r="94" spans="3:19" ht="15.5" x14ac:dyDescent="0.35">
      <c r="C94" s="68"/>
      <c r="D94" s="1"/>
      <c r="E94" s="1"/>
      <c r="F94" s="1"/>
      <c r="G94" s="1"/>
      <c r="H94" s="1"/>
      <c r="I94" s="1"/>
      <c r="J94" s="1"/>
      <c r="K94" s="1"/>
      <c r="L94" s="1"/>
      <c r="M94" s="78"/>
      <c r="N94" s="27"/>
      <c r="O94" s="27"/>
      <c r="P94" s="27"/>
      <c r="Q94" s="27"/>
    </row>
    <row r="95" spans="3:19" ht="15.5" x14ac:dyDescent="0.35">
      <c r="C95" s="65"/>
      <c r="D95" s="66"/>
      <c r="E95" s="66"/>
      <c r="F95" s="66"/>
      <c r="G95" s="67"/>
      <c r="H95" s="65"/>
      <c r="I95" s="66"/>
      <c r="J95" s="66"/>
      <c r="K95" s="66"/>
      <c r="L95" s="66"/>
      <c r="M95" s="67"/>
      <c r="N95" s="27"/>
      <c r="O95" s="686"/>
      <c r="P95" s="27"/>
      <c r="Q95" s="27"/>
      <c r="R95" s="687"/>
      <c r="S95" s="687"/>
    </row>
    <row r="96" spans="3:19" ht="15.5" x14ac:dyDescent="0.35">
      <c r="C96" s="778"/>
      <c r="D96" s="779"/>
      <c r="E96" s="779"/>
      <c r="F96" s="779"/>
      <c r="G96" s="780"/>
      <c r="H96" s="1"/>
      <c r="I96" s="779"/>
      <c r="J96" s="779"/>
      <c r="K96" s="779"/>
      <c r="L96" s="779"/>
      <c r="M96" s="780"/>
      <c r="N96" s="27"/>
      <c r="O96" s="27"/>
      <c r="P96" s="27"/>
      <c r="Q96" s="27"/>
    </row>
    <row r="97" spans="3:17" ht="15.5" x14ac:dyDescent="0.35">
      <c r="C97" s="68"/>
      <c r="D97" s="1"/>
      <c r="E97" s="1"/>
      <c r="F97" s="47" t="s">
        <v>671</v>
      </c>
      <c r="G97" s="78"/>
      <c r="H97" s="1"/>
      <c r="I97" s="1"/>
      <c r="J97" s="1"/>
      <c r="K97" s="1"/>
      <c r="L97" s="47" t="s">
        <v>671</v>
      </c>
      <c r="M97" s="78"/>
      <c r="N97" s="27"/>
      <c r="O97" s="678" t="s">
        <v>661</v>
      </c>
      <c r="P97" s="678"/>
      <c r="Q97" s="678"/>
    </row>
    <row r="98" spans="3:17" ht="15.5" x14ac:dyDescent="0.35">
      <c r="C98" s="607" t="s">
        <v>277</v>
      </c>
      <c r="D98" s="1"/>
      <c r="E98" s="1"/>
      <c r="F98" s="33" t="s">
        <v>672</v>
      </c>
      <c r="G98" s="78"/>
      <c r="H98" s="1"/>
      <c r="I98" s="192" t="s">
        <v>277</v>
      </c>
      <c r="J98" s="1"/>
      <c r="K98" s="1"/>
      <c r="L98" s="33" t="s">
        <v>673</v>
      </c>
      <c r="M98" s="78"/>
      <c r="N98" s="27"/>
      <c r="O98" s="679" t="s">
        <v>662</v>
      </c>
      <c r="P98" s="679"/>
      <c r="Q98" s="679" t="s">
        <v>663</v>
      </c>
    </row>
    <row r="99" spans="3:17" ht="15.5" x14ac:dyDescent="0.35">
      <c r="C99" s="609" t="s">
        <v>11</v>
      </c>
      <c r="D99" s="75">
        <v>2000</v>
      </c>
      <c r="E99" s="1" t="s">
        <v>296</v>
      </c>
      <c r="F99" s="156">
        <f>L69</f>
        <v>26.422440000000005</v>
      </c>
      <c r="G99" s="78" t="s">
        <v>297</v>
      </c>
      <c r="H99" s="1"/>
      <c r="I99" s="49" t="s">
        <v>11</v>
      </c>
      <c r="J99" s="75">
        <f>D99</f>
        <v>2000</v>
      </c>
      <c r="K99" s="1" t="s">
        <v>296</v>
      </c>
      <c r="L99" s="567">
        <f>L37</f>
        <v>28.424880000000002</v>
      </c>
      <c r="M99" s="78" t="s">
        <v>297</v>
      </c>
      <c r="N99" s="27"/>
      <c r="O99" s="193">
        <f>(L99-F99)/F99</f>
        <v>7.5785582255083028E-2</v>
      </c>
      <c r="P99" s="27"/>
      <c r="Q99" s="194">
        <f>L99-F99</f>
        <v>2.0024399999999964</v>
      </c>
    </row>
    <row r="100" spans="3:17" ht="15.5" x14ac:dyDescent="0.35">
      <c r="C100" s="609" t="s">
        <v>12</v>
      </c>
      <c r="D100" s="75">
        <v>2000</v>
      </c>
      <c r="E100" s="1" t="s">
        <v>296</v>
      </c>
      <c r="F100" s="600">
        <f>L70</f>
        <v>1.0863280000000001E-2</v>
      </c>
      <c r="G100" s="78" t="s">
        <v>298</v>
      </c>
      <c r="H100" s="1"/>
      <c r="I100" s="49" t="s">
        <v>12</v>
      </c>
      <c r="J100" s="75">
        <f t="shared" ref="J100" si="16">D100</f>
        <v>2000</v>
      </c>
      <c r="K100" s="1" t="s">
        <v>296</v>
      </c>
      <c r="L100" s="677">
        <f>L38</f>
        <v>1.168656E-2</v>
      </c>
      <c r="M100" s="78" t="s">
        <v>298</v>
      </c>
      <c r="N100" s="27"/>
      <c r="O100" s="193">
        <f>(L100-F100)/F100</f>
        <v>7.5785582255083098E-2</v>
      </c>
      <c r="P100" s="27"/>
      <c r="Q100" s="360">
        <f>L100-F100</f>
        <v>8.2327999999999915E-4</v>
      </c>
    </row>
    <row r="101" spans="3:17" ht="15.5" x14ac:dyDescent="0.35">
      <c r="C101" s="610"/>
      <c r="D101" s="1"/>
      <c r="E101" s="1"/>
      <c r="F101" s="1"/>
      <c r="G101" s="78"/>
      <c r="H101" s="1"/>
      <c r="I101" s="75"/>
      <c r="J101" s="1"/>
      <c r="K101" s="1"/>
      <c r="L101" s="1"/>
      <c r="M101" s="78"/>
      <c r="N101" s="27"/>
      <c r="O101" s="27"/>
      <c r="P101" s="27"/>
      <c r="Q101" s="27"/>
    </row>
    <row r="102" spans="3:17" ht="15.5" x14ac:dyDescent="0.35">
      <c r="C102" s="607" t="s">
        <v>281</v>
      </c>
      <c r="D102" s="1"/>
      <c r="E102" s="1"/>
      <c r="F102" s="1"/>
      <c r="G102" s="78"/>
      <c r="H102" s="1"/>
      <c r="I102" s="192" t="str">
        <f>C102</f>
        <v>Federal Correctional Facility</v>
      </c>
      <c r="J102" s="1"/>
      <c r="K102" s="1"/>
      <c r="L102" s="1"/>
      <c r="M102" s="78"/>
      <c r="N102" s="27"/>
      <c r="O102" s="27"/>
      <c r="P102" s="27"/>
      <c r="Q102" s="27"/>
    </row>
    <row r="103" spans="3:17" ht="15.5" x14ac:dyDescent="0.35">
      <c r="C103" s="609" t="s">
        <v>11</v>
      </c>
      <c r="D103" s="75">
        <v>1950000</v>
      </c>
      <c r="E103" s="1" t="s">
        <v>296</v>
      </c>
      <c r="F103" s="156">
        <f t="shared" ref="F103:F104" si="17">L73</f>
        <v>16696.26626</v>
      </c>
      <c r="G103" s="78" t="s">
        <v>297</v>
      </c>
      <c r="H103" s="1"/>
      <c r="I103" s="49" t="s">
        <v>11</v>
      </c>
      <c r="J103" s="75">
        <f t="shared" ref="J103:J104" si="18">D103</f>
        <v>1950000</v>
      </c>
      <c r="K103" s="1" t="s">
        <v>296</v>
      </c>
      <c r="L103" s="567">
        <f t="shared" ref="L103:L104" si="19">L41</f>
        <v>17961.60252</v>
      </c>
      <c r="M103" s="78" t="s">
        <v>297</v>
      </c>
      <c r="N103" s="27"/>
      <c r="O103" s="193">
        <f>(L103-F103)/F103</f>
        <v>7.5785582255083181E-2</v>
      </c>
      <c r="P103" s="27"/>
      <c r="Q103" s="196">
        <f>L103-F103</f>
        <v>1265.33626</v>
      </c>
    </row>
    <row r="104" spans="3:17" ht="15.5" x14ac:dyDescent="0.35">
      <c r="C104" s="609" t="s">
        <v>12</v>
      </c>
      <c r="D104" s="75">
        <v>1950000</v>
      </c>
      <c r="E104" s="1" t="s">
        <v>296</v>
      </c>
      <c r="F104" s="600">
        <f t="shared" si="17"/>
        <v>8.5478000000000012E-3</v>
      </c>
      <c r="G104" s="78" t="s">
        <v>298</v>
      </c>
      <c r="H104" s="1"/>
      <c r="I104" s="49" t="s">
        <v>12</v>
      </c>
      <c r="J104" s="75">
        <f t="shared" si="18"/>
        <v>1950000</v>
      </c>
      <c r="K104" s="1" t="s">
        <v>296</v>
      </c>
      <c r="L104" s="677">
        <f t="shared" si="19"/>
        <v>9.1956E-3</v>
      </c>
      <c r="M104" s="78" t="s">
        <v>298</v>
      </c>
      <c r="N104" s="27"/>
      <c r="O104" s="193">
        <f>(L104-F104)/F104</f>
        <v>7.5785582255083014E-2</v>
      </c>
      <c r="P104" s="27"/>
      <c r="Q104" s="360">
        <f>L104-F104</f>
        <v>6.4779999999999872E-4</v>
      </c>
    </row>
    <row r="105" spans="3:17" ht="15.5" x14ac:dyDescent="0.35">
      <c r="C105" s="610"/>
      <c r="D105" s="1"/>
      <c r="E105" s="1"/>
      <c r="F105" s="1"/>
      <c r="G105" s="78"/>
      <c r="H105" s="1"/>
      <c r="I105" s="75"/>
      <c r="J105" s="1"/>
      <c r="K105" s="1"/>
      <c r="L105" s="1"/>
      <c r="M105" s="78"/>
      <c r="N105" s="27"/>
      <c r="O105" s="27"/>
      <c r="P105" s="27"/>
      <c r="Q105" s="27"/>
    </row>
    <row r="106" spans="3:17" ht="15.5" x14ac:dyDescent="0.35">
      <c r="C106" s="607" t="s">
        <v>282</v>
      </c>
      <c r="D106" s="1"/>
      <c r="E106" s="1"/>
      <c r="F106" s="1"/>
      <c r="G106" s="78"/>
      <c r="H106" s="1"/>
      <c r="I106" s="192" t="str">
        <f>C106</f>
        <v>Cumberland Falls State Park</v>
      </c>
      <c r="J106" s="1"/>
      <c r="K106" s="1"/>
      <c r="L106" s="1"/>
      <c r="M106" s="78"/>
      <c r="N106" s="27"/>
      <c r="O106" s="27"/>
      <c r="P106" s="27"/>
      <c r="Q106" s="27"/>
    </row>
    <row r="107" spans="3:17" ht="15.5" x14ac:dyDescent="0.35">
      <c r="C107" s="609" t="s">
        <v>11</v>
      </c>
      <c r="D107" s="75">
        <v>600000</v>
      </c>
      <c r="E107" s="1" t="s">
        <v>296</v>
      </c>
      <c r="F107" s="156">
        <f t="shared" ref="F107:F108" si="20">L77</f>
        <v>5137.3143600000003</v>
      </c>
      <c r="G107" s="78" t="s">
        <v>297</v>
      </c>
      <c r="H107" s="1"/>
      <c r="I107" s="49" t="s">
        <v>11</v>
      </c>
      <c r="J107" s="75">
        <f t="shared" ref="J107:J108" si="21">D107</f>
        <v>600000</v>
      </c>
      <c r="K107" s="1" t="s">
        <v>296</v>
      </c>
      <c r="L107" s="567">
        <f t="shared" ref="L107:L108" si="22">L45</f>
        <v>5526.6487199999992</v>
      </c>
      <c r="M107" s="78" t="s">
        <v>297</v>
      </c>
      <c r="N107" s="194"/>
      <c r="O107" s="193">
        <f>(L107-F107)/F107</f>
        <v>7.5785582255082959E-2</v>
      </c>
      <c r="P107" s="27"/>
      <c r="Q107" s="194">
        <f>L107-F107</f>
        <v>389.33435999999892</v>
      </c>
    </row>
    <row r="108" spans="3:17" ht="15.5" x14ac:dyDescent="0.35">
      <c r="C108" s="609" t="s">
        <v>12</v>
      </c>
      <c r="D108" s="75">
        <v>600000</v>
      </c>
      <c r="E108" s="1" t="s">
        <v>296</v>
      </c>
      <c r="F108" s="600">
        <f t="shared" si="20"/>
        <v>8.5478000000000012E-3</v>
      </c>
      <c r="G108" s="78" t="s">
        <v>298</v>
      </c>
      <c r="H108" s="1"/>
      <c r="I108" s="49" t="s">
        <v>12</v>
      </c>
      <c r="J108" s="75">
        <f t="shared" si="21"/>
        <v>600000</v>
      </c>
      <c r="K108" s="1" t="s">
        <v>296</v>
      </c>
      <c r="L108" s="677">
        <f t="shared" si="22"/>
        <v>9.1956E-3</v>
      </c>
      <c r="M108" s="78" t="s">
        <v>298</v>
      </c>
      <c r="N108" s="27"/>
      <c r="O108" s="193">
        <f>(L108-F108)/F108</f>
        <v>7.5785582255083014E-2</v>
      </c>
      <c r="P108" s="27"/>
      <c r="Q108" s="360">
        <f>L108-F108</f>
        <v>6.4779999999999872E-4</v>
      </c>
    </row>
    <row r="109" spans="3:17" ht="15.5" x14ac:dyDescent="0.35">
      <c r="C109" s="609"/>
      <c r="D109" s="75"/>
      <c r="E109" s="1"/>
      <c r="F109" s="76"/>
      <c r="G109" s="78"/>
      <c r="H109" s="1"/>
      <c r="I109" s="49"/>
      <c r="J109" s="75"/>
      <c r="K109" s="1"/>
      <c r="L109" s="1"/>
      <c r="M109" s="78"/>
      <c r="N109" s="27"/>
      <c r="O109" s="27"/>
      <c r="P109" s="27"/>
      <c r="Q109" s="27"/>
    </row>
    <row r="110" spans="3:17" ht="15.5" x14ac:dyDescent="0.35">
      <c r="C110" s="607" t="s">
        <v>299</v>
      </c>
      <c r="D110" s="1"/>
      <c r="E110" s="1"/>
      <c r="F110" s="1"/>
      <c r="G110" s="78"/>
      <c r="H110" s="1"/>
      <c r="I110" s="192" t="s">
        <v>299</v>
      </c>
      <c r="J110" s="75"/>
      <c r="K110" s="1"/>
      <c r="L110" s="1"/>
      <c r="M110" s="78"/>
      <c r="N110" s="27"/>
      <c r="O110" s="27"/>
      <c r="P110" s="27"/>
      <c r="Q110" s="27"/>
    </row>
    <row r="111" spans="3:17" ht="15.5" x14ac:dyDescent="0.35">
      <c r="C111" s="611" t="s">
        <v>284</v>
      </c>
      <c r="D111" s="75"/>
      <c r="E111" s="1"/>
      <c r="F111" s="600">
        <f t="shared" ref="F111:F115" si="23">L81</f>
        <v>8.5478000000000012E-3</v>
      </c>
      <c r="G111" s="78" t="s">
        <v>298</v>
      </c>
      <c r="H111" s="1"/>
      <c r="I111" s="197" t="str">
        <f>C111</f>
        <v>Whitley County Water District</v>
      </c>
      <c r="J111" s="75"/>
      <c r="K111" s="1"/>
      <c r="L111" s="677">
        <f t="shared" ref="L111:L115" si="24">L49</f>
        <v>9.1956E-3</v>
      </c>
      <c r="M111" s="78" t="s">
        <v>298</v>
      </c>
      <c r="N111" s="27"/>
      <c r="O111" s="193">
        <f>(L111-F111)/F111</f>
        <v>7.5785582255083014E-2</v>
      </c>
      <c r="P111" s="199"/>
      <c r="Q111" s="204">
        <f>L111-F111</f>
        <v>6.4779999999999872E-4</v>
      </c>
    </row>
    <row r="112" spans="3:17" ht="15.5" x14ac:dyDescent="0.35">
      <c r="C112" s="611" t="s">
        <v>300</v>
      </c>
      <c r="D112" s="75"/>
      <c r="E112" s="1"/>
      <c r="F112" s="600">
        <f t="shared" si="23"/>
        <v>8.5478000000000012E-3</v>
      </c>
      <c r="G112" s="78" t="s">
        <v>298</v>
      </c>
      <c r="H112" s="1"/>
      <c r="I112" s="197" t="str">
        <f t="shared" ref="I112:I115" si="25">C112</f>
        <v>Oneida, Tennessee</v>
      </c>
      <c r="J112" s="75"/>
      <c r="K112" s="1"/>
      <c r="L112" s="677">
        <f t="shared" si="24"/>
        <v>9.1956E-3</v>
      </c>
      <c r="M112" s="78" t="s">
        <v>298</v>
      </c>
      <c r="N112" s="27"/>
      <c r="O112" s="193">
        <f t="shared" ref="O112:O113" si="26">(L112-F112)/F112</f>
        <v>7.5785582255083014E-2</v>
      </c>
      <c r="P112" s="199"/>
      <c r="Q112" s="204">
        <f t="shared" ref="Q112:Q113" si="27">L112-F112</f>
        <v>6.4779999999999872E-4</v>
      </c>
    </row>
    <row r="113" spans="3:17" ht="15.5" x14ac:dyDescent="0.35">
      <c r="C113" s="611" t="s">
        <v>301</v>
      </c>
      <c r="D113" s="75"/>
      <c r="E113" s="1"/>
      <c r="F113" s="600">
        <f t="shared" si="23"/>
        <v>8.5478000000000012E-3</v>
      </c>
      <c r="G113" s="78" t="s">
        <v>298</v>
      </c>
      <c r="H113" s="1"/>
      <c r="I113" s="197" t="str">
        <f t="shared" si="25"/>
        <v>Fibrotec, USA</v>
      </c>
      <c r="J113" s="75"/>
      <c r="K113" s="1"/>
      <c r="L113" s="677">
        <f t="shared" si="24"/>
        <v>9.1956E-3</v>
      </c>
      <c r="M113" s="78" t="s">
        <v>298</v>
      </c>
      <c r="N113" s="27"/>
      <c r="O113" s="193">
        <f t="shared" si="26"/>
        <v>7.5785582255083014E-2</v>
      </c>
      <c r="P113" s="199"/>
      <c r="Q113" s="204">
        <f t="shared" si="27"/>
        <v>6.4779999999999872E-4</v>
      </c>
    </row>
    <row r="114" spans="3:17" ht="15.5" x14ac:dyDescent="0.35">
      <c r="C114" s="611" t="s">
        <v>302</v>
      </c>
      <c r="D114" s="75"/>
      <c r="E114" s="1"/>
      <c r="F114" s="600">
        <f t="shared" si="23"/>
        <v>8.5478000000000012E-3</v>
      </c>
      <c r="G114" s="78" t="s">
        <v>298</v>
      </c>
      <c r="H114" s="1"/>
      <c r="I114" s="197" t="str">
        <f t="shared" si="25"/>
        <v>Pin Knot Job Center</v>
      </c>
      <c r="J114" s="75"/>
      <c r="K114" s="1"/>
      <c r="L114" s="677">
        <f t="shared" si="24"/>
        <v>9.1956E-3</v>
      </c>
      <c r="M114" s="78" t="s">
        <v>298</v>
      </c>
      <c r="N114" s="27"/>
      <c r="O114" s="193">
        <f>(L114-F114)/F114</f>
        <v>7.5785582255083014E-2</v>
      </c>
      <c r="P114" s="27"/>
      <c r="Q114" s="204">
        <f>L114-F114</f>
        <v>6.4779999999999872E-4</v>
      </c>
    </row>
    <row r="115" spans="3:17" ht="15.5" x14ac:dyDescent="0.35">
      <c r="C115" s="611" t="s">
        <v>303</v>
      </c>
      <c r="D115" s="75"/>
      <c r="E115" s="1"/>
      <c r="F115" s="600">
        <f t="shared" si="23"/>
        <v>8.5478000000000012E-3</v>
      </c>
      <c r="G115" s="78" t="s">
        <v>298</v>
      </c>
      <c r="H115" s="1"/>
      <c r="I115" s="197" t="str">
        <f t="shared" si="25"/>
        <v>McCreary County Housing Auth.</v>
      </c>
      <c r="J115" s="75"/>
      <c r="K115" s="1"/>
      <c r="L115" s="677">
        <f t="shared" si="24"/>
        <v>9.1956E-3</v>
      </c>
      <c r="M115" s="78" t="s">
        <v>298</v>
      </c>
      <c r="N115" s="27"/>
      <c r="O115" s="193">
        <f>(L115-F115)/F115</f>
        <v>7.5785582255083014E-2</v>
      </c>
      <c r="P115" s="27"/>
      <c r="Q115" s="361">
        <f>L115-F115</f>
        <v>6.4779999999999872E-4</v>
      </c>
    </row>
    <row r="116" spans="3:17" ht="15.5" x14ac:dyDescent="0.35">
      <c r="C116" s="613"/>
      <c r="D116" s="637"/>
      <c r="E116" s="54"/>
      <c r="F116" s="638"/>
      <c r="G116" s="80"/>
      <c r="H116" s="54"/>
      <c r="I116" s="639"/>
      <c r="J116" s="637"/>
      <c r="K116" s="54"/>
      <c r="L116" s="640"/>
      <c r="M116" s="80"/>
      <c r="N116" s="27"/>
      <c r="O116" s="193"/>
      <c r="P116" s="27"/>
      <c r="Q116" s="196"/>
    </row>
    <row r="118" spans="3:17" x14ac:dyDescent="0.35">
      <c r="C118" s="63" t="s">
        <v>674</v>
      </c>
    </row>
  </sheetData>
  <mergeCells count="34">
    <mergeCell ref="C28:M28"/>
    <mergeCell ref="C61:M61"/>
    <mergeCell ref="C62:M62"/>
    <mergeCell ref="C63:M63"/>
    <mergeCell ref="C60:M60"/>
    <mergeCell ref="C29:M29"/>
    <mergeCell ref="C30:M30"/>
    <mergeCell ref="C5:M5"/>
    <mergeCell ref="C6:M6"/>
    <mergeCell ref="C7:M7"/>
    <mergeCell ref="C8:M8"/>
    <mergeCell ref="C11:G11"/>
    <mergeCell ref="I11:M11"/>
    <mergeCell ref="I10:M10"/>
    <mergeCell ref="C92:M92"/>
    <mergeCell ref="C93:M93"/>
    <mergeCell ref="C96:G96"/>
    <mergeCell ref="I96:M96"/>
    <mergeCell ref="C31:M31"/>
    <mergeCell ref="C34:G34"/>
    <mergeCell ref="I34:M34"/>
    <mergeCell ref="C90:M90"/>
    <mergeCell ref="C91:M91"/>
    <mergeCell ref="C66:G66"/>
    <mergeCell ref="I66:M66"/>
    <mergeCell ref="U36:Y36"/>
    <mergeCell ref="AA36:AE36"/>
    <mergeCell ref="U7:AB7"/>
    <mergeCell ref="U8:AB8"/>
    <mergeCell ref="U10:Y10"/>
    <mergeCell ref="U31:AE31"/>
    <mergeCell ref="U32:AE32"/>
    <mergeCell ref="U33:AE33"/>
    <mergeCell ref="AA35:AE35"/>
  </mergeCells>
  <printOptions horizontalCentered="1"/>
  <pageMargins left="1" right="0.8" top="1.25" bottom="0.5" header="0" footer="0"/>
  <pageSetup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SAOw</vt:lpstr>
      <vt:lpstr>SAOs</vt:lpstr>
      <vt:lpstr>References</vt:lpstr>
      <vt:lpstr>Adj</vt:lpstr>
      <vt:lpstr>Depr</vt:lpstr>
      <vt:lpstr>Debt Serv</vt:lpstr>
      <vt:lpstr>Wages</vt:lpstr>
      <vt:lpstr>Medical</vt:lpstr>
      <vt:lpstr>Rates</vt:lpstr>
      <vt:lpstr>Notice</vt:lpstr>
      <vt:lpstr>Bills</vt:lpstr>
      <vt:lpstr>ExBAw</vt:lpstr>
      <vt:lpstr>PrBAw phase 1</vt:lpstr>
      <vt:lpstr>PrBAw phase 2</vt:lpstr>
      <vt:lpstr>ExBAs</vt:lpstr>
      <vt:lpstr>PRBAs</vt:lpstr>
      <vt:lpstr>Bills!Print_Area</vt:lpstr>
      <vt:lpstr>Depr!Print_Area</vt:lpstr>
      <vt:lpstr>ExBAw!Print_Area</vt:lpstr>
      <vt:lpstr>Rates!Print_Area</vt:lpstr>
      <vt:lpstr>SAOw!Print_Area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dc:creator>
  <cp:lastModifiedBy>Gerald Wuetcher</cp:lastModifiedBy>
  <cp:lastPrinted>2025-03-11T17:54:56Z</cp:lastPrinted>
  <dcterms:created xsi:type="dcterms:W3CDTF">2016-05-18T14:12:06Z</dcterms:created>
  <dcterms:modified xsi:type="dcterms:W3CDTF">2025-05-16T20:39:14Z</dcterms:modified>
</cp:coreProperties>
</file>