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BF459B4C-A1A2-4759-A347-E6759DA32E46}" xr6:coauthVersionLast="47" xr6:coauthVersionMax="47" xr10:uidLastSave="{00000000-0000-0000-0000-000000000000}"/>
  <bookViews>
    <workbookView xWindow="-110" yWindow="-110" windowWidth="19420" windowHeight="11500" xr2:uid="{B001D156-CFC0-412C-96E8-097085EDF74A}"/>
  </bookViews>
  <sheets>
    <sheet name="Sewer" sheetId="1" r:id="rId1"/>
  </sheets>
  <definedNames>
    <definedName name="_xlnm.Print_Titles" localSheetId="0">Sewer!$1:$5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0" i="1" l="1"/>
  <c r="L150" i="1"/>
  <c r="G150" i="1"/>
  <c r="D150" i="1"/>
  <c r="BE148" i="1"/>
  <c r="BB148" i="1"/>
  <c r="BC148" i="1" s="1"/>
  <c r="BD148" i="1" s="1"/>
  <c r="BB147" i="1"/>
  <c r="BB150" i="1" s="1"/>
  <c r="AY147" i="1"/>
  <c r="AV147" i="1"/>
  <c r="AV150" i="1" s="1"/>
  <c r="AB146" i="1"/>
  <c r="AD146" i="1" s="1"/>
  <c r="AF146" i="1" s="1"/>
  <c r="AH146" i="1" s="1"/>
  <c r="AJ146" i="1" s="1"/>
  <c r="AL146" i="1" s="1"/>
  <c r="AN146" i="1" s="1"/>
  <c r="Y146" i="1"/>
  <c r="AA146" i="1" s="1"/>
  <c r="AC146" i="1" s="1"/>
  <c r="AE146" i="1" s="1"/>
  <c r="AG146" i="1" s="1"/>
  <c r="AI146" i="1" s="1"/>
  <c r="AK146" i="1" s="1"/>
  <c r="AM146" i="1" s="1"/>
  <c r="AO146" i="1" s="1"/>
  <c r="W146" i="1"/>
  <c r="AY145" i="1"/>
  <c r="AY150" i="1" s="1"/>
  <c r="AQ145" i="1"/>
  <c r="AP145" i="1"/>
  <c r="AO145" i="1"/>
  <c r="AW145" i="1" s="1"/>
  <c r="AN145" i="1"/>
  <c r="AL145" i="1"/>
  <c r="AJ145" i="1"/>
  <c r="AH145" i="1"/>
  <c r="AF145" i="1"/>
  <c r="AD145" i="1"/>
  <c r="AC145" i="1"/>
  <c r="AE145" i="1" s="1"/>
  <c r="AG145" i="1" s="1"/>
  <c r="AI145" i="1" s="1"/>
  <c r="AK145" i="1" s="1"/>
  <c r="AA145" i="1"/>
  <c r="Y145" i="1"/>
  <c r="AQ144" i="1"/>
  <c r="X144" i="1"/>
  <c r="Z144" i="1" s="1"/>
  <c r="V144" i="1"/>
  <c r="R144" i="1"/>
  <c r="P144" i="1"/>
  <c r="N144" i="1"/>
  <c r="L144" i="1"/>
  <c r="J144" i="1"/>
  <c r="H144" i="1"/>
  <c r="I144" i="1" s="1"/>
  <c r="K144" i="1" s="1"/>
  <c r="M144" i="1" s="1"/>
  <c r="O144" i="1" s="1"/>
  <c r="Q144" i="1" s="1"/>
  <c r="S144" i="1" s="1"/>
  <c r="U144" i="1" s="1"/>
  <c r="W144" i="1" s="1"/>
  <c r="Y144" i="1" s="1"/>
  <c r="AA144" i="1" s="1"/>
  <c r="AC144" i="1" s="1"/>
  <c r="AE144" i="1" s="1"/>
  <c r="AG144" i="1" s="1"/>
  <c r="AI144" i="1" s="1"/>
  <c r="AK144" i="1" s="1"/>
  <c r="AM144" i="1" s="1"/>
  <c r="AO144" i="1" s="1"/>
  <c r="AQ143" i="1"/>
  <c r="AQ150" i="1" s="1"/>
  <c r="Z143" i="1"/>
  <c r="Z150" i="1" s="1"/>
  <c r="AB150" i="1" s="1"/>
  <c r="AD150" i="1" s="1"/>
  <c r="AF150" i="1" s="1"/>
  <c r="AH150" i="1" s="1"/>
  <c r="V143" i="1"/>
  <c r="V150" i="1" s="1"/>
  <c r="R143" i="1"/>
  <c r="R150" i="1" s="1"/>
  <c r="P143" i="1"/>
  <c r="P150" i="1" s="1"/>
  <c r="N143" i="1"/>
  <c r="N150" i="1" s="1"/>
  <c r="L143" i="1"/>
  <c r="J143" i="1"/>
  <c r="J150" i="1" s="1"/>
  <c r="H143" i="1"/>
  <c r="H150" i="1" s="1"/>
  <c r="AZ140" i="1"/>
  <c r="AW140" i="1"/>
  <c r="AL140" i="1"/>
  <c r="AB140" i="1"/>
  <c r="AD140" i="1" s="1"/>
  <c r="AF140" i="1" s="1"/>
  <c r="AH140" i="1" s="1"/>
  <c r="AJ140" i="1" s="1"/>
  <c r="AK140" i="1" s="1"/>
  <c r="S140" i="1"/>
  <c r="R140" i="1"/>
  <c r="Q140" i="1"/>
  <c r="P140" i="1"/>
  <c r="O140" i="1"/>
  <c r="N140" i="1"/>
  <c r="L140" i="1"/>
  <c r="J140" i="1"/>
  <c r="I140" i="1"/>
  <c r="K140" i="1" s="1"/>
  <c r="M140" i="1" s="1"/>
  <c r="H140" i="1"/>
  <c r="G140" i="1"/>
  <c r="D140" i="1"/>
  <c r="BA140" i="1" s="1"/>
  <c r="BB136" i="1"/>
  <c r="AY136" i="1"/>
  <c r="AV136" i="1"/>
  <c r="T136" i="1"/>
  <c r="D136" i="1"/>
  <c r="AB135" i="1"/>
  <c r="AD135" i="1" s="1"/>
  <c r="AF135" i="1" s="1"/>
  <c r="AH135" i="1" s="1"/>
  <c r="AJ135" i="1" s="1"/>
  <c r="AL135" i="1" s="1"/>
  <c r="AQ134" i="1"/>
  <c r="AH134" i="1"/>
  <c r="V134" i="1"/>
  <c r="V136" i="1" s="1"/>
  <c r="U134" i="1"/>
  <c r="R134" i="1"/>
  <c r="P134" i="1"/>
  <c r="N134" i="1"/>
  <c r="O134" i="1" s="1"/>
  <c r="Q134" i="1" s="1"/>
  <c r="S134" i="1" s="1"/>
  <c r="AD133" i="1"/>
  <c r="AF133" i="1" s="1"/>
  <c r="AH133" i="1" s="1"/>
  <c r="AJ133" i="1" s="1"/>
  <c r="AL133" i="1" s="1"/>
  <c r="AN133" i="1" s="1"/>
  <c r="AQ133" i="1" s="1"/>
  <c r="AB133" i="1"/>
  <c r="AC133" i="1" s="1"/>
  <c r="AE133" i="1" s="1"/>
  <c r="AG133" i="1" s="1"/>
  <c r="AI133" i="1" s="1"/>
  <c r="AK133" i="1" s="1"/>
  <c r="AM133" i="1" s="1"/>
  <c r="AO133" i="1" s="1"/>
  <c r="U133" i="1"/>
  <c r="U136" i="1" s="1"/>
  <c r="R133" i="1"/>
  <c r="R136" i="1" s="1"/>
  <c r="P133" i="1"/>
  <c r="N133" i="1"/>
  <c r="L133" i="1"/>
  <c r="J133" i="1"/>
  <c r="H133" i="1"/>
  <c r="G133" i="1"/>
  <c r="I133" i="1" s="1"/>
  <c r="K133" i="1" s="1"/>
  <c r="M133" i="1" s="1"/>
  <c r="O133" i="1" s="1"/>
  <c r="Q133" i="1" s="1"/>
  <c r="S133" i="1" s="1"/>
  <c r="AB132" i="1"/>
  <c r="AD132" i="1" s="1"/>
  <c r="AF132" i="1" s="1"/>
  <c r="AH132" i="1" s="1"/>
  <c r="AJ132" i="1" s="1"/>
  <c r="AL132" i="1" s="1"/>
  <c r="AN132" i="1" s="1"/>
  <c r="P132" i="1"/>
  <c r="P136" i="1" s="1"/>
  <c r="N132" i="1"/>
  <c r="N136" i="1" s="1"/>
  <c r="L132" i="1"/>
  <c r="L136" i="1" s="1"/>
  <c r="J132" i="1"/>
  <c r="J136" i="1" s="1"/>
  <c r="H132" i="1"/>
  <c r="H136" i="1" s="1"/>
  <c r="G132" i="1"/>
  <c r="I132" i="1" s="1"/>
  <c r="BB129" i="1"/>
  <c r="AY129" i="1"/>
  <c r="AV129" i="1"/>
  <c r="X129" i="1"/>
  <c r="J129" i="1"/>
  <c r="G129" i="1"/>
  <c r="D129" i="1"/>
  <c r="AQ127" i="1"/>
  <c r="Z127" i="1"/>
  <c r="Z129" i="1" s="1"/>
  <c r="T127" i="1"/>
  <c r="V127" i="1" s="1"/>
  <c r="R127" i="1"/>
  <c r="P127" i="1"/>
  <c r="N127" i="1"/>
  <c r="N129" i="1" s="1"/>
  <c r="L127" i="1"/>
  <c r="L129" i="1" s="1"/>
  <c r="K127" i="1"/>
  <c r="M127" i="1" s="1"/>
  <c r="O127" i="1" s="1"/>
  <c r="Q127" i="1" s="1"/>
  <c r="S127" i="1" s="1"/>
  <c r="U127" i="1" s="1"/>
  <c r="W127" i="1" s="1"/>
  <c r="Y127" i="1" s="1"/>
  <c r="AA127" i="1" s="1"/>
  <c r="AC127" i="1" s="1"/>
  <c r="AE127" i="1" s="1"/>
  <c r="AG127" i="1" s="1"/>
  <c r="AI127" i="1" s="1"/>
  <c r="AK127" i="1" s="1"/>
  <c r="AM127" i="1" s="1"/>
  <c r="AO127" i="1" s="1"/>
  <c r="J127" i="1"/>
  <c r="I127" i="1"/>
  <c r="H127" i="1"/>
  <c r="AB126" i="1"/>
  <c r="AD126" i="1" s="1"/>
  <c r="AF126" i="1" s="1"/>
  <c r="AH126" i="1" s="1"/>
  <c r="AJ126" i="1" s="1"/>
  <c r="AL126" i="1" s="1"/>
  <c r="AN126" i="1" s="1"/>
  <c r="AQ126" i="1" s="1"/>
  <c r="AQ129" i="1" s="1"/>
  <c r="X126" i="1"/>
  <c r="T126" i="1"/>
  <c r="T129" i="1" s="1"/>
  <c r="R126" i="1"/>
  <c r="R129" i="1" s="1"/>
  <c r="P126" i="1"/>
  <c r="P129" i="1" s="1"/>
  <c r="N126" i="1"/>
  <c r="L126" i="1"/>
  <c r="J126" i="1"/>
  <c r="H126" i="1"/>
  <c r="H129" i="1" s="1"/>
  <c r="G126" i="1"/>
  <c r="I126" i="1" s="1"/>
  <c r="BB122" i="1"/>
  <c r="AY122" i="1"/>
  <c r="AC122" i="1"/>
  <c r="I122" i="1"/>
  <c r="H122" i="1"/>
  <c r="D122" i="1"/>
  <c r="BC121" i="1"/>
  <c r="BD121" i="1" s="1"/>
  <c r="BB121" i="1"/>
  <c r="BH121" i="1" s="1"/>
  <c r="BH120" i="1"/>
  <c r="BB120" i="1"/>
  <c r="AY120" i="1"/>
  <c r="AV120" i="1"/>
  <c r="AW120" i="1" s="1"/>
  <c r="AP120" i="1"/>
  <c r="AP122" i="1" s="1"/>
  <c r="AE120" i="1"/>
  <c r="AG120" i="1" s="1"/>
  <c r="U120" i="1"/>
  <c r="W120" i="1" s="1"/>
  <c r="Y120" i="1" s="1"/>
  <c r="AA120" i="1" s="1"/>
  <c r="S120" i="1"/>
  <c r="S122" i="1" s="1"/>
  <c r="Q120" i="1"/>
  <c r="L120" i="1"/>
  <c r="K120" i="1"/>
  <c r="M120" i="1" s="1"/>
  <c r="J120" i="1"/>
  <c r="J122" i="1" s="1"/>
  <c r="BH119" i="1"/>
  <c r="AV119" i="1"/>
  <c r="AV122" i="1" s="1"/>
  <c r="AQ119" i="1"/>
  <c r="AO119" i="1"/>
  <c r="AI119" i="1"/>
  <c r="AG119" i="1"/>
  <c r="Y119" i="1"/>
  <c r="AA119" i="1" s="1"/>
  <c r="AA122" i="1" s="1"/>
  <c r="W119" i="1"/>
  <c r="U119" i="1"/>
  <c r="S119" i="1"/>
  <c r="Q119" i="1"/>
  <c r="Q122" i="1" s="1"/>
  <c r="M119" i="1"/>
  <c r="M122" i="1" s="1"/>
  <c r="K119" i="1"/>
  <c r="K122" i="1" s="1"/>
  <c r="J119" i="1"/>
  <c r="L119" i="1" s="1"/>
  <c r="N119" i="1" s="1"/>
  <c r="AD118" i="1"/>
  <c r="N118" i="1"/>
  <c r="AD117" i="1"/>
  <c r="N117" i="1"/>
  <c r="AV116" i="1"/>
  <c r="AQ116" i="1"/>
  <c r="AN116" i="1"/>
  <c r="AL116" i="1"/>
  <c r="AJ116" i="1"/>
  <c r="AH116" i="1"/>
  <c r="AF116" i="1"/>
  <c r="AB116" i="1"/>
  <c r="Z116" i="1"/>
  <c r="X116" i="1"/>
  <c r="U116" i="1"/>
  <c r="T116" i="1"/>
  <c r="S116" i="1"/>
  <c r="R116" i="1"/>
  <c r="Q116" i="1"/>
  <c r="P116" i="1"/>
  <c r="O116" i="1"/>
  <c r="N116" i="1"/>
  <c r="L116" i="1"/>
  <c r="J116" i="1"/>
  <c r="K116" i="1" s="1"/>
  <c r="M116" i="1" s="1"/>
  <c r="I116" i="1"/>
  <c r="H116" i="1"/>
  <c r="G116" i="1"/>
  <c r="D116" i="1"/>
  <c r="BE114" i="1"/>
  <c r="BB114" i="1"/>
  <c r="BC114" i="1" s="1"/>
  <c r="BD114" i="1" s="1"/>
  <c r="BC113" i="1"/>
  <c r="BD113" i="1" s="1"/>
  <c r="BB113" i="1"/>
  <c r="BH113" i="1" s="1"/>
  <c r="BB112" i="1"/>
  <c r="BH112" i="1" s="1"/>
  <c r="BB111" i="1"/>
  <c r="BH111" i="1" s="1"/>
  <c r="AY111" i="1"/>
  <c r="AV111" i="1"/>
  <c r="AW111" i="1" s="1"/>
  <c r="BB110" i="1"/>
  <c r="BH110" i="1" s="1"/>
  <c r="AZ110" i="1"/>
  <c r="BA110" i="1" s="1"/>
  <c r="AY110" i="1"/>
  <c r="AW110" i="1"/>
  <c r="AX110" i="1" s="1"/>
  <c r="BB109" i="1"/>
  <c r="BH109" i="1" s="1"/>
  <c r="AY109" i="1"/>
  <c r="AY116" i="1" s="1"/>
  <c r="AV109" i="1"/>
  <c r="AQ109" i="1"/>
  <c r="AN109" i="1"/>
  <c r="AO109" i="1" s="1"/>
  <c r="AQ108" i="1"/>
  <c r="AD108" i="1"/>
  <c r="AD116" i="1" s="1"/>
  <c r="AB108" i="1"/>
  <c r="V108" i="1"/>
  <c r="V116" i="1" s="1"/>
  <c r="BB104" i="1"/>
  <c r="AY104" i="1"/>
  <c r="AV104" i="1"/>
  <c r="X104" i="1"/>
  <c r="V104" i="1"/>
  <c r="G104" i="1"/>
  <c r="D104" i="1"/>
  <c r="AQ102" i="1"/>
  <c r="Z102" i="1"/>
  <c r="Z104" i="1" s="1"/>
  <c r="T102" i="1"/>
  <c r="T104" i="1" s="1"/>
  <c r="R102" i="1"/>
  <c r="P102" i="1"/>
  <c r="N102" i="1"/>
  <c r="L102" i="1"/>
  <c r="J102" i="1"/>
  <c r="J104" i="1" s="1"/>
  <c r="H102" i="1"/>
  <c r="H104" i="1" s="1"/>
  <c r="AB101" i="1"/>
  <c r="AD101" i="1" s="1"/>
  <c r="AF101" i="1" s="1"/>
  <c r="AH101" i="1" s="1"/>
  <c r="AJ101" i="1" s="1"/>
  <c r="AL101" i="1" s="1"/>
  <c r="AN101" i="1" s="1"/>
  <c r="AQ101" i="1" s="1"/>
  <c r="AQ104" i="1" s="1"/>
  <c r="V101" i="1"/>
  <c r="T101" i="1"/>
  <c r="R101" i="1"/>
  <c r="R104" i="1" s="1"/>
  <c r="P101" i="1"/>
  <c r="P104" i="1" s="1"/>
  <c r="N101" i="1"/>
  <c r="N104" i="1" s="1"/>
  <c r="L101" i="1"/>
  <c r="L104" i="1" s="1"/>
  <c r="J101" i="1"/>
  <c r="I101" i="1"/>
  <c r="K101" i="1" s="1"/>
  <c r="M101" i="1" s="1"/>
  <c r="O101" i="1" s="1"/>
  <c r="H101" i="1"/>
  <c r="G101" i="1"/>
  <c r="BB98" i="1"/>
  <c r="AZ98" i="1"/>
  <c r="BC98" i="1" s="1"/>
  <c r="BD98" i="1" s="1"/>
  <c r="AY98" i="1"/>
  <c r="AQ95" i="1"/>
  <c r="R95" i="1"/>
  <c r="T95" i="1" s="1"/>
  <c r="V95" i="1" s="1"/>
  <c r="X95" i="1" s="1"/>
  <c r="Z95" i="1" s="1"/>
  <c r="AB95" i="1" s="1"/>
  <c r="AD95" i="1" s="1"/>
  <c r="AF95" i="1" s="1"/>
  <c r="AH95" i="1" s="1"/>
  <c r="AJ95" i="1" s="1"/>
  <c r="AL95" i="1" s="1"/>
  <c r="P95" i="1"/>
  <c r="N95" i="1"/>
  <c r="L95" i="1"/>
  <c r="J95" i="1"/>
  <c r="H95" i="1"/>
  <c r="I95" i="1" s="1"/>
  <c r="K95" i="1" s="1"/>
  <c r="M95" i="1" s="1"/>
  <c r="O95" i="1" s="1"/>
  <c r="Q95" i="1" s="1"/>
  <c r="S95" i="1" s="1"/>
  <c r="U95" i="1" s="1"/>
  <c r="W95" i="1" s="1"/>
  <c r="Y95" i="1" s="1"/>
  <c r="AA95" i="1" s="1"/>
  <c r="AC95" i="1" s="1"/>
  <c r="AE95" i="1" s="1"/>
  <c r="AG95" i="1" s="1"/>
  <c r="AI95" i="1" s="1"/>
  <c r="AK95" i="1" s="1"/>
  <c r="AM95" i="1" s="1"/>
  <c r="AY92" i="1"/>
  <c r="AV92" i="1"/>
  <c r="G92" i="1"/>
  <c r="D92" i="1"/>
  <c r="BE89" i="1"/>
  <c r="BC89" i="1"/>
  <c r="BD89" i="1" s="1"/>
  <c r="BB89" i="1"/>
  <c r="BB88" i="1"/>
  <c r="AY88" i="1"/>
  <c r="AZ88" i="1" s="1"/>
  <c r="BB87" i="1"/>
  <c r="AZ87" i="1"/>
  <c r="BC87" i="1" s="1"/>
  <c r="BD87" i="1" s="1"/>
  <c r="AY87" i="1"/>
  <c r="BB86" i="1"/>
  <c r="AY86" i="1"/>
  <c r="AZ86" i="1" s="1"/>
  <c r="BB85" i="1"/>
  <c r="BB92" i="1" s="1"/>
  <c r="AZ85" i="1"/>
  <c r="BC85" i="1" s="1"/>
  <c r="BD85" i="1" s="1"/>
  <c r="AY85" i="1"/>
  <c r="AX85" i="1"/>
  <c r="AW85" i="1"/>
  <c r="AB84" i="1"/>
  <c r="AD84" i="1" s="1"/>
  <c r="AF84" i="1" s="1"/>
  <c r="AH84" i="1" s="1"/>
  <c r="AJ84" i="1" s="1"/>
  <c r="AL84" i="1" s="1"/>
  <c r="AN84" i="1" s="1"/>
  <c r="AQ84" i="1" s="1"/>
  <c r="Y84" i="1"/>
  <c r="AA84" i="1" s="1"/>
  <c r="AC84" i="1" s="1"/>
  <c r="AE84" i="1" s="1"/>
  <c r="AG84" i="1" s="1"/>
  <c r="AI84" i="1" s="1"/>
  <c r="AK84" i="1" s="1"/>
  <c r="AM84" i="1" s="1"/>
  <c r="AO84" i="1" s="1"/>
  <c r="W84" i="1"/>
  <c r="V83" i="1"/>
  <c r="X83" i="1" s="1"/>
  <c r="Z83" i="1" s="1"/>
  <c r="AB83" i="1" s="1"/>
  <c r="AD83" i="1" s="1"/>
  <c r="AF83" i="1" s="1"/>
  <c r="AH83" i="1" s="1"/>
  <c r="AJ83" i="1" s="1"/>
  <c r="AL83" i="1" s="1"/>
  <c r="AN83" i="1" s="1"/>
  <c r="AQ83" i="1" s="1"/>
  <c r="T83" i="1"/>
  <c r="R83" i="1"/>
  <c r="S83" i="1" s="1"/>
  <c r="U83" i="1" s="1"/>
  <c r="W83" i="1" s="1"/>
  <c r="Y83" i="1" s="1"/>
  <c r="AA83" i="1" s="1"/>
  <c r="AC83" i="1" s="1"/>
  <c r="AE83" i="1" s="1"/>
  <c r="AG83" i="1" s="1"/>
  <c r="AI83" i="1" s="1"/>
  <c r="AK83" i="1" s="1"/>
  <c r="AM83" i="1" s="1"/>
  <c r="AO83" i="1" s="1"/>
  <c r="T82" i="1"/>
  <c r="V82" i="1" s="1"/>
  <c r="X82" i="1" s="1"/>
  <c r="Z82" i="1" s="1"/>
  <c r="AB82" i="1" s="1"/>
  <c r="AD82" i="1" s="1"/>
  <c r="AF82" i="1" s="1"/>
  <c r="AH82" i="1" s="1"/>
  <c r="AJ82" i="1" s="1"/>
  <c r="AL82" i="1" s="1"/>
  <c r="AN82" i="1" s="1"/>
  <c r="AQ82" i="1" s="1"/>
  <c r="R82" i="1"/>
  <c r="S82" i="1" s="1"/>
  <c r="U82" i="1" s="1"/>
  <c r="W82" i="1" s="1"/>
  <c r="Y82" i="1" s="1"/>
  <c r="AA82" i="1" s="1"/>
  <c r="AC82" i="1" s="1"/>
  <c r="AE82" i="1" s="1"/>
  <c r="AG82" i="1" s="1"/>
  <c r="AI82" i="1" s="1"/>
  <c r="AK82" i="1" s="1"/>
  <c r="AM82" i="1" s="1"/>
  <c r="AO82" i="1" s="1"/>
  <c r="AQ81" i="1"/>
  <c r="AL81" i="1"/>
  <c r="V81" i="1"/>
  <c r="X81" i="1" s="1"/>
  <c r="Z81" i="1" s="1"/>
  <c r="AB81" i="1" s="1"/>
  <c r="AD81" i="1" s="1"/>
  <c r="AF81" i="1" s="1"/>
  <c r="AH81" i="1" s="1"/>
  <c r="AJ81" i="1" s="1"/>
  <c r="T81" i="1"/>
  <c r="R81" i="1"/>
  <c r="S81" i="1" s="1"/>
  <c r="U81" i="1" s="1"/>
  <c r="W81" i="1" s="1"/>
  <c r="Y81" i="1" s="1"/>
  <c r="AA81" i="1" s="1"/>
  <c r="AC81" i="1" s="1"/>
  <c r="AE81" i="1" s="1"/>
  <c r="AG81" i="1" s="1"/>
  <c r="AI81" i="1" s="1"/>
  <c r="AK81" i="1" s="1"/>
  <c r="AM81" i="1" s="1"/>
  <c r="AO81" i="1" s="1"/>
  <c r="T80" i="1"/>
  <c r="V80" i="1" s="1"/>
  <c r="X80" i="1" s="1"/>
  <c r="Z80" i="1" s="1"/>
  <c r="AB80" i="1" s="1"/>
  <c r="AD80" i="1" s="1"/>
  <c r="AF80" i="1" s="1"/>
  <c r="AH80" i="1" s="1"/>
  <c r="AJ80" i="1" s="1"/>
  <c r="AL80" i="1" s="1"/>
  <c r="AN80" i="1" s="1"/>
  <c r="AQ80" i="1" s="1"/>
  <c r="R80" i="1"/>
  <c r="P80" i="1"/>
  <c r="N80" i="1"/>
  <c r="L80" i="1"/>
  <c r="M80" i="1" s="1"/>
  <c r="O80" i="1" s="1"/>
  <c r="Q80" i="1" s="1"/>
  <c r="S80" i="1" s="1"/>
  <c r="U80" i="1" s="1"/>
  <c r="W80" i="1" s="1"/>
  <c r="Y80" i="1" s="1"/>
  <c r="AA80" i="1" s="1"/>
  <c r="AC80" i="1" s="1"/>
  <c r="AE80" i="1" s="1"/>
  <c r="AG80" i="1" s="1"/>
  <c r="AI80" i="1" s="1"/>
  <c r="AK80" i="1" s="1"/>
  <c r="AM80" i="1" s="1"/>
  <c r="AO80" i="1" s="1"/>
  <c r="AB79" i="1"/>
  <c r="AD79" i="1" s="1"/>
  <c r="AF79" i="1" s="1"/>
  <c r="AH79" i="1" s="1"/>
  <c r="AJ79" i="1" s="1"/>
  <c r="AL79" i="1" s="1"/>
  <c r="AN79" i="1" s="1"/>
  <c r="AQ79" i="1" s="1"/>
  <c r="R79" i="1"/>
  <c r="T79" i="1" s="1"/>
  <c r="V79" i="1" s="1"/>
  <c r="X79" i="1" s="1"/>
  <c r="Z79" i="1" s="1"/>
  <c r="P79" i="1"/>
  <c r="N79" i="1"/>
  <c r="L79" i="1"/>
  <c r="J79" i="1"/>
  <c r="H79" i="1"/>
  <c r="I79" i="1" s="1"/>
  <c r="K79" i="1" s="1"/>
  <c r="M79" i="1" s="1"/>
  <c r="O79" i="1" s="1"/>
  <c r="Q79" i="1" s="1"/>
  <c r="S79" i="1" s="1"/>
  <c r="U79" i="1" s="1"/>
  <c r="W79" i="1" s="1"/>
  <c r="Y79" i="1" s="1"/>
  <c r="AA79" i="1" s="1"/>
  <c r="R78" i="1"/>
  <c r="T78" i="1" s="1"/>
  <c r="V78" i="1" s="1"/>
  <c r="X78" i="1" s="1"/>
  <c r="Z78" i="1" s="1"/>
  <c r="P78" i="1"/>
  <c r="N78" i="1"/>
  <c r="L78" i="1"/>
  <c r="J78" i="1"/>
  <c r="I78" i="1"/>
  <c r="H78" i="1"/>
  <c r="AB77" i="1"/>
  <c r="AD77" i="1" s="1"/>
  <c r="AF77" i="1" s="1"/>
  <c r="AH77" i="1" s="1"/>
  <c r="AJ77" i="1" s="1"/>
  <c r="T77" i="1"/>
  <c r="T92" i="1" s="1"/>
  <c r="R77" i="1"/>
  <c r="R92" i="1" s="1"/>
  <c r="P77" i="1"/>
  <c r="P92" i="1" s="1"/>
  <c r="N77" i="1"/>
  <c r="L77" i="1"/>
  <c r="J77" i="1"/>
  <c r="I77" i="1"/>
  <c r="I92" i="1" s="1"/>
  <c r="H77" i="1"/>
  <c r="H92" i="1" s="1"/>
  <c r="AN76" i="1"/>
  <c r="AC74" i="1"/>
  <c r="AE74" i="1" s="1"/>
  <c r="AB74" i="1"/>
  <c r="AD74" i="1" s="1"/>
  <c r="AB73" i="1"/>
  <c r="AC73" i="1" s="1"/>
  <c r="BC72" i="1"/>
  <c r="BD72" i="1" s="1"/>
  <c r="BA72" i="1"/>
  <c r="AZ72" i="1"/>
  <c r="AX72" i="1"/>
  <c r="AW72" i="1"/>
  <c r="AP72" i="1"/>
  <c r="T72" i="1"/>
  <c r="V72" i="1" s="1"/>
  <c r="X72" i="1" s="1"/>
  <c r="Z72" i="1" s="1"/>
  <c r="R72" i="1"/>
  <c r="P72" i="1"/>
  <c r="N72" i="1"/>
  <c r="L72" i="1"/>
  <c r="J72" i="1"/>
  <c r="H72" i="1"/>
  <c r="I72" i="1" s="1"/>
  <c r="K72" i="1" s="1"/>
  <c r="M72" i="1" s="1"/>
  <c r="O72" i="1" s="1"/>
  <c r="Q72" i="1" s="1"/>
  <c r="S72" i="1" s="1"/>
  <c r="U72" i="1" s="1"/>
  <c r="AB71" i="1"/>
  <c r="AD71" i="1" s="1"/>
  <c r="AB70" i="1"/>
  <c r="AD70" i="1" s="1"/>
  <c r="D69" i="1"/>
  <c r="BB67" i="1"/>
  <c r="BH67" i="1" s="1"/>
  <c r="BB66" i="1"/>
  <c r="BH66" i="1" s="1"/>
  <c r="AZ66" i="1"/>
  <c r="BC66" i="1" s="1"/>
  <c r="BD66" i="1" s="1"/>
  <c r="AY66" i="1"/>
  <c r="BH65" i="1"/>
  <c r="BB65" i="1"/>
  <c r="AY65" i="1"/>
  <c r="AW65" i="1"/>
  <c r="AZ65" i="1" s="1"/>
  <c r="AQ65" i="1"/>
  <c r="BH64" i="1"/>
  <c r="BB64" i="1"/>
  <c r="AY64" i="1"/>
  <c r="AV64" i="1"/>
  <c r="AP64" i="1"/>
  <c r="AO64" i="1"/>
  <c r="AW64" i="1" s="1"/>
  <c r="BH63" i="1"/>
  <c r="BB63" i="1"/>
  <c r="AY63" i="1"/>
  <c r="AV63" i="1"/>
  <c r="AW63" i="1" s="1"/>
  <c r="AS63" i="1"/>
  <c r="AR63" i="1"/>
  <c r="AP63" i="1"/>
  <c r="AO63" i="1"/>
  <c r="AN63" i="1"/>
  <c r="BB62" i="1"/>
  <c r="BH62" i="1" s="1"/>
  <c r="AY62" i="1"/>
  <c r="AV62" i="1"/>
  <c r="AN62" i="1"/>
  <c r="AQ62" i="1" s="1"/>
  <c r="AL62" i="1"/>
  <c r="AM62" i="1" s="1"/>
  <c r="AO62" i="1" s="1"/>
  <c r="BB61" i="1"/>
  <c r="BH61" i="1" s="1"/>
  <c r="AY61" i="1"/>
  <c r="AV61" i="1"/>
  <c r="AN61" i="1"/>
  <c r="AQ61" i="1" s="1"/>
  <c r="AL61" i="1"/>
  <c r="AJ61" i="1"/>
  <c r="AK61" i="1" s="1"/>
  <c r="AM61" i="1" s="1"/>
  <c r="AO61" i="1" s="1"/>
  <c r="BB60" i="1"/>
  <c r="BH60" i="1" s="1"/>
  <c r="AY60" i="1"/>
  <c r="AV60" i="1"/>
  <c r="AL60" i="1"/>
  <c r="AN60" i="1" s="1"/>
  <c r="AQ60" i="1" s="1"/>
  <c r="AJ60" i="1"/>
  <c r="AK60" i="1" s="1"/>
  <c r="AM60" i="1" s="1"/>
  <c r="AO60" i="1" s="1"/>
  <c r="AI60" i="1"/>
  <c r="AH60" i="1"/>
  <c r="BB59" i="1"/>
  <c r="BH59" i="1" s="1"/>
  <c r="AY59" i="1"/>
  <c r="AV59" i="1"/>
  <c r="AL59" i="1"/>
  <c r="AN59" i="1" s="1"/>
  <c r="AQ59" i="1" s="1"/>
  <c r="AJ59" i="1"/>
  <c r="AH59" i="1"/>
  <c r="AI59" i="1" s="1"/>
  <c r="AK59" i="1" s="1"/>
  <c r="AM59" i="1" s="1"/>
  <c r="AO59" i="1" s="1"/>
  <c r="AF59" i="1"/>
  <c r="BB58" i="1"/>
  <c r="BH58" i="1" s="1"/>
  <c r="AY58" i="1"/>
  <c r="AV58" i="1"/>
  <c r="AN58" i="1"/>
  <c r="AQ58" i="1" s="1"/>
  <c r="AL58" i="1"/>
  <c r="AJ58" i="1"/>
  <c r="AH58" i="1"/>
  <c r="AF58" i="1"/>
  <c r="AD58" i="1"/>
  <c r="AB58" i="1"/>
  <c r="AC58" i="1" s="1"/>
  <c r="AE58" i="1" s="1"/>
  <c r="AG58" i="1" s="1"/>
  <c r="AI58" i="1" s="1"/>
  <c r="AK58" i="1" s="1"/>
  <c r="AM58" i="1" s="1"/>
  <c r="AO58" i="1" s="1"/>
  <c r="BB57" i="1"/>
  <c r="BH57" i="1" s="1"/>
  <c r="AY57" i="1"/>
  <c r="AV57" i="1"/>
  <c r="AN57" i="1"/>
  <c r="AQ57" i="1" s="1"/>
  <c r="AL57" i="1"/>
  <c r="AJ57" i="1"/>
  <c r="AH57" i="1"/>
  <c r="AF57" i="1"/>
  <c r="AD57" i="1"/>
  <c r="AB57" i="1"/>
  <c r="AC57" i="1" s="1"/>
  <c r="AE57" i="1" s="1"/>
  <c r="AG57" i="1" s="1"/>
  <c r="AI57" i="1" s="1"/>
  <c r="AK57" i="1" s="1"/>
  <c r="AM57" i="1" s="1"/>
  <c r="AO57" i="1" s="1"/>
  <c r="BH56" i="1"/>
  <c r="BB56" i="1"/>
  <c r="AY56" i="1"/>
  <c r="AV56" i="1"/>
  <c r="AL56" i="1"/>
  <c r="AN56" i="1" s="1"/>
  <c r="AQ56" i="1" s="1"/>
  <c r="AJ56" i="1"/>
  <c r="AH56" i="1"/>
  <c r="AF56" i="1"/>
  <c r="AD56" i="1"/>
  <c r="AC56" i="1"/>
  <c r="AE56" i="1" s="1"/>
  <c r="AG56" i="1" s="1"/>
  <c r="AI56" i="1" s="1"/>
  <c r="AK56" i="1" s="1"/>
  <c r="AM56" i="1" s="1"/>
  <c r="AO56" i="1" s="1"/>
  <c r="AB56" i="1"/>
  <c r="BB55" i="1"/>
  <c r="BH55" i="1" s="1"/>
  <c r="AY55" i="1"/>
  <c r="AV55" i="1"/>
  <c r="AB55" i="1"/>
  <c r="AD55" i="1" s="1"/>
  <c r="AF55" i="1" s="1"/>
  <c r="AH55" i="1" s="1"/>
  <c r="AJ55" i="1" s="1"/>
  <c r="AL55" i="1" s="1"/>
  <c r="AN55" i="1" s="1"/>
  <c r="AQ55" i="1" s="1"/>
  <c r="Z55" i="1"/>
  <c r="Y55" i="1"/>
  <c r="AA55" i="1" s="1"/>
  <c r="AC55" i="1" s="1"/>
  <c r="AE55" i="1" s="1"/>
  <c r="AG55" i="1" s="1"/>
  <c r="AI55" i="1" s="1"/>
  <c r="AK55" i="1" s="1"/>
  <c r="AM55" i="1" s="1"/>
  <c r="AO55" i="1" s="1"/>
  <c r="BH54" i="1"/>
  <c r="AY54" i="1"/>
  <c r="AV54" i="1"/>
  <c r="AB54" i="1"/>
  <c r="AD54" i="1" s="1"/>
  <c r="AF54" i="1" s="1"/>
  <c r="AH54" i="1" s="1"/>
  <c r="AJ54" i="1" s="1"/>
  <c r="AL54" i="1" s="1"/>
  <c r="AN54" i="1" s="1"/>
  <c r="Y54" i="1"/>
  <c r="AA54" i="1" s="1"/>
  <c r="AC54" i="1" s="1"/>
  <c r="AE54" i="1" s="1"/>
  <c r="AG54" i="1" s="1"/>
  <c r="AI54" i="1" s="1"/>
  <c r="AK54" i="1" s="1"/>
  <c r="AM54" i="1" s="1"/>
  <c r="AO54" i="1" s="1"/>
  <c r="W54" i="1"/>
  <c r="BB53" i="1"/>
  <c r="BH53" i="1" s="1"/>
  <c r="AY53" i="1"/>
  <c r="AY69" i="1" s="1"/>
  <c r="AV53" i="1"/>
  <c r="AB53" i="1"/>
  <c r="AD53" i="1" s="1"/>
  <c r="AF53" i="1" s="1"/>
  <c r="AH53" i="1" s="1"/>
  <c r="AJ53" i="1" s="1"/>
  <c r="AL53" i="1" s="1"/>
  <c r="AN53" i="1" s="1"/>
  <c r="Y53" i="1"/>
  <c r="AA53" i="1" s="1"/>
  <c r="AC53" i="1" s="1"/>
  <c r="AE53" i="1" s="1"/>
  <c r="AG53" i="1" s="1"/>
  <c r="AI53" i="1" s="1"/>
  <c r="AK53" i="1" s="1"/>
  <c r="AM53" i="1" s="1"/>
  <c r="AO53" i="1" s="1"/>
  <c r="W53" i="1"/>
  <c r="BB52" i="1"/>
  <c r="BB69" i="1" s="1"/>
  <c r="AY52" i="1"/>
  <c r="AV52" i="1"/>
  <c r="AV69" i="1" s="1"/>
  <c r="AB52" i="1"/>
  <c r="AD52" i="1" s="1"/>
  <c r="AF52" i="1" s="1"/>
  <c r="AH52" i="1" s="1"/>
  <c r="AJ52" i="1" s="1"/>
  <c r="AL52" i="1" s="1"/>
  <c r="AN52" i="1" s="1"/>
  <c r="Y52" i="1"/>
  <c r="AA52" i="1" s="1"/>
  <c r="AC52" i="1" s="1"/>
  <c r="AE52" i="1" s="1"/>
  <c r="AG52" i="1" s="1"/>
  <c r="AI52" i="1" s="1"/>
  <c r="AK52" i="1" s="1"/>
  <c r="AM52" i="1" s="1"/>
  <c r="AO52" i="1" s="1"/>
  <c r="W52" i="1"/>
  <c r="AD51" i="1"/>
  <c r="AF51" i="1" s="1"/>
  <c r="AH51" i="1" s="1"/>
  <c r="AJ51" i="1" s="1"/>
  <c r="AL51" i="1" s="1"/>
  <c r="AB51" i="1"/>
  <c r="V51" i="1"/>
  <c r="W51" i="1" s="1"/>
  <c r="Y51" i="1" s="1"/>
  <c r="AA51" i="1" s="1"/>
  <c r="AC51" i="1" s="1"/>
  <c r="AE51" i="1" s="1"/>
  <c r="AG51" i="1" s="1"/>
  <c r="AI51" i="1" s="1"/>
  <c r="AK51" i="1" s="1"/>
  <c r="AM51" i="1" s="1"/>
  <c r="AO51" i="1" s="1"/>
  <c r="AQ50" i="1"/>
  <c r="AL50" i="1"/>
  <c r="T50" i="1"/>
  <c r="V50" i="1" s="1"/>
  <c r="X50" i="1" s="1"/>
  <c r="Z50" i="1" s="1"/>
  <c r="AB50" i="1" s="1"/>
  <c r="AD50" i="1" s="1"/>
  <c r="AF50" i="1" s="1"/>
  <c r="AH50" i="1" s="1"/>
  <c r="AJ50" i="1" s="1"/>
  <c r="R50" i="1"/>
  <c r="S50" i="1" s="1"/>
  <c r="U50" i="1" s="1"/>
  <c r="W50" i="1" s="1"/>
  <c r="Y50" i="1" s="1"/>
  <c r="AA50" i="1" s="1"/>
  <c r="AC50" i="1" s="1"/>
  <c r="AE50" i="1" s="1"/>
  <c r="AG50" i="1" s="1"/>
  <c r="AI50" i="1" s="1"/>
  <c r="AK50" i="1" s="1"/>
  <c r="AM50" i="1" s="1"/>
  <c r="AO50" i="1" s="1"/>
  <c r="AN49" i="1"/>
  <c r="AQ49" i="1" s="1"/>
  <c r="AJ49" i="1"/>
  <c r="R49" i="1"/>
  <c r="T49" i="1" s="1"/>
  <c r="V49" i="1" s="1"/>
  <c r="X49" i="1" s="1"/>
  <c r="Z49" i="1" s="1"/>
  <c r="AB49" i="1" s="1"/>
  <c r="AD49" i="1" s="1"/>
  <c r="AF49" i="1" s="1"/>
  <c r="AH49" i="1" s="1"/>
  <c r="AN48" i="1"/>
  <c r="AQ48" i="1" s="1"/>
  <c r="AH48" i="1"/>
  <c r="R48" i="1"/>
  <c r="T48" i="1" s="1"/>
  <c r="V48" i="1" s="1"/>
  <c r="X48" i="1" s="1"/>
  <c r="Z48" i="1" s="1"/>
  <c r="AB48" i="1" s="1"/>
  <c r="AD48" i="1" s="1"/>
  <c r="AF48" i="1" s="1"/>
  <c r="P48" i="1"/>
  <c r="N48" i="1"/>
  <c r="O48" i="1" s="1"/>
  <c r="AN47" i="1"/>
  <c r="AQ47" i="1" s="1"/>
  <c r="AF47" i="1"/>
  <c r="X47" i="1"/>
  <c r="Z47" i="1" s="1"/>
  <c r="AB47" i="1" s="1"/>
  <c r="AD47" i="1" s="1"/>
  <c r="V47" i="1"/>
  <c r="T47" i="1"/>
  <c r="R47" i="1"/>
  <c r="P47" i="1"/>
  <c r="N47" i="1"/>
  <c r="M47" i="1"/>
  <c r="O47" i="1" s="1"/>
  <c r="Q47" i="1" s="1"/>
  <c r="S47" i="1" s="1"/>
  <c r="U47" i="1" s="1"/>
  <c r="W47" i="1" s="1"/>
  <c r="Y47" i="1" s="1"/>
  <c r="AN46" i="1"/>
  <c r="AQ46" i="1" s="1"/>
  <c r="AF46" i="1"/>
  <c r="X46" i="1"/>
  <c r="Z46" i="1" s="1"/>
  <c r="AB46" i="1" s="1"/>
  <c r="AD46" i="1" s="1"/>
  <c r="V46" i="1"/>
  <c r="T46" i="1"/>
  <c r="R46" i="1"/>
  <c r="P46" i="1"/>
  <c r="N46" i="1"/>
  <c r="L46" i="1"/>
  <c r="M46" i="1" s="1"/>
  <c r="O46" i="1" s="1"/>
  <c r="Q46" i="1" s="1"/>
  <c r="S46" i="1" s="1"/>
  <c r="U46" i="1" s="1"/>
  <c r="W46" i="1" s="1"/>
  <c r="Y46" i="1" s="1"/>
  <c r="AA46" i="1" s="1"/>
  <c r="AC46" i="1" s="1"/>
  <c r="AE46" i="1" s="1"/>
  <c r="AG46" i="1" s="1"/>
  <c r="AI46" i="1" s="1"/>
  <c r="AK46" i="1" s="1"/>
  <c r="AM46" i="1" s="1"/>
  <c r="AO46" i="1" s="1"/>
  <c r="AN45" i="1"/>
  <c r="AQ45" i="1" s="1"/>
  <c r="AD45" i="1"/>
  <c r="X45" i="1"/>
  <c r="Z45" i="1" s="1"/>
  <c r="AB45" i="1" s="1"/>
  <c r="V45" i="1"/>
  <c r="T45" i="1"/>
  <c r="R45" i="1"/>
  <c r="P45" i="1"/>
  <c r="N45" i="1"/>
  <c r="L45" i="1"/>
  <c r="M45" i="1" s="1"/>
  <c r="O45" i="1" s="1"/>
  <c r="Q45" i="1" s="1"/>
  <c r="S45" i="1" s="1"/>
  <c r="U45" i="1" s="1"/>
  <c r="W45" i="1" s="1"/>
  <c r="Y45" i="1" s="1"/>
  <c r="AA45" i="1" s="1"/>
  <c r="AC45" i="1" s="1"/>
  <c r="AE45" i="1" s="1"/>
  <c r="AG45" i="1" s="1"/>
  <c r="AI45" i="1" s="1"/>
  <c r="AK45" i="1" s="1"/>
  <c r="AM45" i="1" s="1"/>
  <c r="AO45" i="1" s="1"/>
  <c r="AN44" i="1"/>
  <c r="AQ44" i="1" s="1"/>
  <c r="AB44" i="1"/>
  <c r="R44" i="1"/>
  <c r="T44" i="1" s="1"/>
  <c r="V44" i="1" s="1"/>
  <c r="X44" i="1" s="1"/>
  <c r="Z44" i="1" s="1"/>
  <c r="P44" i="1"/>
  <c r="N44" i="1"/>
  <c r="L44" i="1"/>
  <c r="J44" i="1"/>
  <c r="H44" i="1"/>
  <c r="I44" i="1" s="1"/>
  <c r="K44" i="1" s="1"/>
  <c r="M44" i="1" s="1"/>
  <c r="O44" i="1" s="1"/>
  <c r="AN43" i="1"/>
  <c r="AQ43" i="1" s="1"/>
  <c r="Z43" i="1"/>
  <c r="X43" i="1"/>
  <c r="V43" i="1"/>
  <c r="T43" i="1"/>
  <c r="R43" i="1"/>
  <c r="P43" i="1"/>
  <c r="N43" i="1"/>
  <c r="L43" i="1"/>
  <c r="J43" i="1"/>
  <c r="I43" i="1"/>
  <c r="K43" i="1" s="1"/>
  <c r="M43" i="1" s="1"/>
  <c r="O43" i="1" s="1"/>
  <c r="Q43" i="1" s="1"/>
  <c r="S43" i="1" s="1"/>
  <c r="U43" i="1" s="1"/>
  <c r="W43" i="1" s="1"/>
  <c r="Y43" i="1" s="1"/>
  <c r="AA43" i="1" s="1"/>
  <c r="AC43" i="1" s="1"/>
  <c r="AE43" i="1" s="1"/>
  <c r="AG43" i="1" s="1"/>
  <c r="AI43" i="1" s="1"/>
  <c r="AK43" i="1" s="1"/>
  <c r="AM43" i="1" s="1"/>
  <c r="AO43" i="1" s="1"/>
  <c r="H43" i="1"/>
  <c r="AD42" i="1"/>
  <c r="AF42" i="1" s="1"/>
  <c r="AH42" i="1" s="1"/>
  <c r="AJ42" i="1" s="1"/>
  <c r="AL42" i="1" s="1"/>
  <c r="AN42" i="1" s="1"/>
  <c r="AQ42" i="1" s="1"/>
  <c r="AB42" i="1"/>
  <c r="X42" i="1"/>
  <c r="R42" i="1"/>
  <c r="T42" i="1" s="1"/>
  <c r="P42" i="1"/>
  <c r="N42" i="1"/>
  <c r="L42" i="1"/>
  <c r="J42" i="1"/>
  <c r="H42" i="1"/>
  <c r="I42" i="1" s="1"/>
  <c r="K42" i="1" s="1"/>
  <c r="M42" i="1" s="1"/>
  <c r="O42" i="1" s="1"/>
  <c r="Q42" i="1" s="1"/>
  <c r="S42" i="1" s="1"/>
  <c r="U42" i="1" s="1"/>
  <c r="G42" i="1"/>
  <c r="AD41" i="1"/>
  <c r="AF41" i="1" s="1"/>
  <c r="AH41" i="1" s="1"/>
  <c r="AJ41" i="1" s="1"/>
  <c r="AL41" i="1" s="1"/>
  <c r="AN41" i="1" s="1"/>
  <c r="AQ41" i="1" s="1"/>
  <c r="AB41" i="1"/>
  <c r="V41" i="1"/>
  <c r="T41" i="1"/>
  <c r="R41" i="1"/>
  <c r="S41" i="1" s="1"/>
  <c r="U41" i="1" s="1"/>
  <c r="W41" i="1" s="1"/>
  <c r="Y41" i="1" s="1"/>
  <c r="AA41" i="1" s="1"/>
  <c r="AC41" i="1" s="1"/>
  <c r="AE41" i="1" s="1"/>
  <c r="AG41" i="1" s="1"/>
  <c r="AI41" i="1" s="1"/>
  <c r="AK41" i="1" s="1"/>
  <c r="AM41" i="1" s="1"/>
  <c r="AO41" i="1" s="1"/>
  <c r="P41" i="1"/>
  <c r="N41" i="1"/>
  <c r="L41" i="1"/>
  <c r="J41" i="1"/>
  <c r="H41" i="1"/>
  <c r="I41" i="1" s="1"/>
  <c r="K41" i="1" s="1"/>
  <c r="M41" i="1" s="1"/>
  <c r="O41" i="1" s="1"/>
  <c r="G41" i="1"/>
  <c r="AF40" i="1"/>
  <c r="AH40" i="1" s="1"/>
  <c r="AJ40" i="1" s="1"/>
  <c r="AL40" i="1" s="1"/>
  <c r="AN40" i="1" s="1"/>
  <c r="AQ40" i="1" s="1"/>
  <c r="AD40" i="1"/>
  <c r="AB40" i="1"/>
  <c r="S40" i="1"/>
  <c r="U40" i="1" s="1"/>
  <c r="W40" i="1" s="1"/>
  <c r="Y40" i="1" s="1"/>
  <c r="AA40" i="1" s="1"/>
  <c r="AC40" i="1" s="1"/>
  <c r="AE40" i="1" s="1"/>
  <c r="AG40" i="1" s="1"/>
  <c r="AI40" i="1" s="1"/>
  <c r="AK40" i="1" s="1"/>
  <c r="AM40" i="1" s="1"/>
  <c r="AO40" i="1" s="1"/>
  <c r="R40" i="1"/>
  <c r="P40" i="1"/>
  <c r="P69" i="1" s="1"/>
  <c r="N40" i="1"/>
  <c r="L40" i="1"/>
  <c r="J40" i="1"/>
  <c r="H40" i="1"/>
  <c r="G40" i="1"/>
  <c r="I40" i="1" s="1"/>
  <c r="K40" i="1" s="1"/>
  <c r="M40" i="1" s="1"/>
  <c r="O40" i="1" s="1"/>
  <c r="X39" i="1"/>
  <c r="Z39" i="1" s="1"/>
  <c r="AB39" i="1" s="1"/>
  <c r="AD39" i="1" s="1"/>
  <c r="AF39" i="1" s="1"/>
  <c r="AH39" i="1" s="1"/>
  <c r="AJ39" i="1" s="1"/>
  <c r="AL39" i="1" s="1"/>
  <c r="AN39" i="1" s="1"/>
  <c r="AQ39" i="1" s="1"/>
  <c r="V39" i="1"/>
  <c r="U39" i="1"/>
  <c r="W39" i="1" s="1"/>
  <c r="Y39" i="1" s="1"/>
  <c r="N39" i="1"/>
  <c r="L39" i="1"/>
  <c r="J39" i="1"/>
  <c r="H39" i="1"/>
  <c r="I39" i="1" s="1"/>
  <c r="K39" i="1" s="1"/>
  <c r="M39" i="1" s="1"/>
  <c r="O39" i="1" s="1"/>
  <c r="Q39" i="1" s="1"/>
  <c r="AB38" i="1"/>
  <c r="Z38" i="1"/>
  <c r="X38" i="1"/>
  <c r="V38" i="1"/>
  <c r="U38" i="1"/>
  <c r="W38" i="1" s="1"/>
  <c r="N38" i="1"/>
  <c r="N69" i="1" s="1"/>
  <c r="L38" i="1"/>
  <c r="L69" i="1" s="1"/>
  <c r="J38" i="1"/>
  <c r="J69" i="1" s="1"/>
  <c r="I38" i="1"/>
  <c r="H38" i="1"/>
  <c r="G38" i="1"/>
  <c r="AB37" i="1"/>
  <c r="AD37" i="1" s="1"/>
  <c r="G36" i="1"/>
  <c r="BB35" i="1"/>
  <c r="BC35" i="1" s="1"/>
  <c r="BD35" i="1" s="1"/>
  <c r="AL35" i="1"/>
  <c r="AN35" i="1" s="1"/>
  <c r="AQ35" i="1" s="1"/>
  <c r="AJ35" i="1"/>
  <c r="AH35" i="1"/>
  <c r="AF35" i="1"/>
  <c r="AB35" i="1"/>
  <c r="AD35" i="1" s="1"/>
  <c r="BB34" i="1"/>
  <c r="BC34" i="1" s="1"/>
  <c r="BD34" i="1" s="1"/>
  <c r="AQ34" i="1"/>
  <c r="AN34" i="1"/>
  <c r="AL34" i="1"/>
  <c r="AJ34" i="1"/>
  <c r="AH34" i="1"/>
  <c r="AF34" i="1"/>
  <c r="AD34" i="1"/>
  <c r="AC34" i="1"/>
  <c r="AE34" i="1" s="1"/>
  <c r="AG34" i="1" s="1"/>
  <c r="AI34" i="1" s="1"/>
  <c r="AK34" i="1" s="1"/>
  <c r="AM34" i="1" s="1"/>
  <c r="AO34" i="1" s="1"/>
  <c r="AB34" i="1"/>
  <c r="BB33" i="1"/>
  <c r="AY33" i="1"/>
  <c r="AV33" i="1"/>
  <c r="AL33" i="1"/>
  <c r="AN33" i="1" s="1"/>
  <c r="AQ33" i="1" s="1"/>
  <c r="AJ33" i="1"/>
  <c r="AH33" i="1"/>
  <c r="AF33" i="1"/>
  <c r="AB33" i="1"/>
  <c r="AD33" i="1" s="1"/>
  <c r="BB32" i="1"/>
  <c r="AY32" i="1"/>
  <c r="AV32" i="1"/>
  <c r="AB32" i="1"/>
  <c r="AD32" i="1" s="1"/>
  <c r="AF32" i="1" s="1"/>
  <c r="AH32" i="1" s="1"/>
  <c r="AJ32" i="1" s="1"/>
  <c r="AL32" i="1" s="1"/>
  <c r="AN32" i="1" s="1"/>
  <c r="AQ32" i="1" s="1"/>
  <c r="W32" i="1"/>
  <c r="Y32" i="1" s="1"/>
  <c r="AA32" i="1" s="1"/>
  <c r="AC32" i="1" s="1"/>
  <c r="AE32" i="1" s="1"/>
  <c r="AG32" i="1" s="1"/>
  <c r="AI32" i="1" s="1"/>
  <c r="AK32" i="1" s="1"/>
  <c r="AM32" i="1" s="1"/>
  <c r="AO32" i="1" s="1"/>
  <c r="BB31" i="1"/>
  <c r="AY31" i="1"/>
  <c r="AV31" i="1"/>
  <c r="AF31" i="1"/>
  <c r="AH31" i="1" s="1"/>
  <c r="AJ31" i="1" s="1"/>
  <c r="AL31" i="1" s="1"/>
  <c r="AN31" i="1" s="1"/>
  <c r="AQ31" i="1" s="1"/>
  <c r="AD31" i="1"/>
  <c r="AB31" i="1"/>
  <c r="W31" i="1"/>
  <c r="Y31" i="1" s="1"/>
  <c r="AA31" i="1" s="1"/>
  <c r="AC31" i="1" s="1"/>
  <c r="AE31" i="1" s="1"/>
  <c r="AG31" i="1" s="1"/>
  <c r="AI31" i="1" s="1"/>
  <c r="AK31" i="1" s="1"/>
  <c r="AM31" i="1" s="1"/>
  <c r="AO31" i="1" s="1"/>
  <c r="BB30" i="1"/>
  <c r="AY30" i="1"/>
  <c r="AV30" i="1"/>
  <c r="Z30" i="1"/>
  <c r="AB30" i="1" s="1"/>
  <c r="AD30" i="1" s="1"/>
  <c r="AF30" i="1" s="1"/>
  <c r="AH30" i="1" s="1"/>
  <c r="AJ30" i="1" s="1"/>
  <c r="AL30" i="1" s="1"/>
  <c r="AN30" i="1" s="1"/>
  <c r="AQ30" i="1" s="1"/>
  <c r="X30" i="1"/>
  <c r="V30" i="1"/>
  <c r="T30" i="1"/>
  <c r="R30" i="1"/>
  <c r="S30" i="1" s="1"/>
  <c r="U30" i="1" s="1"/>
  <c r="W30" i="1" s="1"/>
  <c r="Y30" i="1" s="1"/>
  <c r="AA30" i="1" s="1"/>
  <c r="BB29" i="1"/>
  <c r="AY29" i="1"/>
  <c r="AV29" i="1"/>
  <c r="T29" i="1"/>
  <c r="V29" i="1" s="1"/>
  <c r="X29" i="1" s="1"/>
  <c r="Z29" i="1" s="1"/>
  <c r="AB29" i="1" s="1"/>
  <c r="AD29" i="1" s="1"/>
  <c r="AF29" i="1" s="1"/>
  <c r="AH29" i="1" s="1"/>
  <c r="AJ29" i="1" s="1"/>
  <c r="AL29" i="1" s="1"/>
  <c r="AN29" i="1" s="1"/>
  <c r="AQ29" i="1" s="1"/>
  <c r="S29" i="1"/>
  <c r="U29" i="1" s="1"/>
  <c r="W29" i="1" s="1"/>
  <c r="Y29" i="1" s="1"/>
  <c r="AA29" i="1" s="1"/>
  <c r="AC29" i="1" s="1"/>
  <c r="AE29" i="1" s="1"/>
  <c r="AG29" i="1" s="1"/>
  <c r="AI29" i="1" s="1"/>
  <c r="AK29" i="1" s="1"/>
  <c r="AM29" i="1" s="1"/>
  <c r="AO29" i="1" s="1"/>
  <c r="R29" i="1"/>
  <c r="BB28" i="1"/>
  <c r="AY28" i="1"/>
  <c r="AV28" i="1"/>
  <c r="T28" i="1"/>
  <c r="V28" i="1" s="1"/>
  <c r="X28" i="1" s="1"/>
  <c r="Z28" i="1" s="1"/>
  <c r="AB28" i="1" s="1"/>
  <c r="AD28" i="1" s="1"/>
  <c r="AF28" i="1" s="1"/>
  <c r="AH28" i="1" s="1"/>
  <c r="AJ28" i="1" s="1"/>
  <c r="AL28" i="1" s="1"/>
  <c r="AN28" i="1" s="1"/>
  <c r="AQ28" i="1" s="1"/>
  <c r="S28" i="1"/>
  <c r="U28" i="1" s="1"/>
  <c r="R28" i="1"/>
  <c r="BB27" i="1"/>
  <c r="AY27" i="1"/>
  <c r="AV27" i="1"/>
  <c r="R27" i="1"/>
  <c r="T27" i="1" s="1"/>
  <c r="V27" i="1" s="1"/>
  <c r="X27" i="1" s="1"/>
  <c r="Z27" i="1" s="1"/>
  <c r="AB27" i="1" s="1"/>
  <c r="AD27" i="1" s="1"/>
  <c r="AF27" i="1" s="1"/>
  <c r="AH27" i="1" s="1"/>
  <c r="AJ27" i="1" s="1"/>
  <c r="AL27" i="1" s="1"/>
  <c r="AN27" i="1" s="1"/>
  <c r="AQ27" i="1" s="1"/>
  <c r="BB26" i="1"/>
  <c r="AY26" i="1"/>
  <c r="AV26" i="1"/>
  <c r="R26" i="1"/>
  <c r="T26" i="1" s="1"/>
  <c r="V26" i="1" s="1"/>
  <c r="X26" i="1" s="1"/>
  <c r="Z26" i="1" s="1"/>
  <c r="AB26" i="1" s="1"/>
  <c r="AD26" i="1" s="1"/>
  <c r="AF26" i="1" s="1"/>
  <c r="AH26" i="1" s="1"/>
  <c r="AJ26" i="1" s="1"/>
  <c r="AL26" i="1" s="1"/>
  <c r="AN26" i="1" s="1"/>
  <c r="AQ26" i="1" s="1"/>
  <c r="P26" i="1"/>
  <c r="O26" i="1"/>
  <c r="Q26" i="1" s="1"/>
  <c r="S26" i="1" s="1"/>
  <c r="N26" i="1"/>
  <c r="BB25" i="1"/>
  <c r="AY25" i="1"/>
  <c r="AV25" i="1"/>
  <c r="T25" i="1"/>
  <c r="V25" i="1" s="1"/>
  <c r="X25" i="1" s="1"/>
  <c r="Z25" i="1" s="1"/>
  <c r="AB25" i="1" s="1"/>
  <c r="AD25" i="1" s="1"/>
  <c r="AF25" i="1" s="1"/>
  <c r="AH25" i="1" s="1"/>
  <c r="AJ25" i="1" s="1"/>
  <c r="AL25" i="1" s="1"/>
  <c r="AN25" i="1" s="1"/>
  <c r="AQ25" i="1" s="1"/>
  <c r="R25" i="1"/>
  <c r="P25" i="1"/>
  <c r="N25" i="1"/>
  <c r="L25" i="1"/>
  <c r="M25" i="1" s="1"/>
  <c r="O25" i="1" s="1"/>
  <c r="Q25" i="1" s="1"/>
  <c r="S25" i="1" s="1"/>
  <c r="U25" i="1" s="1"/>
  <c r="W25" i="1" s="1"/>
  <c r="Y25" i="1" s="1"/>
  <c r="AA25" i="1" s="1"/>
  <c r="AC25" i="1" s="1"/>
  <c r="AE25" i="1" s="1"/>
  <c r="AG25" i="1" s="1"/>
  <c r="AI25" i="1" s="1"/>
  <c r="AK25" i="1" s="1"/>
  <c r="AM25" i="1" s="1"/>
  <c r="AO25" i="1" s="1"/>
  <c r="BB24" i="1"/>
  <c r="AY24" i="1"/>
  <c r="AV24" i="1"/>
  <c r="R24" i="1"/>
  <c r="T24" i="1" s="1"/>
  <c r="V24" i="1" s="1"/>
  <c r="X24" i="1" s="1"/>
  <c r="Z24" i="1" s="1"/>
  <c r="AB24" i="1" s="1"/>
  <c r="AD24" i="1" s="1"/>
  <c r="AF24" i="1" s="1"/>
  <c r="AH24" i="1" s="1"/>
  <c r="AJ24" i="1" s="1"/>
  <c r="AL24" i="1" s="1"/>
  <c r="AN24" i="1" s="1"/>
  <c r="AQ24" i="1" s="1"/>
  <c r="P24" i="1"/>
  <c r="O24" i="1"/>
  <c r="Q24" i="1" s="1"/>
  <c r="S24" i="1" s="1"/>
  <c r="N24" i="1"/>
  <c r="M24" i="1"/>
  <c r="L24" i="1"/>
  <c r="BB23" i="1"/>
  <c r="AY23" i="1"/>
  <c r="AV23" i="1"/>
  <c r="V23" i="1"/>
  <c r="X23" i="1" s="1"/>
  <c r="Z23" i="1" s="1"/>
  <c r="AB23" i="1" s="1"/>
  <c r="AD23" i="1" s="1"/>
  <c r="AF23" i="1" s="1"/>
  <c r="AH23" i="1" s="1"/>
  <c r="AJ23" i="1" s="1"/>
  <c r="AL23" i="1" s="1"/>
  <c r="AN23" i="1" s="1"/>
  <c r="AQ23" i="1" s="1"/>
  <c r="T23" i="1"/>
  <c r="R23" i="1"/>
  <c r="P23" i="1"/>
  <c r="N23" i="1"/>
  <c r="L23" i="1"/>
  <c r="M23" i="1" s="1"/>
  <c r="O23" i="1" s="1"/>
  <c r="Q23" i="1" s="1"/>
  <c r="S23" i="1" s="1"/>
  <c r="U23" i="1" s="1"/>
  <c r="W23" i="1" s="1"/>
  <c r="L22" i="1"/>
  <c r="M22" i="1" s="1"/>
  <c r="D22" i="1"/>
  <c r="BB22" i="1" s="1"/>
  <c r="BB21" i="1"/>
  <c r="BB36" i="1" s="1"/>
  <c r="AY21" i="1"/>
  <c r="AV21" i="1"/>
  <c r="T21" i="1"/>
  <c r="V21" i="1" s="1"/>
  <c r="X21" i="1" s="1"/>
  <c r="Z21" i="1" s="1"/>
  <c r="AB21" i="1" s="1"/>
  <c r="AD21" i="1" s="1"/>
  <c r="AF21" i="1" s="1"/>
  <c r="AH21" i="1" s="1"/>
  <c r="AJ21" i="1" s="1"/>
  <c r="AL21" i="1" s="1"/>
  <c r="AN21" i="1" s="1"/>
  <c r="AQ21" i="1" s="1"/>
  <c r="R21" i="1"/>
  <c r="P21" i="1"/>
  <c r="N21" i="1"/>
  <c r="M21" i="1"/>
  <c r="O21" i="1" s="1"/>
  <c r="Q21" i="1" s="1"/>
  <c r="S21" i="1" s="1"/>
  <c r="U21" i="1" s="1"/>
  <c r="L21" i="1"/>
  <c r="BB20" i="1"/>
  <c r="AY20" i="1"/>
  <c r="AV20" i="1"/>
  <c r="T20" i="1"/>
  <c r="V20" i="1" s="1"/>
  <c r="X20" i="1" s="1"/>
  <c r="Z20" i="1" s="1"/>
  <c r="AB20" i="1" s="1"/>
  <c r="AD20" i="1" s="1"/>
  <c r="AF20" i="1" s="1"/>
  <c r="AH20" i="1" s="1"/>
  <c r="AJ20" i="1" s="1"/>
  <c r="AL20" i="1" s="1"/>
  <c r="AN20" i="1" s="1"/>
  <c r="AQ20" i="1" s="1"/>
  <c r="R20" i="1"/>
  <c r="P20" i="1"/>
  <c r="N20" i="1"/>
  <c r="L20" i="1"/>
  <c r="J20" i="1"/>
  <c r="H20" i="1"/>
  <c r="I20" i="1" s="1"/>
  <c r="K20" i="1" s="1"/>
  <c r="M20" i="1" s="1"/>
  <c r="O20" i="1" s="1"/>
  <c r="Q20" i="1" s="1"/>
  <c r="S20" i="1" s="1"/>
  <c r="U20" i="1" s="1"/>
  <c r="BB19" i="1"/>
  <c r="AY19" i="1"/>
  <c r="AV19" i="1"/>
  <c r="V19" i="1"/>
  <c r="T19" i="1"/>
  <c r="R19" i="1"/>
  <c r="P19" i="1"/>
  <c r="N19" i="1"/>
  <c r="L19" i="1"/>
  <c r="L36" i="1" s="1"/>
  <c r="J19" i="1"/>
  <c r="J36" i="1" s="1"/>
  <c r="I19" i="1"/>
  <c r="I36" i="1" s="1"/>
  <c r="H19" i="1"/>
  <c r="H36" i="1" s="1"/>
  <c r="D16" i="1"/>
  <c r="BE15" i="1"/>
  <c r="BB15" i="1"/>
  <c r="BC15" i="1" s="1"/>
  <c r="BD15" i="1" s="1"/>
  <c r="BB14" i="1"/>
  <c r="AY14" i="1"/>
  <c r="AV14" i="1"/>
  <c r="R14" i="1"/>
  <c r="T14" i="1" s="1"/>
  <c r="V14" i="1" s="1"/>
  <c r="X14" i="1" s="1"/>
  <c r="Z14" i="1" s="1"/>
  <c r="AB14" i="1" s="1"/>
  <c r="AD14" i="1" s="1"/>
  <c r="AF14" i="1" s="1"/>
  <c r="AH14" i="1" s="1"/>
  <c r="AJ14" i="1" s="1"/>
  <c r="AL14" i="1" s="1"/>
  <c r="AN14" i="1" s="1"/>
  <c r="AQ14" i="1" s="1"/>
  <c r="P14" i="1"/>
  <c r="N14" i="1"/>
  <c r="M14" i="1"/>
  <c r="O14" i="1" s="1"/>
  <c r="Q14" i="1" s="1"/>
  <c r="S14" i="1" s="1"/>
  <c r="U14" i="1" s="1"/>
  <c r="W14" i="1" s="1"/>
  <c r="Y14" i="1" s="1"/>
  <c r="L14" i="1"/>
  <c r="BB13" i="1"/>
  <c r="AY13" i="1"/>
  <c r="AY16" i="1" s="1"/>
  <c r="AV13" i="1"/>
  <c r="R13" i="1"/>
  <c r="T13" i="1" s="1"/>
  <c r="P13" i="1"/>
  <c r="N13" i="1"/>
  <c r="L13" i="1"/>
  <c r="J13" i="1"/>
  <c r="H13" i="1"/>
  <c r="I13" i="1" s="1"/>
  <c r="K13" i="1" s="1"/>
  <c r="M13" i="1" s="1"/>
  <c r="O13" i="1" s="1"/>
  <c r="Q13" i="1" s="1"/>
  <c r="S13" i="1" s="1"/>
  <c r="U13" i="1" s="1"/>
  <c r="BB12" i="1"/>
  <c r="AY12" i="1"/>
  <c r="AV12" i="1"/>
  <c r="T12" i="1"/>
  <c r="V12" i="1" s="1"/>
  <c r="X12" i="1" s="1"/>
  <c r="Z12" i="1" s="1"/>
  <c r="AB12" i="1" s="1"/>
  <c r="AD12" i="1" s="1"/>
  <c r="AF12" i="1" s="1"/>
  <c r="AH12" i="1" s="1"/>
  <c r="AJ12" i="1" s="1"/>
  <c r="AL12" i="1" s="1"/>
  <c r="AN12" i="1" s="1"/>
  <c r="AQ12" i="1" s="1"/>
  <c r="R12" i="1"/>
  <c r="P12" i="1"/>
  <c r="N12" i="1"/>
  <c r="L12" i="1"/>
  <c r="J12" i="1"/>
  <c r="H12" i="1"/>
  <c r="G12" i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AM12" i="1" s="1"/>
  <c r="AO12" i="1" s="1"/>
  <c r="BB11" i="1"/>
  <c r="BB16" i="1" s="1"/>
  <c r="AY11" i="1"/>
  <c r="AV11" i="1"/>
  <c r="AV16" i="1" s="1"/>
  <c r="T11" i="1"/>
  <c r="V11" i="1" s="1"/>
  <c r="R11" i="1"/>
  <c r="P11" i="1"/>
  <c r="P16" i="1" s="1"/>
  <c r="N11" i="1"/>
  <c r="N16" i="1" s="1"/>
  <c r="L11" i="1"/>
  <c r="L16" i="1" s="1"/>
  <c r="J11" i="1"/>
  <c r="J16" i="1" s="1"/>
  <c r="H11" i="1"/>
  <c r="G11" i="1"/>
  <c r="I11" i="1" s="1"/>
  <c r="BD8" i="1"/>
  <c r="D8" i="1"/>
  <c r="BE7" i="1"/>
  <c r="BE151" i="1" s="1"/>
  <c r="BD7" i="1"/>
  <c r="BD6" i="1"/>
  <c r="X11" i="1" l="1"/>
  <c r="AW56" i="1"/>
  <c r="AR56" i="1"/>
  <c r="AS56" i="1" s="1"/>
  <c r="AP56" i="1"/>
  <c r="AZ63" i="1"/>
  <c r="AX63" i="1"/>
  <c r="AA14" i="1"/>
  <c r="AC14" i="1" s="1"/>
  <c r="AE14" i="1" s="1"/>
  <c r="AG14" i="1" s="1"/>
  <c r="AI14" i="1" s="1"/>
  <c r="AK14" i="1" s="1"/>
  <c r="AM14" i="1" s="1"/>
  <c r="AO14" i="1" s="1"/>
  <c r="Y38" i="1"/>
  <c r="AW52" i="1"/>
  <c r="AR52" i="1"/>
  <c r="AS52" i="1" s="1"/>
  <c r="AP52" i="1"/>
  <c r="X69" i="1"/>
  <c r="AW60" i="1"/>
  <c r="AR60" i="1"/>
  <c r="AS60" i="1" s="1"/>
  <c r="AP60" i="1"/>
  <c r="Z69" i="1"/>
  <c r="AP50" i="1"/>
  <c r="AW50" i="1"/>
  <c r="AR50" i="1"/>
  <c r="AS50" i="1" s="1"/>
  <c r="AZ64" i="1"/>
  <c r="AX64" i="1"/>
  <c r="AP25" i="1"/>
  <c r="AW25" i="1"/>
  <c r="AR25" i="1"/>
  <c r="AS25" i="1" s="1"/>
  <c r="AW31" i="1"/>
  <c r="AR31" i="1"/>
  <c r="AS31" i="1" s="1"/>
  <c r="AP31" i="1"/>
  <c r="AW45" i="1"/>
  <c r="AR45" i="1"/>
  <c r="AS45" i="1" s="1"/>
  <c r="AP45" i="1"/>
  <c r="AR55" i="1"/>
  <c r="AS55" i="1" s="1"/>
  <c r="AP55" i="1"/>
  <c r="AW55" i="1"/>
  <c r="AW54" i="1"/>
  <c r="AR54" i="1"/>
  <c r="AS54" i="1" s="1"/>
  <c r="AP54" i="1"/>
  <c r="AW29" i="1"/>
  <c r="AR29" i="1"/>
  <c r="AS29" i="1" s="1"/>
  <c r="AP29" i="1"/>
  <c r="AW41" i="1"/>
  <c r="AR41" i="1"/>
  <c r="AS41" i="1" s="1"/>
  <c r="AP41" i="1"/>
  <c r="AR53" i="1"/>
  <c r="AS53" i="1" s="1"/>
  <c r="AP53" i="1"/>
  <c r="AW53" i="1"/>
  <c r="Z92" i="1"/>
  <c r="AB92" i="1" s="1"/>
  <c r="AD92" i="1" s="1"/>
  <c r="AF92" i="1" s="1"/>
  <c r="AH92" i="1" s="1"/>
  <c r="AB78" i="1"/>
  <c r="AD78" i="1" s="1"/>
  <c r="AF78" i="1" s="1"/>
  <c r="AH78" i="1" s="1"/>
  <c r="AJ78" i="1" s="1"/>
  <c r="AL78" i="1" s="1"/>
  <c r="AN78" i="1" s="1"/>
  <c r="AQ78" i="1" s="1"/>
  <c r="AR34" i="1"/>
  <c r="AS34" i="1" s="1"/>
  <c r="AP34" i="1"/>
  <c r="O22" i="1"/>
  <c r="Q22" i="1" s="1"/>
  <c r="S22" i="1" s="1"/>
  <c r="U22" i="1" s="1"/>
  <c r="W22" i="1" s="1"/>
  <c r="Y22" i="1" s="1"/>
  <c r="AA22" i="1" s="1"/>
  <c r="AC22" i="1" s="1"/>
  <c r="AE22" i="1" s="1"/>
  <c r="AG22" i="1" s="1"/>
  <c r="AI22" i="1" s="1"/>
  <c r="AK22" i="1" s="1"/>
  <c r="AM22" i="1" s="1"/>
  <c r="AO22" i="1" s="1"/>
  <c r="AR59" i="1"/>
  <c r="AS59" i="1" s="1"/>
  <c r="AP59" i="1"/>
  <c r="AW59" i="1"/>
  <c r="AW12" i="1"/>
  <c r="AR12" i="1"/>
  <c r="AS12" i="1" s="1"/>
  <c r="AP12" i="1"/>
  <c r="AB69" i="1"/>
  <c r="AW51" i="1"/>
  <c r="AR51" i="1"/>
  <c r="AS51" i="1" s="1"/>
  <c r="AP51" i="1"/>
  <c r="AW61" i="1"/>
  <c r="AR61" i="1"/>
  <c r="AS61" i="1" s="1"/>
  <c r="AP61" i="1"/>
  <c r="AR32" i="1"/>
  <c r="AS32" i="1" s="1"/>
  <c r="AP32" i="1"/>
  <c r="AW32" i="1"/>
  <c r="AW46" i="1"/>
  <c r="AR46" i="1"/>
  <c r="AS46" i="1" s="1"/>
  <c r="AP46" i="1"/>
  <c r="AR62" i="1"/>
  <c r="AS62" i="1" s="1"/>
  <c r="AP62" i="1"/>
  <c r="AW62" i="1"/>
  <c r="V13" i="1"/>
  <c r="X13" i="1" s="1"/>
  <c r="Z13" i="1" s="1"/>
  <c r="AB13" i="1" s="1"/>
  <c r="AD13" i="1" s="1"/>
  <c r="AF13" i="1" s="1"/>
  <c r="AH13" i="1" s="1"/>
  <c r="AJ13" i="1" s="1"/>
  <c r="AL13" i="1" s="1"/>
  <c r="AN13" i="1" s="1"/>
  <c r="AQ13" i="1" s="1"/>
  <c r="T16" i="1"/>
  <c r="Y23" i="1"/>
  <c r="AA23" i="1" s="1"/>
  <c r="AC23" i="1" s="1"/>
  <c r="AE23" i="1" s="1"/>
  <c r="AG23" i="1" s="1"/>
  <c r="AI23" i="1" s="1"/>
  <c r="AK23" i="1" s="1"/>
  <c r="AM23" i="1" s="1"/>
  <c r="AO23" i="1" s="1"/>
  <c r="U24" i="1"/>
  <c r="W24" i="1" s="1"/>
  <c r="Y24" i="1" s="1"/>
  <c r="AA24" i="1" s="1"/>
  <c r="AC24" i="1" s="1"/>
  <c r="AE24" i="1" s="1"/>
  <c r="AG24" i="1" s="1"/>
  <c r="AI24" i="1" s="1"/>
  <c r="AK24" i="1" s="1"/>
  <c r="AM24" i="1" s="1"/>
  <c r="AO24" i="1" s="1"/>
  <c r="AW40" i="1"/>
  <c r="AR40" i="1"/>
  <c r="AS40" i="1" s="1"/>
  <c r="AP40" i="1"/>
  <c r="AR58" i="1"/>
  <c r="AS58" i="1" s="1"/>
  <c r="AP58" i="1"/>
  <c r="AW58" i="1"/>
  <c r="AC30" i="1"/>
  <c r="AE30" i="1" s="1"/>
  <c r="AG30" i="1" s="1"/>
  <c r="AI30" i="1" s="1"/>
  <c r="AK30" i="1" s="1"/>
  <c r="AM30" i="1" s="1"/>
  <c r="AO30" i="1" s="1"/>
  <c r="I69" i="1"/>
  <c r="K11" i="1"/>
  <c r="I16" i="1"/>
  <c r="V42" i="1"/>
  <c r="W42" i="1" s="1"/>
  <c r="T69" i="1"/>
  <c r="W21" i="1"/>
  <c r="Y21" i="1" s="1"/>
  <c r="AA21" i="1" s="1"/>
  <c r="AC21" i="1" s="1"/>
  <c r="AE21" i="1" s="1"/>
  <c r="AG21" i="1" s="1"/>
  <c r="AI21" i="1" s="1"/>
  <c r="AK21" i="1" s="1"/>
  <c r="AM21" i="1" s="1"/>
  <c r="AO21" i="1" s="1"/>
  <c r="W28" i="1"/>
  <c r="Y28" i="1" s="1"/>
  <c r="AA28" i="1" s="1"/>
  <c r="AC28" i="1" s="1"/>
  <c r="AE28" i="1" s="1"/>
  <c r="AG28" i="1" s="1"/>
  <c r="AI28" i="1" s="1"/>
  <c r="AK28" i="1" s="1"/>
  <c r="AM28" i="1" s="1"/>
  <c r="AO28" i="1" s="1"/>
  <c r="AA39" i="1"/>
  <c r="AC39" i="1" s="1"/>
  <c r="AE39" i="1" s="1"/>
  <c r="AG39" i="1" s="1"/>
  <c r="AI39" i="1" s="1"/>
  <c r="AK39" i="1" s="1"/>
  <c r="AM39" i="1" s="1"/>
  <c r="AO39" i="1" s="1"/>
  <c r="AW43" i="1"/>
  <c r="AR43" i="1"/>
  <c r="AS43" i="1" s="1"/>
  <c r="AP43" i="1"/>
  <c r="AW57" i="1"/>
  <c r="AR57" i="1"/>
  <c r="AS57" i="1" s="1"/>
  <c r="AP57" i="1"/>
  <c r="W72" i="1"/>
  <c r="Y72" i="1" s="1"/>
  <c r="AA72" i="1" s="1"/>
  <c r="AC72" i="1" s="1"/>
  <c r="AE72" i="1" s="1"/>
  <c r="AG72" i="1" s="1"/>
  <c r="AI72" i="1" s="1"/>
  <c r="AK72" i="1" s="1"/>
  <c r="AM72" i="1" s="1"/>
  <c r="W20" i="1"/>
  <c r="Y20" i="1" s="1"/>
  <c r="AA20" i="1" s="1"/>
  <c r="AC20" i="1" s="1"/>
  <c r="AE20" i="1" s="1"/>
  <c r="AG20" i="1" s="1"/>
  <c r="AI20" i="1" s="1"/>
  <c r="AK20" i="1" s="1"/>
  <c r="AM20" i="1" s="1"/>
  <c r="AO20" i="1" s="1"/>
  <c r="U26" i="1"/>
  <c r="W26" i="1" s="1"/>
  <c r="Y26" i="1" s="1"/>
  <c r="AA26" i="1" s="1"/>
  <c r="AC26" i="1" s="1"/>
  <c r="AE26" i="1" s="1"/>
  <c r="AG26" i="1" s="1"/>
  <c r="AI26" i="1" s="1"/>
  <c r="AK26" i="1" s="1"/>
  <c r="AM26" i="1" s="1"/>
  <c r="AO26" i="1" s="1"/>
  <c r="AA47" i="1"/>
  <c r="AC47" i="1" s="1"/>
  <c r="AE47" i="1" s="1"/>
  <c r="AG47" i="1" s="1"/>
  <c r="AI47" i="1" s="1"/>
  <c r="AK47" i="1" s="1"/>
  <c r="AM47" i="1" s="1"/>
  <c r="AO47" i="1" s="1"/>
  <c r="BC65" i="1"/>
  <c r="BD65" i="1" s="1"/>
  <c r="BA65" i="1"/>
  <c r="AE73" i="1"/>
  <c r="AJ92" i="1"/>
  <c r="AL77" i="1"/>
  <c r="R16" i="1"/>
  <c r="R69" i="1"/>
  <c r="AR82" i="1"/>
  <c r="AS82" i="1" s="1"/>
  <c r="AP82" i="1"/>
  <c r="AW82" i="1"/>
  <c r="G16" i="1"/>
  <c r="R22" i="1"/>
  <c r="T22" i="1" s="1"/>
  <c r="V22" i="1" s="1"/>
  <c r="X22" i="1" s="1"/>
  <c r="Z22" i="1" s="1"/>
  <c r="AB22" i="1" s="1"/>
  <c r="AD22" i="1" s="1"/>
  <c r="AF22" i="1" s="1"/>
  <c r="AH22" i="1" s="1"/>
  <c r="AJ22" i="1" s="1"/>
  <c r="AL22" i="1" s="1"/>
  <c r="AN22" i="1" s="1"/>
  <c r="AQ22" i="1" s="1"/>
  <c r="AP22" i="1"/>
  <c r="S44" i="1"/>
  <c r="U44" i="1" s="1"/>
  <c r="W44" i="1" s="1"/>
  <c r="Y44" i="1" s="1"/>
  <c r="AA44" i="1" s="1"/>
  <c r="AC44" i="1" s="1"/>
  <c r="AE44" i="1" s="1"/>
  <c r="AG44" i="1" s="1"/>
  <c r="AI44" i="1" s="1"/>
  <c r="AK44" i="1" s="1"/>
  <c r="AM44" i="1" s="1"/>
  <c r="AO44" i="1" s="1"/>
  <c r="G69" i="1"/>
  <c r="AC70" i="1"/>
  <c r="AE70" i="1" s="1"/>
  <c r="BC86" i="1"/>
  <c r="BD86" i="1" s="1"/>
  <c r="BA86" i="1"/>
  <c r="AI120" i="1"/>
  <c r="AG122" i="1"/>
  <c r="AN136" i="1"/>
  <c r="AQ132" i="1"/>
  <c r="AQ136" i="1" s="1"/>
  <c r="AR146" i="1"/>
  <c r="AS146" i="1" s="1"/>
  <c r="AP146" i="1"/>
  <c r="AW146" i="1"/>
  <c r="H16" i="1"/>
  <c r="K38" i="1"/>
  <c r="H69" i="1"/>
  <c r="AW80" i="1"/>
  <c r="AR80" i="1"/>
  <c r="AS80" i="1" s="1"/>
  <c r="AP80" i="1"/>
  <c r="AW83" i="1"/>
  <c r="AR83" i="1"/>
  <c r="AS83" i="1" s="1"/>
  <c r="AP83" i="1"/>
  <c r="AI122" i="1"/>
  <c r="AW144" i="1"/>
  <c r="AR144" i="1"/>
  <c r="AS144" i="1" s="1"/>
  <c r="AP144" i="1"/>
  <c r="AR64" i="1"/>
  <c r="AS64" i="1" s="1"/>
  <c r="BA66" i="1"/>
  <c r="AD73" i="1"/>
  <c r="Q101" i="1"/>
  <c r="AZ120" i="1"/>
  <c r="AX120" i="1"/>
  <c r="I129" i="1"/>
  <c r="K129" i="1" s="1"/>
  <c r="M129" i="1" s="1"/>
  <c r="K126" i="1"/>
  <c r="M126" i="1" s="1"/>
  <c r="O126" i="1" s="1"/>
  <c r="K19" i="1"/>
  <c r="S49" i="1"/>
  <c r="U49" i="1" s="1"/>
  <c r="W49" i="1" s="1"/>
  <c r="Y49" i="1" s="1"/>
  <c r="AA49" i="1" s="1"/>
  <c r="AC49" i="1" s="1"/>
  <c r="AE49" i="1" s="1"/>
  <c r="AG49" i="1" s="1"/>
  <c r="AI49" i="1" s="1"/>
  <c r="AK49" i="1" s="1"/>
  <c r="AM49" i="1" s="1"/>
  <c r="AO49" i="1" s="1"/>
  <c r="BH52" i="1"/>
  <c r="AP127" i="1"/>
  <c r="AW127" i="1"/>
  <c r="AR127" i="1"/>
  <c r="AS127" i="1" s="1"/>
  <c r="X19" i="1"/>
  <c r="AV22" i="1"/>
  <c r="AV36" i="1" s="1"/>
  <c r="AV152" i="1" s="1"/>
  <c r="S27" i="1"/>
  <c r="U27" i="1" s="1"/>
  <c r="W27" i="1" s="1"/>
  <c r="Y27" i="1" s="1"/>
  <c r="AA27" i="1" s="1"/>
  <c r="AC27" i="1" s="1"/>
  <c r="AE27" i="1" s="1"/>
  <c r="AG27" i="1" s="1"/>
  <c r="AI27" i="1" s="1"/>
  <c r="AK27" i="1" s="1"/>
  <c r="AM27" i="1" s="1"/>
  <c r="AO27" i="1" s="1"/>
  <c r="D36" i="1"/>
  <c r="D152" i="1" s="1"/>
  <c r="AD38" i="1"/>
  <c r="AX65" i="1"/>
  <c r="AC71" i="1"/>
  <c r="AE71" i="1" s="1"/>
  <c r="AZ111" i="1"/>
  <c r="AX111" i="1"/>
  <c r="H152" i="1"/>
  <c r="AJ150" i="1"/>
  <c r="BB152" i="1"/>
  <c r="V77" i="1"/>
  <c r="AC79" i="1"/>
  <c r="AE79" i="1" s="1"/>
  <c r="AG79" i="1" s="1"/>
  <c r="AI79" i="1" s="1"/>
  <c r="AK79" i="1" s="1"/>
  <c r="AM79" i="1" s="1"/>
  <c r="AO79" i="1" s="1"/>
  <c r="AP84" i="1"/>
  <c r="AW84" i="1"/>
  <c r="AR84" i="1"/>
  <c r="AS84" i="1" s="1"/>
  <c r="BC88" i="1"/>
  <c r="BD88" i="1" s="1"/>
  <c r="BA88" i="1"/>
  <c r="AL150" i="1"/>
  <c r="AC37" i="1"/>
  <c r="AE37" i="1" s="1"/>
  <c r="J92" i="1"/>
  <c r="J152" i="1" s="1"/>
  <c r="AW81" i="1"/>
  <c r="AZ81" i="1" s="1"/>
  <c r="BC81" i="1" s="1"/>
  <c r="BD81" i="1" s="1"/>
  <c r="AR81" i="1"/>
  <c r="AS81" i="1" s="1"/>
  <c r="AP81" i="1"/>
  <c r="L122" i="1"/>
  <c r="N122" i="1" s="1"/>
  <c r="K132" i="1"/>
  <c r="M132" i="1" s="1"/>
  <c r="O132" i="1" s="1"/>
  <c r="I136" i="1"/>
  <c r="K136" i="1" s="1"/>
  <c r="M136" i="1" s="1"/>
  <c r="AN150" i="1"/>
  <c r="AY22" i="1"/>
  <c r="AY36" i="1" s="1"/>
  <c r="AY152" i="1" s="1"/>
  <c r="S48" i="1"/>
  <c r="U48" i="1" s="1"/>
  <c r="W48" i="1" s="1"/>
  <c r="Y48" i="1" s="1"/>
  <c r="AA48" i="1" s="1"/>
  <c r="AC48" i="1" s="1"/>
  <c r="AE48" i="1" s="1"/>
  <c r="AG48" i="1" s="1"/>
  <c r="AI48" i="1" s="1"/>
  <c r="AK48" i="1" s="1"/>
  <c r="AM48" i="1" s="1"/>
  <c r="AO48" i="1" s="1"/>
  <c r="K77" i="1"/>
  <c r="AO95" i="1"/>
  <c r="AW109" i="1"/>
  <c r="AR109" i="1"/>
  <c r="AS109" i="1" s="1"/>
  <c r="AP109" i="1"/>
  <c r="N120" i="1"/>
  <c r="O120" i="1"/>
  <c r="AX145" i="1"/>
  <c r="AZ145" i="1"/>
  <c r="N22" i="1"/>
  <c r="N36" i="1" s="1"/>
  <c r="AC33" i="1"/>
  <c r="AE33" i="1" s="1"/>
  <c r="AG33" i="1" s="1"/>
  <c r="AI33" i="1" s="1"/>
  <c r="AK33" i="1" s="1"/>
  <c r="AM33" i="1" s="1"/>
  <c r="AO33" i="1" s="1"/>
  <c r="AC35" i="1"/>
  <c r="AE35" i="1" s="1"/>
  <c r="AG35" i="1" s="1"/>
  <c r="AI35" i="1" s="1"/>
  <c r="AK35" i="1" s="1"/>
  <c r="AM35" i="1" s="1"/>
  <c r="AO35" i="1" s="1"/>
  <c r="BC67" i="1"/>
  <c r="BD67" i="1" s="1"/>
  <c r="AO76" i="1"/>
  <c r="L92" i="1"/>
  <c r="L152" i="1" s="1"/>
  <c r="N92" i="1"/>
  <c r="N152" i="1" s="1"/>
  <c r="AW133" i="1"/>
  <c r="AR133" i="1"/>
  <c r="AS133" i="1" s="1"/>
  <c r="AP133" i="1"/>
  <c r="P22" i="1"/>
  <c r="P36" i="1" s="1"/>
  <c r="P152" i="1" s="1"/>
  <c r="AQ76" i="1"/>
  <c r="K78" i="1"/>
  <c r="M78" i="1" s="1"/>
  <c r="O78" i="1" s="1"/>
  <c r="Q78" i="1" s="1"/>
  <c r="S78" i="1" s="1"/>
  <c r="U78" i="1" s="1"/>
  <c r="W78" i="1" s="1"/>
  <c r="Y78" i="1" s="1"/>
  <c r="AA78" i="1" s="1"/>
  <c r="AC78" i="1" s="1"/>
  <c r="AE78" i="1" s="1"/>
  <c r="AG78" i="1" s="1"/>
  <c r="AI78" i="1" s="1"/>
  <c r="AK78" i="1" s="1"/>
  <c r="AM78" i="1" s="1"/>
  <c r="AO78" i="1" s="1"/>
  <c r="W122" i="1"/>
  <c r="Y122" i="1" s="1"/>
  <c r="BA85" i="1"/>
  <c r="BA87" i="1"/>
  <c r="BA98" i="1"/>
  <c r="I102" i="1"/>
  <c r="BC110" i="1"/>
  <c r="BD110" i="1" s="1"/>
  <c r="BB116" i="1"/>
  <c r="AW119" i="1"/>
  <c r="W134" i="1"/>
  <c r="BH114" i="1"/>
  <c r="BI116" i="1" s="1"/>
  <c r="O119" i="1"/>
  <c r="X134" i="1"/>
  <c r="AX140" i="1"/>
  <c r="BC112" i="1"/>
  <c r="BD112" i="1" s="1"/>
  <c r="G136" i="1"/>
  <c r="G152" i="1" s="1"/>
  <c r="V126" i="1"/>
  <c r="V129" i="1" s="1"/>
  <c r="AC132" i="1"/>
  <c r="AE132" i="1" s="1"/>
  <c r="AG132" i="1" s="1"/>
  <c r="AI132" i="1" s="1"/>
  <c r="AK132" i="1" s="1"/>
  <c r="AM132" i="1" s="1"/>
  <c r="AC135" i="1"/>
  <c r="AE135" i="1" s="1"/>
  <c r="AG135" i="1" s="1"/>
  <c r="AI135" i="1" s="1"/>
  <c r="AK135" i="1" s="1"/>
  <c r="AC140" i="1"/>
  <c r="AE140" i="1" s="1"/>
  <c r="AG140" i="1" s="1"/>
  <c r="W108" i="1"/>
  <c r="AE122" i="1"/>
  <c r="I143" i="1"/>
  <c r="U122" i="1"/>
  <c r="X143" i="1"/>
  <c r="X150" i="1" s="1"/>
  <c r="AR145" i="1"/>
  <c r="AS145" i="1" s="1"/>
  <c r="AW147" i="1"/>
  <c r="Y42" i="1" l="1"/>
  <c r="AA42" i="1" s="1"/>
  <c r="AC42" i="1" s="1"/>
  <c r="AE42" i="1" s="1"/>
  <c r="AG42" i="1" s="1"/>
  <c r="AI42" i="1" s="1"/>
  <c r="AK42" i="1" s="1"/>
  <c r="AM42" i="1" s="1"/>
  <c r="AO42" i="1" s="1"/>
  <c r="W69" i="1"/>
  <c r="O136" i="1"/>
  <c r="Q132" i="1"/>
  <c r="V69" i="1"/>
  <c r="P122" i="1"/>
  <c r="AZ84" i="1"/>
  <c r="AX84" i="1"/>
  <c r="AF38" i="1"/>
  <c r="AD69" i="1"/>
  <c r="Q126" i="1"/>
  <c r="O129" i="1"/>
  <c r="AX144" i="1"/>
  <c r="AZ144" i="1"/>
  <c r="AW44" i="1"/>
  <c r="AZ44" i="1" s="1"/>
  <c r="BC44" i="1" s="1"/>
  <c r="BD44" i="1" s="1"/>
  <c r="AR44" i="1"/>
  <c r="AS44" i="1" s="1"/>
  <c r="AP44" i="1"/>
  <c r="AZ52" i="1"/>
  <c r="AX52" i="1"/>
  <c r="R152" i="1"/>
  <c r="M11" i="1"/>
  <c r="O11" i="1" s="1"/>
  <c r="K16" i="1"/>
  <c r="M16" i="1" s="1"/>
  <c r="AZ61" i="1"/>
  <c r="AX61" i="1"/>
  <c r="AW22" i="1"/>
  <c r="AR22" i="1"/>
  <c r="AS22" i="1" s="1"/>
  <c r="AZ50" i="1"/>
  <c r="AX50" i="1"/>
  <c r="Y69" i="1"/>
  <c r="AA38" i="1"/>
  <c r="BA64" i="1"/>
  <c r="BC64" i="1"/>
  <c r="BD64" i="1" s="1"/>
  <c r="AZ62" i="1"/>
  <c r="AX62" i="1"/>
  <c r="V36" i="1"/>
  <c r="AW78" i="1"/>
  <c r="AR78" i="1"/>
  <c r="AS78" i="1" s="1"/>
  <c r="AP78" i="1"/>
  <c r="AR30" i="1"/>
  <c r="AS30" i="1" s="1"/>
  <c r="AP30" i="1"/>
  <c r="AW30" i="1"/>
  <c r="T36" i="1"/>
  <c r="T152" i="1" s="1"/>
  <c r="AZ41" i="1"/>
  <c r="AX41" i="1"/>
  <c r="AZ45" i="1"/>
  <c r="AX45" i="1"/>
  <c r="AR14" i="1"/>
  <c r="AS14" i="1" s="1"/>
  <c r="AP14" i="1"/>
  <c r="AW14" i="1"/>
  <c r="O122" i="1"/>
  <c r="V92" i="1"/>
  <c r="X77" i="1"/>
  <c r="X92" i="1" s="1"/>
  <c r="X36" i="1"/>
  <c r="Z19" i="1"/>
  <c r="AZ58" i="1"/>
  <c r="AX58" i="1"/>
  <c r="AZ51" i="1"/>
  <c r="AX51" i="1"/>
  <c r="W13" i="1"/>
  <c r="Y13" i="1" s="1"/>
  <c r="AA13" i="1" s="1"/>
  <c r="AC13" i="1" s="1"/>
  <c r="AE13" i="1" s="1"/>
  <c r="AG13" i="1" s="1"/>
  <c r="AI13" i="1" s="1"/>
  <c r="AK13" i="1" s="1"/>
  <c r="AM13" i="1" s="1"/>
  <c r="AO13" i="1" s="1"/>
  <c r="AR23" i="1"/>
  <c r="AS23" i="1" s="1"/>
  <c r="AP23" i="1"/>
  <c r="AW23" i="1"/>
  <c r="BC63" i="1"/>
  <c r="BD63" i="1" s="1"/>
  <c r="BA63" i="1"/>
  <c r="AZ147" i="1"/>
  <c r="BC147" i="1" s="1"/>
  <c r="BD147" i="1" s="1"/>
  <c r="AX147" i="1"/>
  <c r="AW47" i="1"/>
  <c r="AR47" i="1"/>
  <c r="AS47" i="1" s="1"/>
  <c r="AP47" i="1"/>
  <c r="AZ43" i="1"/>
  <c r="AX43" i="1"/>
  <c r="AZ29" i="1"/>
  <c r="AX29" i="1"/>
  <c r="AZ31" i="1"/>
  <c r="AX31" i="1"/>
  <c r="AL92" i="1"/>
  <c r="AN77" i="1"/>
  <c r="X136" i="1"/>
  <c r="Z134" i="1"/>
  <c r="BC120" i="1"/>
  <c r="BD120" i="1" s="1"/>
  <c r="BA120" i="1"/>
  <c r="AX57" i="1"/>
  <c r="AZ57" i="1"/>
  <c r="AP35" i="1"/>
  <c r="AR35" i="1"/>
  <c r="AS35" i="1" s="1"/>
  <c r="AW48" i="1"/>
  <c r="AR48" i="1"/>
  <c r="AS48" i="1" s="1"/>
  <c r="AP48" i="1"/>
  <c r="AR39" i="1"/>
  <c r="AS39" i="1" s="1"/>
  <c r="AP39" i="1"/>
  <c r="AW39" i="1"/>
  <c r="AX46" i="1"/>
  <c r="AZ46" i="1"/>
  <c r="AZ60" i="1"/>
  <c r="AX60" i="1"/>
  <c r="AW79" i="1"/>
  <c r="AR79" i="1"/>
  <c r="AS79" i="1" s="1"/>
  <c r="AP79" i="1"/>
  <c r="AX109" i="1"/>
  <c r="AZ109" i="1"/>
  <c r="AZ83" i="1"/>
  <c r="AX83" i="1"/>
  <c r="W136" i="1"/>
  <c r="Y134" i="1"/>
  <c r="AW122" i="1"/>
  <c r="AZ119" i="1"/>
  <c r="AX119" i="1"/>
  <c r="AX122" i="1" s="1"/>
  <c r="BC145" i="1"/>
  <c r="BD145" i="1" s="1"/>
  <c r="BA145" i="1"/>
  <c r="AP20" i="1"/>
  <c r="AW20" i="1"/>
  <c r="AR20" i="1"/>
  <c r="AS20" i="1" s="1"/>
  <c r="AW28" i="1"/>
  <c r="AR28" i="1"/>
  <c r="AS28" i="1" s="1"/>
  <c r="AP28" i="1"/>
  <c r="AZ32" i="1"/>
  <c r="AX32" i="1"/>
  <c r="AZ25" i="1"/>
  <c r="AX25" i="1"/>
  <c r="AZ56" i="1"/>
  <c r="AX56" i="1"/>
  <c r="AP33" i="1"/>
  <c r="AW33" i="1"/>
  <c r="AR33" i="1"/>
  <c r="AS33" i="1" s="1"/>
  <c r="AZ127" i="1"/>
  <c r="AX127" i="1"/>
  <c r="P119" i="1"/>
  <c r="R119" i="1" s="1"/>
  <c r="U69" i="1"/>
  <c r="AZ80" i="1"/>
  <c r="AX80" i="1"/>
  <c r="AZ82" i="1"/>
  <c r="AX82" i="1"/>
  <c r="AO132" i="1"/>
  <c r="AZ40" i="1"/>
  <c r="AX40" i="1"/>
  <c r="AZ54" i="1"/>
  <c r="AX54" i="1"/>
  <c r="V16" i="1"/>
  <c r="AZ146" i="1"/>
  <c r="AX146" i="1"/>
  <c r="P120" i="1"/>
  <c r="R120" i="1" s="1"/>
  <c r="T120" i="1" s="1"/>
  <c r="V120" i="1" s="1"/>
  <c r="X120" i="1" s="1"/>
  <c r="Z120" i="1" s="1"/>
  <c r="AB120" i="1" s="1"/>
  <c r="AD120" i="1" s="1"/>
  <c r="AF120" i="1" s="1"/>
  <c r="AH120" i="1" s="1"/>
  <c r="AJ120" i="1" s="1"/>
  <c r="AL120" i="1" s="1"/>
  <c r="AW27" i="1"/>
  <c r="AR27" i="1"/>
  <c r="AS27" i="1" s="1"/>
  <c r="AP27" i="1"/>
  <c r="AP76" i="1"/>
  <c r="AW76" i="1"/>
  <c r="AR76" i="1"/>
  <c r="I150" i="1"/>
  <c r="K143" i="1"/>
  <c r="M143" i="1" s="1"/>
  <c r="O143" i="1" s="1"/>
  <c r="AW95" i="1"/>
  <c r="AR95" i="1"/>
  <c r="AS95" i="1" s="1"/>
  <c r="AP95" i="1"/>
  <c r="S101" i="1"/>
  <c r="K92" i="1"/>
  <c r="M77" i="1"/>
  <c r="W116" i="1"/>
  <c r="Y108" i="1"/>
  <c r="AW26" i="1"/>
  <c r="AR26" i="1"/>
  <c r="AS26" i="1" s="1"/>
  <c r="AP26" i="1"/>
  <c r="BH153" i="1"/>
  <c r="BH152" i="1"/>
  <c r="K102" i="1"/>
  <c r="M102" i="1" s="1"/>
  <c r="O102" i="1" s="1"/>
  <c r="I104" i="1"/>
  <c r="K104" i="1" s="1"/>
  <c r="M104" i="1" s="1"/>
  <c r="AX133" i="1"/>
  <c r="AZ133" i="1"/>
  <c r="BC111" i="1"/>
  <c r="BD111" i="1" s="1"/>
  <c r="BA111" i="1"/>
  <c r="AW49" i="1"/>
  <c r="AR49" i="1"/>
  <c r="AS49" i="1" s="1"/>
  <c r="AP49" i="1"/>
  <c r="K69" i="1"/>
  <c r="M38" i="1"/>
  <c r="R36" i="1"/>
  <c r="AW21" i="1"/>
  <c r="AR21" i="1"/>
  <c r="AS21" i="1" s="1"/>
  <c r="AP21" i="1"/>
  <c r="AZ12" i="1"/>
  <c r="AX12" i="1"/>
  <c r="K36" i="1"/>
  <c r="M19" i="1"/>
  <c r="S69" i="1"/>
  <c r="AW24" i="1"/>
  <c r="AR24" i="1"/>
  <c r="AS24" i="1" s="1"/>
  <c r="AP24" i="1"/>
  <c r="AZ59" i="1"/>
  <c r="AX59" i="1"/>
  <c r="AZ53" i="1"/>
  <c r="AX53" i="1"/>
  <c r="AZ55" i="1"/>
  <c r="AX55" i="1"/>
  <c r="Z11" i="1"/>
  <c r="X16" i="1"/>
  <c r="X152" i="1" s="1"/>
  <c r="AZ95" i="1" l="1"/>
  <c r="AX95" i="1"/>
  <c r="BC146" i="1"/>
  <c r="BD146" i="1" s="1"/>
  <c r="BA146" i="1"/>
  <c r="BC32" i="1"/>
  <c r="BD32" i="1" s="1"/>
  <c r="BA32" i="1"/>
  <c r="BC46" i="1"/>
  <c r="BD46" i="1" s="1"/>
  <c r="BA46" i="1"/>
  <c r="BC43" i="1"/>
  <c r="BD43" i="1" s="1"/>
  <c r="BA43" i="1"/>
  <c r="AW13" i="1"/>
  <c r="AR13" i="1"/>
  <c r="AS13" i="1" s="1"/>
  <c r="AP13" i="1"/>
  <c r="BA61" i="1"/>
  <c r="BC61" i="1"/>
  <c r="BD61" i="1" s="1"/>
  <c r="AZ24" i="1"/>
  <c r="AX24" i="1"/>
  <c r="O150" i="1"/>
  <c r="Q143" i="1"/>
  <c r="V152" i="1"/>
  <c r="T119" i="1"/>
  <c r="R122" i="1"/>
  <c r="Y136" i="1"/>
  <c r="AA134" i="1"/>
  <c r="Q129" i="1"/>
  <c r="S126" i="1"/>
  <c r="I152" i="1"/>
  <c r="K150" i="1"/>
  <c r="AZ39" i="1"/>
  <c r="AX39" i="1"/>
  <c r="BC51" i="1"/>
  <c r="BD51" i="1" s="1"/>
  <c r="BA51" i="1"/>
  <c r="BC45" i="1"/>
  <c r="BD45" i="1" s="1"/>
  <c r="BA45" i="1"/>
  <c r="BC62" i="1"/>
  <c r="BD62" i="1" s="1"/>
  <c r="BA62" i="1"/>
  <c r="O16" i="1"/>
  <c r="Q11" i="1"/>
  <c r="O19" i="1"/>
  <c r="M36" i="1"/>
  <c r="AZ49" i="1"/>
  <c r="AX49" i="1"/>
  <c r="AZ26" i="1"/>
  <c r="AX26" i="1"/>
  <c r="AS76" i="1"/>
  <c r="BC54" i="1"/>
  <c r="BD54" i="1" s="1"/>
  <c r="BA54" i="1"/>
  <c r="BC127" i="1"/>
  <c r="BD127" i="1" s="1"/>
  <c r="BA127" i="1"/>
  <c r="AX28" i="1"/>
  <c r="AZ28" i="1"/>
  <c r="Z136" i="1"/>
  <c r="AB136" i="1" s="1"/>
  <c r="AD136" i="1" s="1"/>
  <c r="AF136" i="1" s="1"/>
  <c r="AH136" i="1" s="1"/>
  <c r="AB134" i="1"/>
  <c r="AD134" i="1" s="1"/>
  <c r="AF134" i="1" s="1"/>
  <c r="AX47" i="1"/>
  <c r="AZ47" i="1"/>
  <c r="AH38" i="1"/>
  <c r="AF69" i="1"/>
  <c r="AB11" i="1"/>
  <c r="AD11" i="1" s="1"/>
  <c r="AF11" i="1" s="1"/>
  <c r="AH11" i="1" s="1"/>
  <c r="AJ11" i="1" s="1"/>
  <c r="Z16" i="1"/>
  <c r="Y116" i="1"/>
  <c r="AA108" i="1"/>
  <c r="AZ76" i="1"/>
  <c r="AX76" i="1"/>
  <c r="BC83" i="1"/>
  <c r="BD83" i="1" s="1"/>
  <c r="BA83" i="1"/>
  <c r="BC58" i="1"/>
  <c r="BD58" i="1" s="1"/>
  <c r="BA58" i="1"/>
  <c r="BC41" i="1"/>
  <c r="BD41" i="1" s="1"/>
  <c r="BA41" i="1"/>
  <c r="BC40" i="1"/>
  <c r="BD40" i="1" s="1"/>
  <c r="BA40" i="1"/>
  <c r="AZ33" i="1"/>
  <c r="AX33" i="1"/>
  <c r="AZ20" i="1"/>
  <c r="AX20" i="1"/>
  <c r="BC109" i="1"/>
  <c r="BD109" i="1" s="1"/>
  <c r="BA109" i="1"/>
  <c r="AQ77" i="1"/>
  <c r="AQ92" i="1" s="1"/>
  <c r="AN92" i="1"/>
  <c r="AB19" i="1"/>
  <c r="AD19" i="1" s="1"/>
  <c r="AF19" i="1" s="1"/>
  <c r="Z36" i="1"/>
  <c r="AB36" i="1" s="1"/>
  <c r="AD36" i="1" s="1"/>
  <c r="AA69" i="1"/>
  <c r="AC69" i="1" s="1"/>
  <c r="AC38" i="1"/>
  <c r="AE38" i="1" s="1"/>
  <c r="BC52" i="1"/>
  <c r="BD52" i="1" s="1"/>
  <c r="BA52" i="1"/>
  <c r="BC84" i="1"/>
  <c r="BD84" i="1" s="1"/>
  <c r="BA84" i="1"/>
  <c r="BC55" i="1"/>
  <c r="BD55" i="1" s="1"/>
  <c r="BA55" i="1"/>
  <c r="BA12" i="1"/>
  <c r="BC12" i="1"/>
  <c r="BD12" i="1" s="1"/>
  <c r="M92" i="1"/>
  <c r="O77" i="1"/>
  <c r="AW132" i="1"/>
  <c r="AR132" i="1"/>
  <c r="AP132" i="1"/>
  <c r="AZ30" i="1"/>
  <c r="AX30" i="1"/>
  <c r="BC133" i="1"/>
  <c r="BD133" i="1" s="1"/>
  <c r="BA133" i="1"/>
  <c r="AZ48" i="1"/>
  <c r="AX48" i="1"/>
  <c r="BC53" i="1"/>
  <c r="BD53" i="1" s="1"/>
  <c r="BA53" i="1"/>
  <c r="U101" i="1"/>
  <c r="BA56" i="1"/>
  <c r="BC56" i="1"/>
  <c r="BD56" i="1" s="1"/>
  <c r="BA31" i="1"/>
  <c r="BC31" i="1"/>
  <c r="BD31" i="1" s="1"/>
  <c r="BC50" i="1"/>
  <c r="BD50" i="1" s="1"/>
  <c r="BA50" i="1"/>
  <c r="S132" i="1"/>
  <c r="S136" i="1" s="1"/>
  <c r="Q136" i="1"/>
  <c r="AX21" i="1"/>
  <c r="AZ21" i="1"/>
  <c r="AX27" i="1"/>
  <c r="AZ27" i="1"/>
  <c r="BC82" i="1"/>
  <c r="BD82" i="1" s="1"/>
  <c r="BA82" i="1"/>
  <c r="AZ79" i="1"/>
  <c r="AX79" i="1"/>
  <c r="AZ23" i="1"/>
  <c r="AX23" i="1"/>
  <c r="BC59" i="1"/>
  <c r="BD59" i="1" s="1"/>
  <c r="BA59" i="1"/>
  <c r="Q102" i="1"/>
  <c r="O104" i="1"/>
  <c r="AL122" i="1"/>
  <c r="AN120" i="1"/>
  <c r="BC25" i="1"/>
  <c r="BD25" i="1" s="1"/>
  <c r="BA25" i="1"/>
  <c r="BC29" i="1"/>
  <c r="BD29" i="1" s="1"/>
  <c r="BA29" i="1"/>
  <c r="AZ14" i="1"/>
  <c r="AX14" i="1"/>
  <c r="AZ22" i="1"/>
  <c r="AX22" i="1"/>
  <c r="BC144" i="1"/>
  <c r="BD144" i="1" s="1"/>
  <c r="BA144" i="1"/>
  <c r="M69" i="1"/>
  <c r="O38" i="1"/>
  <c r="BA80" i="1"/>
  <c r="BC80" i="1"/>
  <c r="BD80" i="1" s="1"/>
  <c r="AZ122" i="1"/>
  <c r="BC119" i="1"/>
  <c r="BA119" i="1"/>
  <c r="BA122" i="1" s="1"/>
  <c r="BC60" i="1"/>
  <c r="BD60" i="1" s="1"/>
  <c r="BA60" i="1"/>
  <c r="BC57" i="1"/>
  <c r="BD57" i="1" s="1"/>
  <c r="BA57" i="1"/>
  <c r="AX78" i="1"/>
  <c r="AZ78" i="1"/>
  <c r="AW42" i="1"/>
  <c r="AR42" i="1"/>
  <c r="AS42" i="1" s="1"/>
  <c r="AP42" i="1"/>
  <c r="S102" i="1" l="1"/>
  <c r="Q104" i="1"/>
  <c r="AL11" i="1"/>
  <c r="AJ16" i="1"/>
  <c r="Q150" i="1"/>
  <c r="S143" i="1"/>
  <c r="BC20" i="1"/>
  <c r="BD20" i="1" s="1"/>
  <c r="BA20" i="1"/>
  <c r="AZ13" i="1"/>
  <c r="AX13" i="1"/>
  <c r="BC30" i="1"/>
  <c r="BD30" i="1" s="1"/>
  <c r="BA30" i="1"/>
  <c r="BC24" i="1"/>
  <c r="BD24" i="1" s="1"/>
  <c r="BA24" i="1"/>
  <c r="BC23" i="1"/>
  <c r="BD23" i="1" s="1"/>
  <c r="BA23" i="1"/>
  <c r="BC39" i="1"/>
  <c r="BD39" i="1" s="1"/>
  <c r="BA39" i="1"/>
  <c r="BC22" i="1"/>
  <c r="BD22" i="1" s="1"/>
  <c r="BA22" i="1"/>
  <c r="AJ38" i="1"/>
  <c r="AH69" i="1"/>
  <c r="V119" i="1"/>
  <c r="T122" i="1"/>
  <c r="BC14" i="1"/>
  <c r="BD14" i="1" s="1"/>
  <c r="BA14" i="1"/>
  <c r="BC122" i="1"/>
  <c r="BD119" i="1"/>
  <c r="BD122" i="1" s="1"/>
  <c r="AX92" i="1"/>
  <c r="BC28" i="1"/>
  <c r="BD28" i="1" s="1"/>
  <c r="BA28" i="1"/>
  <c r="BC76" i="1"/>
  <c r="BA76" i="1"/>
  <c r="AZ42" i="1"/>
  <c r="AX42" i="1"/>
  <c r="O69" i="1"/>
  <c r="Q38" i="1"/>
  <c r="Q69" i="1" s="1"/>
  <c r="AN122" i="1"/>
  <c r="AO122" i="1" s="1"/>
  <c r="AO120" i="1"/>
  <c r="AQ120" i="1"/>
  <c r="AQ122" i="1" s="1"/>
  <c r="BC27" i="1"/>
  <c r="BD27" i="1" s="1"/>
  <c r="BA27" i="1"/>
  <c r="W101" i="1"/>
  <c r="AZ132" i="1"/>
  <c r="AX132" i="1"/>
  <c r="AG38" i="1"/>
  <c r="AE69" i="1"/>
  <c r="AA116" i="1"/>
  <c r="AC116" i="1" s="1"/>
  <c r="AC108" i="1"/>
  <c r="AE108" i="1" s="1"/>
  <c r="Q16" i="1"/>
  <c r="S11" i="1"/>
  <c r="S129" i="1"/>
  <c r="U126" i="1"/>
  <c r="BC79" i="1"/>
  <c r="BD79" i="1" s="1"/>
  <c r="BA79" i="1"/>
  <c r="BC49" i="1"/>
  <c r="BD49" i="1" s="1"/>
  <c r="BA49" i="1"/>
  <c r="AS132" i="1"/>
  <c r="BC33" i="1"/>
  <c r="BD33" i="1" s="1"/>
  <c r="BA33" i="1"/>
  <c r="Q19" i="1"/>
  <c r="O36" i="1"/>
  <c r="O152" i="1" s="1"/>
  <c r="BA78" i="1"/>
  <c r="BC78" i="1"/>
  <c r="BD78" i="1" s="1"/>
  <c r="BC95" i="1"/>
  <c r="BD95" i="1" s="1"/>
  <c r="BA95" i="1"/>
  <c r="AF36" i="1"/>
  <c r="AH19" i="1"/>
  <c r="BC48" i="1"/>
  <c r="BD48" i="1" s="1"/>
  <c r="BA48" i="1"/>
  <c r="BC47" i="1"/>
  <c r="BD47" i="1" s="1"/>
  <c r="BA47" i="1"/>
  <c r="BC26" i="1"/>
  <c r="BD26" i="1" s="1"/>
  <c r="BA26" i="1"/>
  <c r="K152" i="1"/>
  <c r="M150" i="1"/>
  <c r="M152" i="1" s="1"/>
  <c r="BC21" i="1"/>
  <c r="BD21" i="1" s="1"/>
  <c r="BA21" i="1"/>
  <c r="O92" i="1"/>
  <c r="Q77" i="1"/>
  <c r="Z152" i="1"/>
  <c r="AB16" i="1"/>
  <c r="AA136" i="1"/>
  <c r="AC136" i="1" s="1"/>
  <c r="AE136" i="1" s="1"/>
  <c r="AG136" i="1" s="1"/>
  <c r="AI136" i="1" s="1"/>
  <c r="AK136" i="1" s="1"/>
  <c r="AC134" i="1"/>
  <c r="AE134" i="1" s="1"/>
  <c r="AG134" i="1" s="1"/>
  <c r="AI134" i="1" s="1"/>
  <c r="AK134" i="1" s="1"/>
  <c r="AM134" i="1" s="1"/>
  <c r="U129" i="1" l="1"/>
  <c r="W126" i="1"/>
  <c r="AO134" i="1"/>
  <c r="AM136" i="1"/>
  <c r="BD76" i="1"/>
  <c r="U11" i="1"/>
  <c r="S16" i="1"/>
  <c r="AI38" i="1"/>
  <c r="AG69" i="1"/>
  <c r="AN11" i="1"/>
  <c r="AL16" i="1"/>
  <c r="AJ69" i="1"/>
  <c r="AL38" i="1"/>
  <c r="Q36" i="1"/>
  <c r="Q152" i="1" s="1"/>
  <c r="S19" i="1"/>
  <c r="S150" i="1"/>
  <c r="U143" i="1"/>
  <c r="AB152" i="1"/>
  <c r="AD16" i="1"/>
  <c r="AG108" i="1"/>
  <c r="AE116" i="1"/>
  <c r="Q92" i="1"/>
  <c r="S77" i="1"/>
  <c r="AH36" i="1"/>
  <c r="AJ19" i="1"/>
  <c r="BC13" i="1"/>
  <c r="BD13" i="1" s="1"/>
  <c r="BA13" i="1"/>
  <c r="BC42" i="1"/>
  <c r="BD42" i="1" s="1"/>
  <c r="BA42" i="1"/>
  <c r="Y101" i="1"/>
  <c r="BA132" i="1"/>
  <c r="BC132" i="1"/>
  <c r="BA92" i="1"/>
  <c r="X119" i="1"/>
  <c r="V122" i="1"/>
  <c r="U102" i="1"/>
  <c r="S104" i="1"/>
  <c r="AA101" i="1" l="1"/>
  <c r="AD152" i="1"/>
  <c r="AF16" i="1"/>
  <c r="U150" i="1"/>
  <c r="W143" i="1"/>
  <c r="W102" i="1"/>
  <c r="U104" i="1"/>
  <c r="AG116" i="1"/>
  <c r="AI108" i="1"/>
  <c r="W11" i="1"/>
  <c r="U16" i="1"/>
  <c r="X122" i="1"/>
  <c r="Z122" i="1" s="1"/>
  <c r="Z119" i="1"/>
  <c r="AB119" i="1" s="1"/>
  <c r="S36" i="1"/>
  <c r="U19" i="1"/>
  <c r="AN16" i="1"/>
  <c r="AQ11" i="1"/>
  <c r="AQ16" i="1" s="1"/>
  <c r="AI69" i="1"/>
  <c r="AK38" i="1"/>
  <c r="AJ36" i="1"/>
  <c r="AJ152" i="1" s="1"/>
  <c r="AL19" i="1"/>
  <c r="AW134" i="1"/>
  <c r="AR134" i="1"/>
  <c r="AP134" i="1"/>
  <c r="AP136" i="1" s="1"/>
  <c r="AO136" i="1"/>
  <c r="BD132" i="1"/>
  <c r="AL69" i="1"/>
  <c r="AN38" i="1"/>
  <c r="Y126" i="1"/>
  <c r="W129" i="1"/>
  <c r="S92" i="1"/>
  <c r="S152" i="1" s="1"/>
  <c r="U77" i="1"/>
  <c r="Y11" i="1" l="1"/>
  <c r="W16" i="1"/>
  <c r="AK69" i="1"/>
  <c r="AM38" i="1"/>
  <c r="AA126" i="1"/>
  <c r="Y129" i="1"/>
  <c r="AN69" i="1"/>
  <c r="AQ38" i="1"/>
  <c r="AQ69" i="1" s="1"/>
  <c r="Y102" i="1"/>
  <c r="W104" i="1"/>
  <c r="AI116" i="1"/>
  <c r="AK108" i="1"/>
  <c r="AZ134" i="1"/>
  <c r="AX134" i="1"/>
  <c r="AX136" i="1" s="1"/>
  <c r="AW136" i="1"/>
  <c r="AN19" i="1"/>
  <c r="AL36" i="1"/>
  <c r="AL152" i="1"/>
  <c r="Y143" i="1"/>
  <c r="W150" i="1"/>
  <c r="U36" i="1"/>
  <c r="U152" i="1" s="1"/>
  <c r="W19" i="1"/>
  <c r="AF152" i="1"/>
  <c r="AH16" i="1"/>
  <c r="AH152" i="1" s="1"/>
  <c r="AD119" i="1"/>
  <c r="AF119" i="1" s="1"/>
  <c r="AH119" i="1" s="1"/>
  <c r="AB122" i="1"/>
  <c r="AD122" i="1" s="1"/>
  <c r="AF122" i="1" s="1"/>
  <c r="U92" i="1"/>
  <c r="W77" i="1"/>
  <c r="AS134" i="1"/>
  <c r="AS136" i="1" s="1"/>
  <c r="AR136" i="1"/>
  <c r="AC101" i="1"/>
  <c r="AE101" i="1" s="1"/>
  <c r="AG101" i="1" s="1"/>
  <c r="AI101" i="1" s="1"/>
  <c r="AK101" i="1" s="1"/>
  <c r="AM101" i="1" s="1"/>
  <c r="AO101" i="1" s="1"/>
  <c r="W36" i="1" l="1"/>
  <c r="Y19" i="1"/>
  <c r="AW101" i="1"/>
  <c r="AR101" i="1"/>
  <c r="AP101" i="1"/>
  <c r="AA102" i="1"/>
  <c r="Y104" i="1"/>
  <c r="AQ152" i="1"/>
  <c r="AA143" i="1"/>
  <c r="Y150" i="1"/>
  <c r="AN152" i="1"/>
  <c r="W92" i="1"/>
  <c r="W152" i="1" s="1"/>
  <c r="Y77" i="1"/>
  <c r="AC126" i="1"/>
  <c r="AE126" i="1" s="1"/>
  <c r="AG126" i="1" s="1"/>
  <c r="AI126" i="1" s="1"/>
  <c r="AK126" i="1" s="1"/>
  <c r="AM126" i="1" s="1"/>
  <c r="AO126" i="1" s="1"/>
  <c r="AA129" i="1"/>
  <c r="AC129" i="1" s="1"/>
  <c r="AE129" i="1" s="1"/>
  <c r="AG129" i="1" s="1"/>
  <c r="AI129" i="1" s="1"/>
  <c r="AK129" i="1" s="1"/>
  <c r="AM129" i="1" s="1"/>
  <c r="AO129" i="1" s="1"/>
  <c r="AP129" i="1" s="1"/>
  <c r="AN36" i="1"/>
  <c r="AQ19" i="1"/>
  <c r="AQ36" i="1" s="1"/>
  <c r="AM69" i="1"/>
  <c r="AO38" i="1"/>
  <c r="AJ119" i="1"/>
  <c r="AJ122" i="1" s="1"/>
  <c r="AH122" i="1"/>
  <c r="BA134" i="1"/>
  <c r="BA136" i="1" s="1"/>
  <c r="BC134" i="1"/>
  <c r="AZ136" i="1"/>
  <c r="AA11" i="1"/>
  <c r="Y16" i="1"/>
  <c r="AK116" i="1"/>
  <c r="AM108" i="1"/>
  <c r="BD134" i="1" l="1"/>
  <c r="BD136" i="1" s="1"/>
  <c r="BC136" i="1"/>
  <c r="AC143" i="1"/>
  <c r="AE143" i="1" s="1"/>
  <c r="AG143" i="1" s="1"/>
  <c r="AI143" i="1" s="1"/>
  <c r="AK143" i="1" s="1"/>
  <c r="AM143" i="1" s="1"/>
  <c r="AA150" i="1"/>
  <c r="AC150" i="1" s="1"/>
  <c r="AE150" i="1" s="1"/>
  <c r="AG150" i="1" s="1"/>
  <c r="AI150" i="1" s="1"/>
  <c r="AW38" i="1"/>
  <c r="AR38" i="1"/>
  <c r="AP38" i="1"/>
  <c r="AP69" i="1" s="1"/>
  <c r="AC102" i="1"/>
  <c r="AE102" i="1" s="1"/>
  <c r="AG102" i="1" s="1"/>
  <c r="AI102" i="1" s="1"/>
  <c r="AK102" i="1" s="1"/>
  <c r="AM102" i="1" s="1"/>
  <c r="AO102" i="1" s="1"/>
  <c r="AA104" i="1"/>
  <c r="AC104" i="1" s="1"/>
  <c r="AE104" i="1" s="1"/>
  <c r="AG104" i="1" s="1"/>
  <c r="AI104" i="1" s="1"/>
  <c r="AK104" i="1" s="1"/>
  <c r="AM104" i="1" s="1"/>
  <c r="AO104" i="1" s="1"/>
  <c r="AM116" i="1"/>
  <c r="AO108" i="1"/>
  <c r="AS101" i="1"/>
  <c r="AZ101" i="1"/>
  <c r="AX101" i="1"/>
  <c r="AA16" i="1"/>
  <c r="AC11" i="1"/>
  <c r="AE11" i="1" s="1"/>
  <c r="AG11" i="1" s="1"/>
  <c r="AI11" i="1" s="1"/>
  <c r="AK11" i="1" s="1"/>
  <c r="AM11" i="1" s="1"/>
  <c r="AP126" i="1"/>
  <c r="AW126" i="1"/>
  <c r="AR126" i="1"/>
  <c r="AA19" i="1"/>
  <c r="Y36" i="1"/>
  <c r="Y152" i="1" s="1"/>
  <c r="Y92" i="1"/>
  <c r="AA77" i="1"/>
  <c r="AW102" i="1" l="1"/>
  <c r="AR102" i="1"/>
  <c r="AP102" i="1"/>
  <c r="AO143" i="1"/>
  <c r="AM150" i="1"/>
  <c r="BC101" i="1"/>
  <c r="BA101" i="1"/>
  <c r="AC19" i="1"/>
  <c r="AE19" i="1" s="1"/>
  <c r="AG19" i="1" s="1"/>
  <c r="AA36" i="1"/>
  <c r="AC36" i="1" s="1"/>
  <c r="AE36" i="1" s="1"/>
  <c r="AW108" i="1"/>
  <c r="AR108" i="1"/>
  <c r="AP108" i="1"/>
  <c r="AP116" i="1" s="1"/>
  <c r="AO116" i="1"/>
  <c r="AR129" i="1"/>
  <c r="AS126" i="1"/>
  <c r="AS129" i="1" s="1"/>
  <c r="AW129" i="1"/>
  <c r="AZ126" i="1"/>
  <c r="AX126" i="1"/>
  <c r="AX129" i="1" s="1"/>
  <c r="AM16" i="1"/>
  <c r="AO11" i="1"/>
  <c r="AC16" i="1"/>
  <c r="AE16" i="1" s="1"/>
  <c r="AG16" i="1" s="1"/>
  <c r="AI16" i="1" s="1"/>
  <c r="AK16" i="1" s="1"/>
  <c r="AS38" i="1"/>
  <c r="AS69" i="1" s="1"/>
  <c r="AR69" i="1"/>
  <c r="AZ38" i="1"/>
  <c r="AX38" i="1"/>
  <c r="AX69" i="1" s="1"/>
  <c r="AW69" i="1"/>
  <c r="AK150" i="1"/>
  <c r="AA92" i="1"/>
  <c r="AC92" i="1" s="1"/>
  <c r="AE92" i="1" s="1"/>
  <c r="AG92" i="1" s="1"/>
  <c r="AC77" i="1"/>
  <c r="AE77" i="1" s="1"/>
  <c r="AG77" i="1" s="1"/>
  <c r="AI77" i="1" s="1"/>
  <c r="AG36" i="1" l="1"/>
  <c r="AI19" i="1"/>
  <c r="AZ108" i="1"/>
  <c r="AX108" i="1"/>
  <c r="AX116" i="1" s="1"/>
  <c r="AW116" i="1"/>
  <c r="AA152" i="1"/>
  <c r="AC152" i="1" s="1"/>
  <c r="AE152" i="1" s="1"/>
  <c r="AG152" i="1" s="1"/>
  <c r="AO16" i="1"/>
  <c r="AW11" i="1"/>
  <c r="AR11" i="1"/>
  <c r="AP11" i="1"/>
  <c r="AP16" i="1" s="1"/>
  <c r="AI92" i="1"/>
  <c r="AK77" i="1"/>
  <c r="BD101" i="1"/>
  <c r="AZ129" i="1"/>
  <c r="BC126" i="1"/>
  <c r="BA126" i="1"/>
  <c r="BA129" i="1" s="1"/>
  <c r="AO150" i="1"/>
  <c r="AW143" i="1"/>
  <c r="AR143" i="1"/>
  <c r="AP143" i="1"/>
  <c r="AP150" i="1" s="1"/>
  <c r="AZ69" i="1"/>
  <c r="BC38" i="1"/>
  <c r="BA38" i="1"/>
  <c r="BA69" i="1" s="1"/>
  <c r="AS102" i="1"/>
  <c r="AS104" i="1" s="1"/>
  <c r="AR104" i="1"/>
  <c r="AS108" i="1"/>
  <c r="AS116" i="1" s="1"/>
  <c r="AR116" i="1"/>
  <c r="AZ102" i="1"/>
  <c r="AX102" i="1"/>
  <c r="AX104" i="1" s="1"/>
  <c r="AW104" i="1"/>
  <c r="AR150" i="1" l="1"/>
  <c r="AS143" i="1"/>
  <c r="AS150" i="1" s="1"/>
  <c r="AX143" i="1"/>
  <c r="AX150" i="1" s="1"/>
  <c r="AW150" i="1"/>
  <c r="AZ143" i="1"/>
  <c r="AS11" i="1"/>
  <c r="AS16" i="1" s="1"/>
  <c r="AR16" i="1"/>
  <c r="BC102" i="1"/>
  <c r="BA102" i="1"/>
  <c r="BA104" i="1" s="1"/>
  <c r="AZ104" i="1"/>
  <c r="AZ11" i="1"/>
  <c r="AX11" i="1"/>
  <c r="AX16" i="1" s="1"/>
  <c r="AW16" i="1"/>
  <c r="BD126" i="1"/>
  <c r="BD129" i="1" s="1"/>
  <c r="BC129" i="1"/>
  <c r="BA108" i="1"/>
  <c r="BA116" i="1" s="1"/>
  <c r="AZ116" i="1"/>
  <c r="BC108" i="1"/>
  <c r="BC69" i="1"/>
  <c r="BD38" i="1"/>
  <c r="BD69" i="1" s="1"/>
  <c r="AK92" i="1"/>
  <c r="AM77" i="1"/>
  <c r="AI36" i="1"/>
  <c r="AK19" i="1"/>
  <c r="AI152" i="1"/>
  <c r="BD102" i="1" l="1"/>
  <c r="BD104" i="1" s="1"/>
  <c r="BC104" i="1"/>
  <c r="BC116" i="1"/>
  <c r="BD108" i="1"/>
  <c r="BD116" i="1" s="1"/>
  <c r="AZ150" i="1"/>
  <c r="BC143" i="1"/>
  <c r="BA143" i="1"/>
  <c r="BA150" i="1" s="1"/>
  <c r="AM19" i="1"/>
  <c r="AK36" i="1"/>
  <c r="AK152" i="1" s="1"/>
  <c r="AM92" i="1"/>
  <c r="AO77" i="1"/>
  <c r="BA11" i="1"/>
  <c r="BA16" i="1" s="1"/>
  <c r="AZ16" i="1"/>
  <c r="BC11" i="1"/>
  <c r="AO19" i="1" l="1"/>
  <c r="AM36" i="1"/>
  <c r="AM152" i="1" s="1"/>
  <c r="BC16" i="1"/>
  <c r="BD11" i="1"/>
  <c r="BD16" i="1" s="1"/>
  <c r="BC150" i="1"/>
  <c r="BD143" i="1"/>
  <c r="BD150" i="1" s="1"/>
  <c r="AW77" i="1"/>
  <c r="AR77" i="1"/>
  <c r="AP77" i="1"/>
  <c r="AP92" i="1" s="1"/>
  <c r="AO92" i="1"/>
  <c r="AS77" i="1" l="1"/>
  <c r="AS92" i="1" s="1"/>
  <c r="AR92" i="1"/>
  <c r="AZ77" i="1"/>
  <c r="AW92" i="1"/>
  <c r="AP19" i="1"/>
  <c r="AP36" i="1" s="1"/>
  <c r="AP152" i="1" s="1"/>
  <c r="AO36" i="1"/>
  <c r="AO152" i="1" s="1"/>
  <c r="AW19" i="1"/>
  <c r="AR19" i="1"/>
  <c r="AR36" i="1" l="1"/>
  <c r="AR152" i="1" s="1"/>
  <c r="AS19" i="1"/>
  <c r="AS36" i="1" s="1"/>
  <c r="AW36" i="1"/>
  <c r="AZ19" i="1"/>
  <c r="AX19" i="1"/>
  <c r="AX36" i="1" s="1"/>
  <c r="AX152" i="1" s="1"/>
  <c r="AW152" i="1"/>
  <c r="BC77" i="1"/>
  <c r="AZ92" i="1"/>
  <c r="AS152" i="1"/>
  <c r="BC19" i="1" l="1"/>
  <c r="BA19" i="1"/>
  <c r="BA36" i="1" s="1"/>
  <c r="BA152" i="1" s="1"/>
  <c r="AZ36" i="1"/>
  <c r="AZ152" i="1"/>
  <c r="BD77" i="1"/>
  <c r="BD92" i="1" s="1"/>
  <c r="BC92" i="1"/>
  <c r="BC152" i="1" l="1"/>
  <c r="BD19" i="1"/>
  <c r="BD36" i="1" s="1"/>
  <c r="BD152" i="1" s="1"/>
  <c r="BC36" i="1"/>
</calcChain>
</file>

<file path=xl/sharedStrings.xml><?xml version="1.0" encoding="utf-8"?>
<sst xmlns="http://schemas.openxmlformats.org/spreadsheetml/2006/main" count="322" uniqueCount="136">
  <si>
    <t>MCCREARY CO SEWER</t>
  </si>
  <si>
    <t>WP 311SW</t>
  </si>
  <si>
    <t>DEPRECIATIONS SCHEDULE (Using Mid-Point Service Life)</t>
  </si>
  <si>
    <t>ADJUSTED</t>
  </si>
  <si>
    <t>REPORTED</t>
  </si>
  <si>
    <t>Mid-Point</t>
  </si>
  <si>
    <t>Accumulated</t>
  </si>
  <si>
    <t>Depreciation</t>
  </si>
  <si>
    <t xml:space="preserve">Accumulated </t>
  </si>
  <si>
    <t>Service</t>
  </si>
  <si>
    <t>New Assets</t>
  </si>
  <si>
    <t>ACCT</t>
  </si>
  <si>
    <t>Cost</t>
  </si>
  <si>
    <t>Expense</t>
  </si>
  <si>
    <t xml:space="preserve">Depr </t>
  </si>
  <si>
    <t>Net</t>
  </si>
  <si>
    <t xml:space="preserve"> Life</t>
  </si>
  <si>
    <t>Land for new Shop/Crit King Rd</t>
  </si>
  <si>
    <t>Land for new Shop/Sandhill Rd</t>
  </si>
  <si>
    <t>BUILDINGS</t>
  </si>
  <si>
    <t>Utility Plant</t>
  </si>
  <si>
    <t>S/L</t>
  </si>
  <si>
    <t>Utility Plant Additions</t>
  </si>
  <si>
    <t>Wastewater Treatment Plant 2(cont 23)</t>
  </si>
  <si>
    <t>2006 Utility Plant Additions</t>
  </si>
  <si>
    <t>Retaining Wall for new Shop</t>
  </si>
  <si>
    <t>COLLECTION SEWERS-FORCE</t>
  </si>
  <si>
    <t>Sewer Transmission Force Main(cont 24)</t>
  </si>
  <si>
    <t>Sewage Lift Station(cont 24)</t>
  </si>
  <si>
    <t>2005 District Additions</t>
  </si>
  <si>
    <t>2006 Marshes Siding Project - Phase I</t>
  </si>
  <si>
    <t>2006 Stearns Sewer, EPA</t>
  </si>
  <si>
    <t>2006 Pine Knot Sewer Project</t>
  </si>
  <si>
    <t>2006 Marshes Siding Project - Phase !!</t>
  </si>
  <si>
    <t>2007 Marshes Siding Project - Phase !!</t>
  </si>
  <si>
    <t>2008 Sterns Sewer Phase II and III</t>
  </si>
  <si>
    <t>2008 Williamsburg Project</t>
  </si>
  <si>
    <t>2009 Sterns Wewer Project EPA Funds</t>
  </si>
  <si>
    <t>2009 Holloway Cemetary Rd.</t>
  </si>
  <si>
    <t>Williamsburg Street</t>
  </si>
  <si>
    <t>11/30/11</t>
  </si>
  <si>
    <t>Holloway Cemetary Rd</t>
  </si>
  <si>
    <t>10.30.11</t>
  </si>
  <si>
    <t>Revelo to Stearns Extension</t>
  </si>
  <si>
    <t>12/1/16</t>
  </si>
  <si>
    <t>2023 Line Additions</t>
  </si>
  <si>
    <t>Sanitary Sewer Extension Project</t>
  </si>
  <si>
    <t>SERVICES/METERS</t>
  </si>
  <si>
    <t>Services to Customers</t>
  </si>
  <si>
    <t>2006 District Additions</t>
  </si>
  <si>
    <t>Services to Customers - Big Creek</t>
  </si>
  <si>
    <t>2007 District Additions</t>
  </si>
  <si>
    <t>2008 District Additions</t>
  </si>
  <si>
    <t>2009 District Additions</t>
  </si>
  <si>
    <t>2010 District Additions</t>
  </si>
  <si>
    <t>2011 District Additions</t>
  </si>
  <si>
    <t>06/30/11</t>
  </si>
  <si>
    <t>2012 District Additions</t>
  </si>
  <si>
    <t>06/30/12</t>
  </si>
  <si>
    <t>2013 District Additions</t>
  </si>
  <si>
    <t>06/30/13</t>
  </si>
  <si>
    <t>2014 District Additions</t>
  </si>
  <si>
    <t>06/30/14</t>
  </si>
  <si>
    <t>2015 District Additions</t>
  </si>
  <si>
    <t>06/30/15</t>
  </si>
  <si>
    <t>2016 District Additions</t>
  </si>
  <si>
    <t>06/30/16</t>
  </si>
  <si>
    <t>2017 District Additions</t>
  </si>
  <si>
    <t>06/30/17</t>
  </si>
  <si>
    <t>2018 District Additions</t>
  </si>
  <si>
    <t>06/30/18</t>
  </si>
  <si>
    <t>2019 District Additions</t>
  </si>
  <si>
    <t>06/30/19</t>
  </si>
  <si>
    <t>2020 District AdditionsDaughtery&amp;Pig Skin</t>
  </si>
  <si>
    <t>11/30/20</t>
  </si>
  <si>
    <t>2020 District Additions</t>
  </si>
  <si>
    <t>6/30/20</t>
  </si>
  <si>
    <t>2021 District Additions</t>
  </si>
  <si>
    <t>2022 District Additions</t>
  </si>
  <si>
    <t>2023 District Additions</t>
  </si>
  <si>
    <t>FLOW MEASURNING DEVICES</t>
  </si>
  <si>
    <t>Sewage Flow Meter(cont 24)</t>
  </si>
  <si>
    <t>PUMPING EQUIPMENT</t>
  </si>
  <si>
    <t>Transformer from Sewer</t>
  </si>
  <si>
    <t>03/01/2000</t>
  </si>
  <si>
    <t>Equipment</t>
  </si>
  <si>
    <t>24 H.P. Pump</t>
  </si>
  <si>
    <t>Atlas Machine Submersable</t>
  </si>
  <si>
    <t>2006 Pumping Equip - Electric</t>
  </si>
  <si>
    <t>2009 Bypass Mobile Pump EPA Funds</t>
  </si>
  <si>
    <t>2009 Sterns Sewer LIft EPA Funds</t>
  </si>
  <si>
    <t>2009 Holloway Cem RD XS 21147011</t>
  </si>
  <si>
    <t>2009 Holloway Cem Rd</t>
  </si>
  <si>
    <t>2021 Pumping Equipment</t>
  </si>
  <si>
    <t>2022 Pump Station Cumberland Family Bld</t>
  </si>
  <si>
    <t>2022 Pumping Equipment</t>
  </si>
  <si>
    <t xml:space="preserve">2022 2Pump assem and eradicators </t>
  </si>
  <si>
    <t>2023 Pump at Prison</t>
  </si>
  <si>
    <t>PUMPING EQUIPMENT-DIESEL</t>
  </si>
  <si>
    <t>Emergency Generator(cont 27)</t>
  </si>
  <si>
    <t>TREATMENT &amp; DISPOSAL</t>
  </si>
  <si>
    <t>2022 Fiberglass Aerotor for Lift Station</t>
  </si>
  <si>
    <t>OFFICE FURNITURE AND EQUIP</t>
  </si>
  <si>
    <t>change from 10</t>
  </si>
  <si>
    <t>Office Furniture and Equipment</t>
  </si>
  <si>
    <t>Office Furniture</t>
  </si>
  <si>
    <t>TRANSPORTATION EQUIPMENT</t>
  </si>
  <si>
    <t>11 Ford   F150 4x4</t>
  </si>
  <si>
    <t>12.17.10</t>
  </si>
  <si>
    <t>20 Dodge Ram 3500 Tradesman</t>
  </si>
  <si>
    <t>7/2/20</t>
  </si>
  <si>
    <t>84 Ford Truck</t>
  </si>
  <si>
    <t>07 Dodge</t>
  </si>
  <si>
    <t>Chev 2500 Truck</t>
  </si>
  <si>
    <t>Relassify from water</t>
  </si>
  <si>
    <t>305 Collecting Reservoir</t>
  </si>
  <si>
    <t>Collecting</t>
  </si>
  <si>
    <t>12.31.91</t>
  </si>
  <si>
    <t>Sludge Pond</t>
  </si>
  <si>
    <t>6.30.96</t>
  </si>
  <si>
    <t>Prefab Water Vault</t>
  </si>
  <si>
    <t>2.24.23</t>
  </si>
  <si>
    <t>TOOLS, SHOP &amp; GARAGE EQUIP</t>
  </si>
  <si>
    <t>Wrench</t>
  </si>
  <si>
    <t>Tapping Machine</t>
  </si>
  <si>
    <t>LABORATORY EQUIPMENT</t>
  </si>
  <si>
    <t>Testing Equipment</t>
  </si>
  <si>
    <t>Spectro Lab Equipment</t>
  </si>
  <si>
    <t>COMMUNICATION EQUIP</t>
  </si>
  <si>
    <t>OTHER TANGIBLE PROPERTY</t>
  </si>
  <si>
    <t>Other General Equipment</t>
  </si>
  <si>
    <t>Security System/Digital/Cameras</t>
  </si>
  <si>
    <t>Wireless Alarm</t>
  </si>
  <si>
    <t>04/29/11</t>
  </si>
  <si>
    <t>Tractor</t>
  </si>
  <si>
    <t>Ditch Wich Trencher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</si>
</sst>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mm/dd/yyyy"/>
    <numFmt numFmtId="166" formatCode="0.0"/>
    <numFmt numFmtId="167" formatCode="#,##0.0"/>
    <numFmt numFmtId="168" formatCode="&quot;$&quot;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164" fontId="2" fillId="0" borderId="0" xfId="1" applyNumberFormat="1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6" xfId="0" applyFont="1" applyBorder="1"/>
    <xf numFmtId="164" fontId="4" fillId="0" borderId="7" xfId="1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0" fillId="0" borderId="9" xfId="0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64" fontId="2" fillId="0" borderId="11" xfId="1" applyNumberFormat="1" applyFont="1" applyBorder="1" applyAlignment="1"/>
    <xf numFmtId="14" fontId="2" fillId="0" borderId="0" xfId="0" applyNumberFormat="1" applyFont="1"/>
    <xf numFmtId="164" fontId="2" fillId="0" borderId="0" xfId="1" applyNumberFormat="1" applyFont="1" applyAlignment="1">
      <alignment horizontal="right"/>
    </xf>
    <xf numFmtId="4" fontId="2" fillId="2" borderId="4" xfId="0" applyNumberFormat="1" applyFont="1" applyFill="1" applyBorder="1"/>
    <xf numFmtId="0" fontId="2" fillId="2" borderId="4" xfId="0" applyFont="1" applyFill="1" applyBorder="1"/>
    <xf numFmtId="4" fontId="2" fillId="2" borderId="7" xfId="0" applyNumberFormat="1" applyFont="1" applyFill="1" applyBorder="1"/>
    <xf numFmtId="0" fontId="2" fillId="2" borderId="7" xfId="0" applyFont="1" applyFill="1" applyBorder="1"/>
    <xf numFmtId="164" fontId="2" fillId="0" borderId="0" xfId="0" applyNumberFormat="1" applyFont="1" applyAlignment="1">
      <alignment horizontal="center"/>
    </xf>
    <xf numFmtId="164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5" fontId="2" fillId="0" borderId="0" xfId="0" applyNumberFormat="1" applyFont="1"/>
    <xf numFmtId="4" fontId="2" fillId="2" borderId="7" xfId="1" applyNumberFormat="1" applyFont="1" applyFill="1" applyBorder="1" applyAlignment="1"/>
    <xf numFmtId="164" fontId="2" fillId="2" borderId="7" xfId="1" applyNumberFormat="1" applyFont="1" applyFill="1" applyBorder="1" applyAlignme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4" fontId="3" fillId="2" borderId="7" xfId="0" applyNumberFormat="1" applyFont="1" applyFill="1" applyBorder="1"/>
    <xf numFmtId="3" fontId="3" fillId="2" borderId="7" xfId="0" applyNumberFormat="1" applyFont="1" applyFill="1" applyBorder="1"/>
    <xf numFmtId="0" fontId="3" fillId="0" borderId="0" xfId="0" applyFont="1"/>
    <xf numFmtId="166" fontId="2" fillId="0" borderId="0" xfId="0" applyNumberFormat="1" applyFont="1"/>
    <xf numFmtId="164" fontId="2" fillId="0" borderId="0" xfId="0" applyNumberFormat="1" applyFont="1"/>
    <xf numFmtId="3" fontId="0" fillId="0" borderId="0" xfId="0" applyNumberFormat="1"/>
    <xf numFmtId="167" fontId="0" fillId="0" borderId="0" xfId="0" applyNumberFormat="1"/>
    <xf numFmtId="1" fontId="2" fillId="0" borderId="0" xfId="0" applyNumberFormat="1" applyFont="1"/>
    <xf numFmtId="0" fontId="2" fillId="3" borderId="0" xfId="0" applyFont="1" applyFill="1"/>
    <xf numFmtId="165" fontId="3" fillId="0" borderId="0" xfId="0" applyNumberFormat="1" applyFont="1"/>
    <xf numFmtId="0" fontId="0" fillId="0" borderId="0" xfId="0" applyAlignment="1">
      <alignment horizontal="center"/>
    </xf>
    <xf numFmtId="168" fontId="2" fillId="0" borderId="0" xfId="0" applyNumberFormat="1" applyFont="1"/>
    <xf numFmtId="0" fontId="6" fillId="0" borderId="0" xfId="0" applyFont="1"/>
    <xf numFmtId="0" fontId="2" fillId="4" borderId="0" xfId="0" applyFont="1" applyFill="1"/>
    <xf numFmtId="1" fontId="6" fillId="0" borderId="0" xfId="0" applyNumberFormat="1" applyFont="1"/>
    <xf numFmtId="1" fontId="3" fillId="0" borderId="0" xfId="0" applyNumberFormat="1" applyFont="1"/>
    <xf numFmtId="1" fontId="6" fillId="4" borderId="0" xfId="0" applyNumberFormat="1" applyFont="1" applyFill="1"/>
    <xf numFmtId="1" fontId="7" fillId="0" borderId="0" xfId="0" applyNumberFormat="1" applyFont="1"/>
    <xf numFmtId="3" fontId="8" fillId="0" borderId="0" xfId="0" applyNumberFormat="1" applyFont="1"/>
    <xf numFmtId="3" fontId="7" fillId="0" borderId="0" xfId="0" applyNumberFormat="1" applyFont="1"/>
    <xf numFmtId="4" fontId="2" fillId="2" borderId="11" xfId="0" applyNumberFormat="1" applyFont="1" applyFill="1" applyBorder="1"/>
    <xf numFmtId="3" fontId="2" fillId="2" borderId="11" xfId="0" applyNumberFormat="1" applyFont="1" applyFill="1" applyBorder="1"/>
    <xf numFmtId="0" fontId="2" fillId="0" borderId="12" xfId="0" applyFont="1" applyBorder="1"/>
    <xf numFmtId="3" fontId="2" fillId="0" borderId="12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B44CC-D7BA-4F28-BD5C-EE7611E07F7F}">
  <sheetPr>
    <pageSetUpPr fitToPage="1"/>
  </sheetPr>
  <dimension ref="A1:BI164"/>
  <sheetViews>
    <sheetView tabSelected="1" topLeftCell="D1" zoomScaleNormal="100" workbookViewId="0">
      <selection sqref="A1:BG5"/>
    </sheetView>
  </sheetViews>
  <sheetFormatPr defaultColWidth="12.1796875" defaultRowHeight="16.75" customHeight="1" x14ac:dyDescent="0.35"/>
  <cols>
    <col min="1" max="1" width="7.453125" style="1" customWidth="1"/>
    <col min="2" max="2" width="42.1796875" style="1" customWidth="1"/>
    <col min="3" max="3" width="12.54296875" style="1" customWidth="1"/>
    <col min="4" max="4" width="15.36328125" style="1" bestFit="1" customWidth="1"/>
    <col min="5" max="5" width="6.6328125" style="1" customWidth="1"/>
    <col min="6" max="6" width="4.36328125" style="1" hidden="1" customWidth="1"/>
    <col min="7" max="38" width="0" style="1" hidden="1" customWidth="1"/>
    <col min="39" max="39" width="0.90625" style="1" hidden="1" customWidth="1"/>
    <col min="40" max="40" width="1.1796875" style="1" hidden="1" customWidth="1"/>
    <col min="41" max="41" width="1.36328125" style="1" hidden="1" customWidth="1"/>
    <col min="42" max="43" width="1.1796875" style="1" hidden="1" customWidth="1"/>
    <col min="44" max="44" width="1.54296875" style="1" hidden="1" customWidth="1"/>
    <col min="45" max="45" width="1.08984375" style="1" hidden="1" customWidth="1"/>
    <col min="46" max="46" width="0.81640625" style="1" hidden="1" customWidth="1"/>
    <col min="47" max="47" width="11.1796875" customWidth="1"/>
    <col min="48" max="48" width="13.36328125" style="1" hidden="1" customWidth="1"/>
    <col min="49" max="49" width="0" style="1" hidden="1" customWidth="1"/>
    <col min="50" max="50" width="13.81640625" style="1" hidden="1" customWidth="1"/>
    <col min="51" max="51" width="12.453125" style="1" hidden="1" customWidth="1"/>
    <col min="52" max="53" width="13.81640625" style="1" hidden="1" customWidth="1"/>
    <col min="54" max="54" width="14.1796875" style="3" customWidth="1"/>
    <col min="55" max="56" width="12.1796875" style="1"/>
    <col min="57" max="57" width="13.08984375" style="4" customWidth="1"/>
    <col min="58" max="58" width="12.1796875" style="1"/>
    <col min="59" max="59" width="13.81640625" style="1" customWidth="1"/>
    <col min="60" max="256" width="12.1796875" style="1"/>
    <col min="257" max="257" width="8.1796875" style="1" customWidth="1"/>
    <col min="258" max="258" width="42.1796875" style="1" customWidth="1"/>
    <col min="259" max="259" width="12.54296875" style="1" customWidth="1"/>
    <col min="260" max="260" width="12.1796875" style="1"/>
    <col min="261" max="261" width="7.6328125" style="1" customWidth="1"/>
    <col min="262" max="262" width="4.36328125" style="1" customWidth="1"/>
    <col min="263" max="294" width="0" style="1" hidden="1" customWidth="1"/>
    <col min="295" max="301" width="12.1796875" style="1"/>
    <col min="302" max="302" width="3.81640625" style="1" customWidth="1"/>
    <col min="303" max="303" width="12.1796875" style="1"/>
    <col min="304" max="304" width="13.36328125" style="1" customWidth="1"/>
    <col min="305" max="512" width="12.1796875" style="1"/>
    <col min="513" max="513" width="8.1796875" style="1" customWidth="1"/>
    <col min="514" max="514" width="42.1796875" style="1" customWidth="1"/>
    <col min="515" max="515" width="12.54296875" style="1" customWidth="1"/>
    <col min="516" max="516" width="12.1796875" style="1"/>
    <col min="517" max="517" width="7.6328125" style="1" customWidth="1"/>
    <col min="518" max="518" width="4.36328125" style="1" customWidth="1"/>
    <col min="519" max="550" width="0" style="1" hidden="1" customWidth="1"/>
    <col min="551" max="557" width="12.1796875" style="1"/>
    <col min="558" max="558" width="3.81640625" style="1" customWidth="1"/>
    <col min="559" max="559" width="12.1796875" style="1"/>
    <col min="560" max="560" width="13.36328125" style="1" customWidth="1"/>
    <col min="561" max="768" width="12.1796875" style="1"/>
    <col min="769" max="769" width="8.1796875" style="1" customWidth="1"/>
    <col min="770" max="770" width="42.1796875" style="1" customWidth="1"/>
    <col min="771" max="771" width="12.54296875" style="1" customWidth="1"/>
    <col min="772" max="772" width="12.1796875" style="1"/>
    <col min="773" max="773" width="7.6328125" style="1" customWidth="1"/>
    <col min="774" max="774" width="4.36328125" style="1" customWidth="1"/>
    <col min="775" max="806" width="0" style="1" hidden="1" customWidth="1"/>
    <col min="807" max="813" width="12.1796875" style="1"/>
    <col min="814" max="814" width="3.81640625" style="1" customWidth="1"/>
    <col min="815" max="815" width="12.1796875" style="1"/>
    <col min="816" max="816" width="13.36328125" style="1" customWidth="1"/>
    <col min="817" max="1024" width="12.1796875" style="1"/>
    <col min="1025" max="1025" width="8.1796875" style="1" customWidth="1"/>
    <col min="1026" max="1026" width="42.1796875" style="1" customWidth="1"/>
    <col min="1027" max="1027" width="12.54296875" style="1" customWidth="1"/>
    <col min="1028" max="1028" width="12.1796875" style="1"/>
    <col min="1029" max="1029" width="7.6328125" style="1" customWidth="1"/>
    <col min="1030" max="1030" width="4.36328125" style="1" customWidth="1"/>
    <col min="1031" max="1062" width="0" style="1" hidden="1" customWidth="1"/>
    <col min="1063" max="1069" width="12.1796875" style="1"/>
    <col min="1070" max="1070" width="3.81640625" style="1" customWidth="1"/>
    <col min="1071" max="1071" width="12.1796875" style="1"/>
    <col min="1072" max="1072" width="13.36328125" style="1" customWidth="1"/>
    <col min="1073" max="1280" width="12.1796875" style="1"/>
    <col min="1281" max="1281" width="8.1796875" style="1" customWidth="1"/>
    <col min="1282" max="1282" width="42.1796875" style="1" customWidth="1"/>
    <col min="1283" max="1283" width="12.54296875" style="1" customWidth="1"/>
    <col min="1284" max="1284" width="12.1796875" style="1"/>
    <col min="1285" max="1285" width="7.6328125" style="1" customWidth="1"/>
    <col min="1286" max="1286" width="4.36328125" style="1" customWidth="1"/>
    <col min="1287" max="1318" width="0" style="1" hidden="1" customWidth="1"/>
    <col min="1319" max="1325" width="12.1796875" style="1"/>
    <col min="1326" max="1326" width="3.81640625" style="1" customWidth="1"/>
    <col min="1327" max="1327" width="12.1796875" style="1"/>
    <col min="1328" max="1328" width="13.36328125" style="1" customWidth="1"/>
    <col min="1329" max="1536" width="12.1796875" style="1"/>
    <col min="1537" max="1537" width="8.1796875" style="1" customWidth="1"/>
    <col min="1538" max="1538" width="42.1796875" style="1" customWidth="1"/>
    <col min="1539" max="1539" width="12.54296875" style="1" customWidth="1"/>
    <col min="1540" max="1540" width="12.1796875" style="1"/>
    <col min="1541" max="1541" width="7.6328125" style="1" customWidth="1"/>
    <col min="1542" max="1542" width="4.36328125" style="1" customWidth="1"/>
    <col min="1543" max="1574" width="0" style="1" hidden="1" customWidth="1"/>
    <col min="1575" max="1581" width="12.1796875" style="1"/>
    <col min="1582" max="1582" width="3.81640625" style="1" customWidth="1"/>
    <col min="1583" max="1583" width="12.1796875" style="1"/>
    <col min="1584" max="1584" width="13.36328125" style="1" customWidth="1"/>
    <col min="1585" max="1792" width="12.1796875" style="1"/>
    <col min="1793" max="1793" width="8.1796875" style="1" customWidth="1"/>
    <col min="1794" max="1794" width="42.1796875" style="1" customWidth="1"/>
    <col min="1795" max="1795" width="12.54296875" style="1" customWidth="1"/>
    <col min="1796" max="1796" width="12.1796875" style="1"/>
    <col min="1797" max="1797" width="7.6328125" style="1" customWidth="1"/>
    <col min="1798" max="1798" width="4.36328125" style="1" customWidth="1"/>
    <col min="1799" max="1830" width="0" style="1" hidden="1" customWidth="1"/>
    <col min="1831" max="1837" width="12.1796875" style="1"/>
    <col min="1838" max="1838" width="3.81640625" style="1" customWidth="1"/>
    <col min="1839" max="1839" width="12.1796875" style="1"/>
    <col min="1840" max="1840" width="13.36328125" style="1" customWidth="1"/>
    <col min="1841" max="2048" width="12.1796875" style="1"/>
    <col min="2049" max="2049" width="8.1796875" style="1" customWidth="1"/>
    <col min="2050" max="2050" width="42.1796875" style="1" customWidth="1"/>
    <col min="2051" max="2051" width="12.54296875" style="1" customWidth="1"/>
    <col min="2052" max="2052" width="12.1796875" style="1"/>
    <col min="2053" max="2053" width="7.6328125" style="1" customWidth="1"/>
    <col min="2054" max="2054" width="4.36328125" style="1" customWidth="1"/>
    <col min="2055" max="2086" width="0" style="1" hidden="1" customWidth="1"/>
    <col min="2087" max="2093" width="12.1796875" style="1"/>
    <col min="2094" max="2094" width="3.81640625" style="1" customWidth="1"/>
    <col min="2095" max="2095" width="12.1796875" style="1"/>
    <col min="2096" max="2096" width="13.36328125" style="1" customWidth="1"/>
    <col min="2097" max="2304" width="12.1796875" style="1"/>
    <col min="2305" max="2305" width="8.1796875" style="1" customWidth="1"/>
    <col min="2306" max="2306" width="42.1796875" style="1" customWidth="1"/>
    <col min="2307" max="2307" width="12.54296875" style="1" customWidth="1"/>
    <col min="2308" max="2308" width="12.1796875" style="1"/>
    <col min="2309" max="2309" width="7.6328125" style="1" customWidth="1"/>
    <col min="2310" max="2310" width="4.36328125" style="1" customWidth="1"/>
    <col min="2311" max="2342" width="0" style="1" hidden="1" customWidth="1"/>
    <col min="2343" max="2349" width="12.1796875" style="1"/>
    <col min="2350" max="2350" width="3.81640625" style="1" customWidth="1"/>
    <col min="2351" max="2351" width="12.1796875" style="1"/>
    <col min="2352" max="2352" width="13.36328125" style="1" customWidth="1"/>
    <col min="2353" max="2560" width="12.1796875" style="1"/>
    <col min="2561" max="2561" width="8.1796875" style="1" customWidth="1"/>
    <col min="2562" max="2562" width="42.1796875" style="1" customWidth="1"/>
    <col min="2563" max="2563" width="12.54296875" style="1" customWidth="1"/>
    <col min="2564" max="2564" width="12.1796875" style="1"/>
    <col min="2565" max="2565" width="7.6328125" style="1" customWidth="1"/>
    <col min="2566" max="2566" width="4.36328125" style="1" customWidth="1"/>
    <col min="2567" max="2598" width="0" style="1" hidden="1" customWidth="1"/>
    <col min="2599" max="2605" width="12.1796875" style="1"/>
    <col min="2606" max="2606" width="3.81640625" style="1" customWidth="1"/>
    <col min="2607" max="2607" width="12.1796875" style="1"/>
    <col min="2608" max="2608" width="13.36328125" style="1" customWidth="1"/>
    <col min="2609" max="2816" width="12.1796875" style="1"/>
    <col min="2817" max="2817" width="8.1796875" style="1" customWidth="1"/>
    <col min="2818" max="2818" width="42.1796875" style="1" customWidth="1"/>
    <col min="2819" max="2819" width="12.54296875" style="1" customWidth="1"/>
    <col min="2820" max="2820" width="12.1796875" style="1"/>
    <col min="2821" max="2821" width="7.6328125" style="1" customWidth="1"/>
    <col min="2822" max="2822" width="4.36328125" style="1" customWidth="1"/>
    <col min="2823" max="2854" width="0" style="1" hidden="1" customWidth="1"/>
    <col min="2855" max="2861" width="12.1796875" style="1"/>
    <col min="2862" max="2862" width="3.81640625" style="1" customWidth="1"/>
    <col min="2863" max="2863" width="12.1796875" style="1"/>
    <col min="2864" max="2864" width="13.36328125" style="1" customWidth="1"/>
    <col min="2865" max="3072" width="12.1796875" style="1"/>
    <col min="3073" max="3073" width="8.1796875" style="1" customWidth="1"/>
    <col min="3074" max="3074" width="42.1796875" style="1" customWidth="1"/>
    <col min="3075" max="3075" width="12.54296875" style="1" customWidth="1"/>
    <col min="3076" max="3076" width="12.1796875" style="1"/>
    <col min="3077" max="3077" width="7.6328125" style="1" customWidth="1"/>
    <col min="3078" max="3078" width="4.36328125" style="1" customWidth="1"/>
    <col min="3079" max="3110" width="0" style="1" hidden="1" customWidth="1"/>
    <col min="3111" max="3117" width="12.1796875" style="1"/>
    <col min="3118" max="3118" width="3.81640625" style="1" customWidth="1"/>
    <col min="3119" max="3119" width="12.1796875" style="1"/>
    <col min="3120" max="3120" width="13.36328125" style="1" customWidth="1"/>
    <col min="3121" max="3328" width="12.1796875" style="1"/>
    <col min="3329" max="3329" width="8.1796875" style="1" customWidth="1"/>
    <col min="3330" max="3330" width="42.1796875" style="1" customWidth="1"/>
    <col min="3331" max="3331" width="12.54296875" style="1" customWidth="1"/>
    <col min="3332" max="3332" width="12.1796875" style="1"/>
    <col min="3333" max="3333" width="7.6328125" style="1" customWidth="1"/>
    <col min="3334" max="3334" width="4.36328125" style="1" customWidth="1"/>
    <col min="3335" max="3366" width="0" style="1" hidden="1" customWidth="1"/>
    <col min="3367" max="3373" width="12.1796875" style="1"/>
    <col min="3374" max="3374" width="3.81640625" style="1" customWidth="1"/>
    <col min="3375" max="3375" width="12.1796875" style="1"/>
    <col min="3376" max="3376" width="13.36328125" style="1" customWidth="1"/>
    <col min="3377" max="3584" width="12.1796875" style="1"/>
    <col min="3585" max="3585" width="8.1796875" style="1" customWidth="1"/>
    <col min="3586" max="3586" width="42.1796875" style="1" customWidth="1"/>
    <col min="3587" max="3587" width="12.54296875" style="1" customWidth="1"/>
    <col min="3588" max="3588" width="12.1796875" style="1"/>
    <col min="3589" max="3589" width="7.6328125" style="1" customWidth="1"/>
    <col min="3590" max="3590" width="4.36328125" style="1" customWidth="1"/>
    <col min="3591" max="3622" width="0" style="1" hidden="1" customWidth="1"/>
    <col min="3623" max="3629" width="12.1796875" style="1"/>
    <col min="3630" max="3630" width="3.81640625" style="1" customWidth="1"/>
    <col min="3631" max="3631" width="12.1796875" style="1"/>
    <col min="3632" max="3632" width="13.36328125" style="1" customWidth="1"/>
    <col min="3633" max="3840" width="12.1796875" style="1"/>
    <col min="3841" max="3841" width="8.1796875" style="1" customWidth="1"/>
    <col min="3842" max="3842" width="42.1796875" style="1" customWidth="1"/>
    <col min="3843" max="3843" width="12.54296875" style="1" customWidth="1"/>
    <col min="3844" max="3844" width="12.1796875" style="1"/>
    <col min="3845" max="3845" width="7.6328125" style="1" customWidth="1"/>
    <col min="3846" max="3846" width="4.36328125" style="1" customWidth="1"/>
    <col min="3847" max="3878" width="0" style="1" hidden="1" customWidth="1"/>
    <col min="3879" max="3885" width="12.1796875" style="1"/>
    <col min="3886" max="3886" width="3.81640625" style="1" customWidth="1"/>
    <col min="3887" max="3887" width="12.1796875" style="1"/>
    <col min="3888" max="3888" width="13.36328125" style="1" customWidth="1"/>
    <col min="3889" max="4096" width="12.1796875" style="1"/>
    <col min="4097" max="4097" width="8.1796875" style="1" customWidth="1"/>
    <col min="4098" max="4098" width="42.1796875" style="1" customWidth="1"/>
    <col min="4099" max="4099" width="12.54296875" style="1" customWidth="1"/>
    <col min="4100" max="4100" width="12.1796875" style="1"/>
    <col min="4101" max="4101" width="7.6328125" style="1" customWidth="1"/>
    <col min="4102" max="4102" width="4.36328125" style="1" customWidth="1"/>
    <col min="4103" max="4134" width="0" style="1" hidden="1" customWidth="1"/>
    <col min="4135" max="4141" width="12.1796875" style="1"/>
    <col min="4142" max="4142" width="3.81640625" style="1" customWidth="1"/>
    <col min="4143" max="4143" width="12.1796875" style="1"/>
    <col min="4144" max="4144" width="13.36328125" style="1" customWidth="1"/>
    <col min="4145" max="4352" width="12.1796875" style="1"/>
    <col min="4353" max="4353" width="8.1796875" style="1" customWidth="1"/>
    <col min="4354" max="4354" width="42.1796875" style="1" customWidth="1"/>
    <col min="4355" max="4355" width="12.54296875" style="1" customWidth="1"/>
    <col min="4356" max="4356" width="12.1796875" style="1"/>
    <col min="4357" max="4357" width="7.6328125" style="1" customWidth="1"/>
    <col min="4358" max="4358" width="4.36328125" style="1" customWidth="1"/>
    <col min="4359" max="4390" width="0" style="1" hidden="1" customWidth="1"/>
    <col min="4391" max="4397" width="12.1796875" style="1"/>
    <col min="4398" max="4398" width="3.81640625" style="1" customWidth="1"/>
    <col min="4399" max="4399" width="12.1796875" style="1"/>
    <col min="4400" max="4400" width="13.36328125" style="1" customWidth="1"/>
    <col min="4401" max="4608" width="12.1796875" style="1"/>
    <col min="4609" max="4609" width="8.1796875" style="1" customWidth="1"/>
    <col min="4610" max="4610" width="42.1796875" style="1" customWidth="1"/>
    <col min="4611" max="4611" width="12.54296875" style="1" customWidth="1"/>
    <col min="4612" max="4612" width="12.1796875" style="1"/>
    <col min="4613" max="4613" width="7.6328125" style="1" customWidth="1"/>
    <col min="4614" max="4614" width="4.36328125" style="1" customWidth="1"/>
    <col min="4615" max="4646" width="0" style="1" hidden="1" customWidth="1"/>
    <col min="4647" max="4653" width="12.1796875" style="1"/>
    <col min="4654" max="4654" width="3.81640625" style="1" customWidth="1"/>
    <col min="4655" max="4655" width="12.1796875" style="1"/>
    <col min="4656" max="4656" width="13.36328125" style="1" customWidth="1"/>
    <col min="4657" max="4864" width="12.1796875" style="1"/>
    <col min="4865" max="4865" width="8.1796875" style="1" customWidth="1"/>
    <col min="4866" max="4866" width="42.1796875" style="1" customWidth="1"/>
    <col min="4867" max="4867" width="12.54296875" style="1" customWidth="1"/>
    <col min="4868" max="4868" width="12.1796875" style="1"/>
    <col min="4869" max="4869" width="7.6328125" style="1" customWidth="1"/>
    <col min="4870" max="4870" width="4.36328125" style="1" customWidth="1"/>
    <col min="4871" max="4902" width="0" style="1" hidden="1" customWidth="1"/>
    <col min="4903" max="4909" width="12.1796875" style="1"/>
    <col min="4910" max="4910" width="3.81640625" style="1" customWidth="1"/>
    <col min="4911" max="4911" width="12.1796875" style="1"/>
    <col min="4912" max="4912" width="13.36328125" style="1" customWidth="1"/>
    <col min="4913" max="5120" width="12.1796875" style="1"/>
    <col min="5121" max="5121" width="8.1796875" style="1" customWidth="1"/>
    <col min="5122" max="5122" width="42.1796875" style="1" customWidth="1"/>
    <col min="5123" max="5123" width="12.54296875" style="1" customWidth="1"/>
    <col min="5124" max="5124" width="12.1796875" style="1"/>
    <col min="5125" max="5125" width="7.6328125" style="1" customWidth="1"/>
    <col min="5126" max="5126" width="4.36328125" style="1" customWidth="1"/>
    <col min="5127" max="5158" width="0" style="1" hidden="1" customWidth="1"/>
    <col min="5159" max="5165" width="12.1796875" style="1"/>
    <col min="5166" max="5166" width="3.81640625" style="1" customWidth="1"/>
    <col min="5167" max="5167" width="12.1796875" style="1"/>
    <col min="5168" max="5168" width="13.36328125" style="1" customWidth="1"/>
    <col min="5169" max="5376" width="12.1796875" style="1"/>
    <col min="5377" max="5377" width="8.1796875" style="1" customWidth="1"/>
    <col min="5378" max="5378" width="42.1796875" style="1" customWidth="1"/>
    <col min="5379" max="5379" width="12.54296875" style="1" customWidth="1"/>
    <col min="5380" max="5380" width="12.1796875" style="1"/>
    <col min="5381" max="5381" width="7.6328125" style="1" customWidth="1"/>
    <col min="5382" max="5382" width="4.36328125" style="1" customWidth="1"/>
    <col min="5383" max="5414" width="0" style="1" hidden="1" customWidth="1"/>
    <col min="5415" max="5421" width="12.1796875" style="1"/>
    <col min="5422" max="5422" width="3.81640625" style="1" customWidth="1"/>
    <col min="5423" max="5423" width="12.1796875" style="1"/>
    <col min="5424" max="5424" width="13.36328125" style="1" customWidth="1"/>
    <col min="5425" max="5632" width="12.1796875" style="1"/>
    <col min="5633" max="5633" width="8.1796875" style="1" customWidth="1"/>
    <col min="5634" max="5634" width="42.1796875" style="1" customWidth="1"/>
    <col min="5635" max="5635" width="12.54296875" style="1" customWidth="1"/>
    <col min="5636" max="5636" width="12.1796875" style="1"/>
    <col min="5637" max="5637" width="7.6328125" style="1" customWidth="1"/>
    <col min="5638" max="5638" width="4.36328125" style="1" customWidth="1"/>
    <col min="5639" max="5670" width="0" style="1" hidden="1" customWidth="1"/>
    <col min="5671" max="5677" width="12.1796875" style="1"/>
    <col min="5678" max="5678" width="3.81640625" style="1" customWidth="1"/>
    <col min="5679" max="5679" width="12.1796875" style="1"/>
    <col min="5680" max="5680" width="13.36328125" style="1" customWidth="1"/>
    <col min="5681" max="5888" width="12.1796875" style="1"/>
    <col min="5889" max="5889" width="8.1796875" style="1" customWidth="1"/>
    <col min="5890" max="5890" width="42.1796875" style="1" customWidth="1"/>
    <col min="5891" max="5891" width="12.54296875" style="1" customWidth="1"/>
    <col min="5892" max="5892" width="12.1796875" style="1"/>
    <col min="5893" max="5893" width="7.6328125" style="1" customWidth="1"/>
    <col min="5894" max="5894" width="4.36328125" style="1" customWidth="1"/>
    <col min="5895" max="5926" width="0" style="1" hidden="1" customWidth="1"/>
    <col min="5927" max="5933" width="12.1796875" style="1"/>
    <col min="5934" max="5934" width="3.81640625" style="1" customWidth="1"/>
    <col min="5935" max="5935" width="12.1796875" style="1"/>
    <col min="5936" max="5936" width="13.36328125" style="1" customWidth="1"/>
    <col min="5937" max="6144" width="12.1796875" style="1"/>
    <col min="6145" max="6145" width="8.1796875" style="1" customWidth="1"/>
    <col min="6146" max="6146" width="42.1796875" style="1" customWidth="1"/>
    <col min="6147" max="6147" width="12.54296875" style="1" customWidth="1"/>
    <col min="6148" max="6148" width="12.1796875" style="1"/>
    <col min="6149" max="6149" width="7.6328125" style="1" customWidth="1"/>
    <col min="6150" max="6150" width="4.36328125" style="1" customWidth="1"/>
    <col min="6151" max="6182" width="0" style="1" hidden="1" customWidth="1"/>
    <col min="6183" max="6189" width="12.1796875" style="1"/>
    <col min="6190" max="6190" width="3.81640625" style="1" customWidth="1"/>
    <col min="6191" max="6191" width="12.1796875" style="1"/>
    <col min="6192" max="6192" width="13.36328125" style="1" customWidth="1"/>
    <col min="6193" max="6400" width="12.1796875" style="1"/>
    <col min="6401" max="6401" width="8.1796875" style="1" customWidth="1"/>
    <col min="6402" max="6402" width="42.1796875" style="1" customWidth="1"/>
    <col min="6403" max="6403" width="12.54296875" style="1" customWidth="1"/>
    <col min="6404" max="6404" width="12.1796875" style="1"/>
    <col min="6405" max="6405" width="7.6328125" style="1" customWidth="1"/>
    <col min="6406" max="6406" width="4.36328125" style="1" customWidth="1"/>
    <col min="6407" max="6438" width="0" style="1" hidden="1" customWidth="1"/>
    <col min="6439" max="6445" width="12.1796875" style="1"/>
    <col min="6446" max="6446" width="3.81640625" style="1" customWidth="1"/>
    <col min="6447" max="6447" width="12.1796875" style="1"/>
    <col min="6448" max="6448" width="13.36328125" style="1" customWidth="1"/>
    <col min="6449" max="6656" width="12.1796875" style="1"/>
    <col min="6657" max="6657" width="8.1796875" style="1" customWidth="1"/>
    <col min="6658" max="6658" width="42.1796875" style="1" customWidth="1"/>
    <col min="6659" max="6659" width="12.54296875" style="1" customWidth="1"/>
    <col min="6660" max="6660" width="12.1796875" style="1"/>
    <col min="6661" max="6661" width="7.6328125" style="1" customWidth="1"/>
    <col min="6662" max="6662" width="4.36328125" style="1" customWidth="1"/>
    <col min="6663" max="6694" width="0" style="1" hidden="1" customWidth="1"/>
    <col min="6695" max="6701" width="12.1796875" style="1"/>
    <col min="6702" max="6702" width="3.81640625" style="1" customWidth="1"/>
    <col min="6703" max="6703" width="12.1796875" style="1"/>
    <col min="6704" max="6704" width="13.36328125" style="1" customWidth="1"/>
    <col min="6705" max="6912" width="12.1796875" style="1"/>
    <col min="6913" max="6913" width="8.1796875" style="1" customWidth="1"/>
    <col min="6914" max="6914" width="42.1796875" style="1" customWidth="1"/>
    <col min="6915" max="6915" width="12.54296875" style="1" customWidth="1"/>
    <col min="6916" max="6916" width="12.1796875" style="1"/>
    <col min="6917" max="6917" width="7.6328125" style="1" customWidth="1"/>
    <col min="6918" max="6918" width="4.36328125" style="1" customWidth="1"/>
    <col min="6919" max="6950" width="0" style="1" hidden="1" customWidth="1"/>
    <col min="6951" max="6957" width="12.1796875" style="1"/>
    <col min="6958" max="6958" width="3.81640625" style="1" customWidth="1"/>
    <col min="6959" max="6959" width="12.1796875" style="1"/>
    <col min="6960" max="6960" width="13.36328125" style="1" customWidth="1"/>
    <col min="6961" max="7168" width="12.1796875" style="1"/>
    <col min="7169" max="7169" width="8.1796875" style="1" customWidth="1"/>
    <col min="7170" max="7170" width="42.1796875" style="1" customWidth="1"/>
    <col min="7171" max="7171" width="12.54296875" style="1" customWidth="1"/>
    <col min="7172" max="7172" width="12.1796875" style="1"/>
    <col min="7173" max="7173" width="7.6328125" style="1" customWidth="1"/>
    <col min="7174" max="7174" width="4.36328125" style="1" customWidth="1"/>
    <col min="7175" max="7206" width="0" style="1" hidden="1" customWidth="1"/>
    <col min="7207" max="7213" width="12.1796875" style="1"/>
    <col min="7214" max="7214" width="3.81640625" style="1" customWidth="1"/>
    <col min="7215" max="7215" width="12.1796875" style="1"/>
    <col min="7216" max="7216" width="13.36328125" style="1" customWidth="1"/>
    <col min="7217" max="7424" width="12.1796875" style="1"/>
    <col min="7425" max="7425" width="8.1796875" style="1" customWidth="1"/>
    <col min="7426" max="7426" width="42.1796875" style="1" customWidth="1"/>
    <col min="7427" max="7427" width="12.54296875" style="1" customWidth="1"/>
    <col min="7428" max="7428" width="12.1796875" style="1"/>
    <col min="7429" max="7429" width="7.6328125" style="1" customWidth="1"/>
    <col min="7430" max="7430" width="4.36328125" style="1" customWidth="1"/>
    <col min="7431" max="7462" width="0" style="1" hidden="1" customWidth="1"/>
    <col min="7463" max="7469" width="12.1796875" style="1"/>
    <col min="7470" max="7470" width="3.81640625" style="1" customWidth="1"/>
    <col min="7471" max="7471" width="12.1796875" style="1"/>
    <col min="7472" max="7472" width="13.36328125" style="1" customWidth="1"/>
    <col min="7473" max="7680" width="12.1796875" style="1"/>
    <col min="7681" max="7681" width="8.1796875" style="1" customWidth="1"/>
    <col min="7682" max="7682" width="42.1796875" style="1" customWidth="1"/>
    <col min="7683" max="7683" width="12.54296875" style="1" customWidth="1"/>
    <col min="7684" max="7684" width="12.1796875" style="1"/>
    <col min="7685" max="7685" width="7.6328125" style="1" customWidth="1"/>
    <col min="7686" max="7686" width="4.36328125" style="1" customWidth="1"/>
    <col min="7687" max="7718" width="0" style="1" hidden="1" customWidth="1"/>
    <col min="7719" max="7725" width="12.1796875" style="1"/>
    <col min="7726" max="7726" width="3.81640625" style="1" customWidth="1"/>
    <col min="7727" max="7727" width="12.1796875" style="1"/>
    <col min="7728" max="7728" width="13.36328125" style="1" customWidth="1"/>
    <col min="7729" max="7936" width="12.1796875" style="1"/>
    <col min="7937" max="7937" width="8.1796875" style="1" customWidth="1"/>
    <col min="7938" max="7938" width="42.1796875" style="1" customWidth="1"/>
    <col min="7939" max="7939" width="12.54296875" style="1" customWidth="1"/>
    <col min="7940" max="7940" width="12.1796875" style="1"/>
    <col min="7941" max="7941" width="7.6328125" style="1" customWidth="1"/>
    <col min="7942" max="7942" width="4.36328125" style="1" customWidth="1"/>
    <col min="7943" max="7974" width="0" style="1" hidden="1" customWidth="1"/>
    <col min="7975" max="7981" width="12.1796875" style="1"/>
    <col min="7982" max="7982" width="3.81640625" style="1" customWidth="1"/>
    <col min="7983" max="7983" width="12.1796875" style="1"/>
    <col min="7984" max="7984" width="13.36328125" style="1" customWidth="1"/>
    <col min="7985" max="8192" width="12.1796875" style="1"/>
    <col min="8193" max="8193" width="8.1796875" style="1" customWidth="1"/>
    <col min="8194" max="8194" width="42.1796875" style="1" customWidth="1"/>
    <col min="8195" max="8195" width="12.54296875" style="1" customWidth="1"/>
    <col min="8196" max="8196" width="12.1796875" style="1"/>
    <col min="8197" max="8197" width="7.6328125" style="1" customWidth="1"/>
    <col min="8198" max="8198" width="4.36328125" style="1" customWidth="1"/>
    <col min="8199" max="8230" width="0" style="1" hidden="1" customWidth="1"/>
    <col min="8231" max="8237" width="12.1796875" style="1"/>
    <col min="8238" max="8238" width="3.81640625" style="1" customWidth="1"/>
    <col min="8239" max="8239" width="12.1796875" style="1"/>
    <col min="8240" max="8240" width="13.36328125" style="1" customWidth="1"/>
    <col min="8241" max="8448" width="12.1796875" style="1"/>
    <col min="8449" max="8449" width="8.1796875" style="1" customWidth="1"/>
    <col min="8450" max="8450" width="42.1796875" style="1" customWidth="1"/>
    <col min="8451" max="8451" width="12.54296875" style="1" customWidth="1"/>
    <col min="8452" max="8452" width="12.1796875" style="1"/>
    <col min="8453" max="8453" width="7.6328125" style="1" customWidth="1"/>
    <col min="8454" max="8454" width="4.36328125" style="1" customWidth="1"/>
    <col min="8455" max="8486" width="0" style="1" hidden="1" customWidth="1"/>
    <col min="8487" max="8493" width="12.1796875" style="1"/>
    <col min="8494" max="8494" width="3.81640625" style="1" customWidth="1"/>
    <col min="8495" max="8495" width="12.1796875" style="1"/>
    <col min="8496" max="8496" width="13.36328125" style="1" customWidth="1"/>
    <col min="8497" max="8704" width="12.1796875" style="1"/>
    <col min="8705" max="8705" width="8.1796875" style="1" customWidth="1"/>
    <col min="8706" max="8706" width="42.1796875" style="1" customWidth="1"/>
    <col min="8707" max="8707" width="12.54296875" style="1" customWidth="1"/>
    <col min="8708" max="8708" width="12.1796875" style="1"/>
    <col min="8709" max="8709" width="7.6328125" style="1" customWidth="1"/>
    <col min="8710" max="8710" width="4.36328125" style="1" customWidth="1"/>
    <col min="8711" max="8742" width="0" style="1" hidden="1" customWidth="1"/>
    <col min="8743" max="8749" width="12.1796875" style="1"/>
    <col min="8750" max="8750" width="3.81640625" style="1" customWidth="1"/>
    <col min="8751" max="8751" width="12.1796875" style="1"/>
    <col min="8752" max="8752" width="13.36328125" style="1" customWidth="1"/>
    <col min="8753" max="8960" width="12.1796875" style="1"/>
    <col min="8961" max="8961" width="8.1796875" style="1" customWidth="1"/>
    <col min="8962" max="8962" width="42.1796875" style="1" customWidth="1"/>
    <col min="8963" max="8963" width="12.54296875" style="1" customWidth="1"/>
    <col min="8964" max="8964" width="12.1796875" style="1"/>
    <col min="8965" max="8965" width="7.6328125" style="1" customWidth="1"/>
    <col min="8966" max="8966" width="4.36328125" style="1" customWidth="1"/>
    <col min="8967" max="8998" width="0" style="1" hidden="1" customWidth="1"/>
    <col min="8999" max="9005" width="12.1796875" style="1"/>
    <col min="9006" max="9006" width="3.81640625" style="1" customWidth="1"/>
    <col min="9007" max="9007" width="12.1796875" style="1"/>
    <col min="9008" max="9008" width="13.36328125" style="1" customWidth="1"/>
    <col min="9009" max="9216" width="12.1796875" style="1"/>
    <col min="9217" max="9217" width="8.1796875" style="1" customWidth="1"/>
    <col min="9218" max="9218" width="42.1796875" style="1" customWidth="1"/>
    <col min="9219" max="9219" width="12.54296875" style="1" customWidth="1"/>
    <col min="9220" max="9220" width="12.1796875" style="1"/>
    <col min="9221" max="9221" width="7.6328125" style="1" customWidth="1"/>
    <col min="9222" max="9222" width="4.36328125" style="1" customWidth="1"/>
    <col min="9223" max="9254" width="0" style="1" hidden="1" customWidth="1"/>
    <col min="9255" max="9261" width="12.1796875" style="1"/>
    <col min="9262" max="9262" width="3.81640625" style="1" customWidth="1"/>
    <col min="9263" max="9263" width="12.1796875" style="1"/>
    <col min="9264" max="9264" width="13.36328125" style="1" customWidth="1"/>
    <col min="9265" max="9472" width="12.1796875" style="1"/>
    <col min="9473" max="9473" width="8.1796875" style="1" customWidth="1"/>
    <col min="9474" max="9474" width="42.1796875" style="1" customWidth="1"/>
    <col min="9475" max="9475" width="12.54296875" style="1" customWidth="1"/>
    <col min="9476" max="9476" width="12.1796875" style="1"/>
    <col min="9477" max="9477" width="7.6328125" style="1" customWidth="1"/>
    <col min="9478" max="9478" width="4.36328125" style="1" customWidth="1"/>
    <col min="9479" max="9510" width="0" style="1" hidden="1" customWidth="1"/>
    <col min="9511" max="9517" width="12.1796875" style="1"/>
    <col min="9518" max="9518" width="3.81640625" style="1" customWidth="1"/>
    <col min="9519" max="9519" width="12.1796875" style="1"/>
    <col min="9520" max="9520" width="13.36328125" style="1" customWidth="1"/>
    <col min="9521" max="9728" width="12.1796875" style="1"/>
    <col min="9729" max="9729" width="8.1796875" style="1" customWidth="1"/>
    <col min="9730" max="9730" width="42.1796875" style="1" customWidth="1"/>
    <col min="9731" max="9731" width="12.54296875" style="1" customWidth="1"/>
    <col min="9732" max="9732" width="12.1796875" style="1"/>
    <col min="9733" max="9733" width="7.6328125" style="1" customWidth="1"/>
    <col min="9734" max="9734" width="4.36328125" style="1" customWidth="1"/>
    <col min="9735" max="9766" width="0" style="1" hidden="1" customWidth="1"/>
    <col min="9767" max="9773" width="12.1796875" style="1"/>
    <col min="9774" max="9774" width="3.81640625" style="1" customWidth="1"/>
    <col min="9775" max="9775" width="12.1796875" style="1"/>
    <col min="9776" max="9776" width="13.36328125" style="1" customWidth="1"/>
    <col min="9777" max="9984" width="12.1796875" style="1"/>
    <col min="9985" max="9985" width="8.1796875" style="1" customWidth="1"/>
    <col min="9986" max="9986" width="42.1796875" style="1" customWidth="1"/>
    <col min="9987" max="9987" width="12.54296875" style="1" customWidth="1"/>
    <col min="9988" max="9988" width="12.1796875" style="1"/>
    <col min="9989" max="9989" width="7.6328125" style="1" customWidth="1"/>
    <col min="9990" max="9990" width="4.36328125" style="1" customWidth="1"/>
    <col min="9991" max="10022" width="0" style="1" hidden="1" customWidth="1"/>
    <col min="10023" max="10029" width="12.1796875" style="1"/>
    <col min="10030" max="10030" width="3.81640625" style="1" customWidth="1"/>
    <col min="10031" max="10031" width="12.1796875" style="1"/>
    <col min="10032" max="10032" width="13.36328125" style="1" customWidth="1"/>
    <col min="10033" max="10240" width="12.1796875" style="1"/>
    <col min="10241" max="10241" width="8.1796875" style="1" customWidth="1"/>
    <col min="10242" max="10242" width="42.1796875" style="1" customWidth="1"/>
    <col min="10243" max="10243" width="12.54296875" style="1" customWidth="1"/>
    <col min="10244" max="10244" width="12.1796875" style="1"/>
    <col min="10245" max="10245" width="7.6328125" style="1" customWidth="1"/>
    <col min="10246" max="10246" width="4.36328125" style="1" customWidth="1"/>
    <col min="10247" max="10278" width="0" style="1" hidden="1" customWidth="1"/>
    <col min="10279" max="10285" width="12.1796875" style="1"/>
    <col min="10286" max="10286" width="3.81640625" style="1" customWidth="1"/>
    <col min="10287" max="10287" width="12.1796875" style="1"/>
    <col min="10288" max="10288" width="13.36328125" style="1" customWidth="1"/>
    <col min="10289" max="10496" width="12.1796875" style="1"/>
    <col min="10497" max="10497" width="8.1796875" style="1" customWidth="1"/>
    <col min="10498" max="10498" width="42.1796875" style="1" customWidth="1"/>
    <col min="10499" max="10499" width="12.54296875" style="1" customWidth="1"/>
    <col min="10500" max="10500" width="12.1796875" style="1"/>
    <col min="10501" max="10501" width="7.6328125" style="1" customWidth="1"/>
    <col min="10502" max="10502" width="4.36328125" style="1" customWidth="1"/>
    <col min="10503" max="10534" width="0" style="1" hidden="1" customWidth="1"/>
    <col min="10535" max="10541" width="12.1796875" style="1"/>
    <col min="10542" max="10542" width="3.81640625" style="1" customWidth="1"/>
    <col min="10543" max="10543" width="12.1796875" style="1"/>
    <col min="10544" max="10544" width="13.36328125" style="1" customWidth="1"/>
    <col min="10545" max="10752" width="12.1796875" style="1"/>
    <col min="10753" max="10753" width="8.1796875" style="1" customWidth="1"/>
    <col min="10754" max="10754" width="42.1796875" style="1" customWidth="1"/>
    <col min="10755" max="10755" width="12.54296875" style="1" customWidth="1"/>
    <col min="10756" max="10756" width="12.1796875" style="1"/>
    <col min="10757" max="10757" width="7.6328125" style="1" customWidth="1"/>
    <col min="10758" max="10758" width="4.36328125" style="1" customWidth="1"/>
    <col min="10759" max="10790" width="0" style="1" hidden="1" customWidth="1"/>
    <col min="10791" max="10797" width="12.1796875" style="1"/>
    <col min="10798" max="10798" width="3.81640625" style="1" customWidth="1"/>
    <col min="10799" max="10799" width="12.1796875" style="1"/>
    <col min="10800" max="10800" width="13.36328125" style="1" customWidth="1"/>
    <col min="10801" max="11008" width="12.1796875" style="1"/>
    <col min="11009" max="11009" width="8.1796875" style="1" customWidth="1"/>
    <col min="11010" max="11010" width="42.1796875" style="1" customWidth="1"/>
    <col min="11011" max="11011" width="12.54296875" style="1" customWidth="1"/>
    <col min="11012" max="11012" width="12.1796875" style="1"/>
    <col min="11013" max="11013" width="7.6328125" style="1" customWidth="1"/>
    <col min="11014" max="11014" width="4.36328125" style="1" customWidth="1"/>
    <col min="11015" max="11046" width="0" style="1" hidden="1" customWidth="1"/>
    <col min="11047" max="11053" width="12.1796875" style="1"/>
    <col min="11054" max="11054" width="3.81640625" style="1" customWidth="1"/>
    <col min="11055" max="11055" width="12.1796875" style="1"/>
    <col min="11056" max="11056" width="13.36328125" style="1" customWidth="1"/>
    <col min="11057" max="11264" width="12.1796875" style="1"/>
    <col min="11265" max="11265" width="8.1796875" style="1" customWidth="1"/>
    <col min="11266" max="11266" width="42.1796875" style="1" customWidth="1"/>
    <col min="11267" max="11267" width="12.54296875" style="1" customWidth="1"/>
    <col min="11268" max="11268" width="12.1796875" style="1"/>
    <col min="11269" max="11269" width="7.6328125" style="1" customWidth="1"/>
    <col min="11270" max="11270" width="4.36328125" style="1" customWidth="1"/>
    <col min="11271" max="11302" width="0" style="1" hidden="1" customWidth="1"/>
    <col min="11303" max="11309" width="12.1796875" style="1"/>
    <col min="11310" max="11310" width="3.81640625" style="1" customWidth="1"/>
    <col min="11311" max="11311" width="12.1796875" style="1"/>
    <col min="11312" max="11312" width="13.36328125" style="1" customWidth="1"/>
    <col min="11313" max="11520" width="12.1796875" style="1"/>
    <col min="11521" max="11521" width="8.1796875" style="1" customWidth="1"/>
    <col min="11522" max="11522" width="42.1796875" style="1" customWidth="1"/>
    <col min="11523" max="11523" width="12.54296875" style="1" customWidth="1"/>
    <col min="11524" max="11524" width="12.1796875" style="1"/>
    <col min="11525" max="11525" width="7.6328125" style="1" customWidth="1"/>
    <col min="11526" max="11526" width="4.36328125" style="1" customWidth="1"/>
    <col min="11527" max="11558" width="0" style="1" hidden="1" customWidth="1"/>
    <col min="11559" max="11565" width="12.1796875" style="1"/>
    <col min="11566" max="11566" width="3.81640625" style="1" customWidth="1"/>
    <col min="11567" max="11567" width="12.1796875" style="1"/>
    <col min="11568" max="11568" width="13.36328125" style="1" customWidth="1"/>
    <col min="11569" max="11776" width="12.1796875" style="1"/>
    <col min="11777" max="11777" width="8.1796875" style="1" customWidth="1"/>
    <col min="11778" max="11778" width="42.1796875" style="1" customWidth="1"/>
    <col min="11779" max="11779" width="12.54296875" style="1" customWidth="1"/>
    <col min="11780" max="11780" width="12.1796875" style="1"/>
    <col min="11781" max="11781" width="7.6328125" style="1" customWidth="1"/>
    <col min="11782" max="11782" width="4.36328125" style="1" customWidth="1"/>
    <col min="11783" max="11814" width="0" style="1" hidden="1" customWidth="1"/>
    <col min="11815" max="11821" width="12.1796875" style="1"/>
    <col min="11822" max="11822" width="3.81640625" style="1" customWidth="1"/>
    <col min="11823" max="11823" width="12.1796875" style="1"/>
    <col min="11824" max="11824" width="13.36328125" style="1" customWidth="1"/>
    <col min="11825" max="12032" width="12.1796875" style="1"/>
    <col min="12033" max="12033" width="8.1796875" style="1" customWidth="1"/>
    <col min="12034" max="12034" width="42.1796875" style="1" customWidth="1"/>
    <col min="12035" max="12035" width="12.54296875" style="1" customWidth="1"/>
    <col min="12036" max="12036" width="12.1796875" style="1"/>
    <col min="12037" max="12037" width="7.6328125" style="1" customWidth="1"/>
    <col min="12038" max="12038" width="4.36328125" style="1" customWidth="1"/>
    <col min="12039" max="12070" width="0" style="1" hidden="1" customWidth="1"/>
    <col min="12071" max="12077" width="12.1796875" style="1"/>
    <col min="12078" max="12078" width="3.81640625" style="1" customWidth="1"/>
    <col min="12079" max="12079" width="12.1796875" style="1"/>
    <col min="12080" max="12080" width="13.36328125" style="1" customWidth="1"/>
    <col min="12081" max="12288" width="12.1796875" style="1"/>
    <col min="12289" max="12289" width="8.1796875" style="1" customWidth="1"/>
    <col min="12290" max="12290" width="42.1796875" style="1" customWidth="1"/>
    <col min="12291" max="12291" width="12.54296875" style="1" customWidth="1"/>
    <col min="12292" max="12292" width="12.1796875" style="1"/>
    <col min="12293" max="12293" width="7.6328125" style="1" customWidth="1"/>
    <col min="12294" max="12294" width="4.36328125" style="1" customWidth="1"/>
    <col min="12295" max="12326" width="0" style="1" hidden="1" customWidth="1"/>
    <col min="12327" max="12333" width="12.1796875" style="1"/>
    <col min="12334" max="12334" width="3.81640625" style="1" customWidth="1"/>
    <col min="12335" max="12335" width="12.1796875" style="1"/>
    <col min="12336" max="12336" width="13.36328125" style="1" customWidth="1"/>
    <col min="12337" max="12544" width="12.1796875" style="1"/>
    <col min="12545" max="12545" width="8.1796875" style="1" customWidth="1"/>
    <col min="12546" max="12546" width="42.1796875" style="1" customWidth="1"/>
    <col min="12547" max="12547" width="12.54296875" style="1" customWidth="1"/>
    <col min="12548" max="12548" width="12.1796875" style="1"/>
    <col min="12549" max="12549" width="7.6328125" style="1" customWidth="1"/>
    <col min="12550" max="12550" width="4.36328125" style="1" customWidth="1"/>
    <col min="12551" max="12582" width="0" style="1" hidden="1" customWidth="1"/>
    <col min="12583" max="12589" width="12.1796875" style="1"/>
    <col min="12590" max="12590" width="3.81640625" style="1" customWidth="1"/>
    <col min="12591" max="12591" width="12.1796875" style="1"/>
    <col min="12592" max="12592" width="13.36328125" style="1" customWidth="1"/>
    <col min="12593" max="12800" width="12.1796875" style="1"/>
    <col min="12801" max="12801" width="8.1796875" style="1" customWidth="1"/>
    <col min="12802" max="12802" width="42.1796875" style="1" customWidth="1"/>
    <col min="12803" max="12803" width="12.54296875" style="1" customWidth="1"/>
    <col min="12804" max="12804" width="12.1796875" style="1"/>
    <col min="12805" max="12805" width="7.6328125" style="1" customWidth="1"/>
    <col min="12806" max="12806" width="4.36328125" style="1" customWidth="1"/>
    <col min="12807" max="12838" width="0" style="1" hidden="1" customWidth="1"/>
    <col min="12839" max="12845" width="12.1796875" style="1"/>
    <col min="12846" max="12846" width="3.81640625" style="1" customWidth="1"/>
    <col min="12847" max="12847" width="12.1796875" style="1"/>
    <col min="12848" max="12848" width="13.36328125" style="1" customWidth="1"/>
    <col min="12849" max="13056" width="12.1796875" style="1"/>
    <col min="13057" max="13057" width="8.1796875" style="1" customWidth="1"/>
    <col min="13058" max="13058" width="42.1796875" style="1" customWidth="1"/>
    <col min="13059" max="13059" width="12.54296875" style="1" customWidth="1"/>
    <col min="13060" max="13060" width="12.1796875" style="1"/>
    <col min="13061" max="13061" width="7.6328125" style="1" customWidth="1"/>
    <col min="13062" max="13062" width="4.36328125" style="1" customWidth="1"/>
    <col min="13063" max="13094" width="0" style="1" hidden="1" customWidth="1"/>
    <col min="13095" max="13101" width="12.1796875" style="1"/>
    <col min="13102" max="13102" width="3.81640625" style="1" customWidth="1"/>
    <col min="13103" max="13103" width="12.1796875" style="1"/>
    <col min="13104" max="13104" width="13.36328125" style="1" customWidth="1"/>
    <col min="13105" max="13312" width="12.1796875" style="1"/>
    <col min="13313" max="13313" width="8.1796875" style="1" customWidth="1"/>
    <col min="13314" max="13314" width="42.1796875" style="1" customWidth="1"/>
    <col min="13315" max="13315" width="12.54296875" style="1" customWidth="1"/>
    <col min="13316" max="13316" width="12.1796875" style="1"/>
    <col min="13317" max="13317" width="7.6328125" style="1" customWidth="1"/>
    <col min="13318" max="13318" width="4.36328125" style="1" customWidth="1"/>
    <col min="13319" max="13350" width="0" style="1" hidden="1" customWidth="1"/>
    <col min="13351" max="13357" width="12.1796875" style="1"/>
    <col min="13358" max="13358" width="3.81640625" style="1" customWidth="1"/>
    <col min="13359" max="13359" width="12.1796875" style="1"/>
    <col min="13360" max="13360" width="13.36328125" style="1" customWidth="1"/>
    <col min="13361" max="13568" width="12.1796875" style="1"/>
    <col min="13569" max="13569" width="8.1796875" style="1" customWidth="1"/>
    <col min="13570" max="13570" width="42.1796875" style="1" customWidth="1"/>
    <col min="13571" max="13571" width="12.54296875" style="1" customWidth="1"/>
    <col min="13572" max="13572" width="12.1796875" style="1"/>
    <col min="13573" max="13573" width="7.6328125" style="1" customWidth="1"/>
    <col min="13574" max="13574" width="4.36328125" style="1" customWidth="1"/>
    <col min="13575" max="13606" width="0" style="1" hidden="1" customWidth="1"/>
    <col min="13607" max="13613" width="12.1796875" style="1"/>
    <col min="13614" max="13614" width="3.81640625" style="1" customWidth="1"/>
    <col min="13615" max="13615" width="12.1796875" style="1"/>
    <col min="13616" max="13616" width="13.36328125" style="1" customWidth="1"/>
    <col min="13617" max="13824" width="12.1796875" style="1"/>
    <col min="13825" max="13825" width="8.1796875" style="1" customWidth="1"/>
    <col min="13826" max="13826" width="42.1796875" style="1" customWidth="1"/>
    <col min="13827" max="13827" width="12.54296875" style="1" customWidth="1"/>
    <col min="13828" max="13828" width="12.1796875" style="1"/>
    <col min="13829" max="13829" width="7.6328125" style="1" customWidth="1"/>
    <col min="13830" max="13830" width="4.36328125" style="1" customWidth="1"/>
    <col min="13831" max="13862" width="0" style="1" hidden="1" customWidth="1"/>
    <col min="13863" max="13869" width="12.1796875" style="1"/>
    <col min="13870" max="13870" width="3.81640625" style="1" customWidth="1"/>
    <col min="13871" max="13871" width="12.1796875" style="1"/>
    <col min="13872" max="13872" width="13.36328125" style="1" customWidth="1"/>
    <col min="13873" max="14080" width="12.1796875" style="1"/>
    <col min="14081" max="14081" width="8.1796875" style="1" customWidth="1"/>
    <col min="14082" max="14082" width="42.1796875" style="1" customWidth="1"/>
    <col min="14083" max="14083" width="12.54296875" style="1" customWidth="1"/>
    <col min="14084" max="14084" width="12.1796875" style="1"/>
    <col min="14085" max="14085" width="7.6328125" style="1" customWidth="1"/>
    <col min="14086" max="14086" width="4.36328125" style="1" customWidth="1"/>
    <col min="14087" max="14118" width="0" style="1" hidden="1" customWidth="1"/>
    <col min="14119" max="14125" width="12.1796875" style="1"/>
    <col min="14126" max="14126" width="3.81640625" style="1" customWidth="1"/>
    <col min="14127" max="14127" width="12.1796875" style="1"/>
    <col min="14128" max="14128" width="13.36328125" style="1" customWidth="1"/>
    <col min="14129" max="14336" width="12.1796875" style="1"/>
    <col min="14337" max="14337" width="8.1796875" style="1" customWidth="1"/>
    <col min="14338" max="14338" width="42.1796875" style="1" customWidth="1"/>
    <col min="14339" max="14339" width="12.54296875" style="1" customWidth="1"/>
    <col min="14340" max="14340" width="12.1796875" style="1"/>
    <col min="14341" max="14341" width="7.6328125" style="1" customWidth="1"/>
    <col min="14342" max="14342" width="4.36328125" style="1" customWidth="1"/>
    <col min="14343" max="14374" width="0" style="1" hidden="1" customWidth="1"/>
    <col min="14375" max="14381" width="12.1796875" style="1"/>
    <col min="14382" max="14382" width="3.81640625" style="1" customWidth="1"/>
    <col min="14383" max="14383" width="12.1796875" style="1"/>
    <col min="14384" max="14384" width="13.36328125" style="1" customWidth="1"/>
    <col min="14385" max="14592" width="12.1796875" style="1"/>
    <col min="14593" max="14593" width="8.1796875" style="1" customWidth="1"/>
    <col min="14594" max="14594" width="42.1796875" style="1" customWidth="1"/>
    <col min="14595" max="14595" width="12.54296875" style="1" customWidth="1"/>
    <col min="14596" max="14596" width="12.1796875" style="1"/>
    <col min="14597" max="14597" width="7.6328125" style="1" customWidth="1"/>
    <col min="14598" max="14598" width="4.36328125" style="1" customWidth="1"/>
    <col min="14599" max="14630" width="0" style="1" hidden="1" customWidth="1"/>
    <col min="14631" max="14637" width="12.1796875" style="1"/>
    <col min="14638" max="14638" width="3.81640625" style="1" customWidth="1"/>
    <col min="14639" max="14639" width="12.1796875" style="1"/>
    <col min="14640" max="14640" width="13.36328125" style="1" customWidth="1"/>
    <col min="14641" max="14848" width="12.1796875" style="1"/>
    <col min="14849" max="14849" width="8.1796875" style="1" customWidth="1"/>
    <col min="14850" max="14850" width="42.1796875" style="1" customWidth="1"/>
    <col min="14851" max="14851" width="12.54296875" style="1" customWidth="1"/>
    <col min="14852" max="14852" width="12.1796875" style="1"/>
    <col min="14853" max="14853" width="7.6328125" style="1" customWidth="1"/>
    <col min="14854" max="14854" width="4.36328125" style="1" customWidth="1"/>
    <col min="14855" max="14886" width="0" style="1" hidden="1" customWidth="1"/>
    <col min="14887" max="14893" width="12.1796875" style="1"/>
    <col min="14894" max="14894" width="3.81640625" style="1" customWidth="1"/>
    <col min="14895" max="14895" width="12.1796875" style="1"/>
    <col min="14896" max="14896" width="13.36328125" style="1" customWidth="1"/>
    <col min="14897" max="15104" width="12.1796875" style="1"/>
    <col min="15105" max="15105" width="8.1796875" style="1" customWidth="1"/>
    <col min="15106" max="15106" width="42.1796875" style="1" customWidth="1"/>
    <col min="15107" max="15107" width="12.54296875" style="1" customWidth="1"/>
    <col min="15108" max="15108" width="12.1796875" style="1"/>
    <col min="15109" max="15109" width="7.6328125" style="1" customWidth="1"/>
    <col min="15110" max="15110" width="4.36328125" style="1" customWidth="1"/>
    <col min="15111" max="15142" width="0" style="1" hidden="1" customWidth="1"/>
    <col min="15143" max="15149" width="12.1796875" style="1"/>
    <col min="15150" max="15150" width="3.81640625" style="1" customWidth="1"/>
    <col min="15151" max="15151" width="12.1796875" style="1"/>
    <col min="15152" max="15152" width="13.36328125" style="1" customWidth="1"/>
    <col min="15153" max="15360" width="12.1796875" style="1"/>
    <col min="15361" max="15361" width="8.1796875" style="1" customWidth="1"/>
    <col min="15362" max="15362" width="42.1796875" style="1" customWidth="1"/>
    <col min="15363" max="15363" width="12.54296875" style="1" customWidth="1"/>
    <col min="15364" max="15364" width="12.1796875" style="1"/>
    <col min="15365" max="15365" width="7.6328125" style="1" customWidth="1"/>
    <col min="15366" max="15366" width="4.36328125" style="1" customWidth="1"/>
    <col min="15367" max="15398" width="0" style="1" hidden="1" customWidth="1"/>
    <col min="15399" max="15405" width="12.1796875" style="1"/>
    <col min="15406" max="15406" width="3.81640625" style="1" customWidth="1"/>
    <col min="15407" max="15407" width="12.1796875" style="1"/>
    <col min="15408" max="15408" width="13.36328125" style="1" customWidth="1"/>
    <col min="15409" max="15616" width="12.1796875" style="1"/>
    <col min="15617" max="15617" width="8.1796875" style="1" customWidth="1"/>
    <col min="15618" max="15618" width="42.1796875" style="1" customWidth="1"/>
    <col min="15619" max="15619" width="12.54296875" style="1" customWidth="1"/>
    <col min="15620" max="15620" width="12.1796875" style="1"/>
    <col min="15621" max="15621" width="7.6328125" style="1" customWidth="1"/>
    <col min="15622" max="15622" width="4.36328125" style="1" customWidth="1"/>
    <col min="15623" max="15654" width="0" style="1" hidden="1" customWidth="1"/>
    <col min="15655" max="15661" width="12.1796875" style="1"/>
    <col min="15662" max="15662" width="3.81640625" style="1" customWidth="1"/>
    <col min="15663" max="15663" width="12.1796875" style="1"/>
    <col min="15664" max="15664" width="13.36328125" style="1" customWidth="1"/>
    <col min="15665" max="15872" width="12.1796875" style="1"/>
    <col min="15873" max="15873" width="8.1796875" style="1" customWidth="1"/>
    <col min="15874" max="15874" width="42.1796875" style="1" customWidth="1"/>
    <col min="15875" max="15875" width="12.54296875" style="1" customWidth="1"/>
    <col min="15876" max="15876" width="12.1796875" style="1"/>
    <col min="15877" max="15877" width="7.6328125" style="1" customWidth="1"/>
    <col min="15878" max="15878" width="4.36328125" style="1" customWidth="1"/>
    <col min="15879" max="15910" width="0" style="1" hidden="1" customWidth="1"/>
    <col min="15911" max="15917" width="12.1796875" style="1"/>
    <col min="15918" max="15918" width="3.81640625" style="1" customWidth="1"/>
    <col min="15919" max="15919" width="12.1796875" style="1"/>
    <col min="15920" max="15920" width="13.36328125" style="1" customWidth="1"/>
    <col min="15921" max="16128" width="12.1796875" style="1"/>
    <col min="16129" max="16129" width="8.1796875" style="1" customWidth="1"/>
    <col min="16130" max="16130" width="42.1796875" style="1" customWidth="1"/>
    <col min="16131" max="16131" width="12.54296875" style="1" customWidth="1"/>
    <col min="16132" max="16132" width="12.1796875" style="1"/>
    <col min="16133" max="16133" width="7.6328125" style="1" customWidth="1"/>
    <col min="16134" max="16134" width="4.36328125" style="1" customWidth="1"/>
    <col min="16135" max="16166" width="0" style="1" hidden="1" customWidth="1"/>
    <col min="16167" max="16173" width="12.1796875" style="1"/>
    <col min="16174" max="16174" width="3.81640625" style="1" customWidth="1"/>
    <col min="16175" max="16175" width="12.1796875" style="1"/>
    <col min="16176" max="16176" width="13.36328125" style="1" customWidth="1"/>
    <col min="16177" max="16384" width="12.1796875" style="1"/>
  </cols>
  <sheetData>
    <row r="1" spans="1:59" ht="15.5" x14ac:dyDescent="0.35">
      <c r="B1" s="1" t="s">
        <v>0</v>
      </c>
      <c r="E1" s="2"/>
      <c r="F1" s="2"/>
      <c r="AU1" s="1"/>
      <c r="BA1" s="1" t="s">
        <v>1</v>
      </c>
    </row>
    <row r="2" spans="1:59" ht="15.5" x14ac:dyDescent="0.35">
      <c r="B2" s="1" t="s">
        <v>2</v>
      </c>
      <c r="E2" s="2"/>
      <c r="F2" s="2"/>
      <c r="AU2" s="5"/>
      <c r="BB2" s="3" t="s">
        <v>3</v>
      </c>
      <c r="BG2" s="1" t="s">
        <v>4</v>
      </c>
    </row>
    <row r="3" spans="1:59" ht="15.5" x14ac:dyDescent="0.35">
      <c r="D3" s="2"/>
      <c r="E3" s="2"/>
      <c r="F3" s="2"/>
      <c r="G3" s="2"/>
      <c r="H3" s="2">
        <v>2004</v>
      </c>
      <c r="I3" s="2"/>
      <c r="J3" s="2">
        <v>2005</v>
      </c>
      <c r="K3" s="2"/>
      <c r="L3" s="2">
        <v>2006</v>
      </c>
      <c r="M3" s="2"/>
      <c r="N3" s="2">
        <v>2007</v>
      </c>
      <c r="P3" s="2">
        <v>2008</v>
      </c>
      <c r="R3" s="2">
        <v>2009</v>
      </c>
      <c r="T3" s="1">
        <v>2010</v>
      </c>
      <c r="V3" s="1">
        <v>2011</v>
      </c>
      <c r="X3" s="1">
        <v>2012</v>
      </c>
      <c r="Z3" s="1">
        <v>2013</v>
      </c>
      <c r="AB3" s="1">
        <v>2014</v>
      </c>
      <c r="AD3" s="1">
        <v>2015</v>
      </c>
      <c r="AF3" s="2">
        <v>2016</v>
      </c>
      <c r="AH3" s="2">
        <v>2017</v>
      </c>
      <c r="AJ3" s="2">
        <v>2018</v>
      </c>
      <c r="AL3" s="2">
        <v>2019</v>
      </c>
      <c r="AN3" s="1">
        <v>2020</v>
      </c>
      <c r="AQ3" s="1">
        <v>2021</v>
      </c>
      <c r="AU3" s="6" t="s">
        <v>5</v>
      </c>
      <c r="AV3" s="7">
        <v>2021</v>
      </c>
      <c r="AW3" s="8"/>
      <c r="AX3" s="8"/>
      <c r="AY3" s="7">
        <v>2022</v>
      </c>
      <c r="AZ3" s="8"/>
      <c r="BA3" s="8"/>
      <c r="BB3" s="9">
        <v>2023</v>
      </c>
      <c r="BC3" s="8"/>
      <c r="BD3" s="10"/>
      <c r="BE3" s="11">
        <v>2023</v>
      </c>
      <c r="BG3" s="9">
        <v>2023</v>
      </c>
    </row>
    <row r="4" spans="1:59" ht="15.5" x14ac:dyDescent="0.35">
      <c r="D4" s="2"/>
      <c r="E4" s="2"/>
      <c r="F4" s="2"/>
      <c r="G4" s="2" t="s">
        <v>6</v>
      </c>
      <c r="H4" s="2" t="s">
        <v>7</v>
      </c>
      <c r="I4" s="2" t="s">
        <v>6</v>
      </c>
      <c r="J4" s="2" t="s">
        <v>7</v>
      </c>
      <c r="K4" s="2" t="s">
        <v>6</v>
      </c>
      <c r="L4" s="2" t="s">
        <v>7</v>
      </c>
      <c r="M4" s="2" t="s">
        <v>6</v>
      </c>
      <c r="N4" s="2" t="s">
        <v>7</v>
      </c>
      <c r="O4" s="2" t="s">
        <v>6</v>
      </c>
      <c r="P4" s="2" t="s">
        <v>7</v>
      </c>
      <c r="Q4" s="2" t="s">
        <v>6</v>
      </c>
      <c r="R4" s="2" t="s">
        <v>7</v>
      </c>
      <c r="S4" s="2" t="s">
        <v>6</v>
      </c>
      <c r="T4" s="1" t="s">
        <v>7</v>
      </c>
      <c r="U4" s="1" t="s">
        <v>8</v>
      </c>
      <c r="V4" s="1" t="s">
        <v>7</v>
      </c>
      <c r="W4" s="1" t="s">
        <v>8</v>
      </c>
      <c r="X4" s="1" t="s">
        <v>7</v>
      </c>
      <c r="Y4" s="1" t="s">
        <v>8</v>
      </c>
      <c r="Z4" s="1" t="s">
        <v>7</v>
      </c>
      <c r="AA4" s="1" t="s">
        <v>8</v>
      </c>
      <c r="AB4" s="1" t="s">
        <v>7</v>
      </c>
      <c r="AC4" s="1" t="s">
        <v>8</v>
      </c>
      <c r="AD4" s="1" t="s">
        <v>7</v>
      </c>
      <c r="AE4" s="1" t="s">
        <v>8</v>
      </c>
      <c r="AF4" s="1" t="s">
        <v>7</v>
      </c>
      <c r="AG4" s="1" t="s">
        <v>8</v>
      </c>
      <c r="AH4" s="1" t="s">
        <v>7</v>
      </c>
      <c r="AI4" s="1" t="s">
        <v>8</v>
      </c>
      <c r="AJ4" s="1" t="s">
        <v>7</v>
      </c>
      <c r="AK4" s="1" t="s">
        <v>8</v>
      </c>
      <c r="AL4" s="1" t="s">
        <v>7</v>
      </c>
      <c r="AM4" s="1" t="s">
        <v>8</v>
      </c>
      <c r="AN4" s="1" t="s">
        <v>7</v>
      </c>
      <c r="AO4" s="1" t="s">
        <v>8</v>
      </c>
      <c r="AQ4" s="1" t="s">
        <v>7</v>
      </c>
      <c r="AR4" s="1" t="s">
        <v>8</v>
      </c>
      <c r="AU4" s="12" t="s">
        <v>9</v>
      </c>
      <c r="AV4" s="2" t="s">
        <v>7</v>
      </c>
      <c r="AW4" s="1" t="s">
        <v>8</v>
      </c>
      <c r="AY4" s="2" t="s">
        <v>7</v>
      </c>
      <c r="AZ4" s="1" t="s">
        <v>8</v>
      </c>
      <c r="BB4" s="13" t="s">
        <v>7</v>
      </c>
      <c r="BC4" s="1" t="s">
        <v>8</v>
      </c>
      <c r="BD4" s="14"/>
      <c r="BE4" s="15" t="s">
        <v>10</v>
      </c>
      <c r="BG4" s="13" t="s">
        <v>7</v>
      </c>
    </row>
    <row r="5" spans="1:59" ht="15.5" x14ac:dyDescent="0.35">
      <c r="A5" s="1" t="s">
        <v>11</v>
      </c>
      <c r="D5" s="2" t="s">
        <v>12</v>
      </c>
      <c r="E5" s="2"/>
      <c r="F5" s="2"/>
      <c r="G5" s="2" t="s">
        <v>7</v>
      </c>
      <c r="H5" s="2" t="s">
        <v>13</v>
      </c>
      <c r="I5" s="2" t="s">
        <v>7</v>
      </c>
      <c r="J5" s="2" t="s">
        <v>13</v>
      </c>
      <c r="K5" s="2" t="s">
        <v>7</v>
      </c>
      <c r="L5" s="2" t="s">
        <v>13</v>
      </c>
      <c r="M5" s="2" t="s">
        <v>7</v>
      </c>
      <c r="N5" s="2" t="s">
        <v>13</v>
      </c>
      <c r="O5" s="2" t="s">
        <v>7</v>
      </c>
      <c r="P5" s="2" t="s">
        <v>13</v>
      </c>
      <c r="Q5" s="2" t="s">
        <v>7</v>
      </c>
      <c r="R5" s="2" t="s">
        <v>13</v>
      </c>
      <c r="S5" s="2" t="s">
        <v>7</v>
      </c>
      <c r="T5" s="1" t="s">
        <v>13</v>
      </c>
      <c r="U5" s="1" t="s">
        <v>14</v>
      </c>
      <c r="V5" s="1" t="s">
        <v>13</v>
      </c>
      <c r="W5" s="1" t="s">
        <v>14</v>
      </c>
      <c r="X5" s="1" t="s">
        <v>13</v>
      </c>
      <c r="Y5" s="1" t="s">
        <v>14</v>
      </c>
      <c r="Z5" s="1" t="s">
        <v>13</v>
      </c>
      <c r="AA5" s="1" t="s">
        <v>14</v>
      </c>
      <c r="AB5" s="1" t="s">
        <v>13</v>
      </c>
      <c r="AC5" s="1" t="s">
        <v>14</v>
      </c>
      <c r="AD5" s="1" t="s">
        <v>13</v>
      </c>
      <c r="AE5" s="1" t="s">
        <v>14</v>
      </c>
      <c r="AF5" s="1" t="s">
        <v>13</v>
      </c>
      <c r="AG5" s="1" t="s">
        <v>14</v>
      </c>
      <c r="AH5" s="1" t="s">
        <v>13</v>
      </c>
      <c r="AI5" s="1" t="s">
        <v>14</v>
      </c>
      <c r="AJ5" s="1" t="s">
        <v>13</v>
      </c>
      <c r="AK5" s="1" t="s">
        <v>14</v>
      </c>
      <c r="AL5" s="1" t="s">
        <v>13</v>
      </c>
      <c r="AM5" s="1" t="s">
        <v>14</v>
      </c>
      <c r="AN5" s="1" t="s">
        <v>13</v>
      </c>
      <c r="AO5" s="1" t="s">
        <v>14</v>
      </c>
      <c r="AP5" t="s">
        <v>15</v>
      </c>
      <c r="AQ5" s="1" t="s">
        <v>13</v>
      </c>
      <c r="AR5" s="1" t="s">
        <v>14</v>
      </c>
      <c r="AS5" t="s">
        <v>15</v>
      </c>
      <c r="AU5" s="16" t="s">
        <v>16</v>
      </c>
      <c r="AV5" s="17" t="s">
        <v>13</v>
      </c>
      <c r="AW5" s="18" t="s">
        <v>14</v>
      </c>
      <c r="AX5" s="19" t="s">
        <v>15</v>
      </c>
      <c r="AY5" s="17" t="s">
        <v>13</v>
      </c>
      <c r="AZ5" s="18" t="s">
        <v>14</v>
      </c>
      <c r="BA5" s="19" t="s">
        <v>15</v>
      </c>
      <c r="BB5" s="20" t="s">
        <v>13</v>
      </c>
      <c r="BC5" s="18" t="s">
        <v>14</v>
      </c>
      <c r="BD5" s="21" t="s">
        <v>15</v>
      </c>
      <c r="BE5" s="22"/>
      <c r="BG5" s="20" t="s">
        <v>13</v>
      </c>
    </row>
    <row r="6" spans="1:59" ht="15.5" x14ac:dyDescent="0.35">
      <c r="B6" s="1" t="s">
        <v>17</v>
      </c>
      <c r="C6" s="23">
        <v>45079</v>
      </c>
      <c r="D6" s="24">
        <v>26000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P6"/>
      <c r="AS6"/>
      <c r="AU6" s="5"/>
      <c r="AV6" s="5"/>
      <c r="AX6"/>
      <c r="BA6"/>
      <c r="BB6" s="25"/>
      <c r="BD6" s="4">
        <f t="shared" ref="BD6:BD7" si="0">SUM(D6-BC6)</f>
        <v>26000</v>
      </c>
      <c r="BG6" s="26"/>
    </row>
    <row r="7" spans="1:59" ht="15.5" x14ac:dyDescent="0.35">
      <c r="B7" s="1" t="s">
        <v>18</v>
      </c>
      <c r="C7" s="23">
        <v>45163</v>
      </c>
      <c r="D7" s="24">
        <v>10000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AP7"/>
      <c r="AS7"/>
      <c r="AU7" s="5"/>
      <c r="AV7" s="5"/>
      <c r="AX7"/>
      <c r="BA7"/>
      <c r="BB7" s="27"/>
      <c r="BD7" s="4">
        <f t="shared" si="0"/>
        <v>10000</v>
      </c>
      <c r="BE7" s="4">
        <f>SUM(D6:D7)</f>
        <v>36000</v>
      </c>
      <c r="BG7" s="28"/>
    </row>
    <row r="8" spans="1:59" ht="15.5" x14ac:dyDescent="0.35">
      <c r="D8" s="29">
        <f>SUM(D6:D7)</f>
        <v>36000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AP8"/>
      <c r="AS8"/>
      <c r="AU8" s="5"/>
      <c r="AV8" s="5"/>
      <c r="AX8"/>
      <c r="BA8"/>
      <c r="BB8" s="27"/>
      <c r="BD8" s="30">
        <f>SUM(BD6:BD7)</f>
        <v>36000</v>
      </c>
      <c r="BG8" s="28"/>
    </row>
    <row r="9" spans="1:59" ht="15.5" x14ac:dyDescent="0.35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AP9"/>
      <c r="AS9"/>
      <c r="AU9" s="5"/>
      <c r="AV9" s="5"/>
      <c r="AX9"/>
      <c r="BA9"/>
      <c r="BB9" s="27"/>
      <c r="BD9"/>
      <c r="BG9" s="28"/>
    </row>
    <row r="10" spans="1:59" ht="15.5" x14ac:dyDescent="0.35">
      <c r="A10" s="1">
        <v>311</v>
      </c>
      <c r="B10" s="1" t="s">
        <v>19</v>
      </c>
      <c r="D10" s="31"/>
      <c r="E10" s="32"/>
      <c r="F10" s="32"/>
      <c r="G10" s="31"/>
      <c r="H10" s="31"/>
      <c r="I10" s="31"/>
      <c r="AF10" s="31"/>
      <c r="AH10" s="31"/>
      <c r="AJ10" s="31"/>
      <c r="AL10" s="31"/>
      <c r="AU10" s="1"/>
      <c r="BB10" s="27"/>
      <c r="BG10" s="28"/>
    </row>
    <row r="11" spans="1:59" ht="15.5" x14ac:dyDescent="0.35">
      <c r="B11" s="1" t="s">
        <v>20</v>
      </c>
      <c r="C11" s="33">
        <v>34578</v>
      </c>
      <c r="D11" s="31">
        <v>1155191</v>
      </c>
      <c r="E11" s="32" t="s">
        <v>21</v>
      </c>
      <c r="F11" s="32">
        <v>40</v>
      </c>
      <c r="G11" s="31">
        <f>240666+28880</f>
        <v>269546</v>
      </c>
      <c r="H11" s="31">
        <f>SUM(D11/F11)</f>
        <v>28879.775000000001</v>
      </c>
      <c r="I11" s="31">
        <f>SUM(G11:H11)</f>
        <v>298425.77500000002</v>
      </c>
      <c r="J11" s="31">
        <f>SUM(D11/F11)</f>
        <v>28879.775000000001</v>
      </c>
      <c r="K11" s="31">
        <f>SUM(I11:J11)</f>
        <v>327305.55000000005</v>
      </c>
      <c r="L11" s="31">
        <f>SUM(D11/F11)</f>
        <v>28879.775000000001</v>
      </c>
      <c r="M11" s="31">
        <f>SUM(K11:L11)</f>
        <v>356185.32500000007</v>
      </c>
      <c r="N11" s="31">
        <f>SUM(D11/F11)</f>
        <v>28879.775000000001</v>
      </c>
      <c r="O11" s="31">
        <f>SUM(M11+N11)</f>
        <v>385065.10000000009</v>
      </c>
      <c r="P11" s="31">
        <f>SUM(D11/F11)</f>
        <v>28879.775000000001</v>
      </c>
      <c r="Q11" s="31">
        <f>SUM(O11+P11)</f>
        <v>413944.87500000012</v>
      </c>
      <c r="R11" s="31">
        <f>SUM(D11/F11)</f>
        <v>28879.775000000001</v>
      </c>
      <c r="S11" s="31">
        <f>SUM(Q11+R11)</f>
        <v>442824.65000000014</v>
      </c>
      <c r="T11" s="31">
        <f>R11</f>
        <v>28879.775000000001</v>
      </c>
      <c r="U11" s="31">
        <f>S11+T11</f>
        <v>471704.42500000016</v>
      </c>
      <c r="V11" s="31">
        <f>T11</f>
        <v>28879.775000000001</v>
      </c>
      <c r="W11" s="31">
        <f>U11+V11</f>
        <v>500584.20000000019</v>
      </c>
      <c r="X11" s="31">
        <f>V11</f>
        <v>28879.775000000001</v>
      </c>
      <c r="Y11" s="31">
        <f>W11+X11</f>
        <v>529463.97500000021</v>
      </c>
      <c r="Z11" s="31">
        <f>X11</f>
        <v>28879.775000000001</v>
      </c>
      <c r="AA11" s="31">
        <f>Y11+Z11</f>
        <v>558343.75000000023</v>
      </c>
      <c r="AB11" s="31">
        <f>Z11</f>
        <v>28879.775000000001</v>
      </c>
      <c r="AC11" s="31">
        <f>AA11+AB11</f>
        <v>587223.52500000026</v>
      </c>
      <c r="AD11" s="31">
        <f>AB11</f>
        <v>28879.775000000001</v>
      </c>
      <c r="AE11" s="31">
        <f>AC11+AD11</f>
        <v>616103.30000000028</v>
      </c>
      <c r="AF11" s="31">
        <f>AD11</f>
        <v>28879.775000000001</v>
      </c>
      <c r="AG11" s="31">
        <f>AE11+AF11</f>
        <v>644983.0750000003</v>
      </c>
      <c r="AH11" s="31">
        <f>AF11</f>
        <v>28879.775000000001</v>
      </c>
      <c r="AI11" s="31">
        <f>AG11+AH11</f>
        <v>673862.85000000033</v>
      </c>
      <c r="AJ11" s="31">
        <f>AH11</f>
        <v>28879.775000000001</v>
      </c>
      <c r="AK11" s="31">
        <f>AI11+AJ11</f>
        <v>702742.62500000035</v>
      </c>
      <c r="AL11" s="31">
        <f>AJ11</f>
        <v>28879.775000000001</v>
      </c>
      <c r="AM11" s="31">
        <f>AK11+AL11</f>
        <v>731622.40000000037</v>
      </c>
      <c r="AN11" s="31">
        <f>AL11</f>
        <v>28879.775000000001</v>
      </c>
      <c r="AO11" s="31">
        <f>AM11+AN11</f>
        <v>760502.1750000004</v>
      </c>
      <c r="AP11" s="31">
        <f>D11-AO11</f>
        <v>394688.8249999996</v>
      </c>
      <c r="AQ11" s="31">
        <f>SUM(AN11)</f>
        <v>28879.775000000001</v>
      </c>
      <c r="AR11" s="31">
        <f>AO11+AQ11</f>
        <v>789381.95000000042</v>
      </c>
      <c r="AS11" s="31">
        <f>D11-AR11</f>
        <v>365809.04999999958</v>
      </c>
      <c r="AU11" s="1">
        <v>35</v>
      </c>
      <c r="AV11" s="31">
        <f>SUM(D11/AU11)</f>
        <v>33005.457142857143</v>
      </c>
      <c r="AW11" s="31">
        <f>SUM(AO11+AV11)</f>
        <v>793507.63214285753</v>
      </c>
      <c r="AX11" s="4">
        <f>SUM(D11-AW11)</f>
        <v>361683.36785714247</v>
      </c>
      <c r="AY11" s="4">
        <f>SUM(D11/AU11)</f>
        <v>33005.457142857143</v>
      </c>
      <c r="AZ11" s="4">
        <f>SUM(AW11+AY11)</f>
        <v>826513.08928571467</v>
      </c>
      <c r="BA11" s="4">
        <f>SUM(D11-AZ11)</f>
        <v>328677.91071428533</v>
      </c>
      <c r="BB11" s="34">
        <f>SUM(D11/AU11)</f>
        <v>33005.457142857143</v>
      </c>
      <c r="BC11" s="4">
        <f>SUM(AZ11+BB11)</f>
        <v>859518.5464285718</v>
      </c>
      <c r="BD11" s="4">
        <f>SUM(D11-BC11)</f>
        <v>295672.4535714282</v>
      </c>
      <c r="BG11" s="35">
        <v>33005.457142857143</v>
      </c>
    </row>
    <row r="12" spans="1:59" ht="15.5" x14ac:dyDescent="0.35">
      <c r="B12" s="1" t="s">
        <v>22</v>
      </c>
      <c r="C12" s="33">
        <v>36526</v>
      </c>
      <c r="D12" s="31">
        <v>2415002</v>
      </c>
      <c r="E12" s="32" t="s">
        <v>21</v>
      </c>
      <c r="F12" s="32">
        <v>40</v>
      </c>
      <c r="G12" s="31">
        <f>181125+60375</f>
        <v>241500</v>
      </c>
      <c r="H12" s="31">
        <f>SUM(D12/F12)</f>
        <v>60375.05</v>
      </c>
      <c r="I12" s="31">
        <f>SUM(G12:H12)</f>
        <v>301875.05</v>
      </c>
      <c r="J12" s="31">
        <f>SUM(D12/F12)</f>
        <v>60375.05</v>
      </c>
      <c r="K12" s="31">
        <f>SUM(I12:J12)</f>
        <v>362250.1</v>
      </c>
      <c r="L12" s="31">
        <f>SUM(D12/F12)</f>
        <v>60375.05</v>
      </c>
      <c r="M12" s="31">
        <f>SUM(K12:L12)</f>
        <v>422625.14999999997</v>
      </c>
      <c r="N12" s="31">
        <f>SUM(D12/F12)</f>
        <v>60375.05</v>
      </c>
      <c r="O12" s="31">
        <f>SUM(M12+N12)</f>
        <v>483000.19999999995</v>
      </c>
      <c r="P12" s="31">
        <f>SUM(D12/F12)</f>
        <v>60375.05</v>
      </c>
      <c r="Q12" s="31">
        <f>SUM(O12+P12)</f>
        <v>543375.25</v>
      </c>
      <c r="R12" s="31">
        <f>SUM(D12/F12)</f>
        <v>60375.05</v>
      </c>
      <c r="S12" s="31">
        <f>SUM(Q12+R12)</f>
        <v>603750.30000000005</v>
      </c>
      <c r="T12" s="31">
        <f>R12</f>
        <v>60375.05</v>
      </c>
      <c r="U12" s="31">
        <f>S12+T12</f>
        <v>664125.35000000009</v>
      </c>
      <c r="V12" s="31">
        <f>T12</f>
        <v>60375.05</v>
      </c>
      <c r="W12" s="31">
        <f>U12+V12</f>
        <v>724500.40000000014</v>
      </c>
      <c r="X12" s="31">
        <f>V12</f>
        <v>60375.05</v>
      </c>
      <c r="Y12" s="31">
        <f>W12+X12</f>
        <v>784875.45000000019</v>
      </c>
      <c r="Z12" s="31">
        <f>X12</f>
        <v>60375.05</v>
      </c>
      <c r="AA12" s="31">
        <f>Y12+Z12</f>
        <v>845250.50000000023</v>
      </c>
      <c r="AB12" s="31">
        <f>Z12</f>
        <v>60375.05</v>
      </c>
      <c r="AC12" s="31">
        <f>AA12+AB12</f>
        <v>905625.55000000028</v>
      </c>
      <c r="AD12" s="31">
        <f>AB12</f>
        <v>60375.05</v>
      </c>
      <c r="AE12" s="31">
        <f>AC12+AD12</f>
        <v>966000.60000000033</v>
      </c>
      <c r="AF12" s="31">
        <f>AD12</f>
        <v>60375.05</v>
      </c>
      <c r="AG12" s="31">
        <f>AE12+AF12</f>
        <v>1026375.6500000004</v>
      </c>
      <c r="AH12" s="31">
        <f>AF12</f>
        <v>60375.05</v>
      </c>
      <c r="AI12" s="31">
        <f>AG12+AH12</f>
        <v>1086750.7000000004</v>
      </c>
      <c r="AJ12" s="31">
        <f>AH12</f>
        <v>60375.05</v>
      </c>
      <c r="AK12" s="31">
        <f>AI12+AJ12</f>
        <v>1147125.7500000005</v>
      </c>
      <c r="AL12" s="31">
        <f>AJ12</f>
        <v>60375.05</v>
      </c>
      <c r="AM12" s="31">
        <f>AK12+AL12</f>
        <v>1207500.8000000005</v>
      </c>
      <c r="AN12" s="31">
        <f>AL12</f>
        <v>60375.05</v>
      </c>
      <c r="AO12" s="31">
        <f>AM12+AN12</f>
        <v>1267875.8500000006</v>
      </c>
      <c r="AP12" s="31">
        <f>D12-AO12</f>
        <v>1147126.1499999994</v>
      </c>
      <c r="AQ12" s="31">
        <f>SUM(AN12)</f>
        <v>60375.05</v>
      </c>
      <c r="AR12" s="31">
        <f>AO12+AQ12</f>
        <v>1328250.9000000006</v>
      </c>
      <c r="AS12" s="31">
        <f>D12-AR12</f>
        <v>1086751.0999999994</v>
      </c>
      <c r="AU12" s="1">
        <v>35</v>
      </c>
      <c r="AV12" s="31">
        <f t="shared" ref="AV12:AV14" si="1">SUM(D12/AU12)</f>
        <v>69000.057142857142</v>
      </c>
      <c r="AW12" s="31">
        <f t="shared" ref="AW12:AW14" si="2">SUM(AO12+AV12)</f>
        <v>1336875.9071428578</v>
      </c>
      <c r="AX12" s="4">
        <f t="shared" ref="AX12:AX14" si="3">SUM(D12-AW12)</f>
        <v>1078126.0928571422</v>
      </c>
      <c r="AY12" s="4">
        <f t="shared" ref="AY12:AY14" si="4">SUM(D12/AU12)</f>
        <v>69000.057142857142</v>
      </c>
      <c r="AZ12" s="4">
        <f t="shared" ref="AZ12:AZ14" si="5">SUM(AW12+AY12)</f>
        <v>1405875.964285715</v>
      </c>
      <c r="BA12" s="4">
        <f t="shared" ref="BA12:BA14" si="6">SUM(D12-AZ12)</f>
        <v>1009126.035714285</v>
      </c>
      <c r="BB12" s="34">
        <f t="shared" ref="BB12:BB14" si="7">SUM(D12/AU12)</f>
        <v>69000.057142857142</v>
      </c>
      <c r="BC12" s="4">
        <f t="shared" ref="BC12:BC14" si="8">SUM(AZ12+BB12)</f>
        <v>1474876.0214285722</v>
      </c>
      <c r="BD12" s="4">
        <f t="shared" ref="BD12:BD14" si="9">SUM(D12-BC12)</f>
        <v>940125.97857142775</v>
      </c>
      <c r="BG12" s="35">
        <v>69000.057142857142</v>
      </c>
    </row>
    <row r="13" spans="1:59" ht="15.5" x14ac:dyDescent="0.35">
      <c r="B13" s="1" t="s">
        <v>23</v>
      </c>
      <c r="C13" s="33">
        <v>38168</v>
      </c>
      <c r="D13" s="31">
        <v>6526643</v>
      </c>
      <c r="E13" s="32" t="s">
        <v>21</v>
      </c>
      <c r="F13" s="32">
        <v>40</v>
      </c>
      <c r="G13" s="31"/>
      <c r="H13" s="31">
        <f>SUM(D13/F13/2)</f>
        <v>81583.037500000006</v>
      </c>
      <c r="I13" s="31">
        <f>SUM(G13:H13)</f>
        <v>81583.037500000006</v>
      </c>
      <c r="J13" s="31">
        <f>SUM(D13/F13)</f>
        <v>163166.07500000001</v>
      </c>
      <c r="K13" s="31">
        <f>SUM(I13:J13)</f>
        <v>244749.11250000002</v>
      </c>
      <c r="L13" s="31">
        <f>SUM(D13/F13)</f>
        <v>163166.07500000001</v>
      </c>
      <c r="M13" s="31">
        <f>SUM(K13:L13)</f>
        <v>407915.1875</v>
      </c>
      <c r="N13" s="31">
        <f>SUM(D13/F13)</f>
        <v>163166.07500000001</v>
      </c>
      <c r="O13" s="31">
        <f>SUM(M13+N13)</f>
        <v>571081.26249999995</v>
      </c>
      <c r="P13" s="31">
        <f>SUM(D13/F13)</f>
        <v>163166.07500000001</v>
      </c>
      <c r="Q13" s="31">
        <f>SUM(O13+P13)</f>
        <v>734247.33749999991</v>
      </c>
      <c r="R13" s="31">
        <f>SUM(D13/F13)</f>
        <v>163166.07500000001</v>
      </c>
      <c r="S13" s="31">
        <f>SUM(Q13+R13)</f>
        <v>897413.41249999986</v>
      </c>
      <c r="T13" s="31">
        <f>R13</f>
        <v>163166.07500000001</v>
      </c>
      <c r="U13" s="31">
        <f>S13+T13</f>
        <v>1060579.4874999998</v>
      </c>
      <c r="V13" s="31">
        <f>T13</f>
        <v>163166.07500000001</v>
      </c>
      <c r="W13" s="31">
        <f>U13+V13</f>
        <v>1223745.5624999998</v>
      </c>
      <c r="X13" s="31">
        <f>V13</f>
        <v>163166.07500000001</v>
      </c>
      <c r="Y13" s="31">
        <f>W13+X13</f>
        <v>1386911.6374999997</v>
      </c>
      <c r="Z13" s="31">
        <f>X13</f>
        <v>163166.07500000001</v>
      </c>
      <c r="AA13" s="31">
        <f>Y13+Z13</f>
        <v>1550077.7124999997</v>
      </c>
      <c r="AB13" s="31">
        <f>Z13</f>
        <v>163166.07500000001</v>
      </c>
      <c r="AC13" s="31">
        <f>AA13+AB13</f>
        <v>1713243.7874999996</v>
      </c>
      <c r="AD13" s="31">
        <f>AB13</f>
        <v>163166.07500000001</v>
      </c>
      <c r="AE13" s="31">
        <f>AC13+AD13</f>
        <v>1876409.8624999996</v>
      </c>
      <c r="AF13" s="31">
        <f>AD13</f>
        <v>163166.07500000001</v>
      </c>
      <c r="AG13" s="31">
        <f>AE13+AF13</f>
        <v>2039575.9374999995</v>
      </c>
      <c r="AH13" s="31">
        <f>AF13</f>
        <v>163166.07500000001</v>
      </c>
      <c r="AI13" s="31">
        <f>AG13+AH13</f>
        <v>2202742.0124999997</v>
      </c>
      <c r="AJ13" s="31">
        <f>AH13</f>
        <v>163166.07500000001</v>
      </c>
      <c r="AK13" s="31">
        <f>AI13+AJ13</f>
        <v>2365908.0874999999</v>
      </c>
      <c r="AL13" s="31">
        <f>AJ13</f>
        <v>163166.07500000001</v>
      </c>
      <c r="AM13" s="31">
        <f>AK13+AL13</f>
        <v>2529074.1625000001</v>
      </c>
      <c r="AN13" s="31">
        <f>AL13</f>
        <v>163166.07500000001</v>
      </c>
      <c r="AO13" s="31">
        <f>AM13+AN13</f>
        <v>2692240.2375000003</v>
      </c>
      <c r="AP13" s="31">
        <f>D13-AO13</f>
        <v>3834402.7624999997</v>
      </c>
      <c r="AQ13" s="31">
        <f>SUM(AN13)</f>
        <v>163166.07500000001</v>
      </c>
      <c r="AR13" s="31">
        <f>AO13+AQ13</f>
        <v>2855406.3125000005</v>
      </c>
      <c r="AS13" s="31">
        <f>D13-AR13</f>
        <v>3671236.6874999995</v>
      </c>
      <c r="AU13" s="1">
        <v>35</v>
      </c>
      <c r="AV13" s="31">
        <f t="shared" si="1"/>
        <v>186475.51428571428</v>
      </c>
      <c r="AW13" s="31">
        <f t="shared" si="2"/>
        <v>2878715.7517857146</v>
      </c>
      <c r="AX13" s="4">
        <f t="shared" si="3"/>
        <v>3647927.2482142854</v>
      </c>
      <c r="AY13" s="4">
        <f t="shared" si="4"/>
        <v>186475.51428571428</v>
      </c>
      <c r="AZ13" s="4">
        <f t="shared" si="5"/>
        <v>3065191.266071429</v>
      </c>
      <c r="BA13" s="4">
        <f t="shared" si="6"/>
        <v>3461451.733928571</v>
      </c>
      <c r="BB13" s="34">
        <f t="shared" si="7"/>
        <v>186475.51428571428</v>
      </c>
      <c r="BC13" s="4">
        <f t="shared" si="8"/>
        <v>3251666.7803571434</v>
      </c>
      <c r="BD13" s="4">
        <f t="shared" si="9"/>
        <v>3274976.2196428566</v>
      </c>
      <c r="BG13" s="35">
        <v>186475.51428571428</v>
      </c>
    </row>
    <row r="14" spans="1:59" ht="15.5" x14ac:dyDescent="0.35">
      <c r="B14" s="1" t="s">
        <v>24</v>
      </c>
      <c r="C14" s="33">
        <v>38898</v>
      </c>
      <c r="D14" s="31">
        <v>11894</v>
      </c>
      <c r="E14" s="32" t="s">
        <v>21</v>
      </c>
      <c r="F14" s="32">
        <v>40</v>
      </c>
      <c r="G14" s="31"/>
      <c r="H14" s="31"/>
      <c r="I14" s="31"/>
      <c r="J14" s="31"/>
      <c r="K14" s="31">
        <v>3827</v>
      </c>
      <c r="L14" s="31">
        <f>SUM(D14/F14)</f>
        <v>297.35000000000002</v>
      </c>
      <c r="M14" s="31">
        <f>SUM(K14:L14)</f>
        <v>4124.3500000000004</v>
      </c>
      <c r="N14" s="31">
        <f>SUM(D14/F14)</f>
        <v>297.35000000000002</v>
      </c>
      <c r="O14" s="31">
        <f>SUM(M14+N14)</f>
        <v>4421.7000000000007</v>
      </c>
      <c r="P14" s="31">
        <f>SUM(D14/F14)</f>
        <v>297.35000000000002</v>
      </c>
      <c r="Q14" s="31">
        <f>SUM(O14+P14)</f>
        <v>4719.0500000000011</v>
      </c>
      <c r="R14" s="31">
        <f>SUM(D14/F14)</f>
        <v>297.35000000000002</v>
      </c>
      <c r="S14" s="31">
        <f>SUM(Q14+R14)</f>
        <v>5016.4000000000015</v>
      </c>
      <c r="T14" s="31">
        <f>R14</f>
        <v>297.35000000000002</v>
      </c>
      <c r="U14" s="31">
        <f>S14+T14</f>
        <v>5313.7500000000018</v>
      </c>
      <c r="V14" s="31">
        <f>T14</f>
        <v>297.35000000000002</v>
      </c>
      <c r="W14" s="31">
        <f>U14+V14</f>
        <v>5611.1000000000022</v>
      </c>
      <c r="X14" s="31">
        <f>V14</f>
        <v>297.35000000000002</v>
      </c>
      <c r="Y14" s="31">
        <f>W14+X14</f>
        <v>5908.4500000000025</v>
      </c>
      <c r="Z14" s="31">
        <f>X14</f>
        <v>297.35000000000002</v>
      </c>
      <c r="AA14" s="31">
        <f>Y14+Z14</f>
        <v>6205.8000000000029</v>
      </c>
      <c r="AB14" s="31">
        <f>Z14</f>
        <v>297.35000000000002</v>
      </c>
      <c r="AC14" s="31">
        <f>AA14+AB14</f>
        <v>6503.1500000000033</v>
      </c>
      <c r="AD14" s="31">
        <f>AB14</f>
        <v>297.35000000000002</v>
      </c>
      <c r="AE14" s="31">
        <f>AC14+AD14</f>
        <v>6800.5000000000036</v>
      </c>
      <c r="AF14" s="31">
        <f>AD14</f>
        <v>297.35000000000002</v>
      </c>
      <c r="AG14" s="31">
        <f>AE14+AF14</f>
        <v>7097.850000000004</v>
      </c>
      <c r="AH14" s="31">
        <f>AF14</f>
        <v>297.35000000000002</v>
      </c>
      <c r="AI14" s="31">
        <f>AG14+AH14</f>
        <v>7395.2000000000044</v>
      </c>
      <c r="AJ14" s="31">
        <f>AH14</f>
        <v>297.35000000000002</v>
      </c>
      <c r="AK14" s="31">
        <f>AI14+AJ14</f>
        <v>7692.5500000000047</v>
      </c>
      <c r="AL14" s="31">
        <f>AJ14</f>
        <v>297.35000000000002</v>
      </c>
      <c r="AM14" s="31">
        <f>AK14+AL14</f>
        <v>7989.9000000000051</v>
      </c>
      <c r="AN14" s="31">
        <f>AL14</f>
        <v>297.35000000000002</v>
      </c>
      <c r="AO14" s="31">
        <f>AM14+AN14</f>
        <v>8287.2500000000055</v>
      </c>
      <c r="AP14" s="31">
        <f>D14-AO14</f>
        <v>3606.7499999999945</v>
      </c>
      <c r="AQ14" s="31">
        <f>SUM(AN14)</f>
        <v>297.35000000000002</v>
      </c>
      <c r="AR14" s="31">
        <f>AO14+AQ14</f>
        <v>8584.6000000000058</v>
      </c>
      <c r="AS14" s="31">
        <f>D14-AR14</f>
        <v>3309.3999999999942</v>
      </c>
      <c r="AU14" s="1">
        <v>35</v>
      </c>
      <c r="AV14" s="31">
        <f t="shared" si="1"/>
        <v>339.82857142857142</v>
      </c>
      <c r="AW14" s="31">
        <f t="shared" si="2"/>
        <v>8627.0785714285776</v>
      </c>
      <c r="AX14" s="4">
        <f t="shared" si="3"/>
        <v>3266.9214285714224</v>
      </c>
      <c r="AY14" s="4">
        <f t="shared" si="4"/>
        <v>339.82857142857142</v>
      </c>
      <c r="AZ14" s="4">
        <f t="shared" si="5"/>
        <v>8966.9071428571497</v>
      </c>
      <c r="BA14" s="4">
        <f t="shared" si="6"/>
        <v>2927.0928571428503</v>
      </c>
      <c r="BB14" s="34">
        <f t="shared" si="7"/>
        <v>339.82857142857142</v>
      </c>
      <c r="BC14" s="4">
        <f t="shared" si="8"/>
        <v>9306.7357142857218</v>
      </c>
      <c r="BD14" s="4">
        <f t="shared" si="9"/>
        <v>2587.2642857142782</v>
      </c>
      <c r="BG14" s="35">
        <v>339.82857142857142</v>
      </c>
    </row>
    <row r="15" spans="1:59" ht="15.5" x14ac:dyDescent="0.35">
      <c r="B15" s="1" t="s">
        <v>25</v>
      </c>
      <c r="C15" s="33">
        <v>45156</v>
      </c>
      <c r="D15" s="31">
        <v>18000</v>
      </c>
      <c r="E15" s="32" t="s">
        <v>21</v>
      </c>
      <c r="F15" s="32">
        <v>40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U15" s="1">
        <v>35</v>
      </c>
      <c r="AV15" s="31"/>
      <c r="AW15" s="31"/>
      <c r="AX15" s="4"/>
      <c r="AY15" s="4"/>
      <c r="AZ15" s="4"/>
      <c r="BA15" s="4"/>
      <c r="BB15" s="34">
        <f>SUM(D15/AU15/2)</f>
        <v>257.14285714285717</v>
      </c>
      <c r="BC15" s="4">
        <f t="shared" ref="BC15" si="10">SUM(AZ15+BB15)</f>
        <v>257.14285714285717</v>
      </c>
      <c r="BD15" s="4">
        <f t="shared" ref="BD15" si="11">SUM(D15-BC15)</f>
        <v>17742.857142857141</v>
      </c>
      <c r="BE15" s="4">
        <f>SUM(D15)</f>
        <v>18000</v>
      </c>
      <c r="BG15" s="35">
        <v>257.14285714285717</v>
      </c>
    </row>
    <row r="16" spans="1:59" ht="15.5" x14ac:dyDescent="0.35">
      <c r="D16" s="36">
        <f>SUM(D11:D15)</f>
        <v>10126730</v>
      </c>
      <c r="E16" s="37"/>
      <c r="F16" s="37"/>
      <c r="G16" s="36">
        <f t="shared" ref="G16:L16" si="12">SUM(G11:G14)</f>
        <v>511046</v>
      </c>
      <c r="H16" s="36">
        <f t="shared" si="12"/>
        <v>170837.86250000002</v>
      </c>
      <c r="I16" s="36">
        <f t="shared" si="12"/>
        <v>681883.86249999993</v>
      </c>
      <c r="J16" s="36">
        <f t="shared" si="12"/>
        <v>252420.90000000002</v>
      </c>
      <c r="K16" s="36">
        <f t="shared" si="12"/>
        <v>938131.76250000007</v>
      </c>
      <c r="L16" s="36">
        <f t="shared" si="12"/>
        <v>252718.25000000003</v>
      </c>
      <c r="M16" s="36">
        <f>SUM(K16:L16)</f>
        <v>1190850.0125000002</v>
      </c>
      <c r="N16" s="36">
        <f t="shared" ref="N16:AA16" si="13">SUM(N11:N14)</f>
        <v>252718.25000000003</v>
      </c>
      <c r="O16" s="36">
        <f t="shared" si="13"/>
        <v>1443568.2625</v>
      </c>
      <c r="P16" s="36">
        <f t="shared" si="13"/>
        <v>252718.25000000003</v>
      </c>
      <c r="Q16" s="36">
        <f t="shared" si="13"/>
        <v>1696286.5125</v>
      </c>
      <c r="R16" s="36">
        <f t="shared" si="13"/>
        <v>252718.25000000003</v>
      </c>
      <c r="S16" s="36">
        <f t="shared" si="13"/>
        <v>1949004.7625</v>
      </c>
      <c r="T16" s="36">
        <f t="shared" si="13"/>
        <v>252718.25000000003</v>
      </c>
      <c r="U16" s="36">
        <f t="shared" si="13"/>
        <v>2201723.0125000002</v>
      </c>
      <c r="V16" s="31">
        <f t="shared" si="13"/>
        <v>252718.25000000003</v>
      </c>
      <c r="W16" s="31">
        <f t="shared" si="13"/>
        <v>2454441.2625000002</v>
      </c>
      <c r="X16" s="31">
        <f t="shared" si="13"/>
        <v>252718.25000000003</v>
      </c>
      <c r="Y16" s="31">
        <f t="shared" si="13"/>
        <v>2707159.5125000002</v>
      </c>
      <c r="Z16" s="31">
        <f t="shared" si="13"/>
        <v>252718.25000000003</v>
      </c>
      <c r="AA16" s="31">
        <f t="shared" si="13"/>
        <v>2959877.7625000002</v>
      </c>
      <c r="AB16" s="31">
        <f>Z16</f>
        <v>252718.25000000003</v>
      </c>
      <c r="AC16" s="31">
        <f>AA16+AB16</f>
        <v>3212596.0125000002</v>
      </c>
      <c r="AD16" s="31">
        <f>AB16</f>
        <v>252718.25000000003</v>
      </c>
      <c r="AE16" s="31">
        <f>AC16+AD16</f>
        <v>3465314.2625000002</v>
      </c>
      <c r="AF16" s="31">
        <f>AD16</f>
        <v>252718.25000000003</v>
      </c>
      <c r="AG16" s="31">
        <f>AE16+AF16</f>
        <v>3718032.5125000002</v>
      </c>
      <c r="AH16" s="31">
        <f>AF16</f>
        <v>252718.25000000003</v>
      </c>
      <c r="AI16" s="31">
        <f>AG16+AH16</f>
        <v>3970750.7625000002</v>
      </c>
      <c r="AJ16" s="31">
        <f>SUM(AJ11:AJ14)</f>
        <v>252718.25000000003</v>
      </c>
      <c r="AK16" s="31">
        <f>AI16+AJ16</f>
        <v>4223469.0125000002</v>
      </c>
      <c r="AL16" s="36">
        <f t="shared" ref="AL16:AS16" si="14">SUM(AL11:AL14)</f>
        <v>252718.25000000003</v>
      </c>
      <c r="AM16" s="36">
        <f t="shared" si="14"/>
        <v>4476187.2625000011</v>
      </c>
      <c r="AN16" s="36">
        <f t="shared" si="14"/>
        <v>252718.25000000003</v>
      </c>
      <c r="AO16" s="36">
        <f t="shared" si="14"/>
        <v>4728905.5125000011</v>
      </c>
      <c r="AP16" s="36">
        <f t="shared" si="14"/>
        <v>5379824.4874999989</v>
      </c>
      <c r="AQ16" s="36">
        <f t="shared" si="14"/>
        <v>252718.25000000003</v>
      </c>
      <c r="AR16" s="36">
        <f t="shared" si="14"/>
        <v>4981623.7625000011</v>
      </c>
      <c r="AS16" s="36">
        <f t="shared" si="14"/>
        <v>5127106.2374999989</v>
      </c>
      <c r="AU16" s="1"/>
      <c r="AV16" s="36">
        <f>SUM(AV11:AV14)</f>
        <v>288820.8571428571</v>
      </c>
      <c r="AW16" s="36">
        <f t="shared" ref="AW16:BA16" si="15">SUM(AW11:AW14)</f>
        <v>5017726.3696428584</v>
      </c>
      <c r="AX16" s="36">
        <f t="shared" si="15"/>
        <v>5091003.6303571416</v>
      </c>
      <c r="AY16" s="36">
        <f t="shared" si="15"/>
        <v>288820.8571428571</v>
      </c>
      <c r="AZ16" s="36">
        <f t="shared" si="15"/>
        <v>5306547.2267857157</v>
      </c>
      <c r="BA16" s="36">
        <f t="shared" si="15"/>
        <v>4802182.7732142843</v>
      </c>
      <c r="BB16" s="38">
        <f t="shared" ref="BB16:BC16" si="16">SUM(BB11:BB15)</f>
        <v>289077.99999999994</v>
      </c>
      <c r="BC16" s="36">
        <f t="shared" si="16"/>
        <v>5595625.2267857157</v>
      </c>
      <c r="BD16" s="36">
        <f>SUM(BD11:BD15)</f>
        <v>4531104.7732142843</v>
      </c>
      <c r="BG16" s="39">
        <v>289077.99999999994</v>
      </c>
    </row>
    <row r="17" spans="1:59" ht="15.5" x14ac:dyDescent="0.35">
      <c r="D17" s="31"/>
      <c r="E17" s="32"/>
      <c r="F17" s="32"/>
      <c r="G17" s="31"/>
      <c r="H17" s="31"/>
      <c r="I17" s="31"/>
      <c r="J17" s="31"/>
      <c r="K17" s="31"/>
      <c r="L17" s="31"/>
      <c r="M17" s="31"/>
      <c r="R17" s="31"/>
      <c r="AB17" s="31"/>
      <c r="AC17" s="31"/>
      <c r="AD17" s="31"/>
      <c r="AE17" s="31"/>
      <c r="AF17" s="31"/>
      <c r="AH17" s="31"/>
      <c r="AJ17" s="31"/>
      <c r="AL17" s="31"/>
      <c r="AU17" s="1"/>
      <c r="BB17" s="27"/>
      <c r="BG17" s="28"/>
    </row>
    <row r="18" spans="1:59" ht="15.5" x14ac:dyDescent="0.35">
      <c r="A18" s="1">
        <v>352.1</v>
      </c>
      <c r="B18" s="1" t="s">
        <v>26</v>
      </c>
      <c r="D18" s="31"/>
      <c r="E18" s="32"/>
      <c r="F18" s="32"/>
      <c r="G18" s="31"/>
      <c r="H18" s="31"/>
      <c r="I18" s="31"/>
      <c r="J18" s="31"/>
      <c r="K18" s="31"/>
      <c r="L18" s="31"/>
      <c r="M18" s="31"/>
      <c r="R18" s="31"/>
      <c r="AB18" s="31"/>
      <c r="AC18" s="31"/>
      <c r="AD18" s="31"/>
      <c r="AE18" s="31"/>
      <c r="AF18" s="31"/>
      <c r="AH18" s="31"/>
      <c r="AJ18" s="31"/>
      <c r="AL18" s="31"/>
      <c r="AU18" s="1"/>
      <c r="BB18" s="27"/>
      <c r="BG18" s="28"/>
    </row>
    <row r="19" spans="1:59" ht="15.5" x14ac:dyDescent="0.35">
      <c r="B19" s="1" t="s">
        <v>27</v>
      </c>
      <c r="C19" s="33">
        <v>38168</v>
      </c>
      <c r="D19" s="31">
        <v>771830</v>
      </c>
      <c r="E19" s="32" t="s">
        <v>21</v>
      </c>
      <c r="F19" s="32">
        <v>40</v>
      </c>
      <c r="G19" s="31"/>
      <c r="H19" s="31">
        <f>SUM(D19/F19/2)</f>
        <v>9647.875</v>
      </c>
      <c r="I19" s="31">
        <f>SUM(G19:H19)</f>
        <v>9647.875</v>
      </c>
      <c r="J19" s="31">
        <f>SUM(D19/F19)</f>
        <v>19295.75</v>
      </c>
      <c r="K19" s="31">
        <f>SUM(I19:J19)</f>
        <v>28943.625</v>
      </c>
      <c r="L19" s="31">
        <f>SUM(D19/F19)</f>
        <v>19295.75</v>
      </c>
      <c r="M19" s="31">
        <f t="shared" ref="M19:M25" si="17">SUM(K19:L19)</f>
        <v>48239.375</v>
      </c>
      <c r="N19" s="31">
        <f t="shared" ref="N19:N25" si="18">SUM(D19/F19)</f>
        <v>19295.75</v>
      </c>
      <c r="O19" s="31">
        <f t="shared" ref="O19:O26" si="19">SUM(M19+N19)</f>
        <v>67535.125</v>
      </c>
      <c r="P19" s="31">
        <f t="shared" ref="P19:P26" si="20">SUM(D19/F19)</f>
        <v>19295.75</v>
      </c>
      <c r="Q19" s="31">
        <f t="shared" ref="Q19:Q26" si="21">SUM(O19+P19)</f>
        <v>86830.875</v>
      </c>
      <c r="R19" s="31">
        <f t="shared" ref="R19:R26" si="22">SUM(D19/F19)</f>
        <v>19295.75</v>
      </c>
      <c r="S19" s="31">
        <f t="shared" ref="S19:S30" si="23">SUM(Q19+R19)</f>
        <v>106126.625</v>
      </c>
      <c r="T19" s="31">
        <f t="shared" ref="T19:T28" si="24">R19</f>
        <v>19295.75</v>
      </c>
      <c r="U19" s="31">
        <f t="shared" ref="U19:U30" si="25">S19+T19</f>
        <v>125422.375</v>
      </c>
      <c r="V19" s="31">
        <f t="shared" ref="V19:V30" si="26">T19</f>
        <v>19295.75</v>
      </c>
      <c r="W19" s="31">
        <f t="shared" ref="W19:W32" si="27">U19+V19</f>
        <v>144718.125</v>
      </c>
      <c r="X19" s="31">
        <f t="shared" ref="X19:X30" si="28">V19</f>
        <v>19295.75</v>
      </c>
      <c r="Y19" s="31">
        <f t="shared" ref="Y19:Y32" si="29">W19+X19</f>
        <v>164013.875</v>
      </c>
      <c r="Z19" s="31">
        <f t="shared" ref="Z19:Z30" si="30">X19</f>
        <v>19295.75</v>
      </c>
      <c r="AA19" s="31">
        <f t="shared" ref="AA19:AA32" si="31">Y19+Z19</f>
        <v>183309.625</v>
      </c>
      <c r="AB19" s="31">
        <f t="shared" ref="AB19:AB42" si="32">Z19</f>
        <v>19295.75</v>
      </c>
      <c r="AC19" s="31">
        <f t="shared" ref="AC19:AC58" si="33">AA19+AB19</f>
        <v>202605.375</v>
      </c>
      <c r="AD19" s="31">
        <f t="shared" ref="AD19:AD42" si="34">AB19</f>
        <v>19295.75</v>
      </c>
      <c r="AE19" s="31">
        <f t="shared" ref="AE19:AE58" si="35">AC19+AD19</f>
        <v>221901.125</v>
      </c>
      <c r="AF19" s="31">
        <f t="shared" ref="AF19:AF32" si="36">AD19</f>
        <v>19295.75</v>
      </c>
      <c r="AG19" s="31">
        <f t="shared" ref="AG19:AG35" si="37">AE19+AF19</f>
        <v>241196.875</v>
      </c>
      <c r="AH19" s="31">
        <f t="shared" ref="AH19:AH32" si="38">AF19</f>
        <v>19295.75</v>
      </c>
      <c r="AI19" s="31">
        <f t="shared" ref="AI19:AI35" si="39">AG19+AH19</f>
        <v>260492.625</v>
      </c>
      <c r="AJ19" s="31">
        <f t="shared" ref="AJ19:AJ32" si="40">AH19</f>
        <v>19295.75</v>
      </c>
      <c r="AK19" s="31">
        <f t="shared" ref="AK19:AK35" si="41">AI19+AJ19</f>
        <v>279788.375</v>
      </c>
      <c r="AL19" s="31">
        <f t="shared" ref="AL19:AL32" si="42">AJ19</f>
        <v>19295.75</v>
      </c>
      <c r="AM19" s="31">
        <f t="shared" ref="AM19:AM35" si="43">AK19+AL19</f>
        <v>299084.125</v>
      </c>
      <c r="AN19" s="31">
        <f t="shared" ref="AN19:AN35" si="44">AL19</f>
        <v>19295.75</v>
      </c>
      <c r="AO19" s="31">
        <f t="shared" ref="AO19:AO33" si="45">SUM(AM19:AN19)</f>
        <v>318379.875</v>
      </c>
      <c r="AP19" s="31">
        <f t="shared" ref="AP19:AP35" si="46">D19-AO19</f>
        <v>453450.125</v>
      </c>
      <c r="AQ19" s="31">
        <f t="shared" ref="AQ19:AQ35" si="47">SUM(AN19)</f>
        <v>19295.75</v>
      </c>
      <c r="AR19" s="31">
        <f t="shared" ref="AR19:AR35" si="48">AO19+AQ19</f>
        <v>337675.625</v>
      </c>
      <c r="AS19" s="31">
        <f t="shared" ref="AS19:AS35" si="49">D19-AR19</f>
        <v>434154.375</v>
      </c>
      <c r="AU19" s="1">
        <v>35</v>
      </c>
      <c r="AV19" s="31">
        <f t="shared" ref="AV19:AV33" si="50">SUM(D19/AU19)</f>
        <v>22052.285714285714</v>
      </c>
      <c r="AW19" s="31">
        <f t="shared" ref="AW19:AW33" si="51">SUM(AO19+AV19)</f>
        <v>340432.16071428574</v>
      </c>
      <c r="AX19" s="4">
        <f t="shared" ref="AX19:AX33" si="52">SUM(D19-AW19)</f>
        <v>431397.83928571426</v>
      </c>
      <c r="AY19" s="4">
        <f t="shared" ref="AY19:AY33" si="53">SUM(D19/AU19)</f>
        <v>22052.285714285714</v>
      </c>
      <c r="AZ19" s="4">
        <f t="shared" ref="AZ19:AZ33" si="54">SUM(AW19+AY19)</f>
        <v>362484.44642857148</v>
      </c>
      <c r="BA19" s="4">
        <f t="shared" ref="BA19:BA33" si="55">SUM(D19-AZ19)</f>
        <v>409345.55357142852</v>
      </c>
      <c r="BB19" s="34">
        <f t="shared" ref="BB19:BB33" si="56">SUM(D19/AU19)</f>
        <v>22052.285714285714</v>
      </c>
      <c r="BC19" s="4">
        <f t="shared" ref="BC19:BC33" si="57">SUM(AZ19+BB19)</f>
        <v>384536.73214285722</v>
      </c>
      <c r="BD19" s="4">
        <f t="shared" ref="BD19:BD35" si="58">SUM(D19-BC19)</f>
        <v>387293.26785714278</v>
      </c>
      <c r="BG19" s="35">
        <v>22052.285714285714</v>
      </c>
    </row>
    <row r="20" spans="1:59" ht="15.5" x14ac:dyDescent="0.35">
      <c r="B20" s="1" t="s">
        <v>28</v>
      </c>
      <c r="C20" s="33">
        <v>38168</v>
      </c>
      <c r="D20" s="31">
        <v>162000</v>
      </c>
      <c r="E20" s="32" t="s">
        <v>21</v>
      </c>
      <c r="F20" s="32">
        <v>40</v>
      </c>
      <c r="G20" s="31"/>
      <c r="H20" s="31">
        <f>SUM(D20/F20/2)</f>
        <v>2025</v>
      </c>
      <c r="I20" s="31">
        <f>SUM(G20:H20)</f>
        <v>2025</v>
      </c>
      <c r="J20" s="31">
        <f>SUM(D20/F20)</f>
        <v>4050</v>
      </c>
      <c r="K20" s="31">
        <f>SUM(I20:J20)</f>
        <v>6075</v>
      </c>
      <c r="L20" s="31">
        <f>SUM(D20/F20)</f>
        <v>4050</v>
      </c>
      <c r="M20" s="31">
        <f t="shared" si="17"/>
        <v>10125</v>
      </c>
      <c r="N20" s="31">
        <f t="shared" si="18"/>
        <v>4050</v>
      </c>
      <c r="O20" s="31">
        <f t="shared" si="19"/>
        <v>14175</v>
      </c>
      <c r="P20" s="31">
        <f t="shared" si="20"/>
        <v>4050</v>
      </c>
      <c r="Q20" s="31">
        <f t="shared" si="21"/>
        <v>18225</v>
      </c>
      <c r="R20" s="31">
        <f t="shared" si="22"/>
        <v>4050</v>
      </c>
      <c r="S20" s="31">
        <f t="shared" si="23"/>
        <v>22275</v>
      </c>
      <c r="T20" s="31">
        <f t="shared" si="24"/>
        <v>4050</v>
      </c>
      <c r="U20" s="31">
        <f t="shared" si="25"/>
        <v>26325</v>
      </c>
      <c r="V20" s="31">
        <f t="shared" si="26"/>
        <v>4050</v>
      </c>
      <c r="W20" s="31">
        <f t="shared" si="27"/>
        <v>30375</v>
      </c>
      <c r="X20" s="31">
        <f t="shared" si="28"/>
        <v>4050</v>
      </c>
      <c r="Y20" s="31">
        <f t="shared" si="29"/>
        <v>34425</v>
      </c>
      <c r="Z20" s="31">
        <f t="shared" si="30"/>
        <v>4050</v>
      </c>
      <c r="AA20" s="31">
        <f t="shared" si="31"/>
        <v>38475</v>
      </c>
      <c r="AB20" s="31">
        <f t="shared" si="32"/>
        <v>4050</v>
      </c>
      <c r="AC20" s="31">
        <f t="shared" si="33"/>
        <v>42525</v>
      </c>
      <c r="AD20" s="31">
        <f t="shared" si="34"/>
        <v>4050</v>
      </c>
      <c r="AE20" s="31">
        <f t="shared" si="35"/>
        <v>46575</v>
      </c>
      <c r="AF20" s="31">
        <f t="shared" si="36"/>
        <v>4050</v>
      </c>
      <c r="AG20" s="31">
        <f t="shared" si="37"/>
        <v>50625</v>
      </c>
      <c r="AH20" s="31">
        <f t="shared" si="38"/>
        <v>4050</v>
      </c>
      <c r="AI20" s="31">
        <f t="shared" si="39"/>
        <v>54675</v>
      </c>
      <c r="AJ20" s="31">
        <f t="shared" si="40"/>
        <v>4050</v>
      </c>
      <c r="AK20" s="31">
        <f t="shared" si="41"/>
        <v>58725</v>
      </c>
      <c r="AL20" s="31">
        <f t="shared" si="42"/>
        <v>4050</v>
      </c>
      <c r="AM20" s="31">
        <f t="shared" si="43"/>
        <v>62775</v>
      </c>
      <c r="AN20" s="31">
        <f t="shared" si="44"/>
        <v>4050</v>
      </c>
      <c r="AO20" s="31">
        <f t="shared" si="45"/>
        <v>66825</v>
      </c>
      <c r="AP20" s="31">
        <f t="shared" si="46"/>
        <v>95175</v>
      </c>
      <c r="AQ20" s="31">
        <f t="shared" si="47"/>
        <v>4050</v>
      </c>
      <c r="AR20" s="31">
        <f t="shared" si="48"/>
        <v>70875</v>
      </c>
      <c r="AS20" s="31">
        <f t="shared" si="49"/>
        <v>91125</v>
      </c>
      <c r="AU20" s="1">
        <v>35</v>
      </c>
      <c r="AV20" s="31">
        <f t="shared" si="50"/>
        <v>4628.5714285714284</v>
      </c>
      <c r="AW20" s="31">
        <f t="shared" si="51"/>
        <v>71453.571428571435</v>
      </c>
      <c r="AX20" s="4">
        <f t="shared" si="52"/>
        <v>90546.428571428565</v>
      </c>
      <c r="AY20" s="4">
        <f t="shared" si="53"/>
        <v>4628.5714285714284</v>
      </c>
      <c r="AZ20" s="4">
        <f t="shared" si="54"/>
        <v>76082.14285714287</v>
      </c>
      <c r="BA20" s="4">
        <f t="shared" si="55"/>
        <v>85917.85714285713</v>
      </c>
      <c r="BB20" s="34">
        <f t="shared" si="56"/>
        <v>4628.5714285714284</v>
      </c>
      <c r="BC20" s="4">
        <f t="shared" si="57"/>
        <v>80710.714285714304</v>
      </c>
      <c r="BD20" s="4">
        <f t="shared" si="58"/>
        <v>81289.285714285696</v>
      </c>
      <c r="BG20" s="35">
        <v>4628.5714285714284</v>
      </c>
    </row>
    <row r="21" spans="1:59" ht="15.5" x14ac:dyDescent="0.35">
      <c r="B21" s="1" t="s">
        <v>29</v>
      </c>
      <c r="C21" s="33">
        <v>38533</v>
      </c>
      <c r="D21" s="31">
        <v>61003</v>
      </c>
      <c r="E21" s="32" t="s">
        <v>21</v>
      </c>
      <c r="F21" s="32">
        <v>40</v>
      </c>
      <c r="G21" s="31"/>
      <c r="H21" s="31"/>
      <c r="I21" s="31"/>
      <c r="J21" s="31">
        <v>763</v>
      </c>
      <c r="K21" s="31">
        <v>763</v>
      </c>
      <c r="L21" s="31">
        <f>SUM(D21/F21)</f>
        <v>1525.075</v>
      </c>
      <c r="M21" s="31">
        <f t="shared" si="17"/>
        <v>2288.0749999999998</v>
      </c>
      <c r="N21" s="31">
        <f t="shared" si="18"/>
        <v>1525.075</v>
      </c>
      <c r="O21" s="31">
        <f t="shared" si="19"/>
        <v>3813.1499999999996</v>
      </c>
      <c r="P21" s="31">
        <f t="shared" si="20"/>
        <v>1525.075</v>
      </c>
      <c r="Q21" s="31">
        <f t="shared" si="21"/>
        <v>5338.2249999999995</v>
      </c>
      <c r="R21" s="31">
        <f t="shared" si="22"/>
        <v>1525.075</v>
      </c>
      <c r="S21" s="31">
        <f t="shared" si="23"/>
        <v>6863.2999999999993</v>
      </c>
      <c r="T21" s="31">
        <f t="shared" si="24"/>
        <v>1525.075</v>
      </c>
      <c r="U21" s="31">
        <f t="shared" si="25"/>
        <v>8388.375</v>
      </c>
      <c r="V21" s="31">
        <f t="shared" si="26"/>
        <v>1525.075</v>
      </c>
      <c r="W21" s="31">
        <f t="shared" si="27"/>
        <v>9913.4500000000007</v>
      </c>
      <c r="X21" s="31">
        <f t="shared" si="28"/>
        <v>1525.075</v>
      </c>
      <c r="Y21" s="31">
        <f t="shared" si="29"/>
        <v>11438.525000000001</v>
      </c>
      <c r="Z21" s="31">
        <f t="shared" si="30"/>
        <v>1525.075</v>
      </c>
      <c r="AA21" s="31">
        <f t="shared" si="31"/>
        <v>12963.600000000002</v>
      </c>
      <c r="AB21" s="31">
        <f t="shared" si="32"/>
        <v>1525.075</v>
      </c>
      <c r="AC21" s="31">
        <f t="shared" si="33"/>
        <v>14488.675000000003</v>
      </c>
      <c r="AD21" s="31">
        <f t="shared" si="34"/>
        <v>1525.075</v>
      </c>
      <c r="AE21" s="31">
        <f t="shared" si="35"/>
        <v>16013.750000000004</v>
      </c>
      <c r="AF21" s="31">
        <f t="shared" si="36"/>
        <v>1525.075</v>
      </c>
      <c r="AG21" s="31">
        <f t="shared" si="37"/>
        <v>17538.825000000004</v>
      </c>
      <c r="AH21" s="31">
        <f t="shared" si="38"/>
        <v>1525.075</v>
      </c>
      <c r="AI21" s="31">
        <f t="shared" si="39"/>
        <v>19063.900000000005</v>
      </c>
      <c r="AJ21" s="31">
        <f t="shared" si="40"/>
        <v>1525.075</v>
      </c>
      <c r="AK21" s="31">
        <f t="shared" si="41"/>
        <v>20588.975000000006</v>
      </c>
      <c r="AL21" s="31">
        <f t="shared" si="42"/>
        <v>1525.075</v>
      </c>
      <c r="AM21" s="31">
        <f t="shared" si="43"/>
        <v>22114.050000000007</v>
      </c>
      <c r="AN21" s="31">
        <f t="shared" si="44"/>
        <v>1525.075</v>
      </c>
      <c r="AO21" s="31">
        <f t="shared" si="45"/>
        <v>23639.125000000007</v>
      </c>
      <c r="AP21" s="31">
        <f t="shared" si="46"/>
        <v>37363.874999999993</v>
      </c>
      <c r="AQ21" s="31">
        <f t="shared" si="47"/>
        <v>1525.075</v>
      </c>
      <c r="AR21" s="31">
        <f t="shared" si="48"/>
        <v>25164.200000000008</v>
      </c>
      <c r="AS21" s="31">
        <f t="shared" si="49"/>
        <v>35838.799999999988</v>
      </c>
      <c r="AU21" s="1">
        <v>35</v>
      </c>
      <c r="AV21" s="31">
        <f t="shared" si="50"/>
        <v>1742.9428571428571</v>
      </c>
      <c r="AW21" s="31">
        <f t="shared" si="51"/>
        <v>25382.067857142865</v>
      </c>
      <c r="AX21" s="4">
        <f t="shared" si="52"/>
        <v>35620.932142857135</v>
      </c>
      <c r="AY21" s="4">
        <f t="shared" si="53"/>
        <v>1742.9428571428571</v>
      </c>
      <c r="AZ21" s="4">
        <f t="shared" si="54"/>
        <v>27125.010714285723</v>
      </c>
      <c r="BA21" s="4">
        <f t="shared" si="55"/>
        <v>33877.989285714277</v>
      </c>
      <c r="BB21" s="34">
        <f t="shared" si="56"/>
        <v>1742.9428571428571</v>
      </c>
      <c r="BC21" s="4">
        <f t="shared" si="57"/>
        <v>28867.953571428581</v>
      </c>
      <c r="BD21" s="4">
        <f t="shared" si="58"/>
        <v>32135.046428571419</v>
      </c>
      <c r="BG21" s="35">
        <v>1742.9428571428571</v>
      </c>
    </row>
    <row r="22" spans="1:59" ht="15.5" x14ac:dyDescent="0.35">
      <c r="B22" s="1" t="s">
        <v>30</v>
      </c>
      <c r="C22" s="33">
        <v>38898</v>
      </c>
      <c r="D22" s="31">
        <f>483349+10838.87</f>
        <v>494187.87</v>
      </c>
      <c r="E22" s="32" t="s">
        <v>21</v>
      </c>
      <c r="F22" s="32">
        <v>40</v>
      </c>
      <c r="G22" s="31"/>
      <c r="H22" s="31"/>
      <c r="I22" s="31"/>
      <c r="J22" s="31"/>
      <c r="K22" s="31"/>
      <c r="L22" s="31">
        <f>SUM(D22/F22)/2</f>
        <v>6177.3483749999996</v>
      </c>
      <c r="M22" s="31">
        <f t="shared" si="17"/>
        <v>6177.3483749999996</v>
      </c>
      <c r="N22" s="31">
        <f t="shared" si="18"/>
        <v>12354.696749999999</v>
      </c>
      <c r="O22" s="31">
        <f t="shared" si="19"/>
        <v>18532.045124999997</v>
      </c>
      <c r="P22" s="31">
        <f t="shared" si="20"/>
        <v>12354.696749999999</v>
      </c>
      <c r="Q22" s="31">
        <f t="shared" si="21"/>
        <v>30886.741874999996</v>
      </c>
      <c r="R22" s="31">
        <f t="shared" si="22"/>
        <v>12354.696749999999</v>
      </c>
      <c r="S22" s="31">
        <f t="shared" si="23"/>
        <v>43241.438624999995</v>
      </c>
      <c r="T22" s="31">
        <f t="shared" si="24"/>
        <v>12354.696749999999</v>
      </c>
      <c r="U22" s="31">
        <f t="shared" si="25"/>
        <v>55596.135374999998</v>
      </c>
      <c r="V22" s="31">
        <f t="shared" si="26"/>
        <v>12354.696749999999</v>
      </c>
      <c r="W22" s="31">
        <f t="shared" si="27"/>
        <v>67950.832125000001</v>
      </c>
      <c r="X22" s="31">
        <f t="shared" si="28"/>
        <v>12354.696749999999</v>
      </c>
      <c r="Y22" s="31">
        <f t="shared" si="29"/>
        <v>80305.528875000004</v>
      </c>
      <c r="Z22" s="31">
        <f t="shared" si="30"/>
        <v>12354.696749999999</v>
      </c>
      <c r="AA22" s="31">
        <f t="shared" si="31"/>
        <v>92660.225625000006</v>
      </c>
      <c r="AB22" s="31">
        <f t="shared" si="32"/>
        <v>12354.696749999999</v>
      </c>
      <c r="AC22" s="31">
        <f t="shared" si="33"/>
        <v>105014.92237500001</v>
      </c>
      <c r="AD22" s="31">
        <f t="shared" si="34"/>
        <v>12354.696749999999</v>
      </c>
      <c r="AE22" s="31">
        <f t="shared" si="35"/>
        <v>117369.61912500001</v>
      </c>
      <c r="AF22" s="31">
        <f t="shared" si="36"/>
        <v>12354.696749999999</v>
      </c>
      <c r="AG22" s="31">
        <f t="shared" si="37"/>
        <v>129724.31587500001</v>
      </c>
      <c r="AH22" s="31">
        <f t="shared" si="38"/>
        <v>12354.696749999999</v>
      </c>
      <c r="AI22" s="31">
        <f t="shared" si="39"/>
        <v>142079.012625</v>
      </c>
      <c r="AJ22" s="31">
        <f t="shared" si="40"/>
        <v>12354.696749999999</v>
      </c>
      <c r="AK22" s="31">
        <f t="shared" si="41"/>
        <v>154433.70937500001</v>
      </c>
      <c r="AL22" s="31">
        <f t="shared" si="42"/>
        <v>12354.696749999999</v>
      </c>
      <c r="AM22" s="31">
        <f t="shared" si="43"/>
        <v>166788.40612500001</v>
      </c>
      <c r="AN22" s="31">
        <f t="shared" si="44"/>
        <v>12354.696749999999</v>
      </c>
      <c r="AO22" s="31">
        <f t="shared" si="45"/>
        <v>179143.10287500001</v>
      </c>
      <c r="AP22" s="31">
        <f t="shared" si="46"/>
        <v>315044.76712500001</v>
      </c>
      <c r="AQ22" s="31">
        <f t="shared" si="47"/>
        <v>12354.696749999999</v>
      </c>
      <c r="AR22" s="31">
        <f t="shared" si="48"/>
        <v>191497.79962500001</v>
      </c>
      <c r="AS22" s="31">
        <f t="shared" si="49"/>
        <v>302690.07037500001</v>
      </c>
      <c r="AU22" s="1">
        <v>35</v>
      </c>
      <c r="AV22" s="31">
        <f t="shared" si="50"/>
        <v>14119.653428571428</v>
      </c>
      <c r="AW22" s="31">
        <f t="shared" si="51"/>
        <v>193262.75630357143</v>
      </c>
      <c r="AX22" s="4">
        <f t="shared" si="52"/>
        <v>300925.1136964286</v>
      </c>
      <c r="AY22" s="4">
        <f t="shared" si="53"/>
        <v>14119.653428571428</v>
      </c>
      <c r="AZ22" s="4">
        <f t="shared" si="54"/>
        <v>207382.40973214284</v>
      </c>
      <c r="BA22" s="4">
        <f t="shared" si="55"/>
        <v>286805.46026785718</v>
      </c>
      <c r="BB22" s="34">
        <f t="shared" si="56"/>
        <v>14119.653428571428</v>
      </c>
      <c r="BC22" s="4">
        <f t="shared" si="57"/>
        <v>221502.06316071426</v>
      </c>
      <c r="BD22" s="4">
        <f t="shared" si="58"/>
        <v>272685.80683928577</v>
      </c>
      <c r="BG22" s="35">
        <v>14119.653428571428</v>
      </c>
    </row>
    <row r="23" spans="1:59" ht="15.5" x14ac:dyDescent="0.35">
      <c r="B23" s="1" t="s">
        <v>31</v>
      </c>
      <c r="C23" s="33">
        <v>38898</v>
      </c>
      <c r="D23" s="31">
        <v>544370</v>
      </c>
      <c r="E23" s="32" t="s">
        <v>21</v>
      </c>
      <c r="F23" s="32">
        <v>40</v>
      </c>
      <c r="G23" s="31"/>
      <c r="H23" s="31"/>
      <c r="I23" s="31"/>
      <c r="J23" s="31"/>
      <c r="K23" s="31"/>
      <c r="L23" s="31">
        <f>SUM(D23/F23)/2</f>
        <v>6804.625</v>
      </c>
      <c r="M23" s="31">
        <f t="shared" si="17"/>
        <v>6804.625</v>
      </c>
      <c r="N23" s="31">
        <f t="shared" si="18"/>
        <v>13609.25</v>
      </c>
      <c r="O23" s="31">
        <f t="shared" si="19"/>
        <v>20413.875</v>
      </c>
      <c r="P23" s="31">
        <f t="shared" si="20"/>
        <v>13609.25</v>
      </c>
      <c r="Q23" s="31">
        <f t="shared" si="21"/>
        <v>34023.125</v>
      </c>
      <c r="R23" s="31">
        <f t="shared" si="22"/>
        <v>13609.25</v>
      </c>
      <c r="S23" s="31">
        <f t="shared" si="23"/>
        <v>47632.375</v>
      </c>
      <c r="T23" s="31">
        <f t="shared" si="24"/>
        <v>13609.25</v>
      </c>
      <c r="U23" s="31">
        <f t="shared" si="25"/>
        <v>61241.625</v>
      </c>
      <c r="V23" s="31">
        <f t="shared" si="26"/>
        <v>13609.25</v>
      </c>
      <c r="W23" s="31">
        <f t="shared" si="27"/>
        <v>74850.875</v>
      </c>
      <c r="X23" s="31">
        <f t="shared" si="28"/>
        <v>13609.25</v>
      </c>
      <c r="Y23" s="31">
        <f t="shared" si="29"/>
        <v>88460.125</v>
      </c>
      <c r="Z23" s="31">
        <f t="shared" si="30"/>
        <v>13609.25</v>
      </c>
      <c r="AA23" s="31">
        <f t="shared" si="31"/>
        <v>102069.375</v>
      </c>
      <c r="AB23" s="31">
        <f t="shared" si="32"/>
        <v>13609.25</v>
      </c>
      <c r="AC23" s="31">
        <f t="shared" si="33"/>
        <v>115678.625</v>
      </c>
      <c r="AD23" s="31">
        <f t="shared" si="34"/>
        <v>13609.25</v>
      </c>
      <c r="AE23" s="31">
        <f t="shared" si="35"/>
        <v>129287.875</v>
      </c>
      <c r="AF23" s="31">
        <f t="shared" si="36"/>
        <v>13609.25</v>
      </c>
      <c r="AG23" s="31">
        <f t="shared" si="37"/>
        <v>142897.125</v>
      </c>
      <c r="AH23" s="31">
        <f t="shared" si="38"/>
        <v>13609.25</v>
      </c>
      <c r="AI23" s="31">
        <f t="shared" si="39"/>
        <v>156506.375</v>
      </c>
      <c r="AJ23" s="31">
        <f t="shared" si="40"/>
        <v>13609.25</v>
      </c>
      <c r="AK23" s="31">
        <f t="shared" si="41"/>
        <v>170115.625</v>
      </c>
      <c r="AL23" s="31">
        <f t="shared" si="42"/>
        <v>13609.25</v>
      </c>
      <c r="AM23" s="31">
        <f t="shared" si="43"/>
        <v>183724.875</v>
      </c>
      <c r="AN23" s="31">
        <f t="shared" si="44"/>
        <v>13609.25</v>
      </c>
      <c r="AO23" s="31">
        <f t="shared" si="45"/>
        <v>197334.125</v>
      </c>
      <c r="AP23" s="31">
        <f t="shared" si="46"/>
        <v>347035.875</v>
      </c>
      <c r="AQ23" s="31">
        <f t="shared" si="47"/>
        <v>13609.25</v>
      </c>
      <c r="AR23" s="31">
        <f t="shared" si="48"/>
        <v>210943.375</v>
      </c>
      <c r="AS23" s="31">
        <f t="shared" si="49"/>
        <v>333426.625</v>
      </c>
      <c r="AU23" s="1">
        <v>35</v>
      </c>
      <c r="AV23" s="31">
        <f t="shared" si="50"/>
        <v>15553.428571428571</v>
      </c>
      <c r="AW23" s="31">
        <f t="shared" si="51"/>
        <v>212887.55357142858</v>
      </c>
      <c r="AX23" s="4">
        <f t="shared" si="52"/>
        <v>331482.44642857142</v>
      </c>
      <c r="AY23" s="4">
        <f t="shared" si="53"/>
        <v>15553.428571428571</v>
      </c>
      <c r="AZ23" s="4">
        <f t="shared" si="54"/>
        <v>228440.98214285716</v>
      </c>
      <c r="BA23" s="4">
        <f t="shared" si="55"/>
        <v>315929.01785714284</v>
      </c>
      <c r="BB23" s="34">
        <f t="shared" si="56"/>
        <v>15553.428571428571</v>
      </c>
      <c r="BC23" s="4">
        <f t="shared" si="57"/>
        <v>243994.41071428574</v>
      </c>
      <c r="BD23" s="4">
        <f t="shared" si="58"/>
        <v>300375.58928571426</v>
      </c>
      <c r="BG23" s="35">
        <v>15553.428571428571</v>
      </c>
    </row>
    <row r="24" spans="1:59" ht="15.5" x14ac:dyDescent="0.35">
      <c r="B24" s="1" t="s">
        <v>32</v>
      </c>
      <c r="C24" s="33">
        <v>38898</v>
      </c>
      <c r="D24" s="31">
        <v>893400</v>
      </c>
      <c r="E24" s="32" t="s">
        <v>21</v>
      </c>
      <c r="F24" s="32">
        <v>40</v>
      </c>
      <c r="G24" s="31"/>
      <c r="H24" s="31"/>
      <c r="I24" s="31"/>
      <c r="J24" s="31"/>
      <c r="K24" s="31"/>
      <c r="L24" s="31">
        <f>SUM(D24/F24)/2</f>
        <v>11167.5</v>
      </c>
      <c r="M24" s="31">
        <f t="shared" si="17"/>
        <v>11167.5</v>
      </c>
      <c r="N24" s="31">
        <f t="shared" si="18"/>
        <v>22335</v>
      </c>
      <c r="O24" s="31">
        <f t="shared" si="19"/>
        <v>33502.5</v>
      </c>
      <c r="P24" s="31">
        <f t="shared" si="20"/>
        <v>22335</v>
      </c>
      <c r="Q24" s="31">
        <f t="shared" si="21"/>
        <v>55837.5</v>
      </c>
      <c r="R24" s="31">
        <f t="shared" si="22"/>
        <v>22335</v>
      </c>
      <c r="S24" s="31">
        <f t="shared" si="23"/>
        <v>78172.5</v>
      </c>
      <c r="T24" s="31">
        <f t="shared" si="24"/>
        <v>22335</v>
      </c>
      <c r="U24" s="31">
        <f t="shared" si="25"/>
        <v>100507.5</v>
      </c>
      <c r="V24" s="31">
        <f t="shared" si="26"/>
        <v>22335</v>
      </c>
      <c r="W24" s="31">
        <f t="shared" si="27"/>
        <v>122842.5</v>
      </c>
      <c r="X24" s="31">
        <f t="shared" si="28"/>
        <v>22335</v>
      </c>
      <c r="Y24" s="31">
        <f t="shared" si="29"/>
        <v>145177.5</v>
      </c>
      <c r="Z24" s="31">
        <f t="shared" si="30"/>
        <v>22335</v>
      </c>
      <c r="AA24" s="31">
        <f t="shared" si="31"/>
        <v>167512.5</v>
      </c>
      <c r="AB24" s="31">
        <f t="shared" si="32"/>
        <v>22335</v>
      </c>
      <c r="AC24" s="31">
        <f t="shared" si="33"/>
        <v>189847.5</v>
      </c>
      <c r="AD24" s="31">
        <f t="shared" si="34"/>
        <v>22335</v>
      </c>
      <c r="AE24" s="31">
        <f t="shared" si="35"/>
        <v>212182.5</v>
      </c>
      <c r="AF24" s="31">
        <f t="shared" si="36"/>
        <v>22335</v>
      </c>
      <c r="AG24" s="31">
        <f t="shared" si="37"/>
        <v>234517.5</v>
      </c>
      <c r="AH24" s="31">
        <f t="shared" si="38"/>
        <v>22335</v>
      </c>
      <c r="AI24" s="31">
        <f t="shared" si="39"/>
        <v>256852.5</v>
      </c>
      <c r="AJ24" s="31">
        <f t="shared" si="40"/>
        <v>22335</v>
      </c>
      <c r="AK24" s="31">
        <f t="shared" si="41"/>
        <v>279187.5</v>
      </c>
      <c r="AL24" s="31">
        <f t="shared" si="42"/>
        <v>22335</v>
      </c>
      <c r="AM24" s="31">
        <f t="shared" si="43"/>
        <v>301522.5</v>
      </c>
      <c r="AN24" s="31">
        <f t="shared" si="44"/>
        <v>22335</v>
      </c>
      <c r="AO24" s="31">
        <f t="shared" si="45"/>
        <v>323857.5</v>
      </c>
      <c r="AP24" s="31">
        <f t="shared" si="46"/>
        <v>569542.5</v>
      </c>
      <c r="AQ24" s="31">
        <f t="shared" si="47"/>
        <v>22335</v>
      </c>
      <c r="AR24" s="31">
        <f t="shared" si="48"/>
        <v>346192.5</v>
      </c>
      <c r="AS24" s="31">
        <f t="shared" si="49"/>
        <v>547207.5</v>
      </c>
      <c r="AU24" s="1">
        <v>35</v>
      </c>
      <c r="AV24" s="31">
        <f t="shared" si="50"/>
        <v>25525.714285714286</v>
      </c>
      <c r="AW24" s="31">
        <f t="shared" si="51"/>
        <v>349383.21428571426</v>
      </c>
      <c r="AX24" s="4">
        <f t="shared" si="52"/>
        <v>544016.78571428568</v>
      </c>
      <c r="AY24" s="4">
        <f t="shared" si="53"/>
        <v>25525.714285714286</v>
      </c>
      <c r="AZ24" s="4">
        <f t="shared" si="54"/>
        <v>374908.92857142852</v>
      </c>
      <c r="BA24" s="4">
        <f t="shared" si="55"/>
        <v>518491.07142857148</v>
      </c>
      <c r="BB24" s="34">
        <f t="shared" si="56"/>
        <v>25525.714285714286</v>
      </c>
      <c r="BC24" s="4">
        <f t="shared" si="57"/>
        <v>400434.64285714278</v>
      </c>
      <c r="BD24" s="4">
        <f t="shared" si="58"/>
        <v>492965.35714285722</v>
      </c>
      <c r="BG24" s="35">
        <v>25525.714285714286</v>
      </c>
    </row>
    <row r="25" spans="1:59" ht="15.5" x14ac:dyDescent="0.35">
      <c r="B25" s="1" t="s">
        <v>33</v>
      </c>
      <c r="C25" s="33">
        <v>38898</v>
      </c>
      <c r="D25" s="31">
        <v>675562</v>
      </c>
      <c r="E25" s="32" t="s">
        <v>21</v>
      </c>
      <c r="F25" s="32">
        <v>40</v>
      </c>
      <c r="G25" s="31"/>
      <c r="H25" s="31"/>
      <c r="I25" s="31"/>
      <c r="J25" s="31"/>
      <c r="K25" s="31"/>
      <c r="L25" s="31">
        <f>SUM(D25/F25)/2</f>
        <v>8444.5249999999996</v>
      </c>
      <c r="M25" s="31">
        <f t="shared" si="17"/>
        <v>8444.5249999999996</v>
      </c>
      <c r="N25" s="31">
        <f t="shared" si="18"/>
        <v>16889.05</v>
      </c>
      <c r="O25" s="31">
        <f t="shared" si="19"/>
        <v>25333.574999999997</v>
      </c>
      <c r="P25" s="31">
        <f t="shared" si="20"/>
        <v>16889.05</v>
      </c>
      <c r="Q25" s="31">
        <f t="shared" si="21"/>
        <v>42222.625</v>
      </c>
      <c r="R25" s="31">
        <f t="shared" si="22"/>
        <v>16889.05</v>
      </c>
      <c r="S25" s="31">
        <f t="shared" si="23"/>
        <v>59111.675000000003</v>
      </c>
      <c r="T25" s="31">
        <f t="shared" si="24"/>
        <v>16889.05</v>
      </c>
      <c r="U25" s="31">
        <f t="shared" si="25"/>
        <v>76000.725000000006</v>
      </c>
      <c r="V25" s="31">
        <f t="shared" si="26"/>
        <v>16889.05</v>
      </c>
      <c r="W25" s="31">
        <f t="shared" si="27"/>
        <v>92889.775000000009</v>
      </c>
      <c r="X25" s="31">
        <f t="shared" si="28"/>
        <v>16889.05</v>
      </c>
      <c r="Y25" s="31">
        <f t="shared" si="29"/>
        <v>109778.82500000001</v>
      </c>
      <c r="Z25" s="31">
        <f t="shared" si="30"/>
        <v>16889.05</v>
      </c>
      <c r="AA25" s="31">
        <f t="shared" si="31"/>
        <v>126667.87500000001</v>
      </c>
      <c r="AB25" s="31">
        <f t="shared" si="32"/>
        <v>16889.05</v>
      </c>
      <c r="AC25" s="31">
        <f t="shared" si="33"/>
        <v>143556.92500000002</v>
      </c>
      <c r="AD25" s="31">
        <f t="shared" si="34"/>
        <v>16889.05</v>
      </c>
      <c r="AE25" s="31">
        <f t="shared" si="35"/>
        <v>160445.97500000001</v>
      </c>
      <c r="AF25" s="31">
        <f t="shared" si="36"/>
        <v>16889.05</v>
      </c>
      <c r="AG25" s="31">
        <f t="shared" si="37"/>
        <v>177335.02499999999</v>
      </c>
      <c r="AH25" s="31">
        <f t="shared" si="38"/>
        <v>16889.05</v>
      </c>
      <c r="AI25" s="31">
        <f t="shared" si="39"/>
        <v>194224.07499999998</v>
      </c>
      <c r="AJ25" s="31">
        <f t="shared" si="40"/>
        <v>16889.05</v>
      </c>
      <c r="AK25" s="31">
        <f t="shared" si="41"/>
        <v>211113.12499999997</v>
      </c>
      <c r="AL25" s="31">
        <f t="shared" si="42"/>
        <v>16889.05</v>
      </c>
      <c r="AM25" s="31">
        <f t="shared" si="43"/>
        <v>228002.17499999996</v>
      </c>
      <c r="AN25" s="31">
        <f t="shared" si="44"/>
        <v>16889.05</v>
      </c>
      <c r="AO25" s="31">
        <f t="shared" si="45"/>
        <v>244891.22499999995</v>
      </c>
      <c r="AP25" s="31">
        <f t="shared" si="46"/>
        <v>430670.77500000002</v>
      </c>
      <c r="AQ25" s="31">
        <f t="shared" si="47"/>
        <v>16889.05</v>
      </c>
      <c r="AR25" s="31">
        <f t="shared" si="48"/>
        <v>261780.27499999994</v>
      </c>
      <c r="AS25" s="31">
        <f t="shared" si="49"/>
        <v>413781.72500000009</v>
      </c>
      <c r="AU25" s="1">
        <v>35</v>
      </c>
      <c r="AV25" s="31">
        <f t="shared" si="50"/>
        <v>19301.771428571428</v>
      </c>
      <c r="AW25" s="31">
        <f t="shared" si="51"/>
        <v>264192.99642857135</v>
      </c>
      <c r="AX25" s="4">
        <f t="shared" si="52"/>
        <v>411369.00357142865</v>
      </c>
      <c r="AY25" s="4">
        <f t="shared" si="53"/>
        <v>19301.771428571428</v>
      </c>
      <c r="AZ25" s="4">
        <f t="shared" si="54"/>
        <v>283494.76785714278</v>
      </c>
      <c r="BA25" s="4">
        <f t="shared" si="55"/>
        <v>392067.23214285722</v>
      </c>
      <c r="BB25" s="34">
        <f t="shared" si="56"/>
        <v>19301.771428571428</v>
      </c>
      <c r="BC25" s="4">
        <f t="shared" si="57"/>
        <v>302796.53928571421</v>
      </c>
      <c r="BD25" s="4">
        <f t="shared" si="58"/>
        <v>372765.46071428579</v>
      </c>
      <c r="BG25" s="35">
        <v>19301.771428571428</v>
      </c>
    </row>
    <row r="26" spans="1:59" ht="15.5" x14ac:dyDescent="0.35">
      <c r="B26" s="1" t="s">
        <v>34</v>
      </c>
      <c r="C26" s="33">
        <v>39263</v>
      </c>
      <c r="D26" s="31">
        <v>5821</v>
      </c>
      <c r="E26" s="32" t="s">
        <v>21</v>
      </c>
      <c r="F26" s="32">
        <v>40</v>
      </c>
      <c r="G26" s="31"/>
      <c r="H26" s="31"/>
      <c r="I26" s="31"/>
      <c r="J26" s="31"/>
      <c r="K26" s="31"/>
      <c r="L26" s="31"/>
      <c r="M26" s="31"/>
      <c r="N26" s="31">
        <f>SUM(D26/F26)/2</f>
        <v>72.762500000000003</v>
      </c>
      <c r="O26" s="31">
        <f t="shared" si="19"/>
        <v>72.762500000000003</v>
      </c>
      <c r="P26" s="31">
        <f t="shared" si="20"/>
        <v>145.52500000000001</v>
      </c>
      <c r="Q26" s="31">
        <f t="shared" si="21"/>
        <v>218.28750000000002</v>
      </c>
      <c r="R26" s="31">
        <f t="shared" si="22"/>
        <v>145.52500000000001</v>
      </c>
      <c r="S26" s="31">
        <f t="shared" si="23"/>
        <v>363.8125</v>
      </c>
      <c r="T26" s="31">
        <f t="shared" si="24"/>
        <v>145.52500000000001</v>
      </c>
      <c r="U26" s="31">
        <f t="shared" si="25"/>
        <v>509.33749999999998</v>
      </c>
      <c r="V26" s="31">
        <f t="shared" si="26"/>
        <v>145.52500000000001</v>
      </c>
      <c r="W26" s="31">
        <f t="shared" si="27"/>
        <v>654.86249999999995</v>
      </c>
      <c r="X26" s="31">
        <f t="shared" si="28"/>
        <v>145.52500000000001</v>
      </c>
      <c r="Y26" s="31">
        <f t="shared" si="29"/>
        <v>800.38749999999993</v>
      </c>
      <c r="Z26" s="31">
        <f t="shared" si="30"/>
        <v>145.52500000000001</v>
      </c>
      <c r="AA26" s="31">
        <f t="shared" si="31"/>
        <v>945.91249999999991</v>
      </c>
      <c r="AB26" s="31">
        <f t="shared" si="32"/>
        <v>145.52500000000001</v>
      </c>
      <c r="AC26" s="31">
        <f t="shared" si="33"/>
        <v>1091.4375</v>
      </c>
      <c r="AD26" s="31">
        <f t="shared" si="34"/>
        <v>145.52500000000001</v>
      </c>
      <c r="AE26" s="31">
        <f t="shared" si="35"/>
        <v>1236.9625000000001</v>
      </c>
      <c r="AF26" s="31">
        <f t="shared" si="36"/>
        <v>145.52500000000001</v>
      </c>
      <c r="AG26" s="31">
        <f t="shared" si="37"/>
        <v>1382.4875000000002</v>
      </c>
      <c r="AH26" s="31">
        <f t="shared" si="38"/>
        <v>145.52500000000001</v>
      </c>
      <c r="AI26" s="31">
        <f t="shared" si="39"/>
        <v>1528.0125000000003</v>
      </c>
      <c r="AJ26" s="31">
        <f t="shared" si="40"/>
        <v>145.52500000000001</v>
      </c>
      <c r="AK26" s="31">
        <f t="shared" si="41"/>
        <v>1673.5375000000004</v>
      </c>
      <c r="AL26" s="31">
        <f t="shared" si="42"/>
        <v>145.52500000000001</v>
      </c>
      <c r="AM26" s="31">
        <f t="shared" si="43"/>
        <v>1819.0625000000005</v>
      </c>
      <c r="AN26" s="31">
        <f t="shared" si="44"/>
        <v>145.52500000000001</v>
      </c>
      <c r="AO26" s="31">
        <f t="shared" si="45"/>
        <v>1964.5875000000005</v>
      </c>
      <c r="AP26" s="31">
        <f t="shared" si="46"/>
        <v>3856.4124999999995</v>
      </c>
      <c r="AQ26" s="31">
        <f t="shared" si="47"/>
        <v>145.52500000000001</v>
      </c>
      <c r="AR26" s="31">
        <f t="shared" si="48"/>
        <v>2110.1125000000006</v>
      </c>
      <c r="AS26" s="31">
        <f t="shared" si="49"/>
        <v>3710.8874999999994</v>
      </c>
      <c r="AU26" s="1">
        <v>35</v>
      </c>
      <c r="AV26" s="31">
        <f t="shared" si="50"/>
        <v>166.31428571428572</v>
      </c>
      <c r="AW26" s="31">
        <f t="shared" si="51"/>
        <v>2130.9017857142862</v>
      </c>
      <c r="AX26" s="4">
        <f t="shared" si="52"/>
        <v>3690.0982142857138</v>
      </c>
      <c r="AY26" s="4">
        <f t="shared" si="53"/>
        <v>166.31428571428572</v>
      </c>
      <c r="AZ26" s="4">
        <f t="shared" si="54"/>
        <v>2297.2160714285719</v>
      </c>
      <c r="BA26" s="4">
        <f t="shared" si="55"/>
        <v>3523.7839285714281</v>
      </c>
      <c r="BB26" s="34">
        <f t="shared" si="56"/>
        <v>166.31428571428572</v>
      </c>
      <c r="BC26" s="4">
        <f t="shared" si="57"/>
        <v>2463.5303571428576</v>
      </c>
      <c r="BD26" s="4">
        <f t="shared" si="58"/>
        <v>3357.4696428571424</v>
      </c>
      <c r="BG26" s="35">
        <v>166.31428571428572</v>
      </c>
    </row>
    <row r="27" spans="1:59" ht="15.5" x14ac:dyDescent="0.35">
      <c r="B27" s="1" t="s">
        <v>35</v>
      </c>
      <c r="C27" s="33">
        <v>39629</v>
      </c>
      <c r="D27" s="31">
        <v>816866</v>
      </c>
      <c r="E27" s="32" t="s">
        <v>21</v>
      </c>
      <c r="F27" s="32">
        <v>40</v>
      </c>
      <c r="G27" s="31"/>
      <c r="H27" s="31"/>
      <c r="I27" s="31"/>
      <c r="J27" s="31"/>
      <c r="K27" s="31"/>
      <c r="L27" s="31"/>
      <c r="M27" s="31"/>
      <c r="N27" s="31"/>
      <c r="O27" s="31"/>
      <c r="P27" s="31">
        <v>10211</v>
      </c>
      <c r="Q27" s="31">
        <v>10211</v>
      </c>
      <c r="R27" s="31">
        <f>SUM(D27/40)</f>
        <v>20421.650000000001</v>
      </c>
      <c r="S27" s="31">
        <f t="shared" si="23"/>
        <v>30632.65</v>
      </c>
      <c r="T27" s="31">
        <f t="shared" si="24"/>
        <v>20421.650000000001</v>
      </c>
      <c r="U27" s="31">
        <f t="shared" si="25"/>
        <v>51054.3</v>
      </c>
      <c r="V27" s="31">
        <f t="shared" si="26"/>
        <v>20421.650000000001</v>
      </c>
      <c r="W27" s="31">
        <f t="shared" si="27"/>
        <v>71475.950000000012</v>
      </c>
      <c r="X27" s="31">
        <f t="shared" si="28"/>
        <v>20421.650000000001</v>
      </c>
      <c r="Y27" s="31">
        <f t="shared" si="29"/>
        <v>91897.600000000006</v>
      </c>
      <c r="Z27" s="31">
        <f t="shared" si="30"/>
        <v>20421.650000000001</v>
      </c>
      <c r="AA27" s="31">
        <f t="shared" si="31"/>
        <v>112319.25</v>
      </c>
      <c r="AB27" s="31">
        <f t="shared" si="32"/>
        <v>20421.650000000001</v>
      </c>
      <c r="AC27" s="31">
        <f t="shared" si="33"/>
        <v>132740.9</v>
      </c>
      <c r="AD27" s="31">
        <f t="shared" si="34"/>
        <v>20421.650000000001</v>
      </c>
      <c r="AE27" s="31">
        <f t="shared" si="35"/>
        <v>153162.54999999999</v>
      </c>
      <c r="AF27" s="31">
        <f t="shared" si="36"/>
        <v>20421.650000000001</v>
      </c>
      <c r="AG27" s="31">
        <f t="shared" si="37"/>
        <v>173584.19999999998</v>
      </c>
      <c r="AH27" s="31">
        <f t="shared" si="38"/>
        <v>20421.650000000001</v>
      </c>
      <c r="AI27" s="31">
        <f t="shared" si="39"/>
        <v>194005.84999999998</v>
      </c>
      <c r="AJ27" s="31">
        <f t="shared" si="40"/>
        <v>20421.650000000001</v>
      </c>
      <c r="AK27" s="31">
        <f t="shared" si="41"/>
        <v>214427.49999999997</v>
      </c>
      <c r="AL27" s="31">
        <f t="shared" si="42"/>
        <v>20421.650000000001</v>
      </c>
      <c r="AM27" s="31">
        <f t="shared" si="43"/>
        <v>234849.14999999997</v>
      </c>
      <c r="AN27" s="31">
        <f t="shared" si="44"/>
        <v>20421.650000000001</v>
      </c>
      <c r="AO27" s="31">
        <f t="shared" si="45"/>
        <v>255270.79999999996</v>
      </c>
      <c r="AP27" s="31">
        <f t="shared" si="46"/>
        <v>561595.20000000007</v>
      </c>
      <c r="AQ27" s="31">
        <f t="shared" si="47"/>
        <v>20421.650000000001</v>
      </c>
      <c r="AR27" s="31">
        <f t="shared" si="48"/>
        <v>275692.44999999995</v>
      </c>
      <c r="AS27" s="31">
        <f t="shared" si="49"/>
        <v>541173.55000000005</v>
      </c>
      <c r="AU27" s="1">
        <v>35</v>
      </c>
      <c r="AV27" s="31">
        <f t="shared" si="50"/>
        <v>23339.028571428571</v>
      </c>
      <c r="AW27" s="31">
        <f t="shared" si="51"/>
        <v>278609.82857142854</v>
      </c>
      <c r="AX27" s="4">
        <f t="shared" si="52"/>
        <v>538256.17142857146</v>
      </c>
      <c r="AY27" s="4">
        <f t="shared" si="53"/>
        <v>23339.028571428571</v>
      </c>
      <c r="AZ27" s="4">
        <f t="shared" si="54"/>
        <v>301948.8571428571</v>
      </c>
      <c r="BA27" s="4">
        <f t="shared" si="55"/>
        <v>514917.1428571429</v>
      </c>
      <c r="BB27" s="34">
        <f t="shared" si="56"/>
        <v>23339.028571428571</v>
      </c>
      <c r="BC27" s="4">
        <f t="shared" si="57"/>
        <v>325287.88571428566</v>
      </c>
      <c r="BD27" s="4">
        <f t="shared" si="58"/>
        <v>491578.11428571434</v>
      </c>
      <c r="BG27" s="35">
        <v>23339.028571428571</v>
      </c>
    </row>
    <row r="28" spans="1:59" ht="15.5" x14ac:dyDescent="0.35">
      <c r="B28" s="1" t="s">
        <v>36</v>
      </c>
      <c r="C28" s="33">
        <v>39629</v>
      </c>
      <c r="D28" s="31">
        <v>1054000</v>
      </c>
      <c r="E28" s="32" t="s">
        <v>21</v>
      </c>
      <c r="F28" s="32">
        <v>40</v>
      </c>
      <c r="G28" s="31"/>
      <c r="H28" s="31"/>
      <c r="I28" s="31"/>
      <c r="J28" s="31"/>
      <c r="K28" s="31"/>
      <c r="L28" s="31"/>
      <c r="M28" s="31"/>
      <c r="N28" s="31"/>
      <c r="O28" s="31"/>
      <c r="P28" s="31">
        <v>13175</v>
      </c>
      <c r="Q28" s="31">
        <v>13175</v>
      </c>
      <c r="R28" s="31">
        <f>SUM(D28/40)</f>
        <v>26350</v>
      </c>
      <c r="S28" s="31">
        <f t="shared" si="23"/>
        <v>39525</v>
      </c>
      <c r="T28" s="31">
        <f t="shared" si="24"/>
        <v>26350</v>
      </c>
      <c r="U28" s="31">
        <f t="shared" si="25"/>
        <v>65875</v>
      </c>
      <c r="V28" s="31">
        <f t="shared" si="26"/>
        <v>26350</v>
      </c>
      <c r="W28" s="31">
        <f t="shared" si="27"/>
        <v>92225</v>
      </c>
      <c r="X28" s="31">
        <f t="shared" si="28"/>
        <v>26350</v>
      </c>
      <c r="Y28" s="31">
        <f t="shared" si="29"/>
        <v>118575</v>
      </c>
      <c r="Z28" s="31">
        <f t="shared" si="30"/>
        <v>26350</v>
      </c>
      <c r="AA28" s="31">
        <f t="shared" si="31"/>
        <v>144925</v>
      </c>
      <c r="AB28" s="31">
        <f t="shared" si="32"/>
        <v>26350</v>
      </c>
      <c r="AC28" s="31">
        <f t="shared" si="33"/>
        <v>171275</v>
      </c>
      <c r="AD28" s="31">
        <f t="shared" si="34"/>
        <v>26350</v>
      </c>
      <c r="AE28" s="31">
        <f t="shared" si="35"/>
        <v>197625</v>
      </c>
      <c r="AF28" s="31">
        <f t="shared" si="36"/>
        <v>26350</v>
      </c>
      <c r="AG28" s="31">
        <f t="shared" si="37"/>
        <v>223975</v>
      </c>
      <c r="AH28" s="31">
        <f t="shared" si="38"/>
        <v>26350</v>
      </c>
      <c r="AI28" s="31">
        <f t="shared" si="39"/>
        <v>250325</v>
      </c>
      <c r="AJ28" s="31">
        <f t="shared" si="40"/>
        <v>26350</v>
      </c>
      <c r="AK28" s="31">
        <f t="shared" si="41"/>
        <v>276675</v>
      </c>
      <c r="AL28" s="31">
        <f t="shared" si="42"/>
        <v>26350</v>
      </c>
      <c r="AM28" s="31">
        <f t="shared" si="43"/>
        <v>303025</v>
      </c>
      <c r="AN28" s="31">
        <f t="shared" si="44"/>
        <v>26350</v>
      </c>
      <c r="AO28" s="31">
        <f t="shared" si="45"/>
        <v>329375</v>
      </c>
      <c r="AP28" s="31">
        <f t="shared" si="46"/>
        <v>724625</v>
      </c>
      <c r="AQ28" s="31">
        <f t="shared" si="47"/>
        <v>26350</v>
      </c>
      <c r="AR28" s="31">
        <f t="shared" si="48"/>
        <v>355725</v>
      </c>
      <c r="AS28" s="31">
        <f t="shared" si="49"/>
        <v>698275</v>
      </c>
      <c r="AU28" s="1">
        <v>35</v>
      </c>
      <c r="AV28" s="31">
        <f t="shared" si="50"/>
        <v>30114.285714285714</v>
      </c>
      <c r="AW28" s="31">
        <f t="shared" si="51"/>
        <v>359489.28571428574</v>
      </c>
      <c r="AX28" s="4">
        <f t="shared" si="52"/>
        <v>694510.71428571432</v>
      </c>
      <c r="AY28" s="4">
        <f t="shared" si="53"/>
        <v>30114.285714285714</v>
      </c>
      <c r="AZ28" s="4">
        <f t="shared" si="54"/>
        <v>389603.57142857148</v>
      </c>
      <c r="BA28" s="4">
        <f t="shared" si="55"/>
        <v>664396.42857142852</v>
      </c>
      <c r="BB28" s="34">
        <f t="shared" si="56"/>
        <v>30114.285714285714</v>
      </c>
      <c r="BC28" s="4">
        <f t="shared" si="57"/>
        <v>419717.85714285722</v>
      </c>
      <c r="BD28" s="4">
        <f t="shared" si="58"/>
        <v>634282.14285714272</v>
      </c>
      <c r="BG28" s="35">
        <v>30114.285714285714</v>
      </c>
    </row>
    <row r="29" spans="1:59" ht="15.5" x14ac:dyDescent="0.35">
      <c r="B29" s="1" t="s">
        <v>37</v>
      </c>
      <c r="C29" s="33">
        <v>39845</v>
      </c>
      <c r="D29" s="31">
        <v>263397</v>
      </c>
      <c r="E29" s="32" t="s">
        <v>21</v>
      </c>
      <c r="F29" s="32">
        <v>40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>
        <f>SUM(D29/40/12*11)</f>
        <v>6036.1812499999996</v>
      </c>
      <c r="S29" s="31">
        <f t="shared" si="23"/>
        <v>6036.1812499999996</v>
      </c>
      <c r="T29" s="31">
        <f>SUM(D29/40)</f>
        <v>6584.9250000000002</v>
      </c>
      <c r="U29" s="31">
        <f t="shared" si="25"/>
        <v>12621.106250000001</v>
      </c>
      <c r="V29" s="31">
        <f t="shared" si="26"/>
        <v>6584.9250000000002</v>
      </c>
      <c r="W29" s="31">
        <f t="shared" si="27"/>
        <v>19206.03125</v>
      </c>
      <c r="X29" s="31">
        <f t="shared" si="28"/>
        <v>6584.9250000000002</v>
      </c>
      <c r="Y29" s="31">
        <f t="shared" si="29"/>
        <v>25790.956249999999</v>
      </c>
      <c r="Z29" s="31">
        <f t="shared" si="30"/>
        <v>6584.9250000000002</v>
      </c>
      <c r="AA29" s="31">
        <f t="shared" si="31"/>
        <v>32375.881249999999</v>
      </c>
      <c r="AB29" s="31">
        <f t="shared" si="32"/>
        <v>6584.9250000000002</v>
      </c>
      <c r="AC29" s="31">
        <f t="shared" si="33"/>
        <v>38960.806250000001</v>
      </c>
      <c r="AD29" s="31">
        <f t="shared" si="34"/>
        <v>6584.9250000000002</v>
      </c>
      <c r="AE29" s="31">
        <f t="shared" si="35"/>
        <v>45545.731250000004</v>
      </c>
      <c r="AF29" s="31">
        <f t="shared" si="36"/>
        <v>6584.9250000000002</v>
      </c>
      <c r="AG29" s="31">
        <f t="shared" si="37"/>
        <v>52130.656250000007</v>
      </c>
      <c r="AH29" s="31">
        <f t="shared" si="38"/>
        <v>6584.9250000000002</v>
      </c>
      <c r="AI29" s="31">
        <f t="shared" si="39"/>
        <v>58715.58125000001</v>
      </c>
      <c r="AJ29" s="31">
        <f t="shared" si="40"/>
        <v>6584.9250000000002</v>
      </c>
      <c r="AK29" s="31">
        <f t="shared" si="41"/>
        <v>65300.506250000013</v>
      </c>
      <c r="AL29" s="31">
        <f t="shared" si="42"/>
        <v>6584.9250000000002</v>
      </c>
      <c r="AM29" s="31">
        <f t="shared" si="43"/>
        <v>71885.431250000009</v>
      </c>
      <c r="AN29" s="31">
        <f t="shared" si="44"/>
        <v>6584.9250000000002</v>
      </c>
      <c r="AO29" s="31">
        <f t="shared" si="45"/>
        <v>78470.356250000012</v>
      </c>
      <c r="AP29" s="31">
        <f t="shared" si="46"/>
        <v>184926.64374999999</v>
      </c>
      <c r="AQ29" s="31">
        <f t="shared" si="47"/>
        <v>6584.9250000000002</v>
      </c>
      <c r="AR29" s="31">
        <f t="shared" si="48"/>
        <v>85055.281250000015</v>
      </c>
      <c r="AS29" s="31">
        <f t="shared" si="49"/>
        <v>178341.71875</v>
      </c>
      <c r="AU29" s="1">
        <v>35</v>
      </c>
      <c r="AV29" s="31">
        <f t="shared" si="50"/>
        <v>7525.6285714285714</v>
      </c>
      <c r="AW29" s="31">
        <f t="shared" si="51"/>
        <v>85995.984821428588</v>
      </c>
      <c r="AX29" s="4">
        <f t="shared" si="52"/>
        <v>177401.0151785714</v>
      </c>
      <c r="AY29" s="4">
        <f t="shared" si="53"/>
        <v>7525.6285714285714</v>
      </c>
      <c r="AZ29" s="4">
        <f t="shared" si="54"/>
        <v>93521.613392857165</v>
      </c>
      <c r="BA29" s="4">
        <f t="shared" si="55"/>
        <v>169875.38660714283</v>
      </c>
      <c r="BB29" s="34">
        <f t="shared" si="56"/>
        <v>7525.6285714285714</v>
      </c>
      <c r="BC29" s="4">
        <f t="shared" si="57"/>
        <v>101047.24196428574</v>
      </c>
      <c r="BD29" s="4">
        <f t="shared" si="58"/>
        <v>162349.75803571427</v>
      </c>
      <c r="BG29" s="35">
        <v>7525.6285714285714</v>
      </c>
    </row>
    <row r="30" spans="1:59" ht="15.5" x14ac:dyDescent="0.35">
      <c r="B30" s="1" t="s">
        <v>38</v>
      </c>
      <c r="C30" s="33">
        <v>39845</v>
      </c>
      <c r="D30" s="31">
        <v>380190</v>
      </c>
      <c r="E30" s="32" t="s">
        <v>21</v>
      </c>
      <c r="F30" s="32">
        <v>40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>
        <f>SUM(D30/40/12*11)</f>
        <v>8712.6875</v>
      </c>
      <c r="S30" s="31">
        <f t="shared" si="23"/>
        <v>8712.6875</v>
      </c>
      <c r="T30" s="31">
        <f>SUM(D30/40)</f>
        <v>9504.75</v>
      </c>
      <c r="U30" s="31">
        <f t="shared" si="25"/>
        <v>18217.4375</v>
      </c>
      <c r="V30" s="31">
        <f t="shared" si="26"/>
        <v>9504.75</v>
      </c>
      <c r="W30" s="31">
        <f t="shared" si="27"/>
        <v>27722.1875</v>
      </c>
      <c r="X30" s="31">
        <f t="shared" si="28"/>
        <v>9504.75</v>
      </c>
      <c r="Y30" s="31">
        <f t="shared" si="29"/>
        <v>37226.9375</v>
      </c>
      <c r="Z30" s="31">
        <f t="shared" si="30"/>
        <v>9504.75</v>
      </c>
      <c r="AA30" s="31">
        <f t="shared" si="31"/>
        <v>46731.6875</v>
      </c>
      <c r="AB30" s="31">
        <f t="shared" si="32"/>
        <v>9504.75</v>
      </c>
      <c r="AC30" s="31">
        <f t="shared" si="33"/>
        <v>56236.4375</v>
      </c>
      <c r="AD30" s="31">
        <f t="shared" si="34"/>
        <v>9504.75</v>
      </c>
      <c r="AE30" s="31">
        <f t="shared" si="35"/>
        <v>65741.1875</v>
      </c>
      <c r="AF30" s="31">
        <f t="shared" si="36"/>
        <v>9504.75</v>
      </c>
      <c r="AG30" s="31">
        <f t="shared" si="37"/>
        <v>75245.9375</v>
      </c>
      <c r="AH30" s="31">
        <f t="shared" si="38"/>
        <v>9504.75</v>
      </c>
      <c r="AI30" s="31">
        <f t="shared" si="39"/>
        <v>84750.6875</v>
      </c>
      <c r="AJ30" s="31">
        <f t="shared" si="40"/>
        <v>9504.75</v>
      </c>
      <c r="AK30" s="31">
        <f t="shared" si="41"/>
        <v>94255.4375</v>
      </c>
      <c r="AL30" s="31">
        <f t="shared" si="42"/>
        <v>9504.75</v>
      </c>
      <c r="AM30" s="31">
        <f t="shared" si="43"/>
        <v>103760.1875</v>
      </c>
      <c r="AN30" s="31">
        <f t="shared" si="44"/>
        <v>9504.75</v>
      </c>
      <c r="AO30" s="31">
        <f t="shared" si="45"/>
        <v>113264.9375</v>
      </c>
      <c r="AP30" s="31">
        <f t="shared" si="46"/>
        <v>266925.0625</v>
      </c>
      <c r="AQ30" s="31">
        <f t="shared" si="47"/>
        <v>9504.75</v>
      </c>
      <c r="AR30" s="31">
        <f t="shared" si="48"/>
        <v>122769.6875</v>
      </c>
      <c r="AS30" s="31">
        <f t="shared" si="49"/>
        <v>257420.3125</v>
      </c>
      <c r="AU30" s="1">
        <v>35</v>
      </c>
      <c r="AV30" s="31">
        <f t="shared" si="50"/>
        <v>10862.571428571429</v>
      </c>
      <c r="AW30" s="31">
        <f t="shared" si="51"/>
        <v>124127.50892857143</v>
      </c>
      <c r="AX30" s="4">
        <f t="shared" si="52"/>
        <v>256062.49107142858</v>
      </c>
      <c r="AY30" s="4">
        <f t="shared" si="53"/>
        <v>10862.571428571429</v>
      </c>
      <c r="AZ30" s="4">
        <f t="shared" si="54"/>
        <v>134990.08035714287</v>
      </c>
      <c r="BA30" s="4">
        <f t="shared" si="55"/>
        <v>245199.91964285713</v>
      </c>
      <c r="BB30" s="34">
        <f t="shared" si="56"/>
        <v>10862.571428571429</v>
      </c>
      <c r="BC30" s="4">
        <f t="shared" si="57"/>
        <v>145852.65178571429</v>
      </c>
      <c r="BD30" s="4">
        <f t="shared" si="58"/>
        <v>234337.34821428571</v>
      </c>
      <c r="BG30" s="35">
        <v>10862.571428571429</v>
      </c>
    </row>
    <row r="31" spans="1:59" ht="15.5" x14ac:dyDescent="0.35">
      <c r="B31" s="1" t="s">
        <v>39</v>
      </c>
      <c r="C31" s="33" t="s">
        <v>40</v>
      </c>
      <c r="D31" s="31">
        <v>379947</v>
      </c>
      <c r="E31" s="32" t="s">
        <v>21</v>
      </c>
      <c r="F31" s="32">
        <v>40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>
        <v>792</v>
      </c>
      <c r="W31" s="31">
        <f t="shared" si="27"/>
        <v>792</v>
      </c>
      <c r="X31" s="31">
        <v>9499</v>
      </c>
      <c r="Y31" s="31">
        <f t="shared" si="29"/>
        <v>10291</v>
      </c>
      <c r="Z31" s="31">
        <v>9499</v>
      </c>
      <c r="AA31" s="31">
        <f t="shared" si="31"/>
        <v>19790</v>
      </c>
      <c r="AB31" s="31">
        <f t="shared" si="32"/>
        <v>9499</v>
      </c>
      <c r="AC31" s="31">
        <f t="shared" si="33"/>
        <v>29289</v>
      </c>
      <c r="AD31" s="31">
        <f t="shared" si="34"/>
        <v>9499</v>
      </c>
      <c r="AE31" s="31">
        <f t="shared" si="35"/>
        <v>38788</v>
      </c>
      <c r="AF31" s="31">
        <f t="shared" si="36"/>
        <v>9499</v>
      </c>
      <c r="AG31" s="31">
        <f t="shared" si="37"/>
        <v>48287</v>
      </c>
      <c r="AH31" s="31">
        <f t="shared" si="38"/>
        <v>9499</v>
      </c>
      <c r="AI31" s="31">
        <f t="shared" si="39"/>
        <v>57786</v>
      </c>
      <c r="AJ31" s="31">
        <f t="shared" si="40"/>
        <v>9499</v>
      </c>
      <c r="AK31" s="31">
        <f t="shared" si="41"/>
        <v>67285</v>
      </c>
      <c r="AL31" s="31">
        <f t="shared" si="42"/>
        <v>9499</v>
      </c>
      <c r="AM31" s="31">
        <f t="shared" si="43"/>
        <v>76784</v>
      </c>
      <c r="AN31" s="31">
        <f t="shared" si="44"/>
        <v>9499</v>
      </c>
      <c r="AO31" s="31">
        <f t="shared" si="45"/>
        <v>86283</v>
      </c>
      <c r="AP31" s="31">
        <f t="shared" si="46"/>
        <v>293664</v>
      </c>
      <c r="AQ31" s="31">
        <f t="shared" si="47"/>
        <v>9499</v>
      </c>
      <c r="AR31" s="31">
        <f t="shared" si="48"/>
        <v>95782</v>
      </c>
      <c r="AS31" s="31">
        <f t="shared" si="49"/>
        <v>284165</v>
      </c>
      <c r="AU31" s="1">
        <v>35</v>
      </c>
      <c r="AV31" s="31">
        <f t="shared" si="50"/>
        <v>10855.628571428571</v>
      </c>
      <c r="AW31" s="31">
        <f t="shared" si="51"/>
        <v>97138.628571428577</v>
      </c>
      <c r="AX31" s="4">
        <f t="shared" si="52"/>
        <v>282808.37142857141</v>
      </c>
      <c r="AY31" s="4">
        <f t="shared" si="53"/>
        <v>10855.628571428571</v>
      </c>
      <c r="AZ31" s="4">
        <f t="shared" si="54"/>
        <v>107994.25714285715</v>
      </c>
      <c r="BA31" s="4">
        <f t="shared" si="55"/>
        <v>271952.74285714282</v>
      </c>
      <c r="BB31" s="34">
        <f t="shared" si="56"/>
        <v>10855.628571428571</v>
      </c>
      <c r="BC31" s="4">
        <f t="shared" si="57"/>
        <v>118849.88571428573</v>
      </c>
      <c r="BD31" s="4">
        <f t="shared" si="58"/>
        <v>261097.11428571428</v>
      </c>
      <c r="BG31" s="35">
        <v>10855.628571428571</v>
      </c>
    </row>
    <row r="32" spans="1:59" ht="15.5" x14ac:dyDescent="0.35">
      <c r="B32" s="1" t="s">
        <v>41</v>
      </c>
      <c r="C32" s="33" t="s">
        <v>42</v>
      </c>
      <c r="D32" s="31">
        <v>16328</v>
      </c>
      <c r="E32" s="32" t="s">
        <v>21</v>
      </c>
      <c r="F32" s="32">
        <v>40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>
        <v>68</v>
      </c>
      <c r="W32" s="31">
        <f t="shared" si="27"/>
        <v>68</v>
      </c>
      <c r="X32" s="31">
        <v>408</v>
      </c>
      <c r="Y32" s="31">
        <f t="shared" si="29"/>
        <v>476</v>
      </c>
      <c r="Z32" s="31">
        <v>408</v>
      </c>
      <c r="AA32" s="31">
        <f t="shared" si="31"/>
        <v>884</v>
      </c>
      <c r="AB32" s="31">
        <f t="shared" si="32"/>
        <v>408</v>
      </c>
      <c r="AC32" s="31">
        <f t="shared" si="33"/>
        <v>1292</v>
      </c>
      <c r="AD32" s="31">
        <f t="shared" si="34"/>
        <v>408</v>
      </c>
      <c r="AE32" s="31">
        <f t="shared" si="35"/>
        <v>1700</v>
      </c>
      <c r="AF32" s="31">
        <f t="shared" si="36"/>
        <v>408</v>
      </c>
      <c r="AG32" s="31">
        <f t="shared" si="37"/>
        <v>2108</v>
      </c>
      <c r="AH32" s="31">
        <f t="shared" si="38"/>
        <v>408</v>
      </c>
      <c r="AI32" s="31">
        <f t="shared" si="39"/>
        <v>2516</v>
      </c>
      <c r="AJ32" s="31">
        <f t="shared" si="40"/>
        <v>408</v>
      </c>
      <c r="AK32" s="31">
        <f t="shared" si="41"/>
        <v>2924</v>
      </c>
      <c r="AL32" s="31">
        <f t="shared" si="42"/>
        <v>408</v>
      </c>
      <c r="AM32" s="31">
        <f t="shared" si="43"/>
        <v>3332</v>
      </c>
      <c r="AN32" s="31">
        <f t="shared" si="44"/>
        <v>408</v>
      </c>
      <c r="AO32" s="31">
        <f t="shared" si="45"/>
        <v>3740</v>
      </c>
      <c r="AP32" s="31">
        <f t="shared" si="46"/>
        <v>12588</v>
      </c>
      <c r="AQ32" s="31">
        <f t="shared" si="47"/>
        <v>408</v>
      </c>
      <c r="AR32" s="31">
        <f t="shared" si="48"/>
        <v>4148</v>
      </c>
      <c r="AS32" s="31">
        <f t="shared" si="49"/>
        <v>12180</v>
      </c>
      <c r="AU32" s="1">
        <v>35</v>
      </c>
      <c r="AV32" s="31">
        <f t="shared" si="50"/>
        <v>466.51428571428573</v>
      </c>
      <c r="AW32" s="31">
        <f t="shared" si="51"/>
        <v>4206.5142857142855</v>
      </c>
      <c r="AX32" s="4">
        <f t="shared" si="52"/>
        <v>12121.485714285714</v>
      </c>
      <c r="AY32" s="4">
        <f t="shared" si="53"/>
        <v>466.51428571428573</v>
      </c>
      <c r="AZ32" s="4">
        <f t="shared" si="54"/>
        <v>4673.028571428571</v>
      </c>
      <c r="BA32" s="4">
        <f t="shared" si="55"/>
        <v>11654.971428571429</v>
      </c>
      <c r="BB32" s="34">
        <f t="shared" si="56"/>
        <v>466.51428571428573</v>
      </c>
      <c r="BC32" s="4">
        <f t="shared" si="57"/>
        <v>5139.5428571428565</v>
      </c>
      <c r="BD32" s="4">
        <f t="shared" si="58"/>
        <v>11188.457142857143</v>
      </c>
      <c r="BG32" s="35">
        <v>466.51428571428573</v>
      </c>
    </row>
    <row r="33" spans="1:59" ht="15.5" x14ac:dyDescent="0.35">
      <c r="B33" s="1" t="s">
        <v>43</v>
      </c>
      <c r="C33" s="1" t="s">
        <v>44</v>
      </c>
      <c r="D33" s="31">
        <v>666667</v>
      </c>
      <c r="E33" s="32" t="s">
        <v>21</v>
      </c>
      <c r="F33" s="32">
        <v>40</v>
      </c>
      <c r="G33" s="31"/>
      <c r="H33" s="31"/>
      <c r="I33" s="31"/>
      <c r="J33" s="31"/>
      <c r="K33" s="31"/>
      <c r="L33" s="31"/>
      <c r="M33" s="31"/>
      <c r="R33" s="31"/>
      <c r="AB33" s="31">
        <f t="shared" si="32"/>
        <v>0</v>
      </c>
      <c r="AC33" s="31">
        <f t="shared" si="33"/>
        <v>0</v>
      </c>
      <c r="AD33" s="31">
        <f t="shared" si="34"/>
        <v>0</v>
      </c>
      <c r="AE33" s="31">
        <f t="shared" si="35"/>
        <v>0</v>
      </c>
      <c r="AF33" s="31">
        <f>666667/40/12</f>
        <v>1388.8895833333333</v>
      </c>
      <c r="AG33" s="31">
        <f t="shared" si="37"/>
        <v>1388.8895833333333</v>
      </c>
      <c r="AH33" s="31">
        <f>666667/40/12</f>
        <v>1388.8895833333333</v>
      </c>
      <c r="AI33" s="31">
        <f t="shared" si="39"/>
        <v>2777.7791666666667</v>
      </c>
      <c r="AJ33" s="31">
        <f>666667/40/12</f>
        <v>1388.8895833333333</v>
      </c>
      <c r="AK33" s="31">
        <f t="shared" si="41"/>
        <v>4166.6687499999998</v>
      </c>
      <c r="AL33" s="31">
        <f>666667/40/12</f>
        <v>1388.8895833333333</v>
      </c>
      <c r="AM33" s="31">
        <f t="shared" si="43"/>
        <v>5555.5583333333334</v>
      </c>
      <c r="AN33" s="31">
        <f t="shared" si="44"/>
        <v>1388.8895833333333</v>
      </c>
      <c r="AO33" s="31">
        <f t="shared" si="45"/>
        <v>6944.447916666667</v>
      </c>
      <c r="AP33" s="31">
        <f t="shared" si="46"/>
        <v>659722.55208333337</v>
      </c>
      <c r="AQ33" s="31">
        <f t="shared" si="47"/>
        <v>1388.8895833333333</v>
      </c>
      <c r="AR33" s="31">
        <f t="shared" si="48"/>
        <v>8333.3374999999996</v>
      </c>
      <c r="AS33" s="31">
        <f t="shared" si="49"/>
        <v>658333.66249999998</v>
      </c>
      <c r="AU33" s="1">
        <v>35</v>
      </c>
      <c r="AV33" s="31">
        <f t="shared" si="50"/>
        <v>19047.628571428573</v>
      </c>
      <c r="AW33" s="31">
        <f t="shared" si="51"/>
        <v>25992.076488095241</v>
      </c>
      <c r="AX33" s="4">
        <f t="shared" si="52"/>
        <v>640674.92351190478</v>
      </c>
      <c r="AY33" s="4">
        <f t="shared" si="53"/>
        <v>19047.628571428573</v>
      </c>
      <c r="AZ33" s="4">
        <f t="shared" si="54"/>
        <v>45039.705059523811</v>
      </c>
      <c r="BA33" s="4">
        <f t="shared" si="55"/>
        <v>621627.29494047619</v>
      </c>
      <c r="BB33" s="34">
        <f t="shared" si="56"/>
        <v>19047.628571428573</v>
      </c>
      <c r="BC33" s="4">
        <f t="shared" si="57"/>
        <v>64087.333630952387</v>
      </c>
      <c r="BD33" s="4">
        <f t="shared" si="58"/>
        <v>602579.6663690476</v>
      </c>
      <c r="BG33" s="35">
        <v>19047.628571428573</v>
      </c>
    </row>
    <row r="34" spans="1:59" ht="15.5" x14ac:dyDescent="0.35">
      <c r="B34" s="1" t="s">
        <v>45</v>
      </c>
      <c r="C34" s="23">
        <v>45107</v>
      </c>
      <c r="D34" s="31">
        <v>5905</v>
      </c>
      <c r="E34" s="32" t="s">
        <v>21</v>
      </c>
      <c r="F34" s="32">
        <v>40</v>
      </c>
      <c r="G34" s="31"/>
      <c r="H34" s="31"/>
      <c r="I34" s="31"/>
      <c r="J34" s="31"/>
      <c r="K34" s="31"/>
      <c r="L34" s="31"/>
      <c r="M34" s="31"/>
      <c r="R34" s="31"/>
      <c r="AB34" s="31">
        <f t="shared" si="32"/>
        <v>0</v>
      </c>
      <c r="AC34" s="31">
        <f t="shared" si="33"/>
        <v>0</v>
      </c>
      <c r="AD34" s="31">
        <f t="shared" si="34"/>
        <v>0</v>
      </c>
      <c r="AE34" s="31">
        <f t="shared" si="35"/>
        <v>0</v>
      </c>
      <c r="AF34" s="31">
        <f>666667/40/12</f>
        <v>1388.8895833333333</v>
      </c>
      <c r="AG34" s="31">
        <f t="shared" si="37"/>
        <v>1388.8895833333333</v>
      </c>
      <c r="AH34" s="31">
        <f>666667/40/12</f>
        <v>1388.8895833333333</v>
      </c>
      <c r="AI34" s="31">
        <f t="shared" si="39"/>
        <v>2777.7791666666667</v>
      </c>
      <c r="AJ34" s="31">
        <f>666667/40/12</f>
        <v>1388.8895833333333</v>
      </c>
      <c r="AK34" s="31">
        <f t="shared" si="41"/>
        <v>4166.6687499999998</v>
      </c>
      <c r="AL34" s="31">
        <f>666667/40/12</f>
        <v>1388.8895833333333</v>
      </c>
      <c r="AM34" s="31">
        <f t="shared" si="43"/>
        <v>5555.5583333333334</v>
      </c>
      <c r="AN34" s="31">
        <f t="shared" si="44"/>
        <v>1388.8895833333333</v>
      </c>
      <c r="AO34" s="31">
        <f t="shared" ref="AO34" si="59">SUM(AM34:AN34)</f>
        <v>6944.447916666667</v>
      </c>
      <c r="AP34" s="31">
        <f t="shared" si="46"/>
        <v>-1039.447916666667</v>
      </c>
      <c r="AQ34" s="31">
        <f t="shared" si="47"/>
        <v>1388.8895833333333</v>
      </c>
      <c r="AR34" s="31">
        <f t="shared" si="48"/>
        <v>8333.3374999999996</v>
      </c>
      <c r="AS34" s="31">
        <f t="shared" si="49"/>
        <v>-2428.3374999999996</v>
      </c>
      <c r="AU34" s="1">
        <v>35</v>
      </c>
      <c r="AV34" s="31"/>
      <c r="AW34" s="31"/>
      <c r="AX34" s="4"/>
      <c r="AY34" s="4"/>
      <c r="AZ34" s="4"/>
      <c r="BA34" s="4"/>
      <c r="BB34" s="34">
        <f>SUM(D34/AU34/2)</f>
        <v>84.357142857142861</v>
      </c>
      <c r="BC34" s="4">
        <f t="shared" ref="BC34:BC35" si="60">SUM(AZ34+BB34)</f>
        <v>84.357142857142861</v>
      </c>
      <c r="BD34" s="4">
        <f t="shared" si="58"/>
        <v>5820.6428571428569</v>
      </c>
      <c r="BE34" s="4">
        <v>5905</v>
      </c>
      <c r="BG34" s="35">
        <v>84.357142857142861</v>
      </c>
    </row>
    <row r="35" spans="1:59" ht="15.5" x14ac:dyDescent="0.35">
      <c r="B35" s="1" t="s">
        <v>46</v>
      </c>
      <c r="C35" s="23">
        <v>45107</v>
      </c>
      <c r="D35" s="31">
        <v>3378494</v>
      </c>
      <c r="E35" s="32" t="s">
        <v>21</v>
      </c>
      <c r="F35" s="32">
        <v>40</v>
      </c>
      <c r="G35" s="31"/>
      <c r="H35" s="31"/>
      <c r="I35" s="31"/>
      <c r="J35" s="31"/>
      <c r="K35" s="31"/>
      <c r="L35" s="31"/>
      <c r="M35" s="31"/>
      <c r="R35" s="31"/>
      <c r="AB35" s="31">
        <f t="shared" si="32"/>
        <v>0</v>
      </c>
      <c r="AC35" s="31">
        <f t="shared" si="33"/>
        <v>0</v>
      </c>
      <c r="AD35" s="31">
        <f t="shared" si="34"/>
        <v>0</v>
      </c>
      <c r="AE35" s="31">
        <f t="shared" si="35"/>
        <v>0</v>
      </c>
      <c r="AF35" s="31">
        <f>666667/40/12</f>
        <v>1388.8895833333333</v>
      </c>
      <c r="AG35" s="31">
        <f t="shared" si="37"/>
        <v>1388.8895833333333</v>
      </c>
      <c r="AH35" s="31">
        <f>666667/40/12</f>
        <v>1388.8895833333333</v>
      </c>
      <c r="AI35" s="31">
        <f t="shared" si="39"/>
        <v>2777.7791666666667</v>
      </c>
      <c r="AJ35" s="31">
        <f>666667/40/12</f>
        <v>1388.8895833333333</v>
      </c>
      <c r="AK35" s="31">
        <f t="shared" si="41"/>
        <v>4166.6687499999998</v>
      </c>
      <c r="AL35" s="31">
        <f>666667/40/12</f>
        <v>1388.8895833333333</v>
      </c>
      <c r="AM35" s="31">
        <f t="shared" si="43"/>
        <v>5555.5583333333334</v>
      </c>
      <c r="AN35" s="31">
        <f t="shared" si="44"/>
        <v>1388.8895833333333</v>
      </c>
      <c r="AO35" s="31">
        <f t="shared" ref="AO35" si="61">SUM(AM35:AN35)</f>
        <v>6944.447916666667</v>
      </c>
      <c r="AP35" s="31">
        <f t="shared" si="46"/>
        <v>3371549.5520833335</v>
      </c>
      <c r="AQ35" s="31">
        <f t="shared" si="47"/>
        <v>1388.8895833333333</v>
      </c>
      <c r="AR35" s="31">
        <f t="shared" si="48"/>
        <v>8333.3374999999996</v>
      </c>
      <c r="AS35" s="31">
        <f t="shared" si="49"/>
        <v>3370160.6625000001</v>
      </c>
      <c r="AU35" s="1">
        <v>35</v>
      </c>
      <c r="AV35" s="31"/>
      <c r="AW35" s="31"/>
      <c r="AX35" s="4"/>
      <c r="AY35" s="4"/>
      <c r="AZ35" s="4"/>
      <c r="BA35" s="4"/>
      <c r="BB35" s="34">
        <f>SUM(D35/AU35/2)</f>
        <v>48264.2</v>
      </c>
      <c r="BC35" s="4">
        <f t="shared" si="60"/>
        <v>48264.2</v>
      </c>
      <c r="BD35" s="4">
        <f t="shared" si="58"/>
        <v>3330229.8</v>
      </c>
      <c r="BE35" s="4">
        <v>3378494</v>
      </c>
      <c r="BG35" s="35">
        <v>48264.2</v>
      </c>
    </row>
    <row r="36" spans="1:59" ht="15.5" x14ac:dyDescent="0.35">
      <c r="A36" s="40"/>
      <c r="B36" s="40"/>
      <c r="C36" s="40"/>
      <c r="D36" s="36">
        <f>SUM(D19:D35)</f>
        <v>10569967.870000001</v>
      </c>
      <c r="E36" s="37"/>
      <c r="F36" s="37"/>
      <c r="G36" s="36">
        <f t="shared" ref="G36:AA36" si="62">SUM(G19:G33)</f>
        <v>0</v>
      </c>
      <c r="H36" s="36">
        <f t="shared" si="62"/>
        <v>11672.875</v>
      </c>
      <c r="I36" s="36">
        <f t="shared" si="62"/>
        <v>11672.875</v>
      </c>
      <c r="J36" s="36">
        <f t="shared" si="62"/>
        <v>24108.75</v>
      </c>
      <c r="K36" s="36">
        <f t="shared" si="62"/>
        <v>35781.625</v>
      </c>
      <c r="L36" s="36">
        <f t="shared" si="62"/>
        <v>57464.823375</v>
      </c>
      <c r="M36" s="36">
        <f t="shared" si="62"/>
        <v>93246.448374999993</v>
      </c>
      <c r="N36" s="36">
        <f t="shared" si="62"/>
        <v>90131.58425</v>
      </c>
      <c r="O36" s="36">
        <f t="shared" si="62"/>
        <v>183378.03262499999</v>
      </c>
      <c r="P36" s="36">
        <f t="shared" si="62"/>
        <v>113590.34675</v>
      </c>
      <c r="Q36" s="36">
        <f t="shared" si="62"/>
        <v>296968.37937500002</v>
      </c>
      <c r="R36" s="36">
        <f t="shared" si="62"/>
        <v>151724.86549999999</v>
      </c>
      <c r="S36" s="36">
        <f t="shared" si="62"/>
        <v>448693.24487500003</v>
      </c>
      <c r="T36" s="40">
        <f t="shared" si="62"/>
        <v>153065.67174999998</v>
      </c>
      <c r="U36" s="40">
        <f t="shared" si="62"/>
        <v>601758.91662500007</v>
      </c>
      <c r="V36" s="31">
        <f t="shared" si="62"/>
        <v>153925.67174999998</v>
      </c>
      <c r="W36" s="31">
        <f t="shared" si="62"/>
        <v>755684.58837500005</v>
      </c>
      <c r="X36" s="31">
        <f t="shared" si="62"/>
        <v>162972.67174999998</v>
      </c>
      <c r="Y36" s="31">
        <f t="shared" si="62"/>
        <v>918657.26012499991</v>
      </c>
      <c r="Z36" s="31">
        <f t="shared" si="62"/>
        <v>162972.67174999998</v>
      </c>
      <c r="AA36" s="31">
        <f t="shared" si="62"/>
        <v>1081629.931875</v>
      </c>
      <c r="AB36" s="31">
        <f t="shared" si="32"/>
        <v>162972.67174999998</v>
      </c>
      <c r="AC36" s="31">
        <f t="shared" si="33"/>
        <v>1244602.603625</v>
      </c>
      <c r="AD36" s="31">
        <f t="shared" si="34"/>
        <v>162972.67174999998</v>
      </c>
      <c r="AE36" s="31">
        <f t="shared" si="35"/>
        <v>1407575.275375</v>
      </c>
      <c r="AF36" s="31">
        <f t="shared" ref="AF36:AS36" si="63">SUM(AF19:AF33)</f>
        <v>164361.56133333332</v>
      </c>
      <c r="AG36" s="31">
        <f t="shared" si="63"/>
        <v>1571936.8367083336</v>
      </c>
      <c r="AH36" s="31">
        <f t="shared" si="63"/>
        <v>164361.56133333332</v>
      </c>
      <c r="AI36" s="31">
        <f t="shared" si="63"/>
        <v>1736298.3980416665</v>
      </c>
      <c r="AJ36" s="31">
        <f t="shared" si="63"/>
        <v>164361.56133333332</v>
      </c>
      <c r="AK36" s="31">
        <f t="shared" si="63"/>
        <v>1900659.9593750001</v>
      </c>
      <c r="AL36" s="31">
        <f t="shared" si="63"/>
        <v>164361.56133333332</v>
      </c>
      <c r="AM36" s="36">
        <f t="shared" si="63"/>
        <v>2065021.5207083332</v>
      </c>
      <c r="AN36" s="36">
        <f t="shared" si="63"/>
        <v>164361.56133333332</v>
      </c>
      <c r="AO36" s="36">
        <f t="shared" si="63"/>
        <v>2229383.0820416664</v>
      </c>
      <c r="AP36" s="36">
        <f t="shared" si="63"/>
        <v>4956185.7879583333</v>
      </c>
      <c r="AQ36" s="36">
        <f t="shared" si="63"/>
        <v>164361.56133333332</v>
      </c>
      <c r="AR36" s="36">
        <f t="shared" si="63"/>
        <v>2393744.643375</v>
      </c>
      <c r="AS36" s="36">
        <f t="shared" si="63"/>
        <v>4791824.2266250001</v>
      </c>
      <c r="AU36" s="1"/>
      <c r="AV36" s="36">
        <f t="shared" ref="AV36:BA36" si="64">SUM(AV19:AV33)</f>
        <v>205301.96771428568</v>
      </c>
      <c r="AW36" s="36">
        <f t="shared" si="64"/>
        <v>2434685.0497559523</v>
      </c>
      <c r="AX36" s="36">
        <f t="shared" si="64"/>
        <v>4750883.8202440478</v>
      </c>
      <c r="AY36" s="36">
        <f t="shared" si="64"/>
        <v>205301.96771428568</v>
      </c>
      <c r="AZ36" s="36">
        <f t="shared" si="64"/>
        <v>2639987.0174702378</v>
      </c>
      <c r="BA36" s="36">
        <f t="shared" si="64"/>
        <v>4545581.8525297614</v>
      </c>
      <c r="BB36" s="38">
        <f>SUM(BB19:BB35)</f>
        <v>253650.52485714282</v>
      </c>
      <c r="BC36" s="36">
        <f t="shared" ref="BC36:BD36" si="65">SUM(BC19:BC35)</f>
        <v>2893637.5423273807</v>
      </c>
      <c r="BD36" s="36">
        <f t="shared" si="65"/>
        <v>7676330.3276726194</v>
      </c>
      <c r="BG36" s="39">
        <v>253650.52485714282</v>
      </c>
    </row>
    <row r="37" spans="1:59" ht="15.5" x14ac:dyDescent="0.35">
      <c r="A37" s="1">
        <v>354</v>
      </c>
      <c r="B37" s="1" t="s">
        <v>47</v>
      </c>
      <c r="D37" s="31"/>
      <c r="E37" s="32"/>
      <c r="F37" s="32"/>
      <c r="G37" s="31"/>
      <c r="H37" s="31"/>
      <c r="I37" s="31"/>
      <c r="J37" s="31"/>
      <c r="K37" s="31"/>
      <c r="L37" s="31"/>
      <c r="M37" s="31"/>
      <c r="R37" s="31"/>
      <c r="AB37" s="31">
        <f t="shared" si="32"/>
        <v>0</v>
      </c>
      <c r="AC37" s="31">
        <f t="shared" si="33"/>
        <v>0</v>
      </c>
      <c r="AD37" s="31">
        <f t="shared" si="34"/>
        <v>0</v>
      </c>
      <c r="AE37" s="31">
        <f t="shared" si="35"/>
        <v>0</v>
      </c>
      <c r="AF37" s="31"/>
      <c r="AH37" s="31"/>
      <c r="AJ37" s="31"/>
      <c r="AL37" s="31"/>
      <c r="AU37" s="1"/>
      <c r="BB37" s="27"/>
      <c r="BG37" s="28"/>
    </row>
    <row r="38" spans="1:59" ht="15.5" x14ac:dyDescent="0.35">
      <c r="B38" s="1" t="s">
        <v>48</v>
      </c>
      <c r="C38" s="33">
        <v>34700</v>
      </c>
      <c r="D38" s="31">
        <v>3201</v>
      </c>
      <c r="E38" s="32" t="s">
        <v>21</v>
      </c>
      <c r="F38" s="32">
        <v>10</v>
      </c>
      <c r="G38" s="31">
        <f>2560+320</f>
        <v>2880</v>
      </c>
      <c r="H38" s="31">
        <f t="shared" ref="H38:H43" si="66">SUM(D38/F38)</f>
        <v>320.10000000000002</v>
      </c>
      <c r="I38" s="31">
        <f t="shared" ref="I38:I44" si="67">SUM(G38:H38)</f>
        <v>3200.1</v>
      </c>
      <c r="J38" s="31">
        <f t="shared" ref="J38:J44" si="68">SUM(D38/F38)</f>
        <v>320.10000000000002</v>
      </c>
      <c r="K38" s="31">
        <f t="shared" ref="K38:K44" si="69">SUM(I38:J38)</f>
        <v>3520.2</v>
      </c>
      <c r="L38" s="31">
        <f t="shared" ref="L38:L45" si="70">SUM(D38/F38)</f>
        <v>320.10000000000002</v>
      </c>
      <c r="M38" s="31">
        <f t="shared" ref="M38:M47" si="71">SUM(K38:L38)</f>
        <v>3840.2999999999997</v>
      </c>
      <c r="N38" s="31">
        <f t="shared" ref="N38:N47" si="72">SUM(D38/F38)</f>
        <v>320.10000000000002</v>
      </c>
      <c r="O38" s="31">
        <f t="shared" ref="O38:O48" si="73">SUM(M38+N38)</f>
        <v>4160.3999999999996</v>
      </c>
      <c r="P38" s="1">
        <v>0</v>
      </c>
      <c r="Q38" s="31">
        <f>SUM(O38+P38-959)</f>
        <v>3201.3999999999996</v>
      </c>
      <c r="R38" s="31">
        <v>0</v>
      </c>
      <c r="S38" s="31">
        <v>3201</v>
      </c>
      <c r="T38" s="1">
        <v>0</v>
      </c>
      <c r="U38" s="31">
        <f t="shared" ref="U38:U50" si="74">S38+T38</f>
        <v>3201</v>
      </c>
      <c r="V38" s="31">
        <f>T38</f>
        <v>0</v>
      </c>
      <c r="W38" s="31">
        <f t="shared" ref="W38:W54" si="75">U38+V38</f>
        <v>3201</v>
      </c>
      <c r="X38" s="31">
        <f>V38</f>
        <v>0</v>
      </c>
      <c r="Y38" s="31">
        <f t="shared" ref="Y38:Y55" si="76">W38+X38</f>
        <v>3201</v>
      </c>
      <c r="Z38" s="31">
        <f>X38</f>
        <v>0</v>
      </c>
      <c r="AA38" s="31">
        <f t="shared" ref="AA38:AA55" si="77">Y38+Z38</f>
        <v>3201</v>
      </c>
      <c r="AB38" s="31">
        <f t="shared" si="32"/>
        <v>0</v>
      </c>
      <c r="AC38" s="31">
        <f t="shared" si="33"/>
        <v>3201</v>
      </c>
      <c r="AD38" s="31">
        <f t="shared" si="34"/>
        <v>0</v>
      </c>
      <c r="AE38" s="31">
        <f t="shared" si="35"/>
        <v>3201</v>
      </c>
      <c r="AF38" s="31">
        <f>AD38</f>
        <v>0</v>
      </c>
      <c r="AG38" s="31">
        <f t="shared" ref="AG38:AG58" si="78">AE38+AF38</f>
        <v>3201</v>
      </c>
      <c r="AH38" s="31">
        <f>AF38</f>
        <v>0</v>
      </c>
      <c r="AI38" s="31">
        <f t="shared" ref="AI38:AI60" si="79">AG38+AH38</f>
        <v>3201</v>
      </c>
      <c r="AJ38" s="31">
        <f>AH38</f>
        <v>0</v>
      </c>
      <c r="AK38" s="31">
        <f t="shared" ref="AK38:AK61" si="80">AI38+AJ38</f>
        <v>3201</v>
      </c>
      <c r="AL38" s="31">
        <f>AJ38</f>
        <v>0</v>
      </c>
      <c r="AM38" s="31">
        <f t="shared" ref="AM38:AM62" si="81">AK38+AL38</f>
        <v>3201</v>
      </c>
      <c r="AN38" s="31">
        <f t="shared" ref="AN38:AN49" si="82">AL38</f>
        <v>0</v>
      </c>
      <c r="AO38" s="31">
        <f t="shared" ref="AO38:AO64" si="83">SUM(AM38:AN38)</f>
        <v>3201</v>
      </c>
      <c r="AP38" s="31">
        <f t="shared" ref="AP38:AP64" si="84">D38-AO38</f>
        <v>0</v>
      </c>
      <c r="AQ38" s="31">
        <f t="shared" ref="AQ38:AQ62" si="85">SUM(AN38)</f>
        <v>0</v>
      </c>
      <c r="AR38" s="31">
        <f t="shared" ref="AR38:AR64" si="86">AO38+AQ38</f>
        <v>3201</v>
      </c>
      <c r="AS38" s="31">
        <f t="shared" ref="AS38:AS64" si="87">D38-AR38</f>
        <v>0</v>
      </c>
      <c r="AU38" s="41">
        <v>52.5</v>
      </c>
      <c r="AV38" s="31">
        <v>0</v>
      </c>
      <c r="AW38" s="31">
        <f t="shared" ref="AW38:AW65" si="88">SUM(AO38+AV38)</f>
        <v>3201</v>
      </c>
      <c r="AX38" s="4">
        <f t="shared" ref="AX38:AX65" si="89">SUM(D38-AW38)</f>
        <v>0</v>
      </c>
      <c r="AY38" s="4">
        <v>0</v>
      </c>
      <c r="AZ38" s="4">
        <f t="shared" ref="AZ38:AZ66" si="90">SUM(AW38+AY38)</f>
        <v>3201</v>
      </c>
      <c r="BA38" s="4">
        <f t="shared" ref="BA38:BA66" si="91">SUM(D38-AZ38)</f>
        <v>0</v>
      </c>
      <c r="BB38" s="34"/>
      <c r="BC38" s="4">
        <f t="shared" ref="BC38" si="92">SUM(AZ38+BB38)</f>
        <v>3201</v>
      </c>
      <c r="BD38" s="4">
        <f t="shared" ref="BD38:BD67" si="93">SUM(D38-BC38)</f>
        <v>0</v>
      </c>
      <c r="BG38" s="35"/>
    </row>
    <row r="39" spans="1:59" ht="15.5" x14ac:dyDescent="0.35">
      <c r="B39" s="1" t="s">
        <v>48</v>
      </c>
      <c r="C39" s="33">
        <v>35765</v>
      </c>
      <c r="D39" s="31">
        <v>1773</v>
      </c>
      <c r="E39" s="32" t="s">
        <v>21</v>
      </c>
      <c r="F39" s="32">
        <v>10</v>
      </c>
      <c r="G39" s="31">
        <v>1077</v>
      </c>
      <c r="H39" s="31">
        <f t="shared" si="66"/>
        <v>177.3</v>
      </c>
      <c r="I39" s="31">
        <f t="shared" si="67"/>
        <v>1254.3</v>
      </c>
      <c r="J39" s="31">
        <f t="shared" si="68"/>
        <v>177.3</v>
      </c>
      <c r="K39" s="31">
        <f t="shared" si="69"/>
        <v>1431.6</v>
      </c>
      <c r="L39" s="31">
        <f t="shared" si="70"/>
        <v>177.3</v>
      </c>
      <c r="M39" s="31">
        <f t="shared" si="71"/>
        <v>1608.8999999999999</v>
      </c>
      <c r="N39" s="31">
        <f t="shared" si="72"/>
        <v>177.3</v>
      </c>
      <c r="O39" s="31">
        <f t="shared" si="73"/>
        <v>1786.1999999999998</v>
      </c>
      <c r="P39" s="1">
        <v>0</v>
      </c>
      <c r="Q39" s="31">
        <f>SUM(O39+P39-13)</f>
        <v>1773.1999999999998</v>
      </c>
      <c r="R39" s="31">
        <v>0</v>
      </c>
      <c r="S39" s="31">
        <v>1773</v>
      </c>
      <c r="T39" s="1">
        <v>0</v>
      </c>
      <c r="U39" s="31">
        <f t="shared" si="74"/>
        <v>1773</v>
      </c>
      <c r="V39" s="31">
        <f>T39</f>
        <v>0</v>
      </c>
      <c r="W39" s="31">
        <f t="shared" si="75"/>
        <v>1773</v>
      </c>
      <c r="X39" s="31">
        <f>V39</f>
        <v>0</v>
      </c>
      <c r="Y39" s="31">
        <f t="shared" si="76"/>
        <v>1773</v>
      </c>
      <c r="Z39" s="31">
        <f>X39</f>
        <v>0</v>
      </c>
      <c r="AA39" s="31">
        <f t="shared" si="77"/>
        <v>1773</v>
      </c>
      <c r="AB39" s="31">
        <f t="shared" si="32"/>
        <v>0</v>
      </c>
      <c r="AC39" s="31">
        <f t="shared" si="33"/>
        <v>1773</v>
      </c>
      <c r="AD39" s="31">
        <f t="shared" si="34"/>
        <v>0</v>
      </c>
      <c r="AE39" s="31">
        <f t="shared" si="35"/>
        <v>1773</v>
      </c>
      <c r="AF39" s="31">
        <f>AD39</f>
        <v>0</v>
      </c>
      <c r="AG39" s="31">
        <f t="shared" si="78"/>
        <v>1773</v>
      </c>
      <c r="AH39" s="31">
        <f>AF39</f>
        <v>0</v>
      </c>
      <c r="AI39" s="31">
        <f t="shared" si="79"/>
        <v>1773</v>
      </c>
      <c r="AJ39" s="31">
        <f>AH39</f>
        <v>0</v>
      </c>
      <c r="AK39" s="31">
        <f t="shared" si="80"/>
        <v>1773</v>
      </c>
      <c r="AL39" s="31">
        <f>AJ39</f>
        <v>0</v>
      </c>
      <c r="AM39" s="31">
        <f t="shared" si="81"/>
        <v>1773</v>
      </c>
      <c r="AN39" s="31">
        <f t="shared" si="82"/>
        <v>0</v>
      </c>
      <c r="AO39" s="31">
        <f t="shared" si="83"/>
        <v>1773</v>
      </c>
      <c r="AP39" s="31">
        <f t="shared" si="84"/>
        <v>0</v>
      </c>
      <c r="AQ39" s="31">
        <f t="shared" si="85"/>
        <v>0</v>
      </c>
      <c r="AR39" s="31">
        <f t="shared" si="86"/>
        <v>1773</v>
      </c>
      <c r="AS39" s="31">
        <f t="shared" si="87"/>
        <v>0</v>
      </c>
      <c r="AU39" s="41">
        <v>52.5</v>
      </c>
      <c r="AV39" s="31">
        <v>0</v>
      </c>
      <c r="AW39" s="31">
        <f t="shared" si="88"/>
        <v>1773</v>
      </c>
      <c r="AX39" s="4">
        <f t="shared" si="89"/>
        <v>0</v>
      </c>
      <c r="AY39" s="4">
        <v>0</v>
      </c>
      <c r="AZ39" s="4">
        <f t="shared" si="90"/>
        <v>1773</v>
      </c>
      <c r="BA39" s="4">
        <f t="shared" si="91"/>
        <v>0</v>
      </c>
      <c r="BB39" s="34"/>
      <c r="BC39" s="4">
        <f t="shared" ref="BC39:BC66" si="94">SUM(AZ39+BB39)</f>
        <v>1773</v>
      </c>
      <c r="BD39" s="4">
        <f t="shared" si="93"/>
        <v>0</v>
      </c>
      <c r="BG39" s="35"/>
    </row>
    <row r="40" spans="1:59" ht="15.5" x14ac:dyDescent="0.35">
      <c r="B40" s="1" t="s">
        <v>48</v>
      </c>
      <c r="C40" s="33">
        <v>36861</v>
      </c>
      <c r="D40" s="31">
        <v>36416</v>
      </c>
      <c r="E40" s="32" t="s">
        <v>21</v>
      </c>
      <c r="F40" s="32">
        <v>10</v>
      </c>
      <c r="G40" s="31">
        <f>7587+3642</f>
        <v>11229</v>
      </c>
      <c r="H40" s="31">
        <f t="shared" si="66"/>
        <v>3641.6</v>
      </c>
      <c r="I40" s="31">
        <f t="shared" si="67"/>
        <v>14870.6</v>
      </c>
      <c r="J40" s="31">
        <f t="shared" si="68"/>
        <v>3641.6</v>
      </c>
      <c r="K40" s="31">
        <f t="shared" si="69"/>
        <v>18512.2</v>
      </c>
      <c r="L40" s="31">
        <f t="shared" si="70"/>
        <v>3641.6</v>
      </c>
      <c r="M40" s="31">
        <f t="shared" si="71"/>
        <v>22153.8</v>
      </c>
      <c r="N40" s="31">
        <f t="shared" si="72"/>
        <v>3641.6</v>
      </c>
      <c r="O40" s="31">
        <f t="shared" si="73"/>
        <v>25795.399999999998</v>
      </c>
      <c r="P40" s="31">
        <f t="shared" ref="P40:P48" si="95">SUM(D40/F40)</f>
        <v>3641.6</v>
      </c>
      <c r="Q40" s="31">
        <v>30409</v>
      </c>
      <c r="R40" s="31">
        <f t="shared" ref="R40:R48" si="96">SUM(D40/F40)</f>
        <v>3641.6</v>
      </c>
      <c r="S40" s="31">
        <f t="shared" ref="S40:S50" si="97">SUM(Q40+R40)</f>
        <v>34050.6</v>
      </c>
      <c r="T40" s="1">
        <v>2365</v>
      </c>
      <c r="U40" s="31">
        <f t="shared" si="74"/>
        <v>36415.599999999999</v>
      </c>
      <c r="V40" s="31">
        <v>0</v>
      </c>
      <c r="W40" s="31">
        <f t="shared" si="75"/>
        <v>36415.599999999999</v>
      </c>
      <c r="X40" s="31">
        <v>0</v>
      </c>
      <c r="Y40" s="31">
        <f t="shared" si="76"/>
        <v>36415.599999999999</v>
      </c>
      <c r="Z40" s="31">
        <v>0</v>
      </c>
      <c r="AA40" s="31">
        <f t="shared" si="77"/>
        <v>36415.599999999999</v>
      </c>
      <c r="AB40" s="31">
        <f t="shared" si="32"/>
        <v>0</v>
      </c>
      <c r="AC40" s="31">
        <f t="shared" si="33"/>
        <v>36415.599999999999</v>
      </c>
      <c r="AD40" s="31">
        <f t="shared" si="34"/>
        <v>0</v>
      </c>
      <c r="AE40" s="31">
        <f t="shared" si="35"/>
        <v>36415.599999999999</v>
      </c>
      <c r="AF40" s="31">
        <f>AD40</f>
        <v>0</v>
      </c>
      <c r="AG40" s="31">
        <f t="shared" si="78"/>
        <v>36415.599999999999</v>
      </c>
      <c r="AH40" s="31">
        <f>AF40</f>
        <v>0</v>
      </c>
      <c r="AI40" s="31">
        <f t="shared" si="79"/>
        <v>36415.599999999999</v>
      </c>
      <c r="AJ40" s="31">
        <f>AH40</f>
        <v>0</v>
      </c>
      <c r="AK40" s="31">
        <f t="shared" si="80"/>
        <v>36415.599999999999</v>
      </c>
      <c r="AL40" s="31">
        <f>AJ40</f>
        <v>0</v>
      </c>
      <c r="AM40" s="31">
        <f t="shared" si="81"/>
        <v>36415.599999999999</v>
      </c>
      <c r="AN40" s="31">
        <f t="shared" si="82"/>
        <v>0</v>
      </c>
      <c r="AO40" s="31">
        <f t="shared" si="83"/>
        <v>36415.599999999999</v>
      </c>
      <c r="AP40" s="31">
        <f t="shared" si="84"/>
        <v>0.40000000000145519</v>
      </c>
      <c r="AQ40" s="31">
        <f t="shared" si="85"/>
        <v>0</v>
      </c>
      <c r="AR40" s="31">
        <f t="shared" si="86"/>
        <v>36415.599999999999</v>
      </c>
      <c r="AS40" s="31">
        <f t="shared" si="87"/>
        <v>0.40000000000145519</v>
      </c>
      <c r="AU40" s="41">
        <v>52.5</v>
      </c>
      <c r="AV40" s="31">
        <v>0</v>
      </c>
      <c r="AW40" s="31">
        <f t="shared" si="88"/>
        <v>36415.599999999999</v>
      </c>
      <c r="AX40" s="4">
        <f t="shared" si="89"/>
        <v>0.40000000000145519</v>
      </c>
      <c r="AY40" s="4">
        <v>0</v>
      </c>
      <c r="AZ40" s="4">
        <f t="shared" si="90"/>
        <v>36415.599999999999</v>
      </c>
      <c r="BA40" s="4">
        <f t="shared" si="91"/>
        <v>0.40000000000145519</v>
      </c>
      <c r="BB40" s="34"/>
      <c r="BC40" s="4">
        <f t="shared" si="94"/>
        <v>36415.599999999999</v>
      </c>
      <c r="BD40" s="4">
        <f t="shared" si="93"/>
        <v>0.40000000000145519</v>
      </c>
      <c r="BG40" s="35"/>
    </row>
    <row r="41" spans="1:59" ht="15.5" x14ac:dyDescent="0.35">
      <c r="B41" s="1" t="s">
        <v>48</v>
      </c>
      <c r="C41" s="33">
        <v>37253</v>
      </c>
      <c r="D41" s="31">
        <v>23507</v>
      </c>
      <c r="E41" s="32" t="s">
        <v>21</v>
      </c>
      <c r="F41" s="32">
        <v>10</v>
      </c>
      <c r="G41" s="31">
        <f>2371+2351</f>
        <v>4722</v>
      </c>
      <c r="H41" s="31">
        <f t="shared" si="66"/>
        <v>2350.6999999999998</v>
      </c>
      <c r="I41" s="31">
        <f t="shared" si="67"/>
        <v>7072.7</v>
      </c>
      <c r="J41" s="31">
        <f t="shared" si="68"/>
        <v>2350.6999999999998</v>
      </c>
      <c r="K41" s="31">
        <f t="shared" si="69"/>
        <v>9423.4</v>
      </c>
      <c r="L41" s="31">
        <f t="shared" si="70"/>
        <v>2350.6999999999998</v>
      </c>
      <c r="M41" s="31">
        <f t="shared" si="71"/>
        <v>11774.099999999999</v>
      </c>
      <c r="N41" s="31">
        <f t="shared" si="72"/>
        <v>2350.6999999999998</v>
      </c>
      <c r="O41" s="31">
        <f t="shared" si="73"/>
        <v>14124.8</v>
      </c>
      <c r="P41" s="31">
        <f t="shared" si="95"/>
        <v>2350.6999999999998</v>
      </c>
      <c r="Q41" s="31">
        <v>16476</v>
      </c>
      <c r="R41" s="31">
        <f t="shared" si="96"/>
        <v>2350.6999999999998</v>
      </c>
      <c r="S41" s="31">
        <f t="shared" si="97"/>
        <v>18826.7</v>
      </c>
      <c r="T41" s="31">
        <f t="shared" ref="T41:T49" si="98">R41</f>
        <v>2350.6999999999998</v>
      </c>
      <c r="U41" s="31">
        <f t="shared" si="74"/>
        <v>21177.4</v>
      </c>
      <c r="V41" s="31">
        <f>23507-21177</f>
        <v>2330</v>
      </c>
      <c r="W41" s="31">
        <f t="shared" si="75"/>
        <v>23507.4</v>
      </c>
      <c r="X41" s="31">
        <v>0</v>
      </c>
      <c r="Y41" s="31">
        <f t="shared" si="76"/>
        <v>23507.4</v>
      </c>
      <c r="Z41" s="31">
        <v>0</v>
      </c>
      <c r="AA41" s="31">
        <f t="shared" si="77"/>
        <v>23507.4</v>
      </c>
      <c r="AB41" s="31">
        <f t="shared" si="32"/>
        <v>0</v>
      </c>
      <c r="AC41" s="31">
        <f t="shared" si="33"/>
        <v>23507.4</v>
      </c>
      <c r="AD41" s="31">
        <f t="shared" si="34"/>
        <v>0</v>
      </c>
      <c r="AE41" s="31">
        <f t="shared" si="35"/>
        <v>23507.4</v>
      </c>
      <c r="AF41" s="31">
        <f>AD41</f>
        <v>0</v>
      </c>
      <c r="AG41" s="31">
        <f t="shared" si="78"/>
        <v>23507.4</v>
      </c>
      <c r="AH41" s="31">
        <f>AF41</f>
        <v>0</v>
      </c>
      <c r="AI41" s="31">
        <f t="shared" si="79"/>
        <v>23507.4</v>
      </c>
      <c r="AJ41" s="31">
        <f>AH41</f>
        <v>0</v>
      </c>
      <c r="AK41" s="31">
        <f t="shared" si="80"/>
        <v>23507.4</v>
      </c>
      <c r="AL41" s="31">
        <f>AJ41</f>
        <v>0</v>
      </c>
      <c r="AM41" s="31">
        <f t="shared" si="81"/>
        <v>23507.4</v>
      </c>
      <c r="AN41" s="31">
        <f t="shared" si="82"/>
        <v>0</v>
      </c>
      <c r="AO41" s="31">
        <f t="shared" si="83"/>
        <v>23507.4</v>
      </c>
      <c r="AP41" s="31">
        <f t="shared" si="84"/>
        <v>-0.40000000000145519</v>
      </c>
      <c r="AQ41" s="31">
        <f t="shared" si="85"/>
        <v>0</v>
      </c>
      <c r="AR41" s="31">
        <f t="shared" si="86"/>
        <v>23507.4</v>
      </c>
      <c r="AS41" s="31">
        <f t="shared" si="87"/>
        <v>-0.40000000000145519</v>
      </c>
      <c r="AU41" s="41">
        <v>52.5</v>
      </c>
      <c r="AV41" s="31">
        <v>0</v>
      </c>
      <c r="AW41" s="31">
        <f t="shared" si="88"/>
        <v>23507.4</v>
      </c>
      <c r="AX41" s="4">
        <f t="shared" si="89"/>
        <v>-0.40000000000145519</v>
      </c>
      <c r="AY41" s="4">
        <v>0</v>
      </c>
      <c r="AZ41" s="4">
        <f t="shared" si="90"/>
        <v>23507.4</v>
      </c>
      <c r="BA41" s="4">
        <f t="shared" si="91"/>
        <v>-0.40000000000145519</v>
      </c>
      <c r="BB41" s="34"/>
      <c r="BC41" s="4">
        <f t="shared" si="94"/>
        <v>23507.4</v>
      </c>
      <c r="BD41" s="4">
        <f t="shared" si="93"/>
        <v>-0.40000000000145519</v>
      </c>
      <c r="BG41" s="35"/>
    </row>
    <row r="42" spans="1:59" ht="15.5" x14ac:dyDescent="0.35">
      <c r="B42" s="1" t="s">
        <v>48</v>
      </c>
      <c r="C42" s="33">
        <v>37591</v>
      </c>
      <c r="D42" s="31">
        <v>24902</v>
      </c>
      <c r="E42" s="32" t="s">
        <v>21</v>
      </c>
      <c r="F42" s="32">
        <v>10</v>
      </c>
      <c r="G42" s="31">
        <f>208+2490</f>
        <v>2698</v>
      </c>
      <c r="H42" s="31">
        <f t="shared" si="66"/>
        <v>2490.1999999999998</v>
      </c>
      <c r="I42" s="31">
        <f t="shared" si="67"/>
        <v>5188.2</v>
      </c>
      <c r="J42" s="31">
        <f t="shared" si="68"/>
        <v>2490.1999999999998</v>
      </c>
      <c r="K42" s="31">
        <f t="shared" si="69"/>
        <v>7678.4</v>
      </c>
      <c r="L42" s="31">
        <f t="shared" si="70"/>
        <v>2490.1999999999998</v>
      </c>
      <c r="M42" s="31">
        <f t="shared" si="71"/>
        <v>10168.599999999999</v>
      </c>
      <c r="N42" s="31">
        <f t="shared" si="72"/>
        <v>2490.1999999999998</v>
      </c>
      <c r="O42" s="31">
        <f t="shared" si="73"/>
        <v>12658.8</v>
      </c>
      <c r="P42" s="31">
        <f t="shared" si="95"/>
        <v>2490.1999999999998</v>
      </c>
      <c r="Q42" s="31">
        <f>SUM(O42+P42)</f>
        <v>15149</v>
      </c>
      <c r="R42" s="31">
        <f t="shared" si="96"/>
        <v>2490.1999999999998</v>
      </c>
      <c r="S42" s="31">
        <f t="shared" si="97"/>
        <v>17639.2</v>
      </c>
      <c r="T42" s="31">
        <f t="shared" si="98"/>
        <v>2490.1999999999998</v>
      </c>
      <c r="U42" s="31">
        <f t="shared" si="74"/>
        <v>20129.400000000001</v>
      </c>
      <c r="V42" s="31">
        <f t="shared" ref="V42:V50" si="99">T42</f>
        <v>2490.1999999999998</v>
      </c>
      <c r="W42" s="31">
        <f t="shared" si="75"/>
        <v>22619.600000000002</v>
      </c>
      <c r="X42" s="31">
        <f>24902-22620</f>
        <v>2282</v>
      </c>
      <c r="Y42" s="31">
        <f t="shared" si="76"/>
        <v>24901.600000000002</v>
      </c>
      <c r="Z42" s="31">
        <v>0</v>
      </c>
      <c r="AA42" s="31">
        <f t="shared" si="77"/>
        <v>24901.600000000002</v>
      </c>
      <c r="AB42" s="31">
        <f t="shared" si="32"/>
        <v>0</v>
      </c>
      <c r="AC42" s="31">
        <f t="shared" si="33"/>
        <v>24901.600000000002</v>
      </c>
      <c r="AD42" s="31">
        <f t="shared" si="34"/>
        <v>0</v>
      </c>
      <c r="AE42" s="31">
        <f t="shared" si="35"/>
        <v>24901.600000000002</v>
      </c>
      <c r="AF42" s="31">
        <f>AD42</f>
        <v>0</v>
      </c>
      <c r="AG42" s="31">
        <f t="shared" si="78"/>
        <v>24901.600000000002</v>
      </c>
      <c r="AH42" s="31">
        <f>AF42</f>
        <v>0</v>
      </c>
      <c r="AI42" s="31">
        <f t="shared" si="79"/>
        <v>24901.600000000002</v>
      </c>
      <c r="AJ42" s="31">
        <f>AH42</f>
        <v>0</v>
      </c>
      <c r="AK42" s="31">
        <f t="shared" si="80"/>
        <v>24901.600000000002</v>
      </c>
      <c r="AL42" s="31">
        <f>AJ42</f>
        <v>0</v>
      </c>
      <c r="AM42" s="31">
        <f t="shared" si="81"/>
        <v>24901.600000000002</v>
      </c>
      <c r="AN42" s="31">
        <f t="shared" si="82"/>
        <v>0</v>
      </c>
      <c r="AO42" s="31">
        <f t="shared" si="83"/>
        <v>24901.600000000002</v>
      </c>
      <c r="AP42" s="31">
        <f t="shared" si="84"/>
        <v>0.39999999999781721</v>
      </c>
      <c r="AQ42" s="31">
        <f t="shared" si="85"/>
        <v>0</v>
      </c>
      <c r="AR42" s="31">
        <f t="shared" si="86"/>
        <v>24901.600000000002</v>
      </c>
      <c r="AS42" s="31">
        <f t="shared" si="87"/>
        <v>0.39999999999781721</v>
      </c>
      <c r="AU42" s="41">
        <v>52.5</v>
      </c>
      <c r="AV42" s="31">
        <v>0</v>
      </c>
      <c r="AW42" s="31">
        <f t="shared" si="88"/>
        <v>24901.600000000002</v>
      </c>
      <c r="AX42" s="4">
        <f t="shared" si="89"/>
        <v>0.39999999999781721</v>
      </c>
      <c r="AY42" s="4">
        <v>0</v>
      </c>
      <c r="AZ42" s="4">
        <f t="shared" si="90"/>
        <v>24901.600000000002</v>
      </c>
      <c r="BA42" s="4">
        <f t="shared" si="91"/>
        <v>0.39999999999781721</v>
      </c>
      <c r="BB42" s="34"/>
      <c r="BC42" s="4">
        <f t="shared" si="94"/>
        <v>24901.600000000002</v>
      </c>
      <c r="BD42" s="4">
        <f t="shared" si="93"/>
        <v>0.39999999999781721</v>
      </c>
      <c r="BG42" s="35"/>
    </row>
    <row r="43" spans="1:59" ht="15.5" x14ac:dyDescent="0.35">
      <c r="B43" s="1" t="s">
        <v>48</v>
      </c>
      <c r="C43" s="33">
        <v>37956</v>
      </c>
      <c r="D43" s="31">
        <v>112443</v>
      </c>
      <c r="E43" s="32" t="s">
        <v>21</v>
      </c>
      <c r="F43" s="32">
        <v>10</v>
      </c>
      <c r="G43" s="31">
        <v>937</v>
      </c>
      <c r="H43" s="31">
        <f t="shared" si="66"/>
        <v>11244.3</v>
      </c>
      <c r="I43" s="31">
        <f t="shared" si="67"/>
        <v>12181.3</v>
      </c>
      <c r="J43" s="31">
        <f t="shared" si="68"/>
        <v>11244.3</v>
      </c>
      <c r="K43" s="31">
        <f t="shared" si="69"/>
        <v>23425.599999999999</v>
      </c>
      <c r="L43" s="31">
        <f t="shared" si="70"/>
        <v>11244.3</v>
      </c>
      <c r="M43" s="31">
        <f t="shared" si="71"/>
        <v>34669.899999999994</v>
      </c>
      <c r="N43" s="31">
        <f t="shared" si="72"/>
        <v>11244.3</v>
      </c>
      <c r="O43" s="31">
        <f t="shared" si="73"/>
        <v>45914.2</v>
      </c>
      <c r="P43" s="31">
        <f t="shared" si="95"/>
        <v>11244.3</v>
      </c>
      <c r="Q43" s="31">
        <f>SUM(O43+P43)+3386</f>
        <v>60544.5</v>
      </c>
      <c r="R43" s="31">
        <f t="shared" si="96"/>
        <v>11244.3</v>
      </c>
      <c r="S43" s="31">
        <f t="shared" si="97"/>
        <v>71788.800000000003</v>
      </c>
      <c r="T43" s="31">
        <f t="shared" si="98"/>
        <v>11244.3</v>
      </c>
      <c r="U43" s="31">
        <f t="shared" si="74"/>
        <v>83033.100000000006</v>
      </c>
      <c r="V43" s="31">
        <f t="shared" si="99"/>
        <v>11244.3</v>
      </c>
      <c r="W43" s="31">
        <f t="shared" si="75"/>
        <v>94277.400000000009</v>
      </c>
      <c r="X43" s="31">
        <f>11244+3924</f>
        <v>15168</v>
      </c>
      <c r="Y43" s="31">
        <f t="shared" si="76"/>
        <v>109445.40000000001</v>
      </c>
      <c r="Z43" s="31">
        <f>112443-109445</f>
        <v>2998</v>
      </c>
      <c r="AA43" s="31">
        <f t="shared" si="77"/>
        <v>112443.40000000001</v>
      </c>
      <c r="AB43" s="31">
        <v>0</v>
      </c>
      <c r="AC43" s="31">
        <f t="shared" si="33"/>
        <v>112443.40000000001</v>
      </c>
      <c r="AD43" s="31">
        <v>0</v>
      </c>
      <c r="AE43" s="31">
        <f t="shared" si="35"/>
        <v>112443.40000000001</v>
      </c>
      <c r="AF43" s="31">
        <v>0</v>
      </c>
      <c r="AG43" s="31">
        <f t="shared" si="78"/>
        <v>112443.40000000001</v>
      </c>
      <c r="AH43" s="31">
        <v>0</v>
      </c>
      <c r="AI43" s="31">
        <f t="shared" si="79"/>
        <v>112443.40000000001</v>
      </c>
      <c r="AJ43" s="31">
        <v>0</v>
      </c>
      <c r="AK43" s="31">
        <f t="shared" si="80"/>
        <v>112443.40000000001</v>
      </c>
      <c r="AL43" s="31">
        <v>0</v>
      </c>
      <c r="AM43" s="31">
        <f t="shared" si="81"/>
        <v>112443.40000000001</v>
      </c>
      <c r="AN43" s="31">
        <f t="shared" si="82"/>
        <v>0</v>
      </c>
      <c r="AO43" s="31">
        <f t="shared" si="83"/>
        <v>112443.40000000001</v>
      </c>
      <c r="AP43" s="31">
        <f t="shared" si="84"/>
        <v>-0.40000000000873115</v>
      </c>
      <c r="AQ43" s="31">
        <f t="shared" si="85"/>
        <v>0</v>
      </c>
      <c r="AR43" s="31">
        <f t="shared" si="86"/>
        <v>112443.40000000001</v>
      </c>
      <c r="AS43" s="31">
        <f t="shared" si="87"/>
        <v>-0.40000000000873115</v>
      </c>
      <c r="AU43" s="41">
        <v>52.5</v>
      </c>
      <c r="AV43" s="31">
        <v>0</v>
      </c>
      <c r="AW43" s="31">
        <f t="shared" si="88"/>
        <v>112443.40000000001</v>
      </c>
      <c r="AX43" s="4">
        <f t="shared" si="89"/>
        <v>-0.40000000000873115</v>
      </c>
      <c r="AY43" s="4">
        <v>0</v>
      </c>
      <c r="AZ43" s="4">
        <f t="shared" si="90"/>
        <v>112443.40000000001</v>
      </c>
      <c r="BA43" s="4">
        <f t="shared" si="91"/>
        <v>-0.40000000000873115</v>
      </c>
      <c r="BB43" s="34"/>
      <c r="BC43" s="4">
        <f t="shared" si="94"/>
        <v>112443.40000000001</v>
      </c>
      <c r="BD43" s="4">
        <f t="shared" si="93"/>
        <v>-0.40000000000873115</v>
      </c>
      <c r="BG43" s="35"/>
    </row>
    <row r="44" spans="1:59" ht="15.5" x14ac:dyDescent="0.35">
      <c r="B44" s="1" t="s">
        <v>48</v>
      </c>
      <c r="C44" s="33">
        <v>38322</v>
      </c>
      <c r="D44" s="31">
        <v>7719</v>
      </c>
      <c r="E44" s="32" t="s">
        <v>21</v>
      </c>
      <c r="F44" s="32">
        <v>10</v>
      </c>
      <c r="G44" s="31"/>
      <c r="H44" s="31">
        <f>SUM(D44/F44/2)</f>
        <v>385.95</v>
      </c>
      <c r="I44" s="31">
        <f t="shared" si="67"/>
        <v>385.95</v>
      </c>
      <c r="J44" s="31">
        <f t="shared" si="68"/>
        <v>771.9</v>
      </c>
      <c r="K44" s="31">
        <f t="shared" si="69"/>
        <v>1157.8499999999999</v>
      </c>
      <c r="L44" s="31">
        <f t="shared" si="70"/>
        <v>771.9</v>
      </c>
      <c r="M44" s="31">
        <f t="shared" si="71"/>
        <v>1929.75</v>
      </c>
      <c r="N44" s="31">
        <f t="shared" si="72"/>
        <v>771.9</v>
      </c>
      <c r="O44" s="31">
        <f t="shared" si="73"/>
        <v>2701.65</v>
      </c>
      <c r="P44" s="31">
        <f t="shared" si="95"/>
        <v>771.9</v>
      </c>
      <c r="Q44" s="31">
        <v>3474</v>
      </c>
      <c r="R44" s="31">
        <f t="shared" si="96"/>
        <v>771.9</v>
      </c>
      <c r="S44" s="31">
        <f t="shared" si="97"/>
        <v>4245.8999999999996</v>
      </c>
      <c r="T44" s="31">
        <f t="shared" si="98"/>
        <v>771.9</v>
      </c>
      <c r="U44" s="31">
        <f t="shared" si="74"/>
        <v>5017.7999999999993</v>
      </c>
      <c r="V44" s="31">
        <f t="shared" si="99"/>
        <v>771.9</v>
      </c>
      <c r="W44" s="31">
        <f t="shared" si="75"/>
        <v>5789.6999999999989</v>
      </c>
      <c r="X44" s="31">
        <f t="shared" ref="X44:X50" si="100">V44</f>
        <v>771.9</v>
      </c>
      <c r="Y44" s="31">
        <f t="shared" si="76"/>
        <v>6561.5999999999985</v>
      </c>
      <c r="Z44" s="31">
        <f t="shared" ref="Z44:Z50" si="101">X44</f>
        <v>771.9</v>
      </c>
      <c r="AA44" s="31">
        <f t="shared" si="77"/>
        <v>7333.4999999999982</v>
      </c>
      <c r="AB44" s="31">
        <f>7719-7334</f>
        <v>385</v>
      </c>
      <c r="AC44" s="31">
        <f t="shared" si="33"/>
        <v>7718.4999999999982</v>
      </c>
      <c r="AD44" s="31">
        <v>0</v>
      </c>
      <c r="AE44" s="31">
        <f t="shared" si="35"/>
        <v>7718.4999999999982</v>
      </c>
      <c r="AF44" s="31">
        <v>0</v>
      </c>
      <c r="AG44" s="31">
        <f t="shared" si="78"/>
        <v>7718.4999999999982</v>
      </c>
      <c r="AH44" s="31">
        <v>0</v>
      </c>
      <c r="AI44" s="31">
        <f t="shared" si="79"/>
        <v>7718.4999999999982</v>
      </c>
      <c r="AJ44" s="31">
        <v>0</v>
      </c>
      <c r="AK44" s="31">
        <f t="shared" si="80"/>
        <v>7718.4999999999982</v>
      </c>
      <c r="AL44" s="31">
        <v>0</v>
      </c>
      <c r="AM44" s="31">
        <f t="shared" si="81"/>
        <v>7718.4999999999982</v>
      </c>
      <c r="AN44" s="31">
        <f t="shared" si="82"/>
        <v>0</v>
      </c>
      <c r="AO44" s="31">
        <f t="shared" si="83"/>
        <v>7718.4999999999982</v>
      </c>
      <c r="AP44" s="31">
        <f t="shared" si="84"/>
        <v>0.50000000000181899</v>
      </c>
      <c r="AQ44" s="31">
        <f t="shared" si="85"/>
        <v>0</v>
      </c>
      <c r="AR44" s="31">
        <f t="shared" si="86"/>
        <v>7718.4999999999982</v>
      </c>
      <c r="AS44" s="31">
        <f t="shared" si="87"/>
        <v>0.50000000000181899</v>
      </c>
      <c r="AU44" s="41">
        <v>52.5</v>
      </c>
      <c r="AV44" s="31">
        <v>0</v>
      </c>
      <c r="AW44" s="31">
        <f t="shared" si="88"/>
        <v>7718.4999999999982</v>
      </c>
      <c r="AX44" s="4">
        <v>0</v>
      </c>
      <c r="AY44" s="4">
        <v>0</v>
      </c>
      <c r="AZ44" s="4">
        <f t="shared" si="90"/>
        <v>7718.4999999999982</v>
      </c>
      <c r="BA44" s="4">
        <v>0</v>
      </c>
      <c r="BB44" s="34"/>
      <c r="BC44" s="4">
        <f t="shared" si="94"/>
        <v>7718.4999999999982</v>
      </c>
      <c r="BD44" s="4">
        <f t="shared" si="93"/>
        <v>0.50000000000181899</v>
      </c>
      <c r="BG44" s="35"/>
    </row>
    <row r="45" spans="1:59" ht="15.5" x14ac:dyDescent="0.35">
      <c r="B45" s="1" t="s">
        <v>29</v>
      </c>
      <c r="C45" s="33">
        <v>38533</v>
      </c>
      <c r="D45" s="31">
        <v>12900</v>
      </c>
      <c r="E45" s="32" t="s">
        <v>21</v>
      </c>
      <c r="F45" s="32">
        <v>10</v>
      </c>
      <c r="G45" s="31"/>
      <c r="H45" s="31"/>
      <c r="I45" s="31"/>
      <c r="J45" s="31">
        <v>1017</v>
      </c>
      <c r="K45" s="31">
        <v>1017</v>
      </c>
      <c r="L45" s="31">
        <f t="shared" si="70"/>
        <v>1290</v>
      </c>
      <c r="M45" s="31">
        <f t="shared" si="71"/>
        <v>2307</v>
      </c>
      <c r="N45" s="31">
        <f t="shared" si="72"/>
        <v>1290</v>
      </c>
      <c r="O45" s="31">
        <f t="shared" si="73"/>
        <v>3597</v>
      </c>
      <c r="P45" s="31">
        <f t="shared" si="95"/>
        <v>1290</v>
      </c>
      <c r="Q45" s="31">
        <f>SUM(O45+P45)</f>
        <v>4887</v>
      </c>
      <c r="R45" s="31">
        <f t="shared" si="96"/>
        <v>1290</v>
      </c>
      <c r="S45" s="31">
        <f t="shared" si="97"/>
        <v>6177</v>
      </c>
      <c r="T45" s="31">
        <f t="shared" si="98"/>
        <v>1290</v>
      </c>
      <c r="U45" s="31">
        <f t="shared" si="74"/>
        <v>7467</v>
      </c>
      <c r="V45" s="31">
        <f t="shared" si="99"/>
        <v>1290</v>
      </c>
      <c r="W45" s="31">
        <f t="shared" si="75"/>
        <v>8757</v>
      </c>
      <c r="X45" s="31">
        <f t="shared" si="100"/>
        <v>1290</v>
      </c>
      <c r="Y45" s="31">
        <f t="shared" si="76"/>
        <v>10047</v>
      </c>
      <c r="Z45" s="31">
        <f t="shared" si="101"/>
        <v>1290</v>
      </c>
      <c r="AA45" s="31">
        <f t="shared" si="77"/>
        <v>11337</v>
      </c>
      <c r="AB45" s="31">
        <f t="shared" ref="AB45:AB55" si="102">Z45</f>
        <v>1290</v>
      </c>
      <c r="AC45" s="31">
        <f t="shared" si="33"/>
        <v>12627</v>
      </c>
      <c r="AD45" s="31">
        <f>12900-12627</f>
        <v>273</v>
      </c>
      <c r="AE45" s="31">
        <f t="shared" si="35"/>
        <v>12900</v>
      </c>
      <c r="AF45" s="31"/>
      <c r="AG45" s="31">
        <f t="shared" si="78"/>
        <v>12900</v>
      </c>
      <c r="AH45" s="31">
        <v>0</v>
      </c>
      <c r="AI45" s="31">
        <f t="shared" si="79"/>
        <v>12900</v>
      </c>
      <c r="AJ45" s="31">
        <v>0</v>
      </c>
      <c r="AK45" s="31">
        <f t="shared" si="80"/>
        <v>12900</v>
      </c>
      <c r="AL45" s="31">
        <v>0</v>
      </c>
      <c r="AM45" s="31">
        <f t="shared" si="81"/>
        <v>12900</v>
      </c>
      <c r="AN45" s="31">
        <f t="shared" si="82"/>
        <v>0</v>
      </c>
      <c r="AO45" s="31">
        <f t="shared" si="83"/>
        <v>12900</v>
      </c>
      <c r="AP45" s="31">
        <f t="shared" si="84"/>
        <v>0</v>
      </c>
      <c r="AQ45" s="31">
        <f t="shared" si="85"/>
        <v>0</v>
      </c>
      <c r="AR45" s="31">
        <f t="shared" si="86"/>
        <v>12900</v>
      </c>
      <c r="AS45" s="31">
        <f t="shared" si="87"/>
        <v>0</v>
      </c>
      <c r="AU45" s="41">
        <v>52.5</v>
      </c>
      <c r="AV45" s="31">
        <v>0</v>
      </c>
      <c r="AW45" s="31">
        <f t="shared" si="88"/>
        <v>12900</v>
      </c>
      <c r="AX45" s="4">
        <f t="shared" si="89"/>
        <v>0</v>
      </c>
      <c r="AY45" s="4">
        <v>0</v>
      </c>
      <c r="AZ45" s="4">
        <f t="shared" si="90"/>
        <v>12900</v>
      </c>
      <c r="BA45" s="4">
        <f t="shared" si="91"/>
        <v>0</v>
      </c>
      <c r="BB45" s="34"/>
      <c r="BC45" s="4">
        <f t="shared" si="94"/>
        <v>12900</v>
      </c>
      <c r="BD45" s="4">
        <f t="shared" si="93"/>
        <v>0</v>
      </c>
      <c r="BG45" s="35"/>
    </row>
    <row r="46" spans="1:59" ht="15.5" x14ac:dyDescent="0.35">
      <c r="B46" s="1" t="s">
        <v>49</v>
      </c>
      <c r="C46" s="33">
        <v>38898</v>
      </c>
      <c r="D46" s="31">
        <v>12191</v>
      </c>
      <c r="E46" s="32" t="s">
        <v>21</v>
      </c>
      <c r="F46" s="32">
        <v>10</v>
      </c>
      <c r="G46" s="31"/>
      <c r="H46" s="31"/>
      <c r="I46" s="31"/>
      <c r="J46" s="31"/>
      <c r="K46" s="31"/>
      <c r="L46" s="31">
        <f>SUM(D46/F46)/2</f>
        <v>609.54999999999995</v>
      </c>
      <c r="M46" s="31">
        <f t="shared" si="71"/>
        <v>609.54999999999995</v>
      </c>
      <c r="N46" s="31">
        <f t="shared" si="72"/>
        <v>1219.0999999999999</v>
      </c>
      <c r="O46" s="31">
        <f t="shared" si="73"/>
        <v>1828.6499999999999</v>
      </c>
      <c r="P46" s="31">
        <f t="shared" si="95"/>
        <v>1219.0999999999999</v>
      </c>
      <c r="Q46" s="31">
        <f>SUM(O46+P46)</f>
        <v>3047.75</v>
      </c>
      <c r="R46" s="31">
        <f t="shared" si="96"/>
        <v>1219.0999999999999</v>
      </c>
      <c r="S46" s="31">
        <f t="shared" si="97"/>
        <v>4266.8500000000004</v>
      </c>
      <c r="T46" s="31">
        <f t="shared" si="98"/>
        <v>1219.0999999999999</v>
      </c>
      <c r="U46" s="31">
        <f t="shared" si="74"/>
        <v>5485.9500000000007</v>
      </c>
      <c r="V46" s="31">
        <f t="shared" si="99"/>
        <v>1219.0999999999999</v>
      </c>
      <c r="W46" s="31">
        <f t="shared" si="75"/>
        <v>6705.0500000000011</v>
      </c>
      <c r="X46" s="31">
        <f t="shared" si="100"/>
        <v>1219.0999999999999</v>
      </c>
      <c r="Y46" s="31">
        <f t="shared" si="76"/>
        <v>7924.1500000000015</v>
      </c>
      <c r="Z46" s="31">
        <f t="shared" si="101"/>
        <v>1219.0999999999999</v>
      </c>
      <c r="AA46" s="31">
        <f t="shared" si="77"/>
        <v>9143.2500000000018</v>
      </c>
      <c r="AB46" s="31">
        <f t="shared" si="102"/>
        <v>1219.0999999999999</v>
      </c>
      <c r="AC46" s="31">
        <f t="shared" si="33"/>
        <v>10362.350000000002</v>
      </c>
      <c r="AD46" s="31">
        <f t="shared" ref="AD46:AD55" si="103">AB46</f>
        <v>1219.0999999999999</v>
      </c>
      <c r="AE46" s="31">
        <f t="shared" si="35"/>
        <v>11581.450000000003</v>
      </c>
      <c r="AF46" s="31">
        <f>12191-11581</f>
        <v>610</v>
      </c>
      <c r="AG46" s="31">
        <f t="shared" si="78"/>
        <v>12191.450000000003</v>
      </c>
      <c r="AH46" s="31">
        <v>0</v>
      </c>
      <c r="AI46" s="31">
        <f t="shared" si="79"/>
        <v>12191.450000000003</v>
      </c>
      <c r="AJ46" s="31">
        <v>0</v>
      </c>
      <c r="AK46" s="31">
        <f t="shared" si="80"/>
        <v>12191.450000000003</v>
      </c>
      <c r="AL46" s="31">
        <v>0</v>
      </c>
      <c r="AM46" s="31">
        <f t="shared" si="81"/>
        <v>12191.450000000003</v>
      </c>
      <c r="AN46" s="31">
        <f t="shared" si="82"/>
        <v>0</v>
      </c>
      <c r="AO46" s="31">
        <f t="shared" si="83"/>
        <v>12191.450000000003</v>
      </c>
      <c r="AP46" s="31">
        <f t="shared" si="84"/>
        <v>-0.45000000000254659</v>
      </c>
      <c r="AQ46" s="31">
        <f t="shared" si="85"/>
        <v>0</v>
      </c>
      <c r="AR46" s="31">
        <f t="shared" si="86"/>
        <v>12191.450000000003</v>
      </c>
      <c r="AS46" s="31">
        <f t="shared" si="87"/>
        <v>-0.45000000000254659</v>
      </c>
      <c r="AU46" s="41">
        <v>52.5</v>
      </c>
      <c r="AV46" s="31">
        <v>0</v>
      </c>
      <c r="AW46" s="31">
        <f t="shared" si="88"/>
        <v>12191.450000000003</v>
      </c>
      <c r="AX46" s="4">
        <f t="shared" si="89"/>
        <v>-0.45000000000254659</v>
      </c>
      <c r="AY46" s="4">
        <v>0</v>
      </c>
      <c r="AZ46" s="4">
        <f t="shared" si="90"/>
        <v>12191.450000000003</v>
      </c>
      <c r="BA46" s="4">
        <f t="shared" si="91"/>
        <v>-0.45000000000254659</v>
      </c>
      <c r="BB46" s="34"/>
      <c r="BC46" s="4">
        <f t="shared" si="94"/>
        <v>12191.450000000003</v>
      </c>
      <c r="BD46" s="4">
        <f t="shared" si="93"/>
        <v>-0.45000000000254659</v>
      </c>
      <c r="BG46" s="35"/>
    </row>
    <row r="47" spans="1:59" ht="15.5" x14ac:dyDescent="0.35">
      <c r="B47" s="1" t="s">
        <v>50</v>
      </c>
      <c r="C47" s="33">
        <v>38898</v>
      </c>
      <c r="D47" s="31">
        <v>250000</v>
      </c>
      <c r="E47" s="32" t="s">
        <v>21</v>
      </c>
      <c r="F47" s="32">
        <v>10</v>
      </c>
      <c r="G47" s="31"/>
      <c r="H47" s="31"/>
      <c r="I47" s="31"/>
      <c r="J47" s="31"/>
      <c r="K47" s="31"/>
      <c r="L47" s="31">
        <v>11891</v>
      </c>
      <c r="M47" s="31">
        <f t="shared" si="71"/>
        <v>11891</v>
      </c>
      <c r="N47" s="31">
        <f t="shared" si="72"/>
        <v>25000</v>
      </c>
      <c r="O47" s="31">
        <f t="shared" si="73"/>
        <v>36891</v>
      </c>
      <c r="P47" s="31">
        <f t="shared" si="95"/>
        <v>25000</v>
      </c>
      <c r="Q47" s="31">
        <f>SUM(O47+P47)</f>
        <v>61891</v>
      </c>
      <c r="R47" s="31">
        <f t="shared" si="96"/>
        <v>25000</v>
      </c>
      <c r="S47" s="31">
        <f t="shared" si="97"/>
        <v>86891</v>
      </c>
      <c r="T47" s="31">
        <f t="shared" si="98"/>
        <v>25000</v>
      </c>
      <c r="U47" s="31">
        <f t="shared" si="74"/>
        <v>111891</v>
      </c>
      <c r="V47" s="31">
        <f t="shared" si="99"/>
        <v>25000</v>
      </c>
      <c r="W47" s="31">
        <f t="shared" si="75"/>
        <v>136891</v>
      </c>
      <c r="X47" s="31">
        <f t="shared" si="100"/>
        <v>25000</v>
      </c>
      <c r="Y47" s="31">
        <f t="shared" si="76"/>
        <v>161891</v>
      </c>
      <c r="Z47" s="31">
        <f t="shared" si="101"/>
        <v>25000</v>
      </c>
      <c r="AA47" s="31">
        <f t="shared" si="77"/>
        <v>186891</v>
      </c>
      <c r="AB47" s="31">
        <f t="shared" si="102"/>
        <v>25000</v>
      </c>
      <c r="AC47" s="31">
        <f t="shared" si="33"/>
        <v>211891</v>
      </c>
      <c r="AD47" s="31">
        <f t="shared" si="103"/>
        <v>25000</v>
      </c>
      <c r="AE47" s="31">
        <f t="shared" si="35"/>
        <v>236891</v>
      </c>
      <c r="AF47" s="31">
        <f>250000-236891</f>
        <v>13109</v>
      </c>
      <c r="AG47" s="31">
        <f t="shared" si="78"/>
        <v>250000</v>
      </c>
      <c r="AH47" s="31">
        <v>0</v>
      </c>
      <c r="AI47" s="31">
        <f t="shared" si="79"/>
        <v>250000</v>
      </c>
      <c r="AJ47" s="31">
        <v>0</v>
      </c>
      <c r="AK47" s="31">
        <f t="shared" si="80"/>
        <v>250000</v>
      </c>
      <c r="AL47" s="31">
        <v>0</v>
      </c>
      <c r="AM47" s="31">
        <f t="shared" si="81"/>
        <v>250000</v>
      </c>
      <c r="AN47" s="31">
        <f t="shared" si="82"/>
        <v>0</v>
      </c>
      <c r="AO47" s="31">
        <f t="shared" si="83"/>
        <v>250000</v>
      </c>
      <c r="AP47" s="31">
        <f t="shared" si="84"/>
        <v>0</v>
      </c>
      <c r="AQ47" s="31">
        <f t="shared" si="85"/>
        <v>0</v>
      </c>
      <c r="AR47" s="31">
        <f t="shared" si="86"/>
        <v>250000</v>
      </c>
      <c r="AS47" s="31">
        <f t="shared" si="87"/>
        <v>0</v>
      </c>
      <c r="AU47" s="41">
        <v>52.5</v>
      </c>
      <c r="AV47" s="31">
        <v>0</v>
      </c>
      <c r="AW47" s="31">
        <f t="shared" si="88"/>
        <v>250000</v>
      </c>
      <c r="AX47" s="4">
        <f t="shared" si="89"/>
        <v>0</v>
      </c>
      <c r="AY47" s="4">
        <v>0</v>
      </c>
      <c r="AZ47" s="4">
        <f t="shared" si="90"/>
        <v>250000</v>
      </c>
      <c r="BA47" s="4">
        <f t="shared" si="91"/>
        <v>0</v>
      </c>
      <c r="BB47" s="34"/>
      <c r="BC47" s="4">
        <f t="shared" si="94"/>
        <v>250000</v>
      </c>
      <c r="BD47" s="4">
        <f t="shared" si="93"/>
        <v>0</v>
      </c>
      <c r="BG47" s="35"/>
    </row>
    <row r="48" spans="1:59" ht="15.5" x14ac:dyDescent="0.35">
      <c r="B48" s="1" t="s">
        <v>51</v>
      </c>
      <c r="C48" s="33">
        <v>39263</v>
      </c>
      <c r="D48" s="31">
        <v>4844</v>
      </c>
      <c r="E48" s="32" t="s">
        <v>21</v>
      </c>
      <c r="F48" s="32">
        <v>10</v>
      </c>
      <c r="G48" s="31"/>
      <c r="H48" s="31"/>
      <c r="I48" s="31"/>
      <c r="J48" s="31"/>
      <c r="K48" s="31"/>
      <c r="L48" s="31"/>
      <c r="M48" s="31"/>
      <c r="N48" s="31">
        <f>SUM(D48/F48)/2</f>
        <v>242.2</v>
      </c>
      <c r="O48" s="31">
        <f t="shared" si="73"/>
        <v>242.2</v>
      </c>
      <c r="P48" s="31">
        <f t="shared" si="95"/>
        <v>484.4</v>
      </c>
      <c r="Q48" s="31">
        <v>726</v>
      </c>
      <c r="R48" s="31">
        <f t="shared" si="96"/>
        <v>484.4</v>
      </c>
      <c r="S48" s="31">
        <f t="shared" si="97"/>
        <v>1210.4000000000001</v>
      </c>
      <c r="T48" s="31">
        <f t="shared" si="98"/>
        <v>484.4</v>
      </c>
      <c r="U48" s="31">
        <f t="shared" si="74"/>
        <v>1694.8000000000002</v>
      </c>
      <c r="V48" s="31">
        <f t="shared" si="99"/>
        <v>484.4</v>
      </c>
      <c r="W48" s="31">
        <f t="shared" si="75"/>
        <v>2179.2000000000003</v>
      </c>
      <c r="X48" s="31">
        <f t="shared" si="100"/>
        <v>484.4</v>
      </c>
      <c r="Y48" s="31">
        <f t="shared" si="76"/>
        <v>2663.6000000000004</v>
      </c>
      <c r="Z48" s="31">
        <f t="shared" si="101"/>
        <v>484.4</v>
      </c>
      <c r="AA48" s="31">
        <f t="shared" si="77"/>
        <v>3148.0000000000005</v>
      </c>
      <c r="AB48" s="31">
        <f t="shared" si="102"/>
        <v>484.4</v>
      </c>
      <c r="AC48" s="31">
        <f t="shared" si="33"/>
        <v>3632.4000000000005</v>
      </c>
      <c r="AD48" s="31">
        <f t="shared" si="103"/>
        <v>484.4</v>
      </c>
      <c r="AE48" s="31">
        <f t="shared" si="35"/>
        <v>4116.8</v>
      </c>
      <c r="AF48" s="31">
        <f t="shared" ref="AF48:AF55" si="104">AD48</f>
        <v>484.4</v>
      </c>
      <c r="AG48" s="31">
        <f t="shared" si="78"/>
        <v>4601.2</v>
      </c>
      <c r="AH48" s="31">
        <f>4844-4601</f>
        <v>243</v>
      </c>
      <c r="AI48" s="31">
        <f t="shared" si="79"/>
        <v>4844.2</v>
      </c>
      <c r="AJ48" s="31">
        <v>0</v>
      </c>
      <c r="AK48" s="31">
        <f t="shared" si="80"/>
        <v>4844.2</v>
      </c>
      <c r="AL48" s="31">
        <v>0</v>
      </c>
      <c r="AM48" s="31">
        <f t="shared" si="81"/>
        <v>4844.2</v>
      </c>
      <c r="AN48" s="31">
        <f t="shared" si="82"/>
        <v>0</v>
      </c>
      <c r="AO48" s="31">
        <f t="shared" si="83"/>
        <v>4844.2</v>
      </c>
      <c r="AP48" s="31">
        <f t="shared" si="84"/>
        <v>-0.1999999999998181</v>
      </c>
      <c r="AQ48" s="31">
        <f t="shared" si="85"/>
        <v>0</v>
      </c>
      <c r="AR48" s="31">
        <f t="shared" si="86"/>
        <v>4844.2</v>
      </c>
      <c r="AS48" s="31">
        <f t="shared" si="87"/>
        <v>-0.1999999999998181</v>
      </c>
      <c r="AU48" s="41">
        <v>52.5</v>
      </c>
      <c r="AV48" s="31">
        <v>0</v>
      </c>
      <c r="AW48" s="31">
        <f t="shared" si="88"/>
        <v>4844.2</v>
      </c>
      <c r="AX48" s="4">
        <f t="shared" si="89"/>
        <v>-0.1999999999998181</v>
      </c>
      <c r="AY48" s="4">
        <v>0</v>
      </c>
      <c r="AZ48" s="4">
        <f t="shared" si="90"/>
        <v>4844.2</v>
      </c>
      <c r="BA48" s="4">
        <f t="shared" si="91"/>
        <v>-0.1999999999998181</v>
      </c>
      <c r="BB48" s="34"/>
      <c r="BC48" s="4">
        <f t="shared" si="94"/>
        <v>4844.2</v>
      </c>
      <c r="BD48" s="4">
        <f t="shared" si="93"/>
        <v>-0.1999999999998181</v>
      </c>
      <c r="BG48" s="35"/>
    </row>
    <row r="49" spans="2:60" ht="15.5" x14ac:dyDescent="0.35">
      <c r="B49" s="1" t="s">
        <v>52</v>
      </c>
      <c r="C49" s="33">
        <v>39629</v>
      </c>
      <c r="D49" s="31">
        <v>9514</v>
      </c>
      <c r="E49" s="32" t="s">
        <v>21</v>
      </c>
      <c r="F49" s="32">
        <v>10</v>
      </c>
      <c r="G49" s="31"/>
      <c r="H49" s="31"/>
      <c r="I49" s="31"/>
      <c r="J49" s="31"/>
      <c r="K49" s="31"/>
      <c r="L49" s="31"/>
      <c r="M49" s="31"/>
      <c r="N49" s="31"/>
      <c r="O49" s="31"/>
      <c r="P49" s="31">
        <v>476</v>
      </c>
      <c r="Q49" s="31">
        <v>476</v>
      </c>
      <c r="R49" s="31">
        <f>SUM(D49/10)</f>
        <v>951.4</v>
      </c>
      <c r="S49" s="31">
        <f t="shared" si="97"/>
        <v>1427.4</v>
      </c>
      <c r="T49" s="31">
        <f t="shared" si="98"/>
        <v>951.4</v>
      </c>
      <c r="U49" s="31">
        <f t="shared" si="74"/>
        <v>2378.8000000000002</v>
      </c>
      <c r="V49" s="31">
        <f t="shared" si="99"/>
        <v>951.4</v>
      </c>
      <c r="W49" s="31">
        <f t="shared" si="75"/>
        <v>3330.2000000000003</v>
      </c>
      <c r="X49" s="31">
        <f t="shared" si="100"/>
        <v>951.4</v>
      </c>
      <c r="Y49" s="31">
        <f t="shared" si="76"/>
        <v>4281.6000000000004</v>
      </c>
      <c r="Z49" s="31">
        <f t="shared" si="101"/>
        <v>951.4</v>
      </c>
      <c r="AA49" s="31">
        <f t="shared" si="77"/>
        <v>5233</v>
      </c>
      <c r="AB49" s="31">
        <f t="shared" si="102"/>
        <v>951.4</v>
      </c>
      <c r="AC49" s="31">
        <f t="shared" si="33"/>
        <v>6184.4</v>
      </c>
      <c r="AD49" s="31">
        <f t="shared" si="103"/>
        <v>951.4</v>
      </c>
      <c r="AE49" s="31">
        <f t="shared" si="35"/>
        <v>7135.7999999999993</v>
      </c>
      <c r="AF49" s="31">
        <f t="shared" si="104"/>
        <v>951.4</v>
      </c>
      <c r="AG49" s="31">
        <f t="shared" si="78"/>
        <v>8087.1999999999989</v>
      </c>
      <c r="AH49" s="31">
        <f t="shared" ref="AH49:AH55" si="105">AF49</f>
        <v>951.4</v>
      </c>
      <c r="AI49" s="31">
        <f t="shared" si="79"/>
        <v>9038.5999999999985</v>
      </c>
      <c r="AJ49" s="31">
        <f>9514-9039</f>
        <v>475</v>
      </c>
      <c r="AK49" s="31">
        <f t="shared" si="80"/>
        <v>9513.5999999999985</v>
      </c>
      <c r="AL49" s="31">
        <v>0</v>
      </c>
      <c r="AM49" s="31">
        <f t="shared" si="81"/>
        <v>9513.5999999999985</v>
      </c>
      <c r="AN49" s="31">
        <f t="shared" si="82"/>
        <v>0</v>
      </c>
      <c r="AO49" s="31">
        <f t="shared" si="83"/>
        <v>9513.5999999999985</v>
      </c>
      <c r="AP49" s="31">
        <f t="shared" si="84"/>
        <v>0.40000000000145519</v>
      </c>
      <c r="AQ49" s="31">
        <f t="shared" si="85"/>
        <v>0</v>
      </c>
      <c r="AR49" s="31">
        <f t="shared" si="86"/>
        <v>9513.5999999999985</v>
      </c>
      <c r="AS49" s="31">
        <f t="shared" si="87"/>
        <v>0.40000000000145519</v>
      </c>
      <c r="AU49" s="41">
        <v>52.5</v>
      </c>
      <c r="AV49" s="31">
        <v>0</v>
      </c>
      <c r="AW49" s="31">
        <f t="shared" si="88"/>
        <v>9513.5999999999985</v>
      </c>
      <c r="AX49" s="4">
        <f t="shared" si="89"/>
        <v>0.40000000000145519</v>
      </c>
      <c r="AY49" s="4">
        <v>0</v>
      </c>
      <c r="AZ49" s="4">
        <f t="shared" si="90"/>
        <v>9513.5999999999985</v>
      </c>
      <c r="BA49" s="4">
        <f t="shared" si="91"/>
        <v>0.40000000000145519</v>
      </c>
      <c r="BB49" s="34"/>
      <c r="BC49" s="4">
        <f t="shared" si="94"/>
        <v>9513.5999999999985</v>
      </c>
      <c r="BD49" s="4">
        <f t="shared" si="93"/>
        <v>0.40000000000145519</v>
      </c>
      <c r="BG49" s="35"/>
    </row>
    <row r="50" spans="2:60" ht="15.5" x14ac:dyDescent="0.35">
      <c r="B50" s="1" t="s">
        <v>53</v>
      </c>
      <c r="C50" s="33">
        <v>39994</v>
      </c>
      <c r="D50" s="31">
        <v>3438</v>
      </c>
      <c r="E50" s="32" t="s">
        <v>21</v>
      </c>
      <c r="F50" s="32">
        <v>10</v>
      </c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>
        <f>SUM(D50/10/2)</f>
        <v>171.9</v>
      </c>
      <c r="S50" s="31">
        <f t="shared" si="97"/>
        <v>171.9</v>
      </c>
      <c r="T50" s="31">
        <f>SUM(D50/10)</f>
        <v>343.8</v>
      </c>
      <c r="U50" s="31">
        <f t="shared" si="74"/>
        <v>515.70000000000005</v>
      </c>
      <c r="V50" s="31">
        <f t="shared" si="99"/>
        <v>343.8</v>
      </c>
      <c r="W50" s="31">
        <f t="shared" si="75"/>
        <v>859.5</v>
      </c>
      <c r="X50" s="31">
        <f t="shared" si="100"/>
        <v>343.8</v>
      </c>
      <c r="Y50" s="31">
        <f t="shared" si="76"/>
        <v>1203.3</v>
      </c>
      <c r="Z50" s="31">
        <f t="shared" si="101"/>
        <v>343.8</v>
      </c>
      <c r="AA50" s="31">
        <f t="shared" si="77"/>
        <v>1547.1</v>
      </c>
      <c r="AB50" s="31">
        <f t="shared" si="102"/>
        <v>343.8</v>
      </c>
      <c r="AC50" s="31">
        <f t="shared" si="33"/>
        <v>1890.8999999999999</v>
      </c>
      <c r="AD50" s="31">
        <f t="shared" si="103"/>
        <v>343.8</v>
      </c>
      <c r="AE50" s="31">
        <f t="shared" si="35"/>
        <v>2234.6999999999998</v>
      </c>
      <c r="AF50" s="31">
        <f t="shared" si="104"/>
        <v>343.8</v>
      </c>
      <c r="AG50" s="31">
        <f t="shared" si="78"/>
        <v>2578.5</v>
      </c>
      <c r="AH50" s="31">
        <f t="shared" si="105"/>
        <v>343.8</v>
      </c>
      <c r="AI50" s="31">
        <f t="shared" si="79"/>
        <v>2922.3</v>
      </c>
      <c r="AJ50" s="31">
        <f t="shared" ref="AJ50:AJ55" si="106">AH50</f>
        <v>343.8</v>
      </c>
      <c r="AK50" s="31">
        <f t="shared" si="80"/>
        <v>3266.1000000000004</v>
      </c>
      <c r="AL50" s="31">
        <f>3438-3266</f>
        <v>172</v>
      </c>
      <c r="AM50" s="31">
        <f t="shared" si="81"/>
        <v>3438.1000000000004</v>
      </c>
      <c r="AN50" s="31">
        <v>0</v>
      </c>
      <c r="AO50" s="31">
        <f t="shared" si="83"/>
        <v>3438.1000000000004</v>
      </c>
      <c r="AP50" s="31">
        <f t="shared" si="84"/>
        <v>-0.1000000000003638</v>
      </c>
      <c r="AQ50" s="31">
        <f t="shared" si="85"/>
        <v>0</v>
      </c>
      <c r="AR50" s="31">
        <f t="shared" si="86"/>
        <v>3438.1000000000004</v>
      </c>
      <c r="AS50" s="31">
        <f t="shared" si="87"/>
        <v>-0.1000000000003638</v>
      </c>
      <c r="AU50" s="41">
        <v>52.5</v>
      </c>
      <c r="AV50" s="31">
        <v>0</v>
      </c>
      <c r="AW50" s="31">
        <f t="shared" si="88"/>
        <v>3438.1000000000004</v>
      </c>
      <c r="AX50" s="4">
        <f t="shared" si="89"/>
        <v>-0.1000000000003638</v>
      </c>
      <c r="AY50" s="4">
        <v>0</v>
      </c>
      <c r="AZ50" s="4">
        <f t="shared" si="90"/>
        <v>3438.1000000000004</v>
      </c>
      <c r="BA50" s="4">
        <f t="shared" si="91"/>
        <v>-0.1000000000003638</v>
      </c>
      <c r="BB50" s="34"/>
      <c r="BC50" s="4">
        <f t="shared" si="94"/>
        <v>3438.1000000000004</v>
      </c>
      <c r="BD50" s="4">
        <f t="shared" si="93"/>
        <v>-0.1000000000003638</v>
      </c>
      <c r="BG50" s="35"/>
    </row>
    <row r="51" spans="2:60" ht="15.5" x14ac:dyDescent="0.35">
      <c r="B51" s="1" t="s">
        <v>54</v>
      </c>
      <c r="C51" s="33">
        <v>40359</v>
      </c>
      <c r="D51" s="31">
        <v>16372</v>
      </c>
      <c r="E51" s="32" t="s">
        <v>21</v>
      </c>
      <c r="F51" s="32">
        <v>10</v>
      </c>
      <c r="G51" s="31"/>
      <c r="H51" s="31"/>
      <c r="I51" s="31"/>
      <c r="J51" s="31"/>
      <c r="K51" s="31"/>
      <c r="L51" s="31"/>
      <c r="M51" s="31"/>
      <c r="R51" s="31"/>
      <c r="T51" s="1">
        <v>819</v>
      </c>
      <c r="U51" s="1">
        <v>819</v>
      </c>
      <c r="V51" s="1">
        <f>16372/10</f>
        <v>1637.2</v>
      </c>
      <c r="W51" s="31">
        <f t="shared" si="75"/>
        <v>2456.1999999999998</v>
      </c>
      <c r="X51" s="1">
        <v>1637.2</v>
      </c>
      <c r="Y51" s="31">
        <f t="shared" si="76"/>
        <v>4093.3999999999996</v>
      </c>
      <c r="Z51" s="1">
        <v>1637.2</v>
      </c>
      <c r="AA51" s="31">
        <f t="shared" si="77"/>
        <v>5730.5999999999995</v>
      </c>
      <c r="AB51" s="31">
        <f t="shared" si="102"/>
        <v>1637.2</v>
      </c>
      <c r="AC51" s="31">
        <f t="shared" si="33"/>
        <v>7367.7999999999993</v>
      </c>
      <c r="AD51" s="31">
        <f t="shared" si="103"/>
        <v>1637.2</v>
      </c>
      <c r="AE51" s="31">
        <f t="shared" si="35"/>
        <v>9005</v>
      </c>
      <c r="AF51" s="31">
        <f t="shared" si="104"/>
        <v>1637.2</v>
      </c>
      <c r="AG51" s="31">
        <f t="shared" si="78"/>
        <v>10642.2</v>
      </c>
      <c r="AH51" s="31">
        <f t="shared" si="105"/>
        <v>1637.2</v>
      </c>
      <c r="AI51" s="31">
        <f t="shared" si="79"/>
        <v>12279.400000000001</v>
      </c>
      <c r="AJ51" s="31">
        <f t="shared" si="106"/>
        <v>1637.2</v>
      </c>
      <c r="AK51" s="31">
        <f t="shared" si="80"/>
        <v>13916.600000000002</v>
      </c>
      <c r="AL51" s="31">
        <f>AJ51</f>
        <v>1637.2</v>
      </c>
      <c r="AM51" s="31">
        <f t="shared" si="81"/>
        <v>15553.800000000003</v>
      </c>
      <c r="AN51" s="31">
        <v>818</v>
      </c>
      <c r="AO51" s="31">
        <f>SUM(AM51:AN51)</f>
        <v>16371.800000000003</v>
      </c>
      <c r="AP51" s="31">
        <f>D51-AO51</f>
        <v>0.19999999999708962</v>
      </c>
      <c r="AQ51" s="31">
        <v>0</v>
      </c>
      <c r="AR51" s="31">
        <f t="shared" si="86"/>
        <v>16371.800000000003</v>
      </c>
      <c r="AS51" s="31">
        <f t="shared" si="87"/>
        <v>0.19999999999708962</v>
      </c>
      <c r="AU51" s="41">
        <v>52.5</v>
      </c>
      <c r="AV51" s="31">
        <v>0</v>
      </c>
      <c r="AW51" s="31">
        <f t="shared" si="88"/>
        <v>16371.800000000003</v>
      </c>
      <c r="AX51" s="4">
        <f t="shared" si="89"/>
        <v>0.19999999999708962</v>
      </c>
      <c r="AY51" s="4">
        <v>0</v>
      </c>
      <c r="AZ51" s="4">
        <f t="shared" si="90"/>
        <v>16371.800000000003</v>
      </c>
      <c r="BA51" s="4">
        <f t="shared" si="91"/>
        <v>0.19999999999708962</v>
      </c>
      <c r="BB51" s="34"/>
      <c r="BC51" s="4">
        <f t="shared" si="94"/>
        <v>16371.800000000003</v>
      </c>
      <c r="BD51" s="4">
        <f t="shared" si="93"/>
        <v>0.19999999999708962</v>
      </c>
      <c r="BG51" s="35"/>
    </row>
    <row r="52" spans="2:60" ht="15.5" x14ac:dyDescent="0.35">
      <c r="B52" s="1" t="s">
        <v>39</v>
      </c>
      <c r="C52" s="33" t="s">
        <v>40</v>
      </c>
      <c r="D52" s="31">
        <v>886544</v>
      </c>
      <c r="E52" s="32" t="s">
        <v>21</v>
      </c>
      <c r="F52" s="32">
        <v>10</v>
      </c>
      <c r="G52" s="31"/>
      <c r="H52" s="31"/>
      <c r="I52" s="31"/>
      <c r="J52" s="31"/>
      <c r="K52" s="31"/>
      <c r="L52" s="31"/>
      <c r="M52" s="31"/>
      <c r="R52" s="31"/>
      <c r="V52" s="1">
        <v>7388</v>
      </c>
      <c r="W52" s="31">
        <f t="shared" si="75"/>
        <v>7388</v>
      </c>
      <c r="X52" s="1">
        <v>88654</v>
      </c>
      <c r="Y52" s="31">
        <f t="shared" si="76"/>
        <v>96042</v>
      </c>
      <c r="Z52" s="1">
        <v>88654</v>
      </c>
      <c r="AA52" s="31">
        <f t="shared" si="77"/>
        <v>184696</v>
      </c>
      <c r="AB52" s="31">
        <f t="shared" si="102"/>
        <v>88654</v>
      </c>
      <c r="AC52" s="31">
        <f t="shared" si="33"/>
        <v>273350</v>
      </c>
      <c r="AD52" s="31">
        <f t="shared" si="103"/>
        <v>88654</v>
      </c>
      <c r="AE52" s="31">
        <f t="shared" si="35"/>
        <v>362004</v>
      </c>
      <c r="AF52" s="31">
        <f t="shared" si="104"/>
        <v>88654</v>
      </c>
      <c r="AG52" s="31">
        <f t="shared" si="78"/>
        <v>450658</v>
      </c>
      <c r="AH52" s="31">
        <f t="shared" si="105"/>
        <v>88654</v>
      </c>
      <c r="AI52" s="31">
        <f t="shared" si="79"/>
        <v>539312</v>
      </c>
      <c r="AJ52" s="31">
        <f t="shared" si="106"/>
        <v>88654</v>
      </c>
      <c r="AK52" s="31">
        <f t="shared" si="80"/>
        <v>627966</v>
      </c>
      <c r="AL52" s="31">
        <f>AJ52</f>
        <v>88654</v>
      </c>
      <c r="AM52" s="31">
        <f t="shared" si="81"/>
        <v>716620</v>
      </c>
      <c r="AN52" s="31">
        <f t="shared" ref="AN52:AN61" si="107">AL52</f>
        <v>88654</v>
      </c>
      <c r="AO52" s="31">
        <f t="shared" si="83"/>
        <v>805274</v>
      </c>
      <c r="AP52" s="31">
        <f t="shared" si="84"/>
        <v>81270</v>
      </c>
      <c r="AQ52" s="31">
        <v>81270</v>
      </c>
      <c r="AR52" s="31">
        <f t="shared" si="86"/>
        <v>886544</v>
      </c>
      <c r="AS52" s="31">
        <f t="shared" si="87"/>
        <v>0</v>
      </c>
      <c r="AU52" s="41">
        <v>52.5</v>
      </c>
      <c r="AV52" s="31">
        <f t="shared" ref="AV52:AV64" si="108">SUM(D52/AU52)</f>
        <v>16886.55238095238</v>
      </c>
      <c r="AW52" s="31">
        <f t="shared" si="88"/>
        <v>822160.5523809524</v>
      </c>
      <c r="AX52" s="4">
        <f t="shared" si="89"/>
        <v>64383.447619047598</v>
      </c>
      <c r="AY52" s="4">
        <f t="shared" ref="AY52:AY65" si="109">SUM(D52/AU52)</f>
        <v>16886.55238095238</v>
      </c>
      <c r="AZ52" s="4">
        <f t="shared" si="90"/>
        <v>839047.1047619048</v>
      </c>
      <c r="BA52" s="4">
        <f t="shared" si="91"/>
        <v>47496.895238095196</v>
      </c>
      <c r="BB52" s="34">
        <f t="shared" ref="BB52:BB66" si="110">SUM(D52/AU52)</f>
        <v>16886.55238095238</v>
      </c>
      <c r="BC52" s="4">
        <f t="shared" si="94"/>
        <v>855933.65714285721</v>
      </c>
      <c r="BD52" s="4">
        <f t="shared" si="93"/>
        <v>30610.342857142794</v>
      </c>
      <c r="BG52" s="35">
        <v>17048.923076923078</v>
      </c>
      <c r="BH52" s="42">
        <f>BB52-BG52</f>
        <v>-162.37069597069785</v>
      </c>
    </row>
    <row r="53" spans="2:60" ht="15.5" x14ac:dyDescent="0.35">
      <c r="B53" s="1" t="s">
        <v>41</v>
      </c>
      <c r="C53" s="33" t="s">
        <v>42</v>
      </c>
      <c r="D53" s="31">
        <v>38100</v>
      </c>
      <c r="E53" s="32" t="s">
        <v>21</v>
      </c>
      <c r="F53" s="32">
        <v>10</v>
      </c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>
        <v>635</v>
      </c>
      <c r="W53" s="31">
        <f t="shared" si="75"/>
        <v>635</v>
      </c>
      <c r="X53" s="31">
        <v>3810</v>
      </c>
      <c r="Y53" s="31">
        <f t="shared" si="76"/>
        <v>4445</v>
      </c>
      <c r="Z53" s="31">
        <v>3810</v>
      </c>
      <c r="AA53" s="31">
        <f t="shared" si="77"/>
        <v>8255</v>
      </c>
      <c r="AB53" s="31">
        <f t="shared" si="102"/>
        <v>3810</v>
      </c>
      <c r="AC53" s="31">
        <f t="shared" si="33"/>
        <v>12065</v>
      </c>
      <c r="AD53" s="31">
        <f t="shared" si="103"/>
        <v>3810</v>
      </c>
      <c r="AE53" s="31">
        <f t="shared" si="35"/>
        <v>15875</v>
      </c>
      <c r="AF53" s="31">
        <f t="shared" si="104"/>
        <v>3810</v>
      </c>
      <c r="AG53" s="31">
        <f t="shared" si="78"/>
        <v>19685</v>
      </c>
      <c r="AH53" s="31">
        <f t="shared" si="105"/>
        <v>3810</v>
      </c>
      <c r="AI53" s="31">
        <f t="shared" si="79"/>
        <v>23495</v>
      </c>
      <c r="AJ53" s="31">
        <f t="shared" si="106"/>
        <v>3810</v>
      </c>
      <c r="AK53" s="31">
        <f t="shared" si="80"/>
        <v>27305</v>
      </c>
      <c r="AL53" s="31">
        <f>AJ53</f>
        <v>3810</v>
      </c>
      <c r="AM53" s="31">
        <f t="shared" si="81"/>
        <v>31115</v>
      </c>
      <c r="AN53" s="31">
        <f t="shared" si="107"/>
        <v>3810</v>
      </c>
      <c r="AO53" s="31">
        <f t="shared" si="83"/>
        <v>34925</v>
      </c>
      <c r="AP53" s="31">
        <f t="shared" si="84"/>
        <v>3175</v>
      </c>
      <c r="AQ53" s="31">
        <v>3175</v>
      </c>
      <c r="AR53" s="31">
        <f t="shared" si="86"/>
        <v>38100</v>
      </c>
      <c r="AS53" s="31">
        <f t="shared" si="87"/>
        <v>0</v>
      </c>
      <c r="AU53" s="41">
        <v>52.5</v>
      </c>
      <c r="AV53" s="31">
        <f t="shared" si="108"/>
        <v>725.71428571428567</v>
      </c>
      <c r="AW53" s="31">
        <f t="shared" si="88"/>
        <v>35650.714285714283</v>
      </c>
      <c r="AX53" s="4">
        <f t="shared" si="89"/>
        <v>2449.2857142857174</v>
      </c>
      <c r="AY53" s="4">
        <f t="shared" si="109"/>
        <v>725.71428571428567</v>
      </c>
      <c r="AZ53" s="4">
        <f t="shared" si="90"/>
        <v>36376.428571428565</v>
      </c>
      <c r="BA53" s="4">
        <f t="shared" si="91"/>
        <v>1723.5714285714348</v>
      </c>
      <c r="BB53" s="34">
        <f t="shared" si="110"/>
        <v>725.71428571428567</v>
      </c>
      <c r="BC53" s="4">
        <f t="shared" si="94"/>
        <v>37102.142857142848</v>
      </c>
      <c r="BD53" s="4">
        <f t="shared" si="93"/>
        <v>997.85714285715221</v>
      </c>
      <c r="BG53" s="35">
        <v>732.69230769230774</v>
      </c>
      <c r="BH53" s="42">
        <f t="shared" ref="BH53:BH67" si="111">BB53-BG53</f>
        <v>-6.9780219780220705</v>
      </c>
    </row>
    <row r="54" spans="2:60" ht="15.5" x14ac:dyDescent="0.35">
      <c r="B54" s="1" t="s">
        <v>55</v>
      </c>
      <c r="C54" s="33" t="s">
        <v>56</v>
      </c>
      <c r="D54" s="31">
        <v>2519</v>
      </c>
      <c r="E54" s="32" t="s">
        <v>21</v>
      </c>
      <c r="F54" s="32">
        <v>10</v>
      </c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>
        <v>126</v>
      </c>
      <c r="W54" s="31">
        <f t="shared" si="75"/>
        <v>126</v>
      </c>
      <c r="X54" s="31">
        <v>252</v>
      </c>
      <c r="Y54" s="31">
        <f t="shared" si="76"/>
        <v>378</v>
      </c>
      <c r="Z54" s="31">
        <v>252</v>
      </c>
      <c r="AA54" s="31">
        <f t="shared" si="77"/>
        <v>630</v>
      </c>
      <c r="AB54" s="31">
        <f t="shared" si="102"/>
        <v>252</v>
      </c>
      <c r="AC54" s="31">
        <f t="shared" si="33"/>
        <v>882</v>
      </c>
      <c r="AD54" s="31">
        <f t="shared" si="103"/>
        <v>252</v>
      </c>
      <c r="AE54" s="31">
        <f t="shared" si="35"/>
        <v>1134</v>
      </c>
      <c r="AF54" s="31">
        <f t="shared" si="104"/>
        <v>252</v>
      </c>
      <c r="AG54" s="31">
        <f t="shared" si="78"/>
        <v>1386</v>
      </c>
      <c r="AH54" s="31">
        <f t="shared" si="105"/>
        <v>252</v>
      </c>
      <c r="AI54" s="31">
        <f t="shared" si="79"/>
        <v>1638</v>
      </c>
      <c r="AJ54" s="31">
        <f t="shared" si="106"/>
        <v>252</v>
      </c>
      <c r="AK54" s="31">
        <f t="shared" si="80"/>
        <v>1890</v>
      </c>
      <c r="AL54" s="31">
        <f>AJ54</f>
        <v>252</v>
      </c>
      <c r="AM54" s="31">
        <f t="shared" si="81"/>
        <v>2142</v>
      </c>
      <c r="AN54" s="31">
        <f t="shared" si="107"/>
        <v>252</v>
      </c>
      <c r="AO54" s="31">
        <f t="shared" si="83"/>
        <v>2394</v>
      </c>
      <c r="AP54" s="31">
        <f t="shared" si="84"/>
        <v>125</v>
      </c>
      <c r="AQ54" s="31">
        <v>125</v>
      </c>
      <c r="AR54" s="31">
        <f t="shared" si="86"/>
        <v>2519</v>
      </c>
      <c r="AS54" s="31">
        <f t="shared" si="87"/>
        <v>0</v>
      </c>
      <c r="AU54" s="41">
        <v>52.5</v>
      </c>
      <c r="AV54" s="31">
        <f t="shared" si="108"/>
        <v>47.980952380952381</v>
      </c>
      <c r="AW54" s="31">
        <f t="shared" si="88"/>
        <v>2441.9809523809522</v>
      </c>
      <c r="AX54" s="4">
        <f t="shared" si="89"/>
        <v>77.019047619047797</v>
      </c>
      <c r="AY54" s="4">
        <f t="shared" si="109"/>
        <v>47.980952380952381</v>
      </c>
      <c r="AZ54" s="4">
        <f t="shared" si="90"/>
        <v>2489.9619047619044</v>
      </c>
      <c r="BA54" s="4">
        <f t="shared" si="91"/>
        <v>29.038095238095593</v>
      </c>
      <c r="BB54" s="34">
        <v>28</v>
      </c>
      <c r="BC54" s="4">
        <f t="shared" si="94"/>
        <v>2517.9619047619044</v>
      </c>
      <c r="BD54" s="4">
        <f t="shared" si="93"/>
        <v>1.0380952380955932</v>
      </c>
      <c r="BG54" s="35">
        <v>28</v>
      </c>
      <c r="BH54" s="42">
        <f t="shared" si="111"/>
        <v>0</v>
      </c>
    </row>
    <row r="55" spans="2:60" ht="15.5" x14ac:dyDescent="0.35">
      <c r="B55" s="1" t="s">
        <v>57</v>
      </c>
      <c r="C55" s="33" t="s">
        <v>58</v>
      </c>
      <c r="D55" s="31">
        <v>3400</v>
      </c>
      <c r="E55" s="32" t="s">
        <v>21</v>
      </c>
      <c r="F55" s="32">
        <v>10</v>
      </c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>
        <v>170</v>
      </c>
      <c r="Y55" s="31">
        <f t="shared" si="76"/>
        <v>170</v>
      </c>
      <c r="Z55" s="31">
        <f>3400/10</f>
        <v>340</v>
      </c>
      <c r="AA55" s="31">
        <f t="shared" si="77"/>
        <v>510</v>
      </c>
      <c r="AB55" s="31">
        <f t="shared" si="102"/>
        <v>340</v>
      </c>
      <c r="AC55" s="31">
        <f t="shared" si="33"/>
        <v>850</v>
      </c>
      <c r="AD55" s="31">
        <f t="shared" si="103"/>
        <v>340</v>
      </c>
      <c r="AE55" s="31">
        <f t="shared" si="35"/>
        <v>1190</v>
      </c>
      <c r="AF55" s="31">
        <f t="shared" si="104"/>
        <v>340</v>
      </c>
      <c r="AG55" s="31">
        <f t="shared" si="78"/>
        <v>1530</v>
      </c>
      <c r="AH55" s="31">
        <f t="shared" si="105"/>
        <v>340</v>
      </c>
      <c r="AI55" s="31">
        <f t="shared" si="79"/>
        <v>1870</v>
      </c>
      <c r="AJ55" s="31">
        <f t="shared" si="106"/>
        <v>340</v>
      </c>
      <c r="AK55" s="31">
        <f t="shared" si="80"/>
        <v>2210</v>
      </c>
      <c r="AL55" s="31">
        <f>AJ55</f>
        <v>340</v>
      </c>
      <c r="AM55" s="31">
        <f t="shared" si="81"/>
        <v>2550</v>
      </c>
      <c r="AN55" s="31">
        <f t="shared" si="107"/>
        <v>340</v>
      </c>
      <c r="AO55" s="31">
        <f t="shared" si="83"/>
        <v>2890</v>
      </c>
      <c r="AP55" s="31">
        <f t="shared" si="84"/>
        <v>510</v>
      </c>
      <c r="AQ55" s="31">
        <f t="shared" si="85"/>
        <v>340</v>
      </c>
      <c r="AR55" s="31">
        <f t="shared" si="86"/>
        <v>3230</v>
      </c>
      <c r="AS55" s="31">
        <f t="shared" si="87"/>
        <v>170</v>
      </c>
      <c r="AU55" s="41">
        <v>52.5</v>
      </c>
      <c r="AV55" s="31">
        <f t="shared" si="108"/>
        <v>64.761904761904759</v>
      </c>
      <c r="AW55" s="31">
        <f t="shared" si="88"/>
        <v>2954.7619047619046</v>
      </c>
      <c r="AX55" s="4">
        <f t="shared" si="89"/>
        <v>445.23809523809541</v>
      </c>
      <c r="AY55" s="4">
        <f t="shared" si="109"/>
        <v>64.761904761904759</v>
      </c>
      <c r="AZ55" s="4">
        <f t="shared" si="90"/>
        <v>3019.5238095238092</v>
      </c>
      <c r="BA55" s="4">
        <f t="shared" si="91"/>
        <v>380.47619047619082</v>
      </c>
      <c r="BB55" s="34">
        <f t="shared" si="110"/>
        <v>64.761904761904759</v>
      </c>
      <c r="BC55" s="4">
        <f t="shared" si="94"/>
        <v>3084.2857142857138</v>
      </c>
      <c r="BD55" s="4">
        <f t="shared" si="93"/>
        <v>315.71428571428623</v>
      </c>
      <c r="BG55" s="35">
        <v>65.384615384615387</v>
      </c>
      <c r="BH55" s="42">
        <f t="shared" si="111"/>
        <v>-0.6227106227106276</v>
      </c>
    </row>
    <row r="56" spans="2:60" ht="15.5" x14ac:dyDescent="0.35">
      <c r="B56" s="1" t="s">
        <v>59</v>
      </c>
      <c r="C56" s="33" t="s">
        <v>60</v>
      </c>
      <c r="D56" s="31">
        <v>7861</v>
      </c>
      <c r="E56" s="32" t="s">
        <v>21</v>
      </c>
      <c r="F56" s="32">
        <v>10</v>
      </c>
      <c r="G56" s="31"/>
      <c r="H56" s="31"/>
      <c r="I56" s="31"/>
      <c r="J56" s="31"/>
      <c r="K56" s="31"/>
      <c r="L56" s="31"/>
      <c r="M56" s="31"/>
      <c r="R56" s="31"/>
      <c r="W56" s="31"/>
      <c r="Y56" s="31"/>
      <c r="Z56" s="1">
        <v>393</v>
      </c>
      <c r="AA56" s="31">
        <v>393</v>
      </c>
      <c r="AB56" s="31">
        <f>7861/10</f>
        <v>786.1</v>
      </c>
      <c r="AC56" s="31">
        <f t="shared" si="33"/>
        <v>1179.0999999999999</v>
      </c>
      <c r="AD56" s="31">
        <f>7861/10</f>
        <v>786.1</v>
      </c>
      <c r="AE56" s="31">
        <f t="shared" si="35"/>
        <v>1965.1999999999998</v>
      </c>
      <c r="AF56" s="31">
        <f>7861/10</f>
        <v>786.1</v>
      </c>
      <c r="AG56" s="31">
        <f t="shared" si="78"/>
        <v>2751.2999999999997</v>
      </c>
      <c r="AH56" s="31">
        <f>7861/10</f>
        <v>786.1</v>
      </c>
      <c r="AI56" s="31">
        <f t="shared" si="79"/>
        <v>3537.3999999999996</v>
      </c>
      <c r="AJ56" s="31">
        <f>7861/10</f>
        <v>786.1</v>
      </c>
      <c r="AK56" s="31">
        <f t="shared" si="80"/>
        <v>4323.5</v>
      </c>
      <c r="AL56" s="31">
        <f>7861/10</f>
        <v>786.1</v>
      </c>
      <c r="AM56" s="31">
        <f t="shared" si="81"/>
        <v>5109.6000000000004</v>
      </c>
      <c r="AN56" s="31">
        <f t="shared" si="107"/>
        <v>786.1</v>
      </c>
      <c r="AO56" s="31">
        <f t="shared" si="83"/>
        <v>5895.7000000000007</v>
      </c>
      <c r="AP56" s="31">
        <f t="shared" si="84"/>
        <v>1965.2999999999993</v>
      </c>
      <c r="AQ56" s="31">
        <f t="shared" si="85"/>
        <v>786.1</v>
      </c>
      <c r="AR56" s="31">
        <f t="shared" si="86"/>
        <v>6681.8000000000011</v>
      </c>
      <c r="AS56" s="31">
        <f t="shared" si="87"/>
        <v>1179.1999999999989</v>
      </c>
      <c r="AU56" s="41">
        <v>52.5</v>
      </c>
      <c r="AV56" s="31">
        <f t="shared" si="108"/>
        <v>149.73333333333332</v>
      </c>
      <c r="AW56" s="31">
        <f t="shared" si="88"/>
        <v>6045.4333333333343</v>
      </c>
      <c r="AX56" s="4">
        <f t="shared" si="89"/>
        <v>1815.5666666666657</v>
      </c>
      <c r="AY56" s="4">
        <f t="shared" si="109"/>
        <v>149.73333333333332</v>
      </c>
      <c r="AZ56" s="4">
        <f t="shared" si="90"/>
        <v>6195.1666666666679</v>
      </c>
      <c r="BA56" s="4">
        <f t="shared" si="91"/>
        <v>1665.8333333333321</v>
      </c>
      <c r="BB56" s="34">
        <f t="shared" si="110"/>
        <v>149.73333333333332</v>
      </c>
      <c r="BC56" s="4">
        <f t="shared" si="94"/>
        <v>6344.9000000000015</v>
      </c>
      <c r="BD56" s="4">
        <f t="shared" si="93"/>
        <v>1516.0999999999985</v>
      </c>
      <c r="BG56" s="35">
        <v>151.17307692307693</v>
      </c>
      <c r="BH56" s="42">
        <f t="shared" si="111"/>
        <v>-1.4397435897436139</v>
      </c>
    </row>
    <row r="57" spans="2:60" ht="15.5" x14ac:dyDescent="0.35">
      <c r="B57" s="1" t="s">
        <v>61</v>
      </c>
      <c r="C57" s="33" t="s">
        <v>62</v>
      </c>
      <c r="D57" s="31">
        <v>5928</v>
      </c>
      <c r="E57" s="32" t="s">
        <v>21</v>
      </c>
      <c r="F57" s="32">
        <v>10</v>
      </c>
      <c r="G57" s="31"/>
      <c r="H57" s="31"/>
      <c r="I57" s="31"/>
      <c r="J57" s="31"/>
      <c r="K57" s="31"/>
      <c r="L57" s="31"/>
      <c r="M57" s="31"/>
      <c r="R57" s="31"/>
      <c r="W57" s="31"/>
      <c r="Y57" s="31"/>
      <c r="AA57" s="31"/>
      <c r="AB57" s="31">
        <f>5928/10/2</f>
        <v>296.39999999999998</v>
      </c>
      <c r="AC57" s="31">
        <f t="shared" si="33"/>
        <v>296.39999999999998</v>
      </c>
      <c r="AD57" s="31">
        <f>5928/10</f>
        <v>592.79999999999995</v>
      </c>
      <c r="AE57" s="31">
        <f t="shared" si="35"/>
        <v>889.19999999999993</v>
      </c>
      <c r="AF57" s="31">
        <f>5928/10</f>
        <v>592.79999999999995</v>
      </c>
      <c r="AG57" s="31">
        <f t="shared" si="78"/>
        <v>1482</v>
      </c>
      <c r="AH57" s="31">
        <f>5928/10</f>
        <v>592.79999999999995</v>
      </c>
      <c r="AI57" s="31">
        <f t="shared" si="79"/>
        <v>2074.8000000000002</v>
      </c>
      <c r="AJ57" s="31">
        <f>5928/10</f>
        <v>592.79999999999995</v>
      </c>
      <c r="AK57" s="31">
        <f t="shared" si="80"/>
        <v>2667.6000000000004</v>
      </c>
      <c r="AL57" s="31">
        <f>5928/10</f>
        <v>592.79999999999995</v>
      </c>
      <c r="AM57" s="31">
        <f t="shared" si="81"/>
        <v>3260.4000000000005</v>
      </c>
      <c r="AN57" s="31">
        <f t="shared" si="107"/>
        <v>592.79999999999995</v>
      </c>
      <c r="AO57" s="31">
        <f t="shared" si="83"/>
        <v>3853.2000000000007</v>
      </c>
      <c r="AP57" s="31">
        <f t="shared" si="84"/>
        <v>2074.7999999999993</v>
      </c>
      <c r="AQ57" s="31">
        <f t="shared" si="85"/>
        <v>592.79999999999995</v>
      </c>
      <c r="AR57" s="31">
        <f t="shared" si="86"/>
        <v>4446.0000000000009</v>
      </c>
      <c r="AS57" s="31">
        <f t="shared" si="87"/>
        <v>1481.9999999999991</v>
      </c>
      <c r="AU57" s="41">
        <v>52.5</v>
      </c>
      <c r="AV57" s="31">
        <f t="shared" si="108"/>
        <v>112.91428571428571</v>
      </c>
      <c r="AW57" s="31">
        <f t="shared" si="88"/>
        <v>3966.1142857142863</v>
      </c>
      <c r="AX57" s="4">
        <f t="shared" si="89"/>
        <v>1961.8857142857137</v>
      </c>
      <c r="AY57" s="4">
        <f t="shared" si="109"/>
        <v>112.91428571428571</v>
      </c>
      <c r="AZ57" s="4">
        <f t="shared" si="90"/>
        <v>4079.0285714285719</v>
      </c>
      <c r="BA57" s="4">
        <f t="shared" si="91"/>
        <v>1848.9714285714281</v>
      </c>
      <c r="BB57" s="34">
        <f t="shared" si="110"/>
        <v>112.91428571428571</v>
      </c>
      <c r="BC57" s="4">
        <f t="shared" si="94"/>
        <v>4191.942857142858</v>
      </c>
      <c r="BD57" s="4">
        <f t="shared" si="93"/>
        <v>1736.057142857142</v>
      </c>
      <c r="BG57" s="35">
        <v>114</v>
      </c>
      <c r="BH57" s="42">
        <f t="shared" si="111"/>
        <v>-1.085714285714289</v>
      </c>
    </row>
    <row r="58" spans="2:60" ht="15.5" x14ac:dyDescent="0.35">
      <c r="B58" s="1" t="s">
        <v>63</v>
      </c>
      <c r="C58" s="33" t="s">
        <v>64</v>
      </c>
      <c r="D58" s="31">
        <v>288</v>
      </c>
      <c r="E58" s="32" t="s">
        <v>21</v>
      </c>
      <c r="F58" s="32">
        <v>10</v>
      </c>
      <c r="G58" s="31"/>
      <c r="H58" s="31"/>
      <c r="I58" s="31"/>
      <c r="J58" s="31"/>
      <c r="K58" s="31"/>
      <c r="L58" s="31"/>
      <c r="M58" s="31"/>
      <c r="R58" s="31"/>
      <c r="W58" s="31"/>
      <c r="Y58" s="31"/>
      <c r="AA58" s="31"/>
      <c r="AB58" s="31">
        <f>Z58</f>
        <v>0</v>
      </c>
      <c r="AC58" s="31">
        <f t="shared" si="33"/>
        <v>0</v>
      </c>
      <c r="AD58" s="31">
        <f>288/10/2</f>
        <v>14.4</v>
      </c>
      <c r="AE58" s="31">
        <f t="shared" si="35"/>
        <v>14.4</v>
      </c>
      <c r="AF58" s="31">
        <f>288/10</f>
        <v>28.8</v>
      </c>
      <c r="AG58" s="31">
        <f t="shared" si="78"/>
        <v>43.2</v>
      </c>
      <c r="AH58" s="31">
        <f>288/10</f>
        <v>28.8</v>
      </c>
      <c r="AI58" s="31">
        <f t="shared" si="79"/>
        <v>72</v>
      </c>
      <c r="AJ58" s="31">
        <f>288/10</f>
        <v>28.8</v>
      </c>
      <c r="AK58" s="31">
        <f t="shared" si="80"/>
        <v>100.8</v>
      </c>
      <c r="AL58" s="31">
        <f>288/10</f>
        <v>28.8</v>
      </c>
      <c r="AM58" s="31">
        <f t="shared" si="81"/>
        <v>129.6</v>
      </c>
      <c r="AN58" s="31">
        <f t="shared" si="107"/>
        <v>28.8</v>
      </c>
      <c r="AO58" s="31">
        <f t="shared" si="83"/>
        <v>158.4</v>
      </c>
      <c r="AP58" s="31">
        <f t="shared" si="84"/>
        <v>129.6</v>
      </c>
      <c r="AQ58" s="31">
        <f t="shared" si="85"/>
        <v>28.8</v>
      </c>
      <c r="AR58" s="31">
        <f t="shared" si="86"/>
        <v>187.20000000000002</v>
      </c>
      <c r="AS58" s="31">
        <f t="shared" si="87"/>
        <v>100.79999999999998</v>
      </c>
      <c r="AU58" s="41">
        <v>52.5</v>
      </c>
      <c r="AV58" s="31">
        <f t="shared" si="108"/>
        <v>5.4857142857142858</v>
      </c>
      <c r="AW58" s="31">
        <f t="shared" si="88"/>
        <v>163.8857142857143</v>
      </c>
      <c r="AX58" s="4">
        <f t="shared" si="89"/>
        <v>124.1142857142857</v>
      </c>
      <c r="AY58" s="4">
        <f t="shared" si="109"/>
        <v>5.4857142857142858</v>
      </c>
      <c r="AZ58" s="4">
        <f t="shared" si="90"/>
        <v>169.37142857142859</v>
      </c>
      <c r="BA58" s="4">
        <f t="shared" si="91"/>
        <v>118.62857142857141</v>
      </c>
      <c r="BB58" s="34">
        <f t="shared" si="110"/>
        <v>5.4857142857142858</v>
      </c>
      <c r="BC58" s="4">
        <f t="shared" si="94"/>
        <v>174.85714285714289</v>
      </c>
      <c r="BD58" s="4">
        <f t="shared" si="93"/>
        <v>113.14285714285711</v>
      </c>
      <c r="BG58" s="35">
        <v>5.5384615384615383</v>
      </c>
      <c r="BH58" s="42">
        <f t="shared" si="111"/>
        <v>-5.274725274725256E-2</v>
      </c>
    </row>
    <row r="59" spans="2:60" ht="15.5" x14ac:dyDescent="0.35">
      <c r="B59" s="1" t="s">
        <v>65</v>
      </c>
      <c r="C59" s="33" t="s">
        <v>66</v>
      </c>
      <c r="D59" s="31">
        <v>1104</v>
      </c>
      <c r="E59" s="32" t="s">
        <v>21</v>
      </c>
      <c r="F59" s="32">
        <v>10</v>
      </c>
      <c r="G59" s="31"/>
      <c r="H59" s="31"/>
      <c r="I59" s="31"/>
      <c r="J59" s="31"/>
      <c r="K59" s="31"/>
      <c r="L59" s="31"/>
      <c r="M59" s="31"/>
      <c r="R59" s="31"/>
      <c r="W59" s="31"/>
      <c r="Y59" s="31"/>
      <c r="AA59" s="31"/>
      <c r="AB59" s="31"/>
      <c r="AC59" s="31"/>
      <c r="AD59" s="31"/>
      <c r="AE59" s="31"/>
      <c r="AF59" s="31">
        <f>1104/10/2</f>
        <v>55.2</v>
      </c>
      <c r="AG59" s="31">
        <v>55</v>
      </c>
      <c r="AH59" s="31">
        <f>1104/10</f>
        <v>110.4</v>
      </c>
      <c r="AI59" s="31">
        <f t="shared" si="79"/>
        <v>165.4</v>
      </c>
      <c r="AJ59" s="31">
        <f>1104/10</f>
        <v>110.4</v>
      </c>
      <c r="AK59" s="31">
        <f t="shared" si="80"/>
        <v>275.8</v>
      </c>
      <c r="AL59" s="31">
        <f>1104/10</f>
        <v>110.4</v>
      </c>
      <c r="AM59" s="31">
        <f t="shared" si="81"/>
        <v>386.20000000000005</v>
      </c>
      <c r="AN59" s="31">
        <f t="shared" si="107"/>
        <v>110.4</v>
      </c>
      <c r="AO59" s="31">
        <f t="shared" si="83"/>
        <v>496.6</v>
      </c>
      <c r="AP59" s="31">
        <f t="shared" si="84"/>
        <v>607.4</v>
      </c>
      <c r="AQ59" s="31">
        <f t="shared" si="85"/>
        <v>110.4</v>
      </c>
      <c r="AR59" s="31">
        <f t="shared" si="86"/>
        <v>607</v>
      </c>
      <c r="AS59" s="31">
        <f t="shared" si="87"/>
        <v>497</v>
      </c>
      <c r="AU59" s="41">
        <v>52.5</v>
      </c>
      <c r="AV59" s="31">
        <f t="shared" si="108"/>
        <v>21.028571428571428</v>
      </c>
      <c r="AW59" s="31">
        <f t="shared" si="88"/>
        <v>517.62857142857149</v>
      </c>
      <c r="AX59" s="4">
        <f t="shared" si="89"/>
        <v>586.37142857142851</v>
      </c>
      <c r="AY59" s="4">
        <f t="shared" si="109"/>
        <v>21.028571428571428</v>
      </c>
      <c r="AZ59" s="4">
        <f t="shared" si="90"/>
        <v>538.65714285714296</v>
      </c>
      <c r="BA59" s="4">
        <f t="shared" si="91"/>
        <v>565.34285714285704</v>
      </c>
      <c r="BB59" s="34">
        <f t="shared" si="110"/>
        <v>21.028571428571428</v>
      </c>
      <c r="BC59" s="4">
        <f t="shared" si="94"/>
        <v>559.68571428571443</v>
      </c>
      <c r="BD59" s="4">
        <f t="shared" si="93"/>
        <v>544.31428571428557</v>
      </c>
      <c r="BG59" s="35">
        <v>21.23076923076923</v>
      </c>
      <c r="BH59" s="42">
        <f t="shared" si="111"/>
        <v>-0.20219780219780148</v>
      </c>
    </row>
    <row r="60" spans="2:60" ht="15.5" x14ac:dyDescent="0.35">
      <c r="B60" s="1" t="s">
        <v>67</v>
      </c>
      <c r="C60" s="33" t="s">
        <v>68</v>
      </c>
      <c r="D60" s="31">
        <v>1752</v>
      </c>
      <c r="E60" s="32" t="s">
        <v>21</v>
      </c>
      <c r="F60" s="32">
        <v>10</v>
      </c>
      <c r="G60" s="31"/>
      <c r="H60" s="31"/>
      <c r="I60" s="31"/>
      <c r="J60" s="31"/>
      <c r="K60" s="31"/>
      <c r="L60" s="31"/>
      <c r="M60" s="31"/>
      <c r="R60" s="31"/>
      <c r="W60" s="31"/>
      <c r="Y60" s="31"/>
      <c r="AA60" s="31"/>
      <c r="AB60" s="31"/>
      <c r="AC60" s="31"/>
      <c r="AD60" s="31"/>
      <c r="AE60" s="31"/>
      <c r="AF60" s="31"/>
      <c r="AG60" s="31"/>
      <c r="AH60" s="31">
        <f>1752/10/2</f>
        <v>87.6</v>
      </c>
      <c r="AI60" s="31">
        <f t="shared" si="79"/>
        <v>87.6</v>
      </c>
      <c r="AJ60" s="31">
        <f>1752/10</f>
        <v>175.2</v>
      </c>
      <c r="AK60" s="31">
        <f t="shared" si="80"/>
        <v>262.79999999999995</v>
      </c>
      <c r="AL60" s="31">
        <f>1752/10</f>
        <v>175.2</v>
      </c>
      <c r="AM60" s="31">
        <f t="shared" si="81"/>
        <v>437.99999999999994</v>
      </c>
      <c r="AN60" s="31">
        <f t="shared" si="107"/>
        <v>175.2</v>
      </c>
      <c r="AO60" s="31">
        <f t="shared" si="83"/>
        <v>613.19999999999993</v>
      </c>
      <c r="AP60" s="31">
        <f t="shared" si="84"/>
        <v>1138.8000000000002</v>
      </c>
      <c r="AQ60" s="31">
        <f t="shared" si="85"/>
        <v>175.2</v>
      </c>
      <c r="AR60" s="31">
        <f t="shared" si="86"/>
        <v>788.39999999999986</v>
      </c>
      <c r="AS60" s="31">
        <f t="shared" si="87"/>
        <v>963.60000000000014</v>
      </c>
      <c r="AU60" s="41">
        <v>52.5</v>
      </c>
      <c r="AV60" s="31">
        <f t="shared" si="108"/>
        <v>33.371428571428574</v>
      </c>
      <c r="AW60" s="31">
        <f t="shared" si="88"/>
        <v>646.57142857142856</v>
      </c>
      <c r="AX60" s="4">
        <f t="shared" si="89"/>
        <v>1105.4285714285716</v>
      </c>
      <c r="AY60" s="4">
        <f t="shared" si="109"/>
        <v>33.371428571428574</v>
      </c>
      <c r="AZ60" s="4">
        <f t="shared" si="90"/>
        <v>679.94285714285718</v>
      </c>
      <c r="BA60" s="4">
        <f t="shared" si="91"/>
        <v>1072.0571428571429</v>
      </c>
      <c r="BB60" s="34">
        <f t="shared" si="110"/>
        <v>33.371428571428574</v>
      </c>
      <c r="BC60" s="4">
        <f t="shared" si="94"/>
        <v>713.3142857142858</v>
      </c>
      <c r="BD60" s="4">
        <f t="shared" si="93"/>
        <v>1038.6857142857143</v>
      </c>
      <c r="BG60" s="35">
        <v>33.692307692307693</v>
      </c>
      <c r="BH60" s="42">
        <f t="shared" si="111"/>
        <v>-0.32087912087911974</v>
      </c>
    </row>
    <row r="61" spans="2:60" ht="15.5" x14ac:dyDescent="0.35">
      <c r="B61" s="1" t="s">
        <v>69</v>
      </c>
      <c r="C61" s="33" t="s">
        <v>70</v>
      </c>
      <c r="D61" s="31">
        <v>480</v>
      </c>
      <c r="E61" s="32" t="s">
        <v>21</v>
      </c>
      <c r="F61" s="32">
        <v>10</v>
      </c>
      <c r="G61" s="31"/>
      <c r="H61" s="31"/>
      <c r="I61" s="31"/>
      <c r="J61" s="31"/>
      <c r="K61" s="31"/>
      <c r="L61" s="31"/>
      <c r="M61" s="31"/>
      <c r="R61" s="31"/>
      <c r="W61" s="31"/>
      <c r="Y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>
        <f>480/10/2</f>
        <v>24</v>
      </c>
      <c r="AK61" s="31">
        <f t="shared" si="80"/>
        <v>24</v>
      </c>
      <c r="AL61" s="31">
        <f>480/10</f>
        <v>48</v>
      </c>
      <c r="AM61" s="31">
        <f t="shared" si="81"/>
        <v>72</v>
      </c>
      <c r="AN61" s="31">
        <f t="shared" si="107"/>
        <v>48</v>
      </c>
      <c r="AO61" s="31">
        <f t="shared" si="83"/>
        <v>120</v>
      </c>
      <c r="AP61" s="31">
        <f t="shared" si="84"/>
        <v>360</v>
      </c>
      <c r="AQ61" s="31">
        <f t="shared" si="85"/>
        <v>48</v>
      </c>
      <c r="AR61" s="31">
        <f t="shared" si="86"/>
        <v>168</v>
      </c>
      <c r="AS61" s="31">
        <f t="shared" si="87"/>
        <v>312</v>
      </c>
      <c r="AU61" s="41">
        <v>52.5</v>
      </c>
      <c r="AV61" s="31">
        <f t="shared" si="108"/>
        <v>9.1428571428571423</v>
      </c>
      <c r="AW61" s="31">
        <f t="shared" si="88"/>
        <v>129.14285714285714</v>
      </c>
      <c r="AX61" s="4">
        <f t="shared" si="89"/>
        <v>350.85714285714289</v>
      </c>
      <c r="AY61" s="4">
        <f t="shared" si="109"/>
        <v>9.1428571428571423</v>
      </c>
      <c r="AZ61" s="4">
        <f t="shared" si="90"/>
        <v>138.28571428571428</v>
      </c>
      <c r="BA61" s="4">
        <f t="shared" si="91"/>
        <v>341.71428571428572</v>
      </c>
      <c r="BB61" s="34">
        <f t="shared" si="110"/>
        <v>9.1428571428571423</v>
      </c>
      <c r="BC61" s="4">
        <f t="shared" si="94"/>
        <v>147.42857142857142</v>
      </c>
      <c r="BD61" s="4">
        <f t="shared" si="93"/>
        <v>332.57142857142856</v>
      </c>
      <c r="BG61" s="35">
        <v>9.2307692307692299</v>
      </c>
      <c r="BH61" s="42">
        <f t="shared" si="111"/>
        <v>-8.79120879120876E-2</v>
      </c>
    </row>
    <row r="62" spans="2:60" ht="15.5" x14ac:dyDescent="0.35">
      <c r="B62" s="1" t="s">
        <v>71</v>
      </c>
      <c r="C62" s="33" t="s">
        <v>72</v>
      </c>
      <c r="D62" s="31">
        <v>2205</v>
      </c>
      <c r="E62" s="32" t="s">
        <v>21</v>
      </c>
      <c r="F62" s="32">
        <v>10</v>
      </c>
      <c r="G62" s="31"/>
      <c r="H62" s="31"/>
      <c r="I62" s="31"/>
      <c r="J62" s="31"/>
      <c r="K62" s="31"/>
      <c r="L62" s="31"/>
      <c r="M62" s="31"/>
      <c r="R62" s="31"/>
      <c r="W62" s="31"/>
      <c r="Y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>
        <f>2205/10/2</f>
        <v>110.25</v>
      </c>
      <c r="AM62" s="31">
        <f t="shared" si="81"/>
        <v>110.25</v>
      </c>
      <c r="AN62" s="31">
        <f>D62/10</f>
        <v>220.5</v>
      </c>
      <c r="AO62" s="31">
        <f t="shared" si="83"/>
        <v>330.75</v>
      </c>
      <c r="AP62" s="31">
        <f t="shared" si="84"/>
        <v>1874.25</v>
      </c>
      <c r="AQ62" s="31">
        <f t="shared" si="85"/>
        <v>220.5</v>
      </c>
      <c r="AR62" s="31">
        <f t="shared" si="86"/>
        <v>551.25</v>
      </c>
      <c r="AS62" s="31">
        <f t="shared" si="87"/>
        <v>1653.75</v>
      </c>
      <c r="AU62" s="41">
        <v>52.5</v>
      </c>
      <c r="AV62" s="31">
        <f t="shared" si="108"/>
        <v>42</v>
      </c>
      <c r="AW62" s="31">
        <f t="shared" si="88"/>
        <v>372.75</v>
      </c>
      <c r="AX62" s="4">
        <f t="shared" si="89"/>
        <v>1832.25</v>
      </c>
      <c r="AY62" s="4">
        <f t="shared" si="109"/>
        <v>42</v>
      </c>
      <c r="AZ62" s="4">
        <f t="shared" si="90"/>
        <v>414.75</v>
      </c>
      <c r="BA62" s="4">
        <f t="shared" si="91"/>
        <v>1790.25</v>
      </c>
      <c r="BB62" s="34">
        <f t="shared" si="110"/>
        <v>42</v>
      </c>
      <c r="BC62" s="4">
        <f t="shared" si="94"/>
        <v>456.75</v>
      </c>
      <c r="BD62" s="4">
        <f t="shared" si="93"/>
        <v>1748.25</v>
      </c>
      <c r="BG62" s="35">
        <v>42.403846153846153</v>
      </c>
      <c r="BH62" s="42">
        <f t="shared" si="111"/>
        <v>-0.4038461538461533</v>
      </c>
    </row>
    <row r="63" spans="2:60" ht="15.5" x14ac:dyDescent="0.35">
      <c r="B63" s="1" t="s">
        <v>73</v>
      </c>
      <c r="C63" s="33" t="s">
        <v>74</v>
      </c>
      <c r="D63" s="31">
        <v>20780</v>
      </c>
      <c r="E63" s="32" t="s">
        <v>21</v>
      </c>
      <c r="F63" s="32">
        <v>10</v>
      </c>
      <c r="G63" s="31"/>
      <c r="H63" s="31"/>
      <c r="I63" s="31"/>
      <c r="J63" s="31"/>
      <c r="K63" s="31"/>
      <c r="L63" s="31"/>
      <c r="M63" s="31"/>
      <c r="R63" s="31"/>
      <c r="W63" s="31"/>
      <c r="Y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>
        <f>20780/10/10*1</f>
        <v>207.8</v>
      </c>
      <c r="AO63" s="31">
        <f t="shared" si="83"/>
        <v>207.8</v>
      </c>
      <c r="AP63" s="31">
        <f t="shared" si="84"/>
        <v>20572.2</v>
      </c>
      <c r="AQ63" s="31">
        <v>2078</v>
      </c>
      <c r="AR63" s="31">
        <f t="shared" si="86"/>
        <v>2285.8000000000002</v>
      </c>
      <c r="AS63" s="31">
        <f t="shared" si="87"/>
        <v>18494.2</v>
      </c>
      <c r="AU63" s="41">
        <v>52.5</v>
      </c>
      <c r="AV63" s="31">
        <f t="shared" si="108"/>
        <v>395.8095238095238</v>
      </c>
      <c r="AW63" s="31">
        <f t="shared" si="88"/>
        <v>603.60952380952381</v>
      </c>
      <c r="AX63" s="4">
        <f t="shared" si="89"/>
        <v>20176.390476190478</v>
      </c>
      <c r="AY63" s="4">
        <f t="shared" si="109"/>
        <v>395.8095238095238</v>
      </c>
      <c r="AZ63" s="4">
        <f t="shared" si="90"/>
        <v>999.41904761904766</v>
      </c>
      <c r="BA63" s="4">
        <f t="shared" si="91"/>
        <v>19780.580952380951</v>
      </c>
      <c r="BB63" s="34">
        <f t="shared" si="110"/>
        <v>395.8095238095238</v>
      </c>
      <c r="BC63" s="4">
        <f t="shared" si="94"/>
        <v>1395.2285714285715</v>
      </c>
      <c r="BD63" s="4">
        <f t="shared" si="93"/>
        <v>19384.771428571428</v>
      </c>
      <c r="BG63" s="35">
        <v>399.61538461538464</v>
      </c>
      <c r="BH63" s="42">
        <f t="shared" si="111"/>
        <v>-3.8058608058608456</v>
      </c>
    </row>
    <row r="64" spans="2:60" ht="15.5" x14ac:dyDescent="0.35">
      <c r="B64" s="1" t="s">
        <v>75</v>
      </c>
      <c r="C64" s="33" t="s">
        <v>76</v>
      </c>
      <c r="D64" s="31">
        <v>709</v>
      </c>
      <c r="E64" s="32" t="s">
        <v>21</v>
      </c>
      <c r="F64" s="32">
        <v>10</v>
      </c>
      <c r="G64" s="31"/>
      <c r="H64" s="31"/>
      <c r="I64" s="31"/>
      <c r="J64" s="31"/>
      <c r="K64" s="31"/>
      <c r="L64" s="31"/>
      <c r="M64" s="31"/>
      <c r="R64" s="31"/>
      <c r="W64" s="31"/>
      <c r="Y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>
        <v>0</v>
      </c>
      <c r="AO64" s="31">
        <f t="shared" si="83"/>
        <v>0</v>
      </c>
      <c r="AP64" s="31">
        <f t="shared" si="84"/>
        <v>709</v>
      </c>
      <c r="AQ64" s="31">
        <v>71</v>
      </c>
      <c r="AR64" s="31">
        <f t="shared" si="86"/>
        <v>71</v>
      </c>
      <c r="AS64" s="31">
        <f t="shared" si="87"/>
        <v>638</v>
      </c>
      <c r="AU64" s="41">
        <v>52.5</v>
      </c>
      <c r="AV64" s="31">
        <f t="shared" si="108"/>
        <v>13.504761904761905</v>
      </c>
      <c r="AW64" s="31">
        <f t="shared" si="88"/>
        <v>13.504761904761905</v>
      </c>
      <c r="AX64" s="4">
        <f t="shared" si="89"/>
        <v>695.49523809523805</v>
      </c>
      <c r="AY64" s="4">
        <f t="shared" si="109"/>
        <v>13.504761904761905</v>
      </c>
      <c r="AZ64" s="4">
        <f t="shared" si="90"/>
        <v>27.009523809523809</v>
      </c>
      <c r="BA64" s="4">
        <f t="shared" si="91"/>
        <v>681.99047619047622</v>
      </c>
      <c r="BB64" s="34">
        <f t="shared" si="110"/>
        <v>13.504761904761905</v>
      </c>
      <c r="BC64" s="4">
        <f t="shared" si="94"/>
        <v>40.514285714285712</v>
      </c>
      <c r="BD64" s="4">
        <f t="shared" si="93"/>
        <v>668.48571428571427</v>
      </c>
      <c r="BG64" s="35">
        <v>13.634615384615385</v>
      </c>
      <c r="BH64" s="42">
        <f t="shared" si="111"/>
        <v>-0.12985347985348028</v>
      </c>
    </row>
    <row r="65" spans="1:60" ht="15.5" x14ac:dyDescent="0.35">
      <c r="B65" s="1" t="s">
        <v>77</v>
      </c>
      <c r="C65" s="33">
        <v>44377</v>
      </c>
      <c r="D65" s="31">
        <v>28350</v>
      </c>
      <c r="E65" s="32" t="s">
        <v>21</v>
      </c>
      <c r="F65" s="32">
        <v>10</v>
      </c>
      <c r="G65" s="31"/>
      <c r="H65" s="31"/>
      <c r="I65" s="31"/>
      <c r="J65" s="31"/>
      <c r="K65" s="31"/>
      <c r="L65" s="31"/>
      <c r="M65" s="31"/>
      <c r="R65" s="31"/>
      <c r="W65" s="31"/>
      <c r="Y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>
        <f>SUM(D65/F65/2)</f>
        <v>1417.5</v>
      </c>
      <c r="AR65" s="31"/>
      <c r="AS65" s="31"/>
      <c r="AU65" s="41">
        <v>52.5</v>
      </c>
      <c r="AV65" s="31">
        <v>134</v>
      </c>
      <c r="AW65" s="31">
        <f t="shared" si="88"/>
        <v>134</v>
      </c>
      <c r="AX65" s="4">
        <f t="shared" si="89"/>
        <v>28216</v>
      </c>
      <c r="AY65" s="4">
        <f t="shared" si="109"/>
        <v>540</v>
      </c>
      <c r="AZ65" s="4">
        <f t="shared" si="90"/>
        <v>674</v>
      </c>
      <c r="BA65" s="4">
        <f t="shared" si="91"/>
        <v>27676</v>
      </c>
      <c r="BB65" s="34">
        <f t="shared" si="110"/>
        <v>540</v>
      </c>
      <c r="BC65" s="4">
        <f t="shared" si="94"/>
        <v>1214</v>
      </c>
      <c r="BD65" s="4">
        <f t="shared" si="93"/>
        <v>27136</v>
      </c>
      <c r="BG65" s="35">
        <v>545.19230769230774</v>
      </c>
      <c r="BH65" s="42">
        <f t="shared" si="111"/>
        <v>-5.192307692307736</v>
      </c>
    </row>
    <row r="66" spans="1:60" ht="15.5" x14ac:dyDescent="0.35">
      <c r="B66" s="1" t="s">
        <v>78</v>
      </c>
      <c r="C66" s="33">
        <v>44742</v>
      </c>
      <c r="D66" s="31">
        <v>36000</v>
      </c>
      <c r="E66" s="32" t="s">
        <v>21</v>
      </c>
      <c r="F66" s="32">
        <v>10</v>
      </c>
      <c r="G66" s="31"/>
      <c r="H66" s="31"/>
      <c r="I66" s="31"/>
      <c r="J66" s="31"/>
      <c r="K66" s="31"/>
      <c r="L66" s="31"/>
      <c r="M66" s="31"/>
      <c r="R66" s="31"/>
      <c r="W66" s="31"/>
      <c r="Y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U66" s="41">
        <v>52.5</v>
      </c>
      <c r="AV66" s="31"/>
      <c r="AW66" s="31"/>
      <c r="AX66" s="4"/>
      <c r="AY66" s="4">
        <f>SUM(D66/AU66/2)</f>
        <v>342.85714285714283</v>
      </c>
      <c r="AZ66" s="4">
        <f t="shared" si="90"/>
        <v>342.85714285714283</v>
      </c>
      <c r="BA66" s="4">
        <f t="shared" si="91"/>
        <v>35657.142857142855</v>
      </c>
      <c r="BB66" s="34">
        <f t="shared" si="110"/>
        <v>685.71428571428567</v>
      </c>
      <c r="BC66" s="4">
        <f t="shared" si="94"/>
        <v>1028.5714285714284</v>
      </c>
      <c r="BD66" s="4">
        <f t="shared" si="93"/>
        <v>34971.428571428572</v>
      </c>
      <c r="BG66" s="35">
        <v>692.30769230769226</v>
      </c>
      <c r="BH66" s="42">
        <f t="shared" si="111"/>
        <v>-6.5934065934065984</v>
      </c>
    </row>
    <row r="67" spans="1:60" ht="15.5" x14ac:dyDescent="0.35">
      <c r="B67" s="1" t="s">
        <v>79</v>
      </c>
      <c r="C67" s="33">
        <v>45107</v>
      </c>
      <c r="D67" s="31">
        <v>28700</v>
      </c>
      <c r="E67" s="32" t="s">
        <v>21</v>
      </c>
      <c r="F67" s="32">
        <v>10</v>
      </c>
      <c r="G67" s="31"/>
      <c r="H67" s="31"/>
      <c r="I67" s="31"/>
      <c r="J67" s="31"/>
      <c r="K67" s="31"/>
      <c r="L67" s="31"/>
      <c r="M67" s="31"/>
      <c r="R67" s="31"/>
      <c r="W67" s="31"/>
      <c r="Y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U67" s="41">
        <v>52.5</v>
      </c>
      <c r="AV67" s="31"/>
      <c r="AW67" s="31"/>
      <c r="AX67" s="4"/>
      <c r="AY67" s="4"/>
      <c r="AZ67" s="4"/>
      <c r="BA67" s="4"/>
      <c r="BB67" s="34">
        <f>SUM(D67/AU67/2)</f>
        <v>273.33333333333331</v>
      </c>
      <c r="BC67" s="4">
        <f t="shared" ref="BC67" si="112">SUM(AZ67+BB67)</f>
        <v>273.33333333333331</v>
      </c>
      <c r="BD67" s="4">
        <f t="shared" si="93"/>
        <v>28426.666666666668</v>
      </c>
      <c r="BE67" s="4">
        <v>28700</v>
      </c>
      <c r="BG67" s="35">
        <v>275.96153846153845</v>
      </c>
      <c r="BH67" s="42">
        <f t="shared" si="111"/>
        <v>-2.6282051282051384</v>
      </c>
    </row>
    <row r="68" spans="1:60" ht="15.5" x14ac:dyDescent="0.35">
      <c r="C68" s="33"/>
      <c r="D68" s="31"/>
      <c r="E68" s="32"/>
      <c r="F68" s="32"/>
      <c r="G68" s="31"/>
      <c r="H68" s="31"/>
      <c r="I68" s="31"/>
      <c r="J68" s="31"/>
      <c r="K68" s="31"/>
      <c r="L68" s="31"/>
      <c r="M68" s="31"/>
      <c r="R68" s="31"/>
      <c r="W68" s="31"/>
      <c r="Y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U68" s="1"/>
      <c r="BB68" s="27"/>
      <c r="BG68" s="28"/>
    </row>
    <row r="69" spans="1:60" ht="15.5" x14ac:dyDescent="0.35">
      <c r="D69" s="36">
        <f>SUM(D38:D68)</f>
        <v>1583940</v>
      </c>
      <c r="E69" s="37"/>
      <c r="F69" s="37"/>
      <c r="G69" s="36">
        <f t="shared" ref="G69:O69" si="113">SUM(G38:G48)</f>
        <v>23543</v>
      </c>
      <c r="H69" s="36">
        <f t="shared" si="113"/>
        <v>20610.149999999998</v>
      </c>
      <c r="I69" s="36">
        <f t="shared" si="113"/>
        <v>44153.149999999994</v>
      </c>
      <c r="J69" s="36">
        <f t="shared" si="113"/>
        <v>22013.1</v>
      </c>
      <c r="K69" s="36">
        <f t="shared" si="113"/>
        <v>66166.25</v>
      </c>
      <c r="L69" s="36">
        <f t="shared" si="113"/>
        <v>34786.649999999994</v>
      </c>
      <c r="M69" s="36">
        <f t="shared" si="113"/>
        <v>100952.9</v>
      </c>
      <c r="N69" s="36">
        <f t="shared" si="113"/>
        <v>48747.399999999994</v>
      </c>
      <c r="O69" s="36">
        <f t="shared" si="113"/>
        <v>149700.29999999999</v>
      </c>
      <c r="P69" s="36">
        <f>SUM(P38:P50)</f>
        <v>48968.200000000004</v>
      </c>
      <c r="Q69" s="36">
        <f>SUM(Q38:Q50)</f>
        <v>202054.85</v>
      </c>
      <c r="R69" s="36">
        <f>SUM(R38:R50)</f>
        <v>49615.500000000007</v>
      </c>
      <c r="S69" s="36">
        <f>SUM(S38:S50)</f>
        <v>251669.74999999997</v>
      </c>
      <c r="T69" s="40">
        <f>SUM(T38:T50)</f>
        <v>48510.8</v>
      </c>
      <c r="U69" s="36">
        <f t="shared" ref="U69:AA69" si="114">SUM(U38:U56)</f>
        <v>300999.55</v>
      </c>
      <c r="V69" s="36">
        <f t="shared" si="114"/>
        <v>55911.3</v>
      </c>
      <c r="W69" s="36">
        <f t="shared" si="114"/>
        <v>356910.85000000003</v>
      </c>
      <c r="X69" s="36">
        <f t="shared" si="114"/>
        <v>142033.79999999999</v>
      </c>
      <c r="Y69" s="36">
        <f t="shared" si="114"/>
        <v>498944.64999999997</v>
      </c>
      <c r="Z69" s="36">
        <f t="shared" si="114"/>
        <v>128144.8</v>
      </c>
      <c r="AA69" s="36">
        <f t="shared" si="114"/>
        <v>627089.44999999995</v>
      </c>
      <c r="AB69" s="31">
        <f>SUM(AB38:AB58)</f>
        <v>125449.4</v>
      </c>
      <c r="AC69" s="31">
        <f t="shared" ref="AC69:AC74" si="115">AA69+AB69</f>
        <v>752538.85</v>
      </c>
      <c r="AD69" s="31">
        <f>SUM(AD38:AD58)</f>
        <v>124358.2</v>
      </c>
      <c r="AE69" s="31">
        <f>SUM(AE38:AE58)</f>
        <v>876897.04999999993</v>
      </c>
      <c r="AF69" s="36">
        <f>SUM(AF38:AF59)</f>
        <v>111654.70000000001</v>
      </c>
      <c r="AG69" s="36">
        <f>SUM(AG38:AG61)</f>
        <v>988551.55</v>
      </c>
      <c r="AH69" s="36">
        <f>SUM(AH38:AH61)</f>
        <v>97837.1</v>
      </c>
      <c r="AI69" s="36">
        <f>SUM(AI38:AI61)</f>
        <v>1086388.6499999999</v>
      </c>
      <c r="AJ69" s="36">
        <f>SUM(AJ38:AJ61)</f>
        <v>97229.3</v>
      </c>
      <c r="AK69" s="36">
        <f>SUM(AK38:AK61)</f>
        <v>1183617.9500000002</v>
      </c>
      <c r="AL69" s="36">
        <f>SUM(AL38:AL62)</f>
        <v>96716.75</v>
      </c>
      <c r="AM69" s="36">
        <f>SUM(AM38:AM62)</f>
        <v>1280334.7</v>
      </c>
      <c r="AN69" s="36">
        <f>SUM(AN38:AN68)</f>
        <v>96043.6</v>
      </c>
      <c r="AO69" s="36">
        <v>1376379</v>
      </c>
      <c r="AP69" s="36">
        <f>SUM(AP38:AP68)</f>
        <v>114511.7</v>
      </c>
      <c r="AQ69" s="36">
        <f>SUM(AQ38:AQ68)</f>
        <v>90438.3</v>
      </c>
      <c r="AR69" s="36">
        <f>SUM(AR38:AR68)</f>
        <v>1465399.0999999999</v>
      </c>
      <c r="AS69" s="36">
        <f>SUM(AS38:AS68)</f>
        <v>25490.899999999987</v>
      </c>
      <c r="AU69" s="1"/>
      <c r="AV69" s="36">
        <f>SUM(AV38:AV68)</f>
        <v>18642</v>
      </c>
      <c r="AW69" s="36">
        <f t="shared" ref="AW69:BD69" si="116">SUM(AW38:AW68)</f>
        <v>1395020.3</v>
      </c>
      <c r="AX69" s="36">
        <f t="shared" si="116"/>
        <v>124219.19999999995</v>
      </c>
      <c r="AY69" s="36">
        <f t="shared" si="116"/>
        <v>19390.857142857141</v>
      </c>
      <c r="AZ69" s="36">
        <f t="shared" si="116"/>
        <v>1414411.1571428566</v>
      </c>
      <c r="BA69" s="36">
        <f t="shared" si="116"/>
        <v>140828.34285714279</v>
      </c>
      <c r="BB69" s="38">
        <f t="shared" si="116"/>
        <v>19987.066666666666</v>
      </c>
      <c r="BC69" s="36">
        <f t="shared" si="116"/>
        <v>1434398.2238095237</v>
      </c>
      <c r="BD69" s="36">
        <f t="shared" si="116"/>
        <v>149541.77619047611</v>
      </c>
      <c r="BG69" s="39">
        <v>20178.980769230777</v>
      </c>
    </row>
    <row r="70" spans="1:60" ht="15.5" x14ac:dyDescent="0.35">
      <c r="D70" s="31"/>
      <c r="E70" s="32"/>
      <c r="F70" s="32"/>
      <c r="G70" s="31"/>
      <c r="H70" s="31"/>
      <c r="I70" s="31"/>
      <c r="J70" s="31"/>
      <c r="K70" s="31"/>
      <c r="L70" s="31"/>
      <c r="M70" s="31"/>
      <c r="R70" s="31"/>
      <c r="AB70" s="31">
        <f>Z70</f>
        <v>0</v>
      </c>
      <c r="AC70" s="31">
        <f t="shared" si="115"/>
        <v>0</v>
      </c>
      <c r="AD70" s="31">
        <f>AB70</f>
        <v>0</v>
      </c>
      <c r="AE70" s="31">
        <f>AC70+AD70</f>
        <v>0</v>
      </c>
      <c r="AF70" s="31"/>
      <c r="AH70" s="31"/>
      <c r="AJ70" s="31"/>
      <c r="AL70" s="31"/>
      <c r="AU70" s="1"/>
      <c r="BB70" s="27"/>
      <c r="BG70" s="28"/>
    </row>
    <row r="71" spans="1:60" ht="15.5" x14ac:dyDescent="0.35">
      <c r="A71" s="1">
        <v>355</v>
      </c>
      <c r="B71" s="1" t="s">
        <v>80</v>
      </c>
      <c r="D71" s="31"/>
      <c r="E71" s="32"/>
      <c r="F71" s="32"/>
      <c r="G71" s="31"/>
      <c r="H71" s="31"/>
      <c r="I71" s="31"/>
      <c r="J71" s="31"/>
      <c r="K71" s="31"/>
      <c r="L71" s="31"/>
      <c r="M71" s="31"/>
      <c r="R71" s="31"/>
      <c r="AB71" s="31">
        <f>Z71</f>
        <v>0</v>
      </c>
      <c r="AC71" s="31">
        <f t="shared" si="115"/>
        <v>0</v>
      </c>
      <c r="AD71" s="31">
        <f>AB71</f>
        <v>0</v>
      </c>
      <c r="AE71" s="31">
        <f>AC71+AD71</f>
        <v>0</v>
      </c>
      <c r="AF71" s="31"/>
      <c r="AH71" s="31"/>
      <c r="AJ71" s="31"/>
      <c r="AL71" s="31"/>
      <c r="AU71" s="1"/>
      <c r="BB71" s="27"/>
      <c r="BG71" s="28"/>
    </row>
    <row r="72" spans="1:60" ht="15.5" x14ac:dyDescent="0.35">
      <c r="B72" s="1" t="s">
        <v>81</v>
      </c>
      <c r="C72" s="33">
        <v>38168</v>
      </c>
      <c r="D72" s="31">
        <v>8000</v>
      </c>
      <c r="E72" s="32" t="s">
        <v>21</v>
      </c>
      <c r="F72" s="37">
        <v>10</v>
      </c>
      <c r="G72" s="36"/>
      <c r="H72" s="36">
        <f>SUM(D72/F72/2)</f>
        <v>400</v>
      </c>
      <c r="I72" s="36">
        <f>SUM(G72:H72)</f>
        <v>400</v>
      </c>
      <c r="J72" s="36">
        <f>SUM(D72/F72)</f>
        <v>800</v>
      </c>
      <c r="K72" s="36">
        <f>SUM(I72:J72)</f>
        <v>1200</v>
      </c>
      <c r="L72" s="36">
        <f>SUM(D72/F72)</f>
        <v>800</v>
      </c>
      <c r="M72" s="36">
        <f>SUM(K72:L72)</f>
        <v>2000</v>
      </c>
      <c r="N72" s="36">
        <f>SUM(D72/F72)</f>
        <v>800</v>
      </c>
      <c r="O72" s="36">
        <f>SUM(M72+N72)</f>
        <v>2800</v>
      </c>
      <c r="P72" s="36">
        <f>SUM(D72/F72)</f>
        <v>800</v>
      </c>
      <c r="Q72" s="36">
        <f>SUM(O72+P72)</f>
        <v>3600</v>
      </c>
      <c r="R72" s="36">
        <f>SUM(D72/F72)</f>
        <v>800</v>
      </c>
      <c r="S72" s="36">
        <f>SUM(Q72+R72)</f>
        <v>4400</v>
      </c>
      <c r="T72" s="36">
        <f>R72</f>
        <v>800</v>
      </c>
      <c r="U72" s="36">
        <f>S72+T72</f>
        <v>5200</v>
      </c>
      <c r="V72" s="36">
        <f>T72</f>
        <v>800</v>
      </c>
      <c r="W72" s="36">
        <f>U72+V72</f>
        <v>6000</v>
      </c>
      <c r="X72" s="36">
        <f>V72</f>
        <v>800</v>
      </c>
      <c r="Y72" s="36">
        <f>W72+X72</f>
        <v>6800</v>
      </c>
      <c r="Z72" s="36">
        <f>X72</f>
        <v>800</v>
      </c>
      <c r="AA72" s="36">
        <f>Y72+Z72</f>
        <v>7600</v>
      </c>
      <c r="AB72" s="31">
        <v>400</v>
      </c>
      <c r="AC72" s="31">
        <f t="shared" si="115"/>
        <v>8000</v>
      </c>
      <c r="AD72" s="31">
        <v>0</v>
      </c>
      <c r="AE72" s="31">
        <f>AC72+AD72</f>
        <v>8000</v>
      </c>
      <c r="AF72" s="31">
        <v>0</v>
      </c>
      <c r="AG72" s="31">
        <f>AE72+AF72</f>
        <v>8000</v>
      </c>
      <c r="AH72" s="31">
        <v>0</v>
      </c>
      <c r="AI72" s="31">
        <f>AG72+AH72</f>
        <v>8000</v>
      </c>
      <c r="AJ72" s="31">
        <v>0</v>
      </c>
      <c r="AK72" s="31">
        <f>AI72+AJ72</f>
        <v>8000</v>
      </c>
      <c r="AL72" s="31">
        <v>0</v>
      </c>
      <c r="AM72" s="31">
        <f>AK72+AL72</f>
        <v>8000</v>
      </c>
      <c r="AN72" s="31">
        <v>0</v>
      </c>
      <c r="AO72" s="31">
        <v>8000</v>
      </c>
      <c r="AP72" s="31">
        <f>D72-AO72</f>
        <v>0</v>
      </c>
      <c r="AQ72" s="31">
        <v>0</v>
      </c>
      <c r="AR72" s="31">
        <v>8000</v>
      </c>
      <c r="AS72" s="31">
        <v>0</v>
      </c>
      <c r="AU72" s="43">
        <v>7</v>
      </c>
      <c r="AV72" s="31">
        <v>0</v>
      </c>
      <c r="AW72" s="31">
        <f t="shared" ref="AW72" si="117">SUM(AO72+AV72)</f>
        <v>8000</v>
      </c>
      <c r="AX72" s="4">
        <f t="shared" ref="AX72" si="118">SUM(D72-AW72)</f>
        <v>0</v>
      </c>
      <c r="AY72" s="4">
        <v>0</v>
      </c>
      <c r="AZ72" s="4">
        <f t="shared" ref="AZ72" si="119">SUM(AW72+AY72)</f>
        <v>8000</v>
      </c>
      <c r="BA72" s="4">
        <f t="shared" ref="BA72" si="120">SUM(D72-AZ72)</f>
        <v>0</v>
      </c>
      <c r="BB72" s="34"/>
      <c r="BC72" s="4">
        <f t="shared" ref="BC72" si="121">SUM(AZ72+BB72)</f>
        <v>8000</v>
      </c>
      <c r="BD72" s="4">
        <f t="shared" ref="BD72" si="122">SUM(D72-BC72)</f>
        <v>0</v>
      </c>
      <c r="BG72" s="35"/>
    </row>
    <row r="73" spans="1:60" ht="15.5" x14ac:dyDescent="0.35">
      <c r="D73" s="31"/>
      <c r="E73" s="32"/>
      <c r="F73" s="32"/>
      <c r="G73" s="31"/>
      <c r="H73" s="31"/>
      <c r="I73" s="31"/>
      <c r="J73" s="31"/>
      <c r="K73" s="31"/>
      <c r="L73" s="31"/>
      <c r="M73" s="31"/>
      <c r="R73" s="31"/>
      <c r="T73" s="31"/>
      <c r="U73" s="31"/>
      <c r="AB73" s="31">
        <f>Z73</f>
        <v>0</v>
      </c>
      <c r="AC73" s="31">
        <f t="shared" si="115"/>
        <v>0</v>
      </c>
      <c r="AD73" s="31">
        <f>AB73</f>
        <v>0</v>
      </c>
      <c r="AE73" s="31">
        <f>AC73+AD73</f>
        <v>0</v>
      </c>
      <c r="AF73" s="31"/>
      <c r="AH73" s="31"/>
      <c r="AJ73" s="31"/>
      <c r="AL73" s="31"/>
      <c r="AU73" s="31"/>
      <c r="BB73" s="27"/>
      <c r="BG73" s="28"/>
    </row>
    <row r="74" spans="1:60" ht="15.5" x14ac:dyDescent="0.35">
      <c r="A74" s="1">
        <v>363.1</v>
      </c>
      <c r="B74" s="1" t="s">
        <v>82</v>
      </c>
      <c r="D74" s="31"/>
      <c r="E74" s="32"/>
      <c r="F74" s="32"/>
      <c r="G74" s="31"/>
      <c r="H74" s="31"/>
      <c r="I74" s="31"/>
      <c r="J74" s="31"/>
      <c r="K74" s="31"/>
      <c r="L74" s="31"/>
      <c r="M74" s="31"/>
      <c r="R74" s="31"/>
      <c r="T74" s="31"/>
      <c r="U74" s="31"/>
      <c r="AB74" s="31">
        <f>Z74</f>
        <v>0</v>
      </c>
      <c r="AC74" s="31">
        <f t="shared" si="115"/>
        <v>0</v>
      </c>
      <c r="AD74" s="31">
        <f>AB74</f>
        <v>0</v>
      </c>
      <c r="AE74" s="31">
        <f>AC74+AD74</f>
        <v>0</v>
      </c>
      <c r="AF74" s="31"/>
      <c r="AH74" s="31"/>
      <c r="AJ74" s="31"/>
      <c r="AL74" s="31"/>
      <c r="AU74" s="31"/>
      <c r="BB74" s="27"/>
      <c r="BG74" s="28"/>
    </row>
    <row r="75" spans="1:60" ht="15.5" x14ac:dyDescent="0.35">
      <c r="C75" s="33"/>
      <c r="D75" s="31"/>
      <c r="E75" s="32"/>
      <c r="F75" s="32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U75" s="31"/>
      <c r="BB75" s="27"/>
      <c r="BG75" s="28"/>
    </row>
    <row r="76" spans="1:60" ht="15.5" x14ac:dyDescent="0.35">
      <c r="B76" s="1" t="s">
        <v>83</v>
      </c>
      <c r="C76" s="1" t="s">
        <v>84</v>
      </c>
      <c r="D76" s="1">
        <v>161</v>
      </c>
      <c r="E76" s="32" t="s">
        <v>21</v>
      </c>
      <c r="F76" s="32">
        <v>10</v>
      </c>
      <c r="AI76" s="1">
        <v>161</v>
      </c>
      <c r="AJ76" s="1">
        <v>0</v>
      </c>
      <c r="AK76" s="1">
        <v>161</v>
      </c>
      <c r="AL76" s="1">
        <v>0</v>
      </c>
      <c r="AM76" s="1">
        <v>161</v>
      </c>
      <c r="AN76" s="1">
        <f>AL76</f>
        <v>0</v>
      </c>
      <c r="AO76" s="1">
        <f t="shared" ref="AO76:AO84" si="123">SUM(AM76:AN76)</f>
        <v>161</v>
      </c>
      <c r="AP76" s="31">
        <f t="shared" ref="AP76:AP84" si="124">D76-AO76</f>
        <v>0</v>
      </c>
      <c r="AQ76" s="31">
        <f t="shared" ref="AQ76:AQ84" si="125">SUM(AN76)</f>
        <v>0</v>
      </c>
      <c r="AR76" s="31">
        <f t="shared" ref="AR76:AR84" si="126">AO76+AQ76</f>
        <v>161</v>
      </c>
      <c r="AS76" s="31">
        <f t="shared" ref="AS76:AS84" si="127">D76-AR76</f>
        <v>0</v>
      </c>
      <c r="AU76" s="44">
        <v>7</v>
      </c>
      <c r="AV76" s="31">
        <v>0</v>
      </c>
      <c r="AW76" s="31">
        <f t="shared" ref="AW76:AW85" si="128">SUM(AO76+AV76)</f>
        <v>161</v>
      </c>
      <c r="AX76" s="4">
        <f t="shared" ref="AX76:AX85" si="129">SUM(D76-AW76)</f>
        <v>0</v>
      </c>
      <c r="AY76" s="4">
        <v>0</v>
      </c>
      <c r="AZ76" s="4">
        <f t="shared" ref="AZ76:AZ88" si="130">SUM(AW76+AY76)</f>
        <v>161</v>
      </c>
      <c r="BA76" s="4">
        <f t="shared" ref="BA76:BA88" si="131">SUM(D76-AZ76)</f>
        <v>0</v>
      </c>
      <c r="BB76" s="34"/>
      <c r="BC76" s="4">
        <f t="shared" ref="BC76:BC88" si="132">SUM(AZ76+BB76)</f>
        <v>161</v>
      </c>
      <c r="BD76" s="4">
        <f t="shared" ref="BD76:BD89" si="133">SUM(D76-BC76)</f>
        <v>0</v>
      </c>
      <c r="BG76" s="35"/>
    </row>
    <row r="77" spans="1:60" ht="15.5" x14ac:dyDescent="0.35">
      <c r="B77" s="1" t="s">
        <v>85</v>
      </c>
      <c r="C77" s="33">
        <v>37530</v>
      </c>
      <c r="D77" s="31">
        <v>548</v>
      </c>
      <c r="E77" s="32" t="s">
        <v>21</v>
      </c>
      <c r="F77" s="32">
        <v>10</v>
      </c>
      <c r="G77" s="31">
        <v>70</v>
      </c>
      <c r="H77" s="31">
        <f>SUM(D77/F77)</f>
        <v>54.8</v>
      </c>
      <c r="I77" s="31">
        <f>SUM(G77:H77)</f>
        <v>124.8</v>
      </c>
      <c r="J77" s="31">
        <f>SUM(D77/F77)</f>
        <v>54.8</v>
      </c>
      <c r="K77" s="31">
        <f>SUM(I77:J77)</f>
        <v>179.6</v>
      </c>
      <c r="L77" s="31">
        <f>SUM(D77/F77)</f>
        <v>54.8</v>
      </c>
      <c r="M77" s="31">
        <f>SUM(K77:L77)</f>
        <v>234.39999999999998</v>
      </c>
      <c r="N77" s="31">
        <f>SUM(D77/F77)</f>
        <v>54.8</v>
      </c>
      <c r="O77" s="31">
        <f>SUM(M77+N77)</f>
        <v>289.2</v>
      </c>
      <c r="P77" s="31">
        <f>SUM(D77/F77)</f>
        <v>54.8</v>
      </c>
      <c r="Q77" s="31">
        <f>SUM(O77+P77)</f>
        <v>344</v>
      </c>
      <c r="R77" s="31">
        <f>SUM(D77/F77)</f>
        <v>54.8</v>
      </c>
      <c r="S77" s="31">
        <f>SUM(Q77+R77)-15</f>
        <v>383.8</v>
      </c>
      <c r="T77" s="31">
        <f>R77</f>
        <v>54.8</v>
      </c>
      <c r="U77" s="31">
        <f t="shared" ref="U77:U83" si="134">S77+T77</f>
        <v>438.6</v>
      </c>
      <c r="V77" s="31">
        <f t="shared" ref="V77:V83" si="135">T77</f>
        <v>54.8</v>
      </c>
      <c r="W77" s="31">
        <f t="shared" ref="W77:W84" si="136">U77+V77</f>
        <v>493.40000000000003</v>
      </c>
      <c r="X77" s="31">
        <f t="shared" ref="X77:X83" si="137">V77</f>
        <v>54.8</v>
      </c>
      <c r="Y77" s="31">
        <f t="shared" ref="Y77:Y84" si="138">W77+X77</f>
        <v>548.20000000000005</v>
      </c>
      <c r="Z77" s="31">
        <v>0</v>
      </c>
      <c r="AA77" s="31">
        <f t="shared" ref="AA77:AA84" si="139">Y77+Z77</f>
        <v>548.20000000000005</v>
      </c>
      <c r="AB77" s="31">
        <f t="shared" ref="AB77:AB84" si="140">Z77</f>
        <v>0</v>
      </c>
      <c r="AC77" s="31">
        <f t="shared" ref="AC77:AC84" si="141">AA77+AB77</f>
        <v>548.20000000000005</v>
      </c>
      <c r="AD77" s="31">
        <f t="shared" ref="AD77:AD84" si="142">AB77</f>
        <v>0</v>
      </c>
      <c r="AE77" s="31">
        <f t="shared" ref="AE77:AE84" si="143">AC77+AD77</f>
        <v>548.20000000000005</v>
      </c>
      <c r="AF77" s="31">
        <f t="shared" ref="AF77:AF84" si="144">AD77</f>
        <v>0</v>
      </c>
      <c r="AG77" s="31">
        <f t="shared" ref="AG77:AG84" si="145">AE77+AF77</f>
        <v>548.20000000000005</v>
      </c>
      <c r="AH77" s="31">
        <f t="shared" ref="AH77:AH84" si="146">AF77</f>
        <v>0</v>
      </c>
      <c r="AI77" s="31">
        <f t="shared" ref="AI77:AI84" si="147">AG77+AH77</f>
        <v>548.20000000000005</v>
      </c>
      <c r="AJ77" s="31">
        <f t="shared" ref="AJ77:AJ84" si="148">AH77</f>
        <v>0</v>
      </c>
      <c r="AK77" s="31">
        <f t="shared" ref="AK77:AK84" si="149">AI77+AJ77</f>
        <v>548.20000000000005</v>
      </c>
      <c r="AL77" s="31">
        <f>AJ77</f>
        <v>0</v>
      </c>
      <c r="AM77" s="31">
        <f t="shared" ref="AM77:AM84" si="150">AK77+AL77</f>
        <v>548.20000000000005</v>
      </c>
      <c r="AN77" s="1">
        <f>AL77</f>
        <v>0</v>
      </c>
      <c r="AO77" s="45">
        <f t="shared" si="123"/>
        <v>548.20000000000005</v>
      </c>
      <c r="AP77" s="31">
        <f t="shared" si="124"/>
        <v>-0.20000000000004547</v>
      </c>
      <c r="AQ77" s="31">
        <f t="shared" si="125"/>
        <v>0</v>
      </c>
      <c r="AR77" s="31">
        <f t="shared" si="126"/>
        <v>548.20000000000005</v>
      </c>
      <c r="AS77" s="31">
        <f t="shared" si="127"/>
        <v>-0.20000000000004547</v>
      </c>
      <c r="AU77" s="43">
        <v>7</v>
      </c>
      <c r="AV77" s="31">
        <v>0</v>
      </c>
      <c r="AW77" s="31">
        <f t="shared" si="128"/>
        <v>548.20000000000005</v>
      </c>
      <c r="AX77" s="4">
        <v>0</v>
      </c>
      <c r="AY77" s="4">
        <v>0</v>
      </c>
      <c r="AZ77" s="4">
        <f t="shared" si="130"/>
        <v>548.20000000000005</v>
      </c>
      <c r="BA77" s="4">
        <v>0</v>
      </c>
      <c r="BB77" s="34"/>
      <c r="BC77" s="4">
        <f t="shared" si="132"/>
        <v>548.20000000000005</v>
      </c>
      <c r="BD77" s="4">
        <f t="shared" si="133"/>
        <v>-0.20000000000004547</v>
      </c>
      <c r="BG77" s="35"/>
    </row>
    <row r="78" spans="1:60" ht="15.5" x14ac:dyDescent="0.35">
      <c r="B78" s="1" t="s">
        <v>86</v>
      </c>
      <c r="C78" s="33">
        <v>37926</v>
      </c>
      <c r="D78" s="31">
        <v>6934</v>
      </c>
      <c r="E78" s="32" t="s">
        <v>21</v>
      </c>
      <c r="F78" s="32">
        <v>20</v>
      </c>
      <c r="G78" s="31">
        <v>58</v>
      </c>
      <c r="H78" s="31">
        <f>SUM(D78/F78)</f>
        <v>346.7</v>
      </c>
      <c r="I78" s="31">
        <f>SUM(G78:H78)</f>
        <v>404.7</v>
      </c>
      <c r="J78" s="31">
        <f>SUM(D78/F78)</f>
        <v>346.7</v>
      </c>
      <c r="K78" s="31">
        <f>SUM(I78:J78)</f>
        <v>751.4</v>
      </c>
      <c r="L78" s="31">
        <f>SUM(D78/F78)</f>
        <v>346.7</v>
      </c>
      <c r="M78" s="31">
        <f>SUM(K78:L78)</f>
        <v>1098.0999999999999</v>
      </c>
      <c r="N78" s="31">
        <f>SUM(D78/F78)</f>
        <v>346.7</v>
      </c>
      <c r="O78" s="31">
        <f>SUM(M78+N78)</f>
        <v>1444.8</v>
      </c>
      <c r="P78" s="31">
        <f>SUM(D78/F78)</f>
        <v>346.7</v>
      </c>
      <c r="Q78" s="31">
        <f>SUM(O78+P78)</f>
        <v>1791.5</v>
      </c>
      <c r="R78" s="31">
        <f>SUM(D78/F78)</f>
        <v>346.7</v>
      </c>
      <c r="S78" s="31">
        <f t="shared" ref="S78:S83" si="151">SUM(Q78+R78)</f>
        <v>2138.1999999999998</v>
      </c>
      <c r="T78" s="31">
        <f>R78</f>
        <v>346.7</v>
      </c>
      <c r="U78" s="31">
        <f t="shared" si="134"/>
        <v>2484.8999999999996</v>
      </c>
      <c r="V78" s="31">
        <f t="shared" si="135"/>
        <v>346.7</v>
      </c>
      <c r="W78" s="31">
        <f t="shared" si="136"/>
        <v>2831.5999999999995</v>
      </c>
      <c r="X78" s="31">
        <f t="shared" si="137"/>
        <v>346.7</v>
      </c>
      <c r="Y78" s="31">
        <f t="shared" si="138"/>
        <v>3178.2999999999993</v>
      </c>
      <c r="Z78" s="31">
        <f t="shared" ref="Z78:Z83" si="152">X78</f>
        <v>346.7</v>
      </c>
      <c r="AA78" s="31">
        <f t="shared" si="139"/>
        <v>3524.9999999999991</v>
      </c>
      <c r="AB78" s="31">
        <f t="shared" si="140"/>
        <v>346.7</v>
      </c>
      <c r="AC78" s="31">
        <f t="shared" si="141"/>
        <v>3871.6999999999989</v>
      </c>
      <c r="AD78" s="31">
        <f t="shared" si="142"/>
        <v>346.7</v>
      </c>
      <c r="AE78" s="31">
        <f t="shared" si="143"/>
        <v>4218.3999999999987</v>
      </c>
      <c r="AF78" s="31">
        <f t="shared" si="144"/>
        <v>346.7</v>
      </c>
      <c r="AG78" s="31">
        <f t="shared" si="145"/>
        <v>4565.0999999999985</v>
      </c>
      <c r="AH78" s="31">
        <f t="shared" si="146"/>
        <v>346.7</v>
      </c>
      <c r="AI78" s="31">
        <f t="shared" si="147"/>
        <v>4911.7999999999984</v>
      </c>
      <c r="AJ78" s="31">
        <f t="shared" si="148"/>
        <v>346.7</v>
      </c>
      <c r="AK78" s="31">
        <f t="shared" si="149"/>
        <v>5258.4999999999982</v>
      </c>
      <c r="AL78" s="31">
        <f>AJ78</f>
        <v>346.7</v>
      </c>
      <c r="AM78" s="31">
        <f t="shared" si="150"/>
        <v>5605.199999999998</v>
      </c>
      <c r="AN78" s="45">
        <f>AL78</f>
        <v>346.7</v>
      </c>
      <c r="AO78" s="45">
        <f t="shared" si="123"/>
        <v>5951.8999999999978</v>
      </c>
      <c r="AP78" s="31">
        <f t="shared" si="124"/>
        <v>982.10000000000218</v>
      </c>
      <c r="AQ78" s="31">
        <f t="shared" si="125"/>
        <v>346.7</v>
      </c>
      <c r="AR78" s="31">
        <f t="shared" si="126"/>
        <v>6298.5999999999976</v>
      </c>
      <c r="AS78" s="31">
        <f t="shared" si="127"/>
        <v>635.40000000000236</v>
      </c>
      <c r="AU78" s="43">
        <v>7</v>
      </c>
      <c r="AV78" s="31">
        <v>0</v>
      </c>
      <c r="AW78" s="31">
        <f t="shared" si="128"/>
        <v>5951.8999999999978</v>
      </c>
      <c r="AX78" s="4">
        <f t="shared" si="129"/>
        <v>982.10000000000218</v>
      </c>
      <c r="AY78" s="4">
        <v>0</v>
      </c>
      <c r="AZ78" s="4">
        <f t="shared" si="130"/>
        <v>5951.8999999999978</v>
      </c>
      <c r="BA78" s="4">
        <f t="shared" si="131"/>
        <v>982.10000000000218</v>
      </c>
      <c r="BB78" s="34">
        <v>0</v>
      </c>
      <c r="BC78" s="4">
        <f t="shared" si="132"/>
        <v>5951.8999999999978</v>
      </c>
      <c r="BD78" s="4">
        <f t="shared" si="133"/>
        <v>982.10000000000218</v>
      </c>
      <c r="BG78" s="35">
        <v>0</v>
      </c>
    </row>
    <row r="79" spans="1:60" ht="15.5" x14ac:dyDescent="0.35">
      <c r="B79" s="1" t="s">
        <v>87</v>
      </c>
      <c r="C79" s="33">
        <v>38147</v>
      </c>
      <c r="D79" s="31">
        <v>14795</v>
      </c>
      <c r="E79" s="32" t="s">
        <v>21</v>
      </c>
      <c r="F79" s="32">
        <v>20</v>
      </c>
      <c r="G79" s="31"/>
      <c r="H79" s="31">
        <f>SUM(D79/F79/2)</f>
        <v>369.875</v>
      </c>
      <c r="I79" s="31">
        <f>SUM(G79:H79)</f>
        <v>369.875</v>
      </c>
      <c r="J79" s="31">
        <f>SUM(D79/F79)</f>
        <v>739.75</v>
      </c>
      <c r="K79" s="31">
        <f>SUM(I79:J79)</f>
        <v>1109.625</v>
      </c>
      <c r="L79" s="31">
        <f>SUM(D79/F79)</f>
        <v>739.75</v>
      </c>
      <c r="M79" s="31">
        <f>SUM(K79:L79)</f>
        <v>1849.375</v>
      </c>
      <c r="N79" s="31">
        <f>SUM(D79/F79)</f>
        <v>739.75</v>
      </c>
      <c r="O79" s="31">
        <f>SUM(M79+N79)</f>
        <v>2589.125</v>
      </c>
      <c r="P79" s="31">
        <f>SUM(D79/F79)</f>
        <v>739.75</v>
      </c>
      <c r="Q79" s="31">
        <f>SUM(O79+P79)</f>
        <v>3328.875</v>
      </c>
      <c r="R79" s="31">
        <f>SUM(D79/F79)</f>
        <v>739.75</v>
      </c>
      <c r="S79" s="31">
        <f t="shared" si="151"/>
        <v>4068.625</v>
      </c>
      <c r="T79" s="31">
        <f>R79</f>
        <v>739.75</v>
      </c>
      <c r="U79" s="31">
        <f t="shared" si="134"/>
        <v>4808.375</v>
      </c>
      <c r="V79" s="31">
        <f t="shared" si="135"/>
        <v>739.75</v>
      </c>
      <c r="W79" s="31">
        <f t="shared" si="136"/>
        <v>5548.125</v>
      </c>
      <c r="X79" s="31">
        <f t="shared" si="137"/>
        <v>739.75</v>
      </c>
      <c r="Y79" s="31">
        <f t="shared" si="138"/>
        <v>6287.875</v>
      </c>
      <c r="Z79" s="31">
        <f t="shared" si="152"/>
        <v>739.75</v>
      </c>
      <c r="AA79" s="31">
        <f t="shared" si="139"/>
        <v>7027.625</v>
      </c>
      <c r="AB79" s="31">
        <f t="shared" si="140"/>
        <v>739.75</v>
      </c>
      <c r="AC79" s="31">
        <f t="shared" si="141"/>
        <v>7767.375</v>
      </c>
      <c r="AD79" s="31">
        <f t="shared" si="142"/>
        <v>739.75</v>
      </c>
      <c r="AE79" s="31">
        <f t="shared" si="143"/>
        <v>8507.125</v>
      </c>
      <c r="AF79" s="31">
        <f t="shared" si="144"/>
        <v>739.75</v>
      </c>
      <c r="AG79" s="31">
        <f t="shared" si="145"/>
        <v>9246.875</v>
      </c>
      <c r="AH79" s="31">
        <f t="shared" si="146"/>
        <v>739.75</v>
      </c>
      <c r="AI79" s="31">
        <f t="shared" si="147"/>
        <v>9986.625</v>
      </c>
      <c r="AJ79" s="31">
        <f t="shared" si="148"/>
        <v>739.75</v>
      </c>
      <c r="AK79" s="31">
        <f t="shared" si="149"/>
        <v>10726.375</v>
      </c>
      <c r="AL79" s="31">
        <f>AJ79</f>
        <v>739.75</v>
      </c>
      <c r="AM79" s="31">
        <f t="shared" si="150"/>
        <v>11466.125</v>
      </c>
      <c r="AN79" s="45">
        <f>AL79</f>
        <v>739.75</v>
      </c>
      <c r="AO79" s="45">
        <f t="shared" si="123"/>
        <v>12205.875</v>
      </c>
      <c r="AP79" s="31">
        <f t="shared" si="124"/>
        <v>2589.125</v>
      </c>
      <c r="AQ79" s="31">
        <f t="shared" si="125"/>
        <v>739.75</v>
      </c>
      <c r="AR79" s="31">
        <f t="shared" si="126"/>
        <v>12945.625</v>
      </c>
      <c r="AS79" s="31">
        <f t="shared" si="127"/>
        <v>1849.375</v>
      </c>
      <c r="AU79" s="43">
        <v>7</v>
      </c>
      <c r="AV79" s="31">
        <v>0</v>
      </c>
      <c r="AW79" s="31">
        <f t="shared" si="128"/>
        <v>12205.875</v>
      </c>
      <c r="AX79" s="4">
        <f t="shared" si="129"/>
        <v>2589.125</v>
      </c>
      <c r="AY79" s="4">
        <v>0</v>
      </c>
      <c r="AZ79" s="4">
        <f t="shared" si="130"/>
        <v>12205.875</v>
      </c>
      <c r="BA79" s="4">
        <f t="shared" si="131"/>
        <v>2589.125</v>
      </c>
      <c r="BB79" s="34">
        <v>0</v>
      </c>
      <c r="BC79" s="4">
        <f t="shared" si="132"/>
        <v>12205.875</v>
      </c>
      <c r="BD79" s="4">
        <f t="shared" si="133"/>
        <v>2589.125</v>
      </c>
      <c r="BG79" s="35">
        <v>0</v>
      </c>
    </row>
    <row r="80" spans="1:60" ht="15.5" x14ac:dyDescent="0.35">
      <c r="B80" s="1" t="s">
        <v>88</v>
      </c>
      <c r="C80" s="33">
        <v>38898</v>
      </c>
      <c r="D80" s="31">
        <v>39515</v>
      </c>
      <c r="E80" s="32" t="s">
        <v>21</v>
      </c>
      <c r="F80" s="32">
        <v>20</v>
      </c>
      <c r="G80" s="31"/>
      <c r="H80" s="31"/>
      <c r="I80" s="31"/>
      <c r="J80" s="31"/>
      <c r="K80" s="31"/>
      <c r="L80" s="31">
        <f>SUM(D80/F80)</f>
        <v>1975.75</v>
      </c>
      <c r="M80" s="31">
        <f>SUM(K80:L80)</f>
        <v>1975.75</v>
      </c>
      <c r="N80" s="31">
        <f>SUM(D80/F80)</f>
        <v>1975.75</v>
      </c>
      <c r="O80" s="31">
        <f>SUM(M80+N80)</f>
        <v>3951.5</v>
      </c>
      <c r="P80" s="31">
        <f>SUM(D80/F80)</f>
        <v>1975.75</v>
      </c>
      <c r="Q80" s="31">
        <f>SUM(O80+P80)</f>
        <v>5927.25</v>
      </c>
      <c r="R80" s="31">
        <f>SUM(D80/F80)</f>
        <v>1975.75</v>
      </c>
      <c r="S80" s="31">
        <f t="shared" si="151"/>
        <v>7903</v>
      </c>
      <c r="T80" s="31">
        <f>R80</f>
        <v>1975.75</v>
      </c>
      <c r="U80" s="31">
        <f t="shared" si="134"/>
        <v>9878.75</v>
      </c>
      <c r="V80" s="31">
        <f t="shared" si="135"/>
        <v>1975.75</v>
      </c>
      <c r="W80" s="31">
        <f t="shared" si="136"/>
        <v>11854.5</v>
      </c>
      <c r="X80" s="31">
        <f t="shared" si="137"/>
        <v>1975.75</v>
      </c>
      <c r="Y80" s="31">
        <f t="shared" si="138"/>
        <v>13830.25</v>
      </c>
      <c r="Z80" s="31">
        <f t="shared" si="152"/>
        <v>1975.75</v>
      </c>
      <c r="AA80" s="31">
        <f t="shared" si="139"/>
        <v>15806</v>
      </c>
      <c r="AB80" s="31">
        <f t="shared" si="140"/>
        <v>1975.75</v>
      </c>
      <c r="AC80" s="31">
        <f t="shared" si="141"/>
        <v>17781.75</v>
      </c>
      <c r="AD80" s="31">
        <f t="shared" si="142"/>
        <v>1975.75</v>
      </c>
      <c r="AE80" s="31">
        <f t="shared" si="143"/>
        <v>19757.5</v>
      </c>
      <c r="AF80" s="31">
        <f t="shared" si="144"/>
        <v>1975.75</v>
      </c>
      <c r="AG80" s="31">
        <f t="shared" si="145"/>
        <v>21733.25</v>
      </c>
      <c r="AH80" s="31">
        <f t="shared" si="146"/>
        <v>1975.75</v>
      </c>
      <c r="AI80" s="31">
        <f t="shared" si="147"/>
        <v>23709</v>
      </c>
      <c r="AJ80" s="31">
        <f t="shared" si="148"/>
        <v>1975.75</v>
      </c>
      <c r="AK80" s="31">
        <f t="shared" si="149"/>
        <v>25684.75</v>
      </c>
      <c r="AL80" s="31">
        <f>AJ80</f>
        <v>1975.75</v>
      </c>
      <c r="AM80" s="31">
        <f t="shared" si="150"/>
        <v>27660.5</v>
      </c>
      <c r="AN80" s="45">
        <f>AL80</f>
        <v>1975.75</v>
      </c>
      <c r="AO80" s="45">
        <f t="shared" si="123"/>
        <v>29636.25</v>
      </c>
      <c r="AP80" s="31">
        <f t="shared" si="124"/>
        <v>9878.75</v>
      </c>
      <c r="AQ80" s="31">
        <f t="shared" si="125"/>
        <v>1975.75</v>
      </c>
      <c r="AR80" s="31">
        <f t="shared" si="126"/>
        <v>31612</v>
      </c>
      <c r="AS80" s="31">
        <f t="shared" si="127"/>
        <v>7903</v>
      </c>
      <c r="AU80" s="43">
        <v>7</v>
      </c>
      <c r="AV80" s="31">
        <v>0</v>
      </c>
      <c r="AW80" s="31">
        <f t="shared" si="128"/>
        <v>29636.25</v>
      </c>
      <c r="AX80" s="4">
        <f t="shared" si="129"/>
        <v>9878.75</v>
      </c>
      <c r="AY80" s="4">
        <v>0</v>
      </c>
      <c r="AZ80" s="4">
        <f t="shared" si="130"/>
        <v>29636.25</v>
      </c>
      <c r="BA80" s="4">
        <f t="shared" si="131"/>
        <v>9878.75</v>
      </c>
      <c r="BB80" s="34">
        <v>0</v>
      </c>
      <c r="BC80" s="4">
        <f t="shared" si="132"/>
        <v>29636.25</v>
      </c>
      <c r="BD80" s="4">
        <f t="shared" si="133"/>
        <v>9878.75</v>
      </c>
      <c r="BG80" s="35">
        <v>0</v>
      </c>
    </row>
    <row r="81" spans="1:59" ht="15.5" x14ac:dyDescent="0.35">
      <c r="B81" s="1" t="s">
        <v>89</v>
      </c>
      <c r="C81" s="33">
        <v>39994</v>
      </c>
      <c r="D81" s="31">
        <v>36012</v>
      </c>
      <c r="E81" s="32" t="s">
        <v>21</v>
      </c>
      <c r="F81" s="32">
        <v>10</v>
      </c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>
        <f>SUM(D81/10/2)</f>
        <v>1800.6</v>
      </c>
      <c r="S81" s="31">
        <f t="shared" si="151"/>
        <v>1800.6</v>
      </c>
      <c r="T81" s="31">
        <f>SUM(D81/10)</f>
        <v>3601.2</v>
      </c>
      <c r="U81" s="31">
        <f t="shared" si="134"/>
        <v>5401.7999999999993</v>
      </c>
      <c r="V81" s="31">
        <f t="shared" si="135"/>
        <v>3601.2</v>
      </c>
      <c r="W81" s="31">
        <f t="shared" si="136"/>
        <v>9003</v>
      </c>
      <c r="X81" s="31">
        <f t="shared" si="137"/>
        <v>3601.2</v>
      </c>
      <c r="Y81" s="31">
        <f t="shared" si="138"/>
        <v>12604.2</v>
      </c>
      <c r="Z81" s="31">
        <f t="shared" si="152"/>
        <v>3601.2</v>
      </c>
      <c r="AA81" s="31">
        <f t="shared" si="139"/>
        <v>16205.400000000001</v>
      </c>
      <c r="AB81" s="31">
        <f t="shared" si="140"/>
        <v>3601.2</v>
      </c>
      <c r="AC81" s="31">
        <f t="shared" si="141"/>
        <v>19806.600000000002</v>
      </c>
      <c r="AD81" s="31">
        <f t="shared" si="142"/>
        <v>3601.2</v>
      </c>
      <c r="AE81" s="31">
        <f t="shared" si="143"/>
        <v>23407.800000000003</v>
      </c>
      <c r="AF81" s="31">
        <f t="shared" si="144"/>
        <v>3601.2</v>
      </c>
      <c r="AG81" s="31">
        <f t="shared" si="145"/>
        <v>27009.000000000004</v>
      </c>
      <c r="AH81" s="31">
        <f t="shared" si="146"/>
        <v>3601.2</v>
      </c>
      <c r="AI81" s="31">
        <f t="shared" si="147"/>
        <v>30610.200000000004</v>
      </c>
      <c r="AJ81" s="31">
        <f t="shared" si="148"/>
        <v>3601.2</v>
      </c>
      <c r="AK81" s="31">
        <f t="shared" si="149"/>
        <v>34211.4</v>
      </c>
      <c r="AL81" s="31">
        <f>36012-34211</f>
        <v>1801</v>
      </c>
      <c r="AM81" s="31">
        <f t="shared" si="150"/>
        <v>36012.400000000001</v>
      </c>
      <c r="AN81" s="45">
        <v>0</v>
      </c>
      <c r="AO81" s="45">
        <f t="shared" si="123"/>
        <v>36012.400000000001</v>
      </c>
      <c r="AP81" s="31">
        <f t="shared" si="124"/>
        <v>-0.40000000000145519</v>
      </c>
      <c r="AQ81" s="31">
        <f t="shared" si="125"/>
        <v>0</v>
      </c>
      <c r="AR81" s="31">
        <f t="shared" si="126"/>
        <v>36012.400000000001</v>
      </c>
      <c r="AS81" s="31">
        <f t="shared" si="127"/>
        <v>-0.40000000000145519</v>
      </c>
      <c r="AU81" s="43">
        <v>7</v>
      </c>
      <c r="AV81" s="31">
        <v>0</v>
      </c>
      <c r="AW81" s="31">
        <f t="shared" si="128"/>
        <v>36012.400000000001</v>
      </c>
      <c r="AX81" s="4">
        <v>0</v>
      </c>
      <c r="AY81" s="4">
        <v>0</v>
      </c>
      <c r="AZ81" s="4">
        <f t="shared" si="130"/>
        <v>36012.400000000001</v>
      </c>
      <c r="BA81" s="4">
        <v>0</v>
      </c>
      <c r="BB81" s="34">
        <v>0</v>
      </c>
      <c r="BC81" s="4">
        <f t="shared" si="132"/>
        <v>36012.400000000001</v>
      </c>
      <c r="BD81" s="4">
        <f t="shared" si="133"/>
        <v>-0.40000000000145519</v>
      </c>
      <c r="BG81" s="35">
        <v>0</v>
      </c>
    </row>
    <row r="82" spans="1:59" ht="15.5" x14ac:dyDescent="0.35">
      <c r="B82" s="1" t="s">
        <v>90</v>
      </c>
      <c r="C82" s="33">
        <v>39994</v>
      </c>
      <c r="D82" s="31">
        <v>82901</v>
      </c>
      <c r="E82" s="32" t="s">
        <v>21</v>
      </c>
      <c r="F82" s="32">
        <v>20</v>
      </c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>
        <f>SUM(D82/20/2)</f>
        <v>2072.5250000000001</v>
      </c>
      <c r="S82" s="31">
        <f t="shared" si="151"/>
        <v>2072.5250000000001</v>
      </c>
      <c r="T82" s="31">
        <f>SUM(D82/20)</f>
        <v>4145.05</v>
      </c>
      <c r="U82" s="31">
        <f t="shared" si="134"/>
        <v>6217.5750000000007</v>
      </c>
      <c r="V82" s="31">
        <f t="shared" si="135"/>
        <v>4145.05</v>
      </c>
      <c r="W82" s="31">
        <f t="shared" si="136"/>
        <v>10362.625</v>
      </c>
      <c r="X82" s="31">
        <f t="shared" si="137"/>
        <v>4145.05</v>
      </c>
      <c r="Y82" s="31">
        <f t="shared" si="138"/>
        <v>14507.674999999999</v>
      </c>
      <c r="Z82" s="31">
        <f t="shared" si="152"/>
        <v>4145.05</v>
      </c>
      <c r="AA82" s="31">
        <f t="shared" si="139"/>
        <v>18652.724999999999</v>
      </c>
      <c r="AB82" s="31">
        <f t="shared" si="140"/>
        <v>4145.05</v>
      </c>
      <c r="AC82" s="31">
        <f t="shared" si="141"/>
        <v>22797.774999999998</v>
      </c>
      <c r="AD82" s="31">
        <f t="shared" si="142"/>
        <v>4145.05</v>
      </c>
      <c r="AE82" s="31">
        <f t="shared" si="143"/>
        <v>26942.824999999997</v>
      </c>
      <c r="AF82" s="31">
        <f t="shared" si="144"/>
        <v>4145.05</v>
      </c>
      <c r="AG82" s="31">
        <f t="shared" si="145"/>
        <v>31087.874999999996</v>
      </c>
      <c r="AH82" s="31">
        <f t="shared" si="146"/>
        <v>4145.05</v>
      </c>
      <c r="AI82" s="31">
        <f t="shared" si="147"/>
        <v>35232.924999999996</v>
      </c>
      <c r="AJ82" s="31">
        <f t="shared" si="148"/>
        <v>4145.05</v>
      </c>
      <c r="AK82" s="31">
        <f t="shared" si="149"/>
        <v>39377.974999999999</v>
      </c>
      <c r="AL82" s="31">
        <f>AJ82</f>
        <v>4145.05</v>
      </c>
      <c r="AM82" s="31">
        <f t="shared" si="150"/>
        <v>43523.025000000001</v>
      </c>
      <c r="AN82" s="45">
        <f>AL82</f>
        <v>4145.05</v>
      </c>
      <c r="AO82" s="45">
        <f t="shared" si="123"/>
        <v>47668.075000000004</v>
      </c>
      <c r="AP82" s="31">
        <f t="shared" si="124"/>
        <v>35232.924999999996</v>
      </c>
      <c r="AQ82" s="31">
        <f t="shared" si="125"/>
        <v>4145.05</v>
      </c>
      <c r="AR82" s="31">
        <f t="shared" si="126"/>
        <v>51813.125000000007</v>
      </c>
      <c r="AS82" s="31">
        <f t="shared" si="127"/>
        <v>31087.874999999993</v>
      </c>
      <c r="AU82" s="43">
        <v>7</v>
      </c>
      <c r="AV82" s="31">
        <v>0</v>
      </c>
      <c r="AW82" s="31">
        <f t="shared" si="128"/>
        <v>47668.075000000004</v>
      </c>
      <c r="AX82" s="4">
        <f t="shared" si="129"/>
        <v>35232.924999999996</v>
      </c>
      <c r="AY82" s="4">
        <v>0</v>
      </c>
      <c r="AZ82" s="4">
        <f t="shared" si="130"/>
        <v>47668.075000000004</v>
      </c>
      <c r="BA82" s="4">
        <f t="shared" si="131"/>
        <v>35232.924999999996</v>
      </c>
      <c r="BB82" s="34">
        <v>0</v>
      </c>
      <c r="BC82" s="4">
        <f t="shared" si="132"/>
        <v>47668.075000000004</v>
      </c>
      <c r="BD82" s="4">
        <f t="shared" si="133"/>
        <v>35232.924999999996</v>
      </c>
      <c r="BG82" s="35">
        <v>0</v>
      </c>
    </row>
    <row r="83" spans="1:59" ht="15.5" x14ac:dyDescent="0.35">
      <c r="B83" s="1" t="s">
        <v>91</v>
      </c>
      <c r="C83" s="33">
        <v>39994</v>
      </c>
      <c r="D83" s="31">
        <v>58000</v>
      </c>
      <c r="E83" s="32" t="s">
        <v>21</v>
      </c>
      <c r="F83" s="32">
        <v>20</v>
      </c>
      <c r="G83" s="31"/>
      <c r="H83" s="31"/>
      <c r="I83" s="31"/>
      <c r="J83" s="31"/>
      <c r="K83" s="31"/>
      <c r="L83" s="31"/>
      <c r="M83" s="31"/>
      <c r="N83" s="31"/>
      <c r="O83" s="31"/>
      <c r="Q83" s="31"/>
      <c r="R83" s="31">
        <f>SUM(D83/20/2)</f>
        <v>1450</v>
      </c>
      <c r="S83" s="31">
        <f t="shared" si="151"/>
        <v>1450</v>
      </c>
      <c r="T83" s="31">
        <f>SUM(D83/20)</f>
        <v>2900</v>
      </c>
      <c r="U83" s="31">
        <f t="shared" si="134"/>
        <v>4350</v>
      </c>
      <c r="V83" s="31">
        <f t="shared" si="135"/>
        <v>2900</v>
      </c>
      <c r="W83" s="31">
        <f t="shared" si="136"/>
        <v>7250</v>
      </c>
      <c r="X83" s="31">
        <f t="shared" si="137"/>
        <v>2900</v>
      </c>
      <c r="Y83" s="31">
        <f t="shared" si="138"/>
        <v>10150</v>
      </c>
      <c r="Z83" s="31">
        <f t="shared" si="152"/>
        <v>2900</v>
      </c>
      <c r="AA83" s="31">
        <f t="shared" si="139"/>
        <v>13050</v>
      </c>
      <c r="AB83" s="31">
        <f t="shared" si="140"/>
        <v>2900</v>
      </c>
      <c r="AC83" s="31">
        <f t="shared" si="141"/>
        <v>15950</v>
      </c>
      <c r="AD83" s="31">
        <f t="shared" si="142"/>
        <v>2900</v>
      </c>
      <c r="AE83" s="31">
        <f t="shared" si="143"/>
        <v>18850</v>
      </c>
      <c r="AF83" s="31">
        <f t="shared" si="144"/>
        <v>2900</v>
      </c>
      <c r="AG83" s="31">
        <f t="shared" si="145"/>
        <v>21750</v>
      </c>
      <c r="AH83" s="31">
        <f t="shared" si="146"/>
        <v>2900</v>
      </c>
      <c r="AI83" s="31">
        <f t="shared" si="147"/>
        <v>24650</v>
      </c>
      <c r="AJ83" s="31">
        <f t="shared" si="148"/>
        <v>2900</v>
      </c>
      <c r="AK83" s="31">
        <f t="shared" si="149"/>
        <v>27550</v>
      </c>
      <c r="AL83" s="31">
        <f>AJ83</f>
        <v>2900</v>
      </c>
      <c r="AM83" s="31">
        <f t="shared" si="150"/>
        <v>30450</v>
      </c>
      <c r="AN83" s="1">
        <f>AL83</f>
        <v>2900</v>
      </c>
      <c r="AO83" s="1">
        <f t="shared" si="123"/>
        <v>33350</v>
      </c>
      <c r="AP83" s="31">
        <f t="shared" si="124"/>
        <v>24650</v>
      </c>
      <c r="AQ83" s="31">
        <f t="shared" si="125"/>
        <v>2900</v>
      </c>
      <c r="AR83" s="31">
        <f t="shared" si="126"/>
        <v>36250</v>
      </c>
      <c r="AS83" s="31">
        <f t="shared" si="127"/>
        <v>21750</v>
      </c>
      <c r="AU83" s="43">
        <v>7</v>
      </c>
      <c r="AV83" s="31">
        <v>0</v>
      </c>
      <c r="AW83" s="31">
        <f t="shared" si="128"/>
        <v>33350</v>
      </c>
      <c r="AX83" s="4">
        <f t="shared" si="129"/>
        <v>24650</v>
      </c>
      <c r="AY83" s="4">
        <v>0</v>
      </c>
      <c r="AZ83" s="4">
        <f t="shared" si="130"/>
        <v>33350</v>
      </c>
      <c r="BA83" s="4">
        <f t="shared" si="131"/>
        <v>24650</v>
      </c>
      <c r="BB83" s="34">
        <v>0</v>
      </c>
      <c r="BC83" s="4">
        <f t="shared" si="132"/>
        <v>33350</v>
      </c>
      <c r="BD83" s="4">
        <f t="shared" si="133"/>
        <v>24650</v>
      </c>
      <c r="BG83" s="35">
        <v>0</v>
      </c>
    </row>
    <row r="84" spans="1:59" ht="15.5" x14ac:dyDescent="0.35">
      <c r="B84" s="1" t="s">
        <v>92</v>
      </c>
      <c r="C84" s="33">
        <v>40179</v>
      </c>
      <c r="D84" s="31">
        <v>7382</v>
      </c>
      <c r="E84" s="32" t="s">
        <v>21</v>
      </c>
      <c r="F84" s="32">
        <v>20</v>
      </c>
      <c r="G84" s="31"/>
      <c r="H84" s="31"/>
      <c r="I84" s="31"/>
      <c r="J84" s="31"/>
      <c r="K84" s="31"/>
      <c r="L84" s="31"/>
      <c r="M84" s="31"/>
      <c r="R84" s="31"/>
      <c r="T84" s="1">
        <v>369</v>
      </c>
      <c r="U84" s="1">
        <v>369</v>
      </c>
      <c r="V84" s="1">
        <v>369</v>
      </c>
      <c r="W84" s="31">
        <f t="shared" si="136"/>
        <v>738</v>
      </c>
      <c r="X84" s="1">
        <v>369</v>
      </c>
      <c r="Y84" s="31">
        <f t="shared" si="138"/>
        <v>1107</v>
      </c>
      <c r="Z84" s="1">
        <v>369</v>
      </c>
      <c r="AA84" s="31">
        <f t="shared" si="139"/>
        <v>1476</v>
      </c>
      <c r="AB84" s="31">
        <f t="shared" si="140"/>
        <v>369</v>
      </c>
      <c r="AC84" s="31">
        <f t="shared" si="141"/>
        <v>1845</v>
      </c>
      <c r="AD84" s="31">
        <f t="shared" si="142"/>
        <v>369</v>
      </c>
      <c r="AE84" s="31">
        <f t="shared" si="143"/>
        <v>2214</v>
      </c>
      <c r="AF84" s="31">
        <f t="shared" si="144"/>
        <v>369</v>
      </c>
      <c r="AG84" s="31">
        <f t="shared" si="145"/>
        <v>2583</v>
      </c>
      <c r="AH84" s="31">
        <f t="shared" si="146"/>
        <v>369</v>
      </c>
      <c r="AI84" s="31">
        <f t="shared" si="147"/>
        <v>2952</v>
      </c>
      <c r="AJ84" s="31">
        <f t="shared" si="148"/>
        <v>369</v>
      </c>
      <c r="AK84" s="31">
        <f t="shared" si="149"/>
        <v>3321</v>
      </c>
      <c r="AL84" s="31">
        <f>AJ84</f>
        <v>369</v>
      </c>
      <c r="AM84" s="31">
        <f t="shared" si="150"/>
        <v>3690</v>
      </c>
      <c r="AN84" s="1">
        <f>AL84</f>
        <v>369</v>
      </c>
      <c r="AO84" s="1">
        <f t="shared" si="123"/>
        <v>4059</v>
      </c>
      <c r="AP84" s="31">
        <f t="shared" si="124"/>
        <v>3323</v>
      </c>
      <c r="AQ84" s="31">
        <f t="shared" si="125"/>
        <v>369</v>
      </c>
      <c r="AR84" s="31">
        <f t="shared" si="126"/>
        <v>4428</v>
      </c>
      <c r="AS84" s="31">
        <f t="shared" si="127"/>
        <v>2954</v>
      </c>
      <c r="AU84" s="43">
        <v>7</v>
      </c>
      <c r="AV84" s="31">
        <v>0</v>
      </c>
      <c r="AW84" s="31">
        <f t="shared" si="128"/>
        <v>4059</v>
      </c>
      <c r="AX84" s="4">
        <f t="shared" si="129"/>
        <v>3323</v>
      </c>
      <c r="AY84" s="4">
        <v>0</v>
      </c>
      <c r="AZ84" s="4">
        <f t="shared" si="130"/>
        <v>4059</v>
      </c>
      <c r="BA84" s="4">
        <f t="shared" si="131"/>
        <v>3323</v>
      </c>
      <c r="BB84" s="34">
        <v>0</v>
      </c>
      <c r="BC84" s="4">
        <f t="shared" si="132"/>
        <v>4059</v>
      </c>
      <c r="BD84" s="4">
        <f t="shared" si="133"/>
        <v>3323</v>
      </c>
      <c r="BG84" s="35">
        <v>0</v>
      </c>
    </row>
    <row r="85" spans="1:59" ht="15.5" x14ac:dyDescent="0.35">
      <c r="B85" s="1" t="s">
        <v>93</v>
      </c>
      <c r="C85" s="33">
        <v>44377</v>
      </c>
      <c r="D85" s="31">
        <v>101744</v>
      </c>
      <c r="E85" s="32" t="s">
        <v>21</v>
      </c>
      <c r="F85" s="32">
        <v>20</v>
      </c>
      <c r="G85" s="31"/>
      <c r="H85" s="31"/>
      <c r="I85" s="31"/>
      <c r="J85" s="31"/>
      <c r="K85" s="31"/>
      <c r="L85" s="31"/>
      <c r="M85" s="31"/>
      <c r="R85" s="31"/>
      <c r="W85" s="31"/>
      <c r="Y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P85" s="31"/>
      <c r="AQ85" s="31"/>
      <c r="AR85" s="31"/>
      <c r="AS85" s="31"/>
      <c r="AU85" s="43">
        <v>7</v>
      </c>
      <c r="AV85" s="31">
        <v>7267</v>
      </c>
      <c r="AW85" s="31">
        <f t="shared" si="128"/>
        <v>7267</v>
      </c>
      <c r="AX85" s="4">
        <f t="shared" si="129"/>
        <v>94477</v>
      </c>
      <c r="AY85" s="4">
        <f t="shared" ref="AY85" si="153">SUM(D85/AU85)</f>
        <v>14534.857142857143</v>
      </c>
      <c r="AZ85" s="4">
        <f t="shared" si="130"/>
        <v>21801.857142857145</v>
      </c>
      <c r="BA85" s="4">
        <f t="shared" si="131"/>
        <v>79942.142857142855</v>
      </c>
      <c r="BB85" s="34">
        <f t="shared" ref="BB85:BB88" si="154">SUM(D85/AU85)</f>
        <v>14534.857142857143</v>
      </c>
      <c r="BC85" s="4">
        <f t="shared" si="132"/>
        <v>36336.71428571429</v>
      </c>
      <c r="BD85" s="4">
        <f t="shared" si="133"/>
        <v>65407.28571428571</v>
      </c>
      <c r="BG85" s="35">
        <v>14534.857142857143</v>
      </c>
    </row>
    <row r="86" spans="1:59" ht="15.5" x14ac:dyDescent="0.35">
      <c r="B86" s="1" t="s">
        <v>94</v>
      </c>
      <c r="C86" s="33">
        <v>44628</v>
      </c>
      <c r="D86" s="31">
        <v>34950</v>
      </c>
      <c r="E86" s="32"/>
      <c r="F86" s="32"/>
      <c r="G86" s="31"/>
      <c r="H86" s="31"/>
      <c r="I86" s="31"/>
      <c r="J86" s="31"/>
      <c r="K86" s="31"/>
      <c r="L86" s="31"/>
      <c r="M86" s="31"/>
      <c r="R86" s="31"/>
      <c r="W86" s="31"/>
      <c r="Y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P86" s="31"/>
      <c r="AQ86" s="31"/>
      <c r="AR86" s="31"/>
      <c r="AS86" s="31"/>
      <c r="AU86" s="43">
        <v>7</v>
      </c>
      <c r="AV86" s="31"/>
      <c r="AW86" s="31"/>
      <c r="AX86" s="4"/>
      <c r="AY86" s="4">
        <f>SUM(D86/AU86/2)</f>
        <v>2496.4285714285716</v>
      </c>
      <c r="AZ86" s="4">
        <f t="shared" si="130"/>
        <v>2496.4285714285716</v>
      </c>
      <c r="BA86" s="4">
        <f t="shared" si="131"/>
        <v>32453.571428571428</v>
      </c>
      <c r="BB86" s="34">
        <f t="shared" si="154"/>
        <v>4992.8571428571431</v>
      </c>
      <c r="BC86" s="4">
        <f t="shared" si="132"/>
        <v>7489.2857142857147</v>
      </c>
      <c r="BD86" s="4">
        <f t="shared" si="133"/>
        <v>27460.714285714286</v>
      </c>
      <c r="BG86" s="35">
        <v>4992.8571428571431</v>
      </c>
    </row>
    <row r="87" spans="1:59" ht="15.5" x14ac:dyDescent="0.35">
      <c r="B87" s="1" t="s">
        <v>95</v>
      </c>
      <c r="C87" s="33">
        <v>44665</v>
      </c>
      <c r="D87" s="31">
        <v>35790</v>
      </c>
      <c r="E87" s="32"/>
      <c r="F87" s="32"/>
      <c r="G87" s="31"/>
      <c r="H87" s="31"/>
      <c r="I87" s="31"/>
      <c r="J87" s="31"/>
      <c r="K87" s="31"/>
      <c r="L87" s="31"/>
      <c r="M87" s="31"/>
      <c r="R87" s="31"/>
      <c r="W87" s="31"/>
      <c r="Y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P87" s="31"/>
      <c r="AQ87" s="31"/>
      <c r="AR87" s="31"/>
      <c r="AS87" s="31"/>
      <c r="AU87" s="43">
        <v>7</v>
      </c>
      <c r="AV87" s="31"/>
      <c r="AW87" s="31"/>
      <c r="AX87" s="4"/>
      <c r="AY87" s="4">
        <f t="shared" ref="AY87:AY88" si="155">SUM(D87/AU87/2)</f>
        <v>2556.4285714285716</v>
      </c>
      <c r="AZ87" s="4">
        <f t="shared" si="130"/>
        <v>2556.4285714285716</v>
      </c>
      <c r="BA87" s="4">
        <f t="shared" si="131"/>
        <v>33233.571428571428</v>
      </c>
      <c r="BB87" s="34">
        <f t="shared" si="154"/>
        <v>5112.8571428571431</v>
      </c>
      <c r="BC87" s="4">
        <f t="shared" si="132"/>
        <v>7669.2857142857147</v>
      </c>
      <c r="BD87" s="4">
        <f t="shared" si="133"/>
        <v>28120.714285714286</v>
      </c>
      <c r="BG87" s="35">
        <v>5112.8571428571431</v>
      </c>
    </row>
    <row r="88" spans="1:59" ht="15.5" x14ac:dyDescent="0.35">
      <c r="B88" s="1" t="s">
        <v>96</v>
      </c>
      <c r="C88" s="33">
        <v>44866</v>
      </c>
      <c r="D88" s="31">
        <v>17627</v>
      </c>
      <c r="E88" s="32"/>
      <c r="F88" s="32"/>
      <c r="G88" s="31"/>
      <c r="H88" s="31"/>
      <c r="I88" s="31"/>
      <c r="J88" s="31"/>
      <c r="K88" s="31"/>
      <c r="L88" s="31"/>
      <c r="M88" s="31"/>
      <c r="R88" s="31"/>
      <c r="W88" s="31"/>
      <c r="Y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P88" s="31"/>
      <c r="AQ88" s="31"/>
      <c r="AR88" s="31"/>
      <c r="AS88" s="31"/>
      <c r="AU88" s="43">
        <v>7</v>
      </c>
      <c r="AV88" s="31"/>
      <c r="AW88" s="31"/>
      <c r="AX88" s="4"/>
      <c r="AY88" s="4">
        <f t="shared" si="155"/>
        <v>1259.0714285714287</v>
      </c>
      <c r="AZ88" s="4">
        <f t="shared" si="130"/>
        <v>1259.0714285714287</v>
      </c>
      <c r="BA88" s="4">
        <f t="shared" si="131"/>
        <v>16367.928571428571</v>
      </c>
      <c r="BB88" s="34">
        <f t="shared" si="154"/>
        <v>2518.1428571428573</v>
      </c>
      <c r="BC88" s="4">
        <f t="shared" si="132"/>
        <v>3777.2142857142862</v>
      </c>
      <c r="BD88" s="4">
        <f t="shared" si="133"/>
        <v>13849.785714285714</v>
      </c>
      <c r="BG88" s="35">
        <v>2518.1428571428573</v>
      </c>
    </row>
    <row r="89" spans="1:59" ht="15.5" x14ac:dyDescent="0.35">
      <c r="B89" s="1" t="s">
        <v>97</v>
      </c>
      <c r="C89" s="33">
        <v>45246</v>
      </c>
      <c r="D89" s="31">
        <v>31850</v>
      </c>
      <c r="E89" s="32"/>
      <c r="F89" s="32"/>
      <c r="G89" s="31"/>
      <c r="H89" s="31"/>
      <c r="I89" s="31"/>
      <c r="J89" s="31"/>
      <c r="K89" s="31"/>
      <c r="L89" s="31"/>
      <c r="M89" s="31"/>
      <c r="R89" s="31"/>
      <c r="W89" s="31"/>
      <c r="Y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P89" s="31"/>
      <c r="AQ89" s="31"/>
      <c r="AR89" s="31"/>
      <c r="AS89" s="31"/>
      <c r="AU89" s="43">
        <v>7</v>
      </c>
      <c r="AV89" s="31"/>
      <c r="AW89" s="31"/>
      <c r="AX89" s="4"/>
      <c r="AY89" s="4"/>
      <c r="AZ89" s="4"/>
      <c r="BA89" s="4"/>
      <c r="BB89" s="34">
        <f>SUM(D89/AU89/2)</f>
        <v>2275</v>
      </c>
      <c r="BC89" s="4">
        <f t="shared" ref="BC89" si="156">SUM(AZ89+BB89)</f>
        <v>2275</v>
      </c>
      <c r="BD89" s="4">
        <f t="shared" si="133"/>
        <v>29575</v>
      </c>
      <c r="BE89" s="4">
        <f>SUM(D89)</f>
        <v>31850</v>
      </c>
      <c r="BG89" s="35">
        <v>2275</v>
      </c>
    </row>
    <row r="90" spans="1:59" ht="15.5" x14ac:dyDescent="0.35">
      <c r="C90" s="33"/>
      <c r="D90" s="31"/>
      <c r="E90" s="32"/>
      <c r="F90" s="32"/>
      <c r="G90" s="31"/>
      <c r="H90" s="31"/>
      <c r="I90" s="31"/>
      <c r="J90" s="31"/>
      <c r="K90" s="31"/>
      <c r="L90" s="31"/>
      <c r="M90" s="31"/>
      <c r="R90" s="31"/>
      <c r="W90" s="31"/>
      <c r="Y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P90" s="31"/>
      <c r="AQ90" s="31"/>
      <c r="AR90" s="31"/>
      <c r="AS90" s="31"/>
      <c r="AU90" s="43"/>
      <c r="AV90" s="31"/>
      <c r="AW90" s="31"/>
      <c r="AX90" s="4"/>
      <c r="AY90" s="4"/>
      <c r="AZ90" s="4"/>
      <c r="BA90" s="4"/>
      <c r="BB90" s="34"/>
      <c r="BC90" s="4"/>
      <c r="BD90" s="4"/>
      <c r="BG90" s="35"/>
    </row>
    <row r="91" spans="1:59" ht="15.5" x14ac:dyDescent="0.35">
      <c r="C91" s="33"/>
      <c r="D91" s="31"/>
      <c r="E91" s="32"/>
      <c r="F91" s="32"/>
      <c r="G91" s="31"/>
      <c r="H91" s="31"/>
      <c r="I91" s="31"/>
      <c r="J91" s="31"/>
      <c r="K91" s="31"/>
      <c r="L91" s="31"/>
      <c r="M91" s="31"/>
      <c r="R91" s="31"/>
      <c r="W91" s="31"/>
      <c r="Y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P91" s="31"/>
      <c r="AQ91" s="31"/>
      <c r="AR91" s="31"/>
      <c r="AS91" s="31"/>
      <c r="AU91" s="43"/>
      <c r="AV91" s="31"/>
      <c r="AW91" s="31"/>
      <c r="AX91" s="4"/>
      <c r="AY91" s="4"/>
      <c r="AZ91" s="4"/>
      <c r="BA91" s="4"/>
      <c r="BB91" s="34"/>
      <c r="BC91" s="4"/>
      <c r="BD91" s="4"/>
      <c r="BG91" s="35"/>
    </row>
    <row r="92" spans="1:59" ht="15.5" x14ac:dyDescent="0.35">
      <c r="D92" s="36">
        <f>SUM(D75:D89)</f>
        <v>468209</v>
      </c>
      <c r="E92" s="37"/>
      <c r="F92" s="37"/>
      <c r="G92" s="36">
        <f t="shared" ref="G92:R92" si="157">SUM(G76:G84)</f>
        <v>128</v>
      </c>
      <c r="H92" s="36">
        <f t="shared" si="157"/>
        <v>771.375</v>
      </c>
      <c r="I92" s="36">
        <f t="shared" si="157"/>
        <v>899.375</v>
      </c>
      <c r="J92" s="36">
        <f t="shared" si="157"/>
        <v>1141.25</v>
      </c>
      <c r="K92" s="36">
        <f t="shared" si="157"/>
        <v>2040.625</v>
      </c>
      <c r="L92" s="36">
        <f t="shared" si="157"/>
        <v>3117</v>
      </c>
      <c r="M92" s="36">
        <f t="shared" si="157"/>
        <v>5157.625</v>
      </c>
      <c r="N92" s="36">
        <f t="shared" si="157"/>
        <v>3117</v>
      </c>
      <c r="O92" s="36">
        <f t="shared" si="157"/>
        <v>8274.625</v>
      </c>
      <c r="P92" s="36">
        <f t="shared" si="157"/>
        <v>3117</v>
      </c>
      <c r="Q92" s="36">
        <f t="shared" si="157"/>
        <v>11391.625</v>
      </c>
      <c r="R92" s="36">
        <f t="shared" si="157"/>
        <v>8440.125</v>
      </c>
      <c r="S92" s="36">
        <f>SUM(S76:S83)</f>
        <v>19816.75</v>
      </c>
      <c r="T92" s="36">
        <f t="shared" ref="T92:AA92" si="158">SUM(T76:T84)</f>
        <v>14132.25</v>
      </c>
      <c r="U92" s="36">
        <f t="shared" si="158"/>
        <v>33949</v>
      </c>
      <c r="V92" s="36">
        <f t="shared" si="158"/>
        <v>14132.25</v>
      </c>
      <c r="W92" s="36">
        <f t="shared" si="158"/>
        <v>48081.25</v>
      </c>
      <c r="X92" s="36">
        <f t="shared" si="158"/>
        <v>14132.25</v>
      </c>
      <c r="Y92" s="36">
        <f t="shared" si="158"/>
        <v>62213.5</v>
      </c>
      <c r="Z92" s="36">
        <f t="shared" si="158"/>
        <v>14077.45</v>
      </c>
      <c r="AA92" s="36">
        <f t="shared" si="158"/>
        <v>76290.95</v>
      </c>
      <c r="AB92" s="31">
        <f>Z92</f>
        <v>14077.45</v>
      </c>
      <c r="AC92" s="31">
        <f>AA92+AB92</f>
        <v>90368.4</v>
      </c>
      <c r="AD92" s="31">
        <f>AB92</f>
        <v>14077.45</v>
      </c>
      <c r="AE92" s="31">
        <f>AC92+AD92</f>
        <v>104445.84999999999</v>
      </c>
      <c r="AF92" s="31">
        <f>AD92</f>
        <v>14077.45</v>
      </c>
      <c r="AG92" s="31">
        <f>AE92+AF92</f>
        <v>118523.29999999999</v>
      </c>
      <c r="AH92" s="31">
        <f>AF92</f>
        <v>14077.45</v>
      </c>
      <c r="AI92" s="36">
        <f>SUM(AI75:AI84)</f>
        <v>132761.75</v>
      </c>
      <c r="AJ92" s="36">
        <f>SUM(AJ75:AJ84)</f>
        <v>14077.45</v>
      </c>
      <c r="AK92" s="36">
        <f>SUM(AK75:AK84)</f>
        <v>146839.20000000001</v>
      </c>
      <c r="AL92" s="36">
        <f>SUM(AL75:AL84)</f>
        <v>12277.25</v>
      </c>
      <c r="AM92" s="36">
        <f>SUM(AM75:AM84)</f>
        <v>159116.44999999998</v>
      </c>
      <c r="AN92" s="36">
        <f t="shared" ref="AN92:AS92" si="159">SUM(AN76:AN91)</f>
        <v>10476.25</v>
      </c>
      <c r="AO92" s="36">
        <f t="shared" si="159"/>
        <v>169592.7</v>
      </c>
      <c r="AP92" s="36">
        <f t="shared" si="159"/>
        <v>76655.299999999988</v>
      </c>
      <c r="AQ92" s="36">
        <f t="shared" si="159"/>
        <v>10476.25</v>
      </c>
      <c r="AR92" s="36">
        <f t="shared" si="159"/>
        <v>180068.95</v>
      </c>
      <c r="AS92" s="36">
        <f t="shared" si="159"/>
        <v>66179.049999999988</v>
      </c>
      <c r="AU92" s="1"/>
      <c r="AV92" s="36">
        <f t="shared" ref="AV92:BD92" si="160">SUM(AV76:AV91)</f>
        <v>7267</v>
      </c>
      <c r="AW92" s="36">
        <f t="shared" si="160"/>
        <v>176859.7</v>
      </c>
      <c r="AX92" s="36">
        <f t="shared" si="160"/>
        <v>171132.9</v>
      </c>
      <c r="AY92" s="36">
        <f t="shared" si="160"/>
        <v>20846.785714285714</v>
      </c>
      <c r="AZ92" s="36">
        <f t="shared" si="160"/>
        <v>197706.48571428575</v>
      </c>
      <c r="BA92" s="36">
        <f t="shared" si="160"/>
        <v>238653.11428571428</v>
      </c>
      <c r="BB92" s="38">
        <f t="shared" si="160"/>
        <v>29433.714285714286</v>
      </c>
      <c r="BC92" s="36">
        <f t="shared" si="160"/>
        <v>227140.2</v>
      </c>
      <c r="BD92" s="36">
        <f t="shared" si="160"/>
        <v>241068.79999999999</v>
      </c>
      <c r="BG92" s="39">
        <v>29433.714285714286</v>
      </c>
    </row>
    <row r="93" spans="1:59" ht="15.5" x14ac:dyDescent="0.35">
      <c r="D93" s="36"/>
      <c r="E93" s="37"/>
      <c r="F93" s="37"/>
      <c r="G93" s="36"/>
      <c r="H93" s="36"/>
      <c r="I93" s="36"/>
      <c r="J93" s="36"/>
      <c r="K93" s="36"/>
      <c r="L93" s="36"/>
      <c r="M93" s="36"/>
      <c r="N93" s="40"/>
      <c r="O93" s="40"/>
      <c r="P93" s="40"/>
      <c r="Q93" s="40"/>
      <c r="R93" s="36"/>
      <c r="S93" s="40"/>
      <c r="T93" s="40"/>
      <c r="U93" s="40"/>
      <c r="AB93" s="31"/>
      <c r="AC93" s="31"/>
      <c r="AD93" s="31"/>
      <c r="AE93" s="31"/>
      <c r="AF93" s="36"/>
      <c r="AH93" s="36"/>
      <c r="AJ93" s="36"/>
      <c r="AL93" s="36"/>
      <c r="AU93" s="1"/>
      <c r="BB93" s="27"/>
      <c r="BG93" s="28"/>
    </row>
    <row r="94" spans="1:59" ht="15.5" x14ac:dyDescent="0.35">
      <c r="A94" s="1">
        <v>363.2</v>
      </c>
      <c r="B94" s="1" t="s">
        <v>98</v>
      </c>
      <c r="D94" s="36"/>
      <c r="E94" s="37"/>
      <c r="F94" s="37"/>
      <c r="G94" s="36"/>
      <c r="H94" s="36"/>
      <c r="I94" s="36"/>
      <c r="J94" s="36"/>
      <c r="K94" s="36"/>
      <c r="L94" s="36"/>
      <c r="M94" s="36"/>
      <c r="N94" s="40"/>
      <c r="O94" s="40"/>
      <c r="P94" s="40"/>
      <c r="Q94" s="40"/>
      <c r="R94" s="36"/>
      <c r="S94" s="40"/>
      <c r="T94" s="40"/>
      <c r="U94" s="40"/>
      <c r="AB94" s="31"/>
      <c r="AC94" s="31"/>
      <c r="AD94" s="31"/>
      <c r="AE94" s="31"/>
      <c r="AF94" s="36"/>
      <c r="AH94" s="36"/>
      <c r="AJ94" s="36"/>
      <c r="AL94" s="36"/>
      <c r="AU94" s="1"/>
      <c r="BB94" s="27"/>
      <c r="BG94" s="28"/>
    </row>
    <row r="95" spans="1:59" ht="15.5" x14ac:dyDescent="0.35">
      <c r="B95" s="1" t="s">
        <v>99</v>
      </c>
      <c r="C95" s="33">
        <v>38168</v>
      </c>
      <c r="D95" s="36">
        <v>47654</v>
      </c>
      <c r="E95" s="37" t="s">
        <v>21</v>
      </c>
      <c r="F95" s="37">
        <v>20</v>
      </c>
      <c r="G95" s="36"/>
      <c r="H95" s="36">
        <f>SUM(D95/F95/2)</f>
        <v>1191.3499999999999</v>
      </c>
      <c r="I95" s="36">
        <f>SUM(G95:H95)</f>
        <v>1191.3499999999999</v>
      </c>
      <c r="J95" s="36">
        <f>SUM(D95/F95)</f>
        <v>2382.6999999999998</v>
      </c>
      <c r="K95" s="36">
        <f>SUM(I95:J95)</f>
        <v>3574.0499999999997</v>
      </c>
      <c r="L95" s="36">
        <f>SUM(D95/F95)</f>
        <v>2382.6999999999998</v>
      </c>
      <c r="M95" s="36">
        <f>SUM(K95:L95)</f>
        <v>5956.75</v>
      </c>
      <c r="N95" s="36">
        <f>SUM(D95/F95)</f>
        <v>2382.6999999999998</v>
      </c>
      <c r="O95" s="36">
        <f>SUM(M95+N95)</f>
        <v>8339.4500000000007</v>
      </c>
      <c r="P95" s="36">
        <f>SUM(D95/F95)</f>
        <v>2382.6999999999998</v>
      </c>
      <c r="Q95" s="36">
        <f>SUM(O95+P95)</f>
        <v>10722.150000000001</v>
      </c>
      <c r="R95" s="36">
        <f>SUM(D95/F95)</f>
        <v>2382.6999999999998</v>
      </c>
      <c r="S95" s="36">
        <f>SUM(Q95+R95)</f>
        <v>13104.850000000002</v>
      </c>
      <c r="T95" s="36">
        <f>R95</f>
        <v>2382.6999999999998</v>
      </c>
      <c r="U95" s="36">
        <f>S95+T95</f>
        <v>15487.550000000003</v>
      </c>
      <c r="V95" s="36">
        <f>T95</f>
        <v>2382.6999999999998</v>
      </c>
      <c r="W95" s="36">
        <f>U95+V95</f>
        <v>17870.250000000004</v>
      </c>
      <c r="X95" s="36">
        <f>V95</f>
        <v>2382.6999999999998</v>
      </c>
      <c r="Y95" s="36">
        <f>W95+X95</f>
        <v>20252.950000000004</v>
      </c>
      <c r="Z95" s="36">
        <f>X95</f>
        <v>2382.6999999999998</v>
      </c>
      <c r="AA95" s="36">
        <f>Y95+Z95</f>
        <v>22635.650000000005</v>
      </c>
      <c r="AB95" s="31">
        <f>Z95</f>
        <v>2382.6999999999998</v>
      </c>
      <c r="AC95" s="31">
        <f>AA95+AB95</f>
        <v>25018.350000000006</v>
      </c>
      <c r="AD95" s="31">
        <f>AB95</f>
        <v>2382.6999999999998</v>
      </c>
      <c r="AE95" s="31">
        <f>AC95+AD95</f>
        <v>27401.050000000007</v>
      </c>
      <c r="AF95" s="31">
        <f>AD95</f>
        <v>2382.6999999999998</v>
      </c>
      <c r="AG95" s="31">
        <f>AE95+AF95</f>
        <v>29783.750000000007</v>
      </c>
      <c r="AH95" s="31">
        <f>AF95</f>
        <v>2382.6999999999998</v>
      </c>
      <c r="AI95" s="31">
        <f>AG95+AH95</f>
        <v>32166.450000000008</v>
      </c>
      <c r="AJ95" s="31">
        <f>AH95</f>
        <v>2382.6999999999998</v>
      </c>
      <c r="AK95" s="31">
        <f>AI95+AJ95</f>
        <v>34549.150000000009</v>
      </c>
      <c r="AL95" s="31">
        <f>AJ95</f>
        <v>2382.6999999999998</v>
      </c>
      <c r="AM95" s="31">
        <f>AK95+AL95</f>
        <v>36931.850000000006</v>
      </c>
      <c r="AN95" s="31">
        <v>2383</v>
      </c>
      <c r="AO95" s="31">
        <f>AL95+AM95</f>
        <v>39314.550000000003</v>
      </c>
      <c r="AP95" s="31">
        <f>D95-AO95</f>
        <v>8339.4499999999971</v>
      </c>
      <c r="AQ95" s="31">
        <f>SUM(AN95)</f>
        <v>2383</v>
      </c>
      <c r="AR95" s="31">
        <f>AO95+AQ95</f>
        <v>41697.550000000003</v>
      </c>
      <c r="AS95" s="31">
        <f>D95-AR95</f>
        <v>5956.4499999999971</v>
      </c>
      <c r="AU95" s="1">
        <v>7</v>
      </c>
      <c r="AV95" s="31">
        <v>0</v>
      </c>
      <c r="AW95" s="31">
        <f t="shared" ref="AW95" si="161">SUM(AO95+AV95)</f>
        <v>39314.550000000003</v>
      </c>
      <c r="AX95" s="4">
        <f t="shared" ref="AX95" si="162">SUM(D95-AW95)</f>
        <v>8339.4499999999971</v>
      </c>
      <c r="AY95" s="4">
        <v>0</v>
      </c>
      <c r="AZ95" s="4">
        <f t="shared" ref="AZ95" si="163">SUM(AW95+AY95)</f>
        <v>39314.550000000003</v>
      </c>
      <c r="BA95" s="4">
        <f t="shared" ref="BA95" si="164">SUM(D95-AZ95)</f>
        <v>8339.4499999999971</v>
      </c>
      <c r="BB95" s="34">
        <v>0</v>
      </c>
      <c r="BC95" s="4">
        <f t="shared" ref="BC95" si="165">SUM(AZ95+BB95)</f>
        <v>39314.550000000003</v>
      </c>
      <c r="BD95" s="4">
        <f t="shared" ref="BD95" si="166">SUM(D95-BC95)</f>
        <v>8339.4499999999971</v>
      </c>
      <c r="BG95" s="35">
        <v>0</v>
      </c>
    </row>
    <row r="96" spans="1:59" ht="15.5" x14ac:dyDescent="0.35">
      <c r="D96" s="31"/>
      <c r="E96" s="32"/>
      <c r="F96" s="32"/>
      <c r="G96" s="31"/>
      <c r="H96" s="31"/>
      <c r="I96" s="31"/>
      <c r="J96" s="31"/>
      <c r="K96" s="31"/>
      <c r="L96" s="31"/>
      <c r="M96" s="31"/>
      <c r="R96" s="31"/>
      <c r="AB96" s="31"/>
      <c r="AC96" s="31"/>
      <c r="AD96" s="31"/>
      <c r="AE96" s="31"/>
      <c r="AF96" s="31"/>
      <c r="AH96" s="31"/>
      <c r="AJ96" s="31"/>
      <c r="AL96" s="31"/>
      <c r="AU96" s="1"/>
      <c r="BB96" s="27"/>
      <c r="BG96" s="28"/>
    </row>
    <row r="97" spans="1:60" ht="15.5" x14ac:dyDescent="0.35">
      <c r="A97" s="1">
        <v>373</v>
      </c>
      <c r="B97" s="1" t="s">
        <v>100</v>
      </c>
      <c r="D97" s="31"/>
      <c r="E97" s="32"/>
      <c r="F97" s="32"/>
      <c r="G97" s="31"/>
      <c r="H97" s="31"/>
      <c r="I97" s="31"/>
      <c r="J97" s="31"/>
      <c r="K97" s="31"/>
      <c r="L97" s="31"/>
      <c r="M97" s="31"/>
      <c r="R97" s="31"/>
      <c r="AB97" s="31"/>
      <c r="AC97" s="31"/>
      <c r="AD97" s="31"/>
      <c r="AE97" s="31"/>
      <c r="AF97" s="31"/>
      <c r="AH97" s="31"/>
      <c r="AJ97" s="31"/>
      <c r="AL97" s="31"/>
      <c r="AU97" s="1"/>
      <c r="BB97" s="27"/>
      <c r="BG97" s="28"/>
    </row>
    <row r="98" spans="1:60" ht="15.5" x14ac:dyDescent="0.35">
      <c r="B98" s="1" t="s">
        <v>101</v>
      </c>
      <c r="C98" s="33">
        <v>44703</v>
      </c>
      <c r="D98" s="31">
        <v>10680</v>
      </c>
      <c r="E98" s="32"/>
      <c r="F98" s="32"/>
      <c r="G98" s="31"/>
      <c r="H98" s="31"/>
      <c r="I98" s="31"/>
      <c r="J98" s="31"/>
      <c r="K98" s="31"/>
      <c r="L98" s="31"/>
      <c r="M98" s="31"/>
      <c r="R98" s="31"/>
      <c r="W98" s="31"/>
      <c r="Y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P98" s="31"/>
      <c r="AQ98" s="31"/>
      <c r="AR98" s="31"/>
      <c r="AS98" s="31"/>
      <c r="AU98" s="43">
        <v>7</v>
      </c>
      <c r="AV98" s="31"/>
      <c r="AW98" s="31"/>
      <c r="AX98" s="4"/>
      <c r="AY98" s="4">
        <f t="shared" ref="AY98" si="167">SUM(D98/AU98/2)</f>
        <v>762.85714285714289</v>
      </c>
      <c r="AZ98" s="4">
        <f t="shared" ref="AZ98" si="168">SUM(AW98+AY98)</f>
        <v>762.85714285714289</v>
      </c>
      <c r="BA98" s="4">
        <f t="shared" ref="BA98" si="169">SUM(D98-AZ98)</f>
        <v>9917.1428571428569</v>
      </c>
      <c r="BB98" s="34">
        <f t="shared" ref="BB98" si="170">SUM(D98/AU98)</f>
        <v>1525.7142857142858</v>
      </c>
      <c r="BC98" s="4">
        <f t="shared" ref="BC98" si="171">SUM(AZ98+BB98)</f>
        <v>2288.5714285714284</v>
      </c>
      <c r="BD98" s="4">
        <f t="shared" ref="BD98" si="172">SUM(D98-BC98)</f>
        <v>8391.4285714285725</v>
      </c>
      <c r="BG98" s="35">
        <v>1525.7142857142858</v>
      </c>
    </row>
    <row r="99" spans="1:60" ht="15.5" x14ac:dyDescent="0.35">
      <c r="D99" s="31"/>
      <c r="E99" s="32"/>
      <c r="F99" s="32"/>
      <c r="G99" s="31"/>
      <c r="H99" s="31"/>
      <c r="I99" s="31"/>
      <c r="J99" s="31"/>
      <c r="K99" s="31"/>
      <c r="L99" s="31"/>
      <c r="M99" s="31"/>
      <c r="R99" s="31"/>
      <c r="AB99" s="31"/>
      <c r="AC99" s="31"/>
      <c r="AD99" s="31"/>
      <c r="AE99" s="31"/>
      <c r="AF99" s="31"/>
      <c r="AH99" s="31"/>
      <c r="AJ99" s="31"/>
      <c r="AL99" s="31"/>
      <c r="AU99" s="1"/>
      <c r="BB99" s="27"/>
      <c r="BG99" s="28"/>
    </row>
    <row r="100" spans="1:60" ht="15.5" x14ac:dyDescent="0.35">
      <c r="A100" s="1">
        <v>391</v>
      </c>
      <c r="B100" s="1" t="s">
        <v>102</v>
      </c>
      <c r="D100" s="31"/>
      <c r="E100" s="32"/>
      <c r="F100" s="32"/>
      <c r="G100" s="31"/>
      <c r="H100" s="31"/>
      <c r="I100" s="31"/>
      <c r="J100" s="31"/>
      <c r="K100" s="31"/>
      <c r="L100" s="31"/>
      <c r="M100" s="31"/>
      <c r="R100" s="31"/>
      <c r="AB100" s="31"/>
      <c r="AC100" s="31"/>
      <c r="AD100" s="31"/>
      <c r="AE100" s="31"/>
      <c r="AF100" s="31"/>
      <c r="AH100" s="31"/>
      <c r="AJ100" s="31"/>
      <c r="AL100" s="31"/>
      <c r="AU100" s="1" t="s">
        <v>103</v>
      </c>
      <c r="BB100" s="27"/>
      <c r="BG100" s="28"/>
    </row>
    <row r="101" spans="1:60" ht="15.5" x14ac:dyDescent="0.35">
      <c r="B101" s="46" t="s">
        <v>104</v>
      </c>
      <c r="C101" s="33">
        <v>37073</v>
      </c>
      <c r="D101" s="31">
        <v>1300</v>
      </c>
      <c r="E101" s="32" t="s">
        <v>21</v>
      </c>
      <c r="F101" s="32">
        <v>10</v>
      </c>
      <c r="G101" s="31">
        <f>192+130</f>
        <v>322</v>
      </c>
      <c r="H101" s="31">
        <f>SUM(D101/F101)</f>
        <v>130</v>
      </c>
      <c r="I101" s="31">
        <f>SUM(G101:H101)</f>
        <v>452</v>
      </c>
      <c r="J101" s="31">
        <f>SUM(D101/F101)</f>
        <v>130</v>
      </c>
      <c r="K101" s="31">
        <f>SUM(I101:J101)</f>
        <v>582</v>
      </c>
      <c r="L101" s="31">
        <f>SUM(D101/F101)</f>
        <v>130</v>
      </c>
      <c r="M101" s="31">
        <f>SUM(K101:L101)</f>
        <v>712</v>
      </c>
      <c r="N101" s="31">
        <f>SUM(D101/F101)</f>
        <v>130</v>
      </c>
      <c r="O101" s="31">
        <f>SUM(M101+N101)</f>
        <v>842</v>
      </c>
      <c r="P101" s="31">
        <f>SUM(D101/F101)</f>
        <v>130</v>
      </c>
      <c r="Q101" s="31">
        <f>SUM(O101+P101)</f>
        <v>972</v>
      </c>
      <c r="R101" s="31">
        <f>SUM(D101/F101)</f>
        <v>130</v>
      </c>
      <c r="S101" s="31">
        <f>SUM(Q101+R101)</f>
        <v>1102</v>
      </c>
      <c r="T101" s="31">
        <f>SUM(D101/10)</f>
        <v>130</v>
      </c>
      <c r="U101" s="31">
        <f>S101+T101</f>
        <v>1232</v>
      </c>
      <c r="V101" s="31">
        <f>1300-1232</f>
        <v>68</v>
      </c>
      <c r="W101" s="31">
        <f>U101+V101</f>
        <v>1300</v>
      </c>
      <c r="X101" s="31">
        <v>0</v>
      </c>
      <c r="Y101" s="31">
        <f>W101+X101</f>
        <v>1300</v>
      </c>
      <c r="Z101" s="31">
        <v>0</v>
      </c>
      <c r="AA101" s="31">
        <f>Y101+Z101</f>
        <v>1300</v>
      </c>
      <c r="AB101" s="31">
        <f>Z101</f>
        <v>0</v>
      </c>
      <c r="AC101" s="31">
        <f>AA101+AB101</f>
        <v>1300</v>
      </c>
      <c r="AD101" s="31">
        <f>AB101</f>
        <v>0</v>
      </c>
      <c r="AE101" s="31">
        <f>AC101+AD101</f>
        <v>1300</v>
      </c>
      <c r="AF101" s="31">
        <f>AD101</f>
        <v>0</v>
      </c>
      <c r="AG101" s="31">
        <f>AE101+AF101</f>
        <v>1300</v>
      </c>
      <c r="AH101" s="31">
        <f>AF101</f>
        <v>0</v>
      </c>
      <c r="AI101" s="31">
        <f>AG101+AH101</f>
        <v>1300</v>
      </c>
      <c r="AJ101" s="31">
        <f>AH101</f>
        <v>0</v>
      </c>
      <c r="AK101" s="31">
        <f>AI101+AJ101</f>
        <v>1300</v>
      </c>
      <c r="AL101" s="31">
        <f>AJ101</f>
        <v>0</v>
      </c>
      <c r="AM101" s="31">
        <f>AK101+AL101</f>
        <v>1300</v>
      </c>
      <c r="AN101" s="31">
        <f>AL101</f>
        <v>0</v>
      </c>
      <c r="AO101" s="31">
        <f>AM101+AN101</f>
        <v>1300</v>
      </c>
      <c r="AP101" s="31">
        <f>D101-AO101</f>
        <v>0</v>
      </c>
      <c r="AQ101" s="31">
        <f>SUM(AN101)</f>
        <v>0</v>
      </c>
      <c r="AR101" s="31">
        <f>AO101+AQ101</f>
        <v>1300</v>
      </c>
      <c r="AS101" s="31">
        <f>D101-AR101</f>
        <v>0</v>
      </c>
      <c r="AU101" s="46">
        <v>22.5</v>
      </c>
      <c r="AV101" s="31">
        <v>0</v>
      </c>
      <c r="AW101" s="31">
        <f t="shared" ref="AW101:AW102" si="173">SUM(AO101+AV101)</f>
        <v>1300</v>
      </c>
      <c r="AX101" s="4">
        <f t="shared" ref="AX101:AX102" si="174">SUM(D101-AW101)</f>
        <v>0</v>
      </c>
      <c r="AY101" s="4">
        <v>0</v>
      </c>
      <c r="AZ101" s="4">
        <f t="shared" ref="AZ101:AZ102" si="175">SUM(AW101+AY101)</f>
        <v>1300</v>
      </c>
      <c r="BA101" s="4">
        <f t="shared" ref="BA101:BA102" si="176">SUM(D101-AZ101)</f>
        <v>0</v>
      </c>
      <c r="BB101" s="34">
        <v>0</v>
      </c>
      <c r="BC101" s="4">
        <f t="shared" ref="BC101:BC102" si="177">SUM(AZ101+BB101)</f>
        <v>1300</v>
      </c>
      <c r="BD101" s="4">
        <f t="shared" ref="BD101:BD102" si="178">SUM(D101-BC101)</f>
        <v>0</v>
      </c>
      <c r="BG101" s="35">
        <v>0</v>
      </c>
    </row>
    <row r="102" spans="1:60" ht="15.5" x14ac:dyDescent="0.35">
      <c r="B102" s="46" t="s">
        <v>105</v>
      </c>
      <c r="C102" s="33">
        <v>37865</v>
      </c>
      <c r="D102" s="31">
        <v>4478</v>
      </c>
      <c r="E102" s="32" t="s">
        <v>21</v>
      </c>
      <c r="F102" s="32">
        <v>10</v>
      </c>
      <c r="G102" s="31">
        <v>149</v>
      </c>
      <c r="H102" s="31">
        <f>SUM(D102/F102)</f>
        <v>447.8</v>
      </c>
      <c r="I102" s="31">
        <f>SUM(G102:H102)</f>
        <v>596.79999999999995</v>
      </c>
      <c r="J102" s="31">
        <f>SUM(D102/F102)</f>
        <v>447.8</v>
      </c>
      <c r="K102" s="31">
        <f>SUM(I102:J102)</f>
        <v>1044.5999999999999</v>
      </c>
      <c r="L102" s="31">
        <f>SUM(D102/F102)</f>
        <v>447.8</v>
      </c>
      <c r="M102" s="31">
        <f>SUM(K102:L102)</f>
        <v>1492.3999999999999</v>
      </c>
      <c r="N102" s="31">
        <f>SUM(D102/F102)</f>
        <v>447.8</v>
      </c>
      <c r="O102" s="31">
        <f>SUM(M102+N102)</f>
        <v>1940.1999999999998</v>
      </c>
      <c r="P102" s="31">
        <f>SUM(D102/F102)</f>
        <v>447.8</v>
      </c>
      <c r="Q102" s="31">
        <f>SUM(O102+P102)</f>
        <v>2388</v>
      </c>
      <c r="R102" s="31">
        <f>SUM(D102/F102)</f>
        <v>447.8</v>
      </c>
      <c r="S102" s="31">
        <f>SUM(Q102+R102)</f>
        <v>2835.8</v>
      </c>
      <c r="T102" s="31">
        <f>SUM(D102/10)</f>
        <v>447.8</v>
      </c>
      <c r="U102" s="31">
        <f>S102+T102</f>
        <v>3283.6000000000004</v>
      </c>
      <c r="V102" s="31">
        <v>448</v>
      </c>
      <c r="W102" s="31">
        <f>U102+V102</f>
        <v>3731.6000000000004</v>
      </c>
      <c r="X102" s="31">
        <v>639</v>
      </c>
      <c r="Y102" s="31">
        <f>W102+X102</f>
        <v>4370.6000000000004</v>
      </c>
      <c r="Z102" s="31">
        <f>4478-4371</f>
        <v>107</v>
      </c>
      <c r="AA102" s="31">
        <f>Y102+Z102</f>
        <v>4477.6000000000004</v>
      </c>
      <c r="AB102" s="31">
        <v>0</v>
      </c>
      <c r="AC102" s="31">
        <f>AA102+AB102</f>
        <v>4477.6000000000004</v>
      </c>
      <c r="AD102" s="31">
        <v>0</v>
      </c>
      <c r="AE102" s="31">
        <f>AC102+AD102</f>
        <v>4477.6000000000004</v>
      </c>
      <c r="AF102" s="31">
        <v>0</v>
      </c>
      <c r="AG102" s="31">
        <f>AE102+AF102</f>
        <v>4477.6000000000004</v>
      </c>
      <c r="AH102" s="31">
        <v>0</v>
      </c>
      <c r="AI102" s="31">
        <f>AG102+AH102</f>
        <v>4477.6000000000004</v>
      </c>
      <c r="AJ102" s="31">
        <v>0</v>
      </c>
      <c r="AK102" s="31">
        <f>AI102+AJ102</f>
        <v>4477.6000000000004</v>
      </c>
      <c r="AL102" s="31">
        <v>0</v>
      </c>
      <c r="AM102" s="31">
        <f>AK102+AL102</f>
        <v>4477.6000000000004</v>
      </c>
      <c r="AN102" s="31">
        <v>0</v>
      </c>
      <c r="AO102" s="31">
        <f>AM102+AN102</f>
        <v>4477.6000000000004</v>
      </c>
      <c r="AP102" s="31">
        <f>D102-AO102</f>
        <v>0.3999999999996362</v>
      </c>
      <c r="AQ102" s="31">
        <f>SUM(AN102)</f>
        <v>0</v>
      </c>
      <c r="AR102" s="31">
        <f>AO102+AQ102</f>
        <v>4477.6000000000004</v>
      </c>
      <c r="AS102" s="31">
        <f>D102-AR102</f>
        <v>0.3999999999996362</v>
      </c>
      <c r="AU102" s="46">
        <v>22.5</v>
      </c>
      <c r="AV102" s="31">
        <v>0</v>
      </c>
      <c r="AW102" s="31">
        <f t="shared" si="173"/>
        <v>4477.6000000000004</v>
      </c>
      <c r="AX102" s="4">
        <f t="shared" si="174"/>
        <v>0.3999999999996362</v>
      </c>
      <c r="AY102" s="4">
        <v>0</v>
      </c>
      <c r="AZ102" s="4">
        <f t="shared" si="175"/>
        <v>4477.6000000000004</v>
      </c>
      <c r="BA102" s="4">
        <f t="shared" si="176"/>
        <v>0.3999999999996362</v>
      </c>
      <c r="BB102" s="34">
        <v>0</v>
      </c>
      <c r="BC102" s="4">
        <f t="shared" si="177"/>
        <v>4477.6000000000004</v>
      </c>
      <c r="BD102" s="4">
        <f t="shared" si="178"/>
        <v>0.3999999999996362</v>
      </c>
      <c r="BG102" s="35">
        <v>0</v>
      </c>
    </row>
    <row r="103" spans="1:60" ht="15.5" x14ac:dyDescent="0.35">
      <c r="C103" s="33"/>
      <c r="D103" s="31"/>
      <c r="E103" s="32"/>
      <c r="F103" s="32"/>
      <c r="G103" s="31"/>
      <c r="H103" s="31"/>
      <c r="I103" s="31"/>
      <c r="J103" s="31"/>
      <c r="K103" s="31"/>
      <c r="L103" s="31"/>
      <c r="M103" s="31"/>
      <c r="R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U103" s="1"/>
      <c r="BB103" s="27"/>
      <c r="BG103" s="28"/>
    </row>
    <row r="104" spans="1:60" ht="15.5" x14ac:dyDescent="0.35">
      <c r="C104" s="33"/>
      <c r="D104" s="36">
        <f>SUM(D101:D103)</f>
        <v>5778</v>
      </c>
      <c r="E104" s="37"/>
      <c r="F104" s="37"/>
      <c r="G104" s="36">
        <f>SUM(G101:G103)</f>
        <v>471</v>
      </c>
      <c r="H104" s="36">
        <f>SUM(H101:H103)</f>
        <v>577.79999999999995</v>
      </c>
      <c r="I104" s="36">
        <f>SUM(I101:I103)</f>
        <v>1048.8</v>
      </c>
      <c r="J104" s="36">
        <f>SUM(J101:J103)</f>
        <v>577.79999999999995</v>
      </c>
      <c r="K104" s="36">
        <f>SUM(I104:J104)</f>
        <v>1626.6</v>
      </c>
      <c r="L104" s="36">
        <f>SUM(L101:L103)</f>
        <v>577.79999999999995</v>
      </c>
      <c r="M104" s="36">
        <f>SUM(K104:L104)</f>
        <v>2204.3999999999996</v>
      </c>
      <c r="N104" s="36">
        <f t="shared" ref="N104:S104" si="179">SUM(N101:N102)</f>
        <v>577.79999999999995</v>
      </c>
      <c r="O104" s="36">
        <f t="shared" si="179"/>
        <v>2782.2</v>
      </c>
      <c r="P104" s="36">
        <f t="shared" si="179"/>
        <v>577.79999999999995</v>
      </c>
      <c r="Q104" s="36">
        <f t="shared" si="179"/>
        <v>3360</v>
      </c>
      <c r="R104" s="36">
        <f t="shared" si="179"/>
        <v>577.79999999999995</v>
      </c>
      <c r="S104" s="36">
        <f t="shared" si="179"/>
        <v>3937.8</v>
      </c>
      <c r="T104" s="40">
        <f>SUM(T101:T103)</f>
        <v>577.79999999999995</v>
      </c>
      <c r="U104" s="40">
        <f>SUM(U101:U103)</f>
        <v>4515.6000000000004</v>
      </c>
      <c r="V104" s="36">
        <f t="shared" ref="V104:AA104" si="180">SUM(V101:V102)</f>
        <v>516</v>
      </c>
      <c r="W104" s="36">
        <f t="shared" si="180"/>
        <v>5031.6000000000004</v>
      </c>
      <c r="X104" s="36">
        <f t="shared" si="180"/>
        <v>639</v>
      </c>
      <c r="Y104" s="36">
        <f t="shared" si="180"/>
        <v>5670.6</v>
      </c>
      <c r="Z104" s="36">
        <f t="shared" si="180"/>
        <v>107</v>
      </c>
      <c r="AA104" s="36">
        <f t="shared" si="180"/>
        <v>5777.6</v>
      </c>
      <c r="AB104" s="36">
        <v>0</v>
      </c>
      <c r="AC104" s="36">
        <f>AA104+AB104</f>
        <v>5777.6</v>
      </c>
      <c r="AD104" s="36">
        <v>0</v>
      </c>
      <c r="AE104" s="36">
        <f>AC104+AD104</f>
        <v>5777.6</v>
      </c>
      <c r="AF104" s="36">
        <v>0</v>
      </c>
      <c r="AG104" s="36">
        <f>AE104+AF104</f>
        <v>5777.6</v>
      </c>
      <c r="AH104" s="36">
        <v>0</v>
      </c>
      <c r="AI104" s="36">
        <f>AG104+AH104</f>
        <v>5777.6</v>
      </c>
      <c r="AJ104" s="36">
        <v>0</v>
      </c>
      <c r="AK104" s="36">
        <f>AI104+AJ104</f>
        <v>5777.6</v>
      </c>
      <c r="AL104" s="36">
        <v>0</v>
      </c>
      <c r="AM104" s="36">
        <f>AK104+AL104</f>
        <v>5777.6</v>
      </c>
      <c r="AN104" s="36">
        <v>0</v>
      </c>
      <c r="AO104" s="36">
        <f>AM104+AN104</f>
        <v>5777.6</v>
      </c>
      <c r="AP104" s="36">
        <v>0</v>
      </c>
      <c r="AQ104" s="36">
        <f>SUM(AQ101:AQ103)</f>
        <v>0</v>
      </c>
      <c r="AR104" s="36">
        <f>SUM(AR101:AR103)</f>
        <v>5777.6</v>
      </c>
      <c r="AS104" s="36">
        <f>SUM(AS101:AS103)</f>
        <v>0.3999999999996362</v>
      </c>
      <c r="AT104" s="40"/>
      <c r="AU104" s="40"/>
      <c r="AV104" s="36">
        <f>SUM(AV101:AV103)</f>
        <v>0</v>
      </c>
      <c r="AW104" s="36">
        <f t="shared" ref="AW104:BD104" si="181">SUM(AW101:AW103)</f>
        <v>5777.6</v>
      </c>
      <c r="AX104" s="36">
        <f t="shared" si="181"/>
        <v>0.3999999999996362</v>
      </c>
      <c r="AY104" s="36">
        <f t="shared" si="181"/>
        <v>0</v>
      </c>
      <c r="AZ104" s="36">
        <f t="shared" si="181"/>
        <v>5777.6</v>
      </c>
      <c r="BA104" s="36">
        <f t="shared" si="181"/>
        <v>0.3999999999996362</v>
      </c>
      <c r="BB104" s="38">
        <f t="shared" si="181"/>
        <v>0</v>
      </c>
      <c r="BC104" s="36">
        <f t="shared" si="181"/>
        <v>5777.6</v>
      </c>
      <c r="BD104" s="36">
        <f t="shared" si="181"/>
        <v>0.3999999999996362</v>
      </c>
      <c r="BG104" s="39">
        <v>0</v>
      </c>
    </row>
    <row r="105" spans="1:60" ht="15.5" x14ac:dyDescent="0.35">
      <c r="C105" s="33"/>
      <c r="D105" s="31"/>
      <c r="E105" s="32"/>
      <c r="F105" s="32"/>
      <c r="G105" s="31"/>
      <c r="H105" s="31"/>
      <c r="I105" s="31"/>
      <c r="J105" s="31"/>
      <c r="K105" s="31"/>
      <c r="L105" s="31"/>
      <c r="M105" s="31"/>
      <c r="R105" s="31"/>
      <c r="AB105" s="31"/>
      <c r="AC105" s="31"/>
      <c r="AD105" s="31"/>
      <c r="AE105" s="31"/>
      <c r="AF105" s="31"/>
      <c r="AH105" s="31"/>
      <c r="AJ105" s="31"/>
      <c r="AL105" s="31"/>
      <c r="AU105" s="1"/>
      <c r="BB105" s="27"/>
      <c r="BG105" s="28"/>
    </row>
    <row r="106" spans="1:60" ht="15.5" x14ac:dyDescent="0.35">
      <c r="A106" s="1">
        <v>392</v>
      </c>
      <c r="B106" s="1" t="s">
        <v>106</v>
      </c>
      <c r="C106" s="33"/>
      <c r="D106" s="31"/>
      <c r="E106" s="32"/>
      <c r="F106" s="32"/>
      <c r="G106" s="31"/>
      <c r="H106" s="31"/>
      <c r="I106" s="31"/>
      <c r="J106" s="31"/>
      <c r="K106" s="31"/>
      <c r="L106" s="31"/>
      <c r="M106" s="31"/>
      <c r="R106" s="31"/>
      <c r="AB106" s="31"/>
      <c r="AC106" s="31"/>
      <c r="AD106" s="31"/>
      <c r="AE106" s="31"/>
      <c r="AF106" s="31"/>
      <c r="AH106" s="31"/>
      <c r="AJ106" s="31"/>
      <c r="AL106" s="31"/>
      <c r="AU106" s="1"/>
      <c r="BB106" s="27"/>
      <c r="BG106" s="28"/>
    </row>
    <row r="107" spans="1:60" ht="15.5" x14ac:dyDescent="0.35">
      <c r="C107" s="33"/>
      <c r="D107" s="31"/>
      <c r="E107" s="32"/>
      <c r="F107" s="32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U107" s="1"/>
      <c r="BB107" s="27"/>
      <c r="BG107" s="28"/>
    </row>
    <row r="108" spans="1:60" ht="15.5" x14ac:dyDescent="0.35">
      <c r="B108" s="1" t="s">
        <v>107</v>
      </c>
      <c r="C108" s="33" t="s">
        <v>108</v>
      </c>
      <c r="D108" s="31">
        <v>19828</v>
      </c>
      <c r="E108" s="32" t="s">
        <v>21</v>
      </c>
      <c r="F108" s="32">
        <v>5</v>
      </c>
      <c r="G108" s="31"/>
      <c r="H108" s="31"/>
      <c r="I108" s="31"/>
      <c r="J108" s="31"/>
      <c r="K108" s="31"/>
      <c r="L108" s="31"/>
      <c r="M108" s="31"/>
      <c r="R108" s="31"/>
      <c r="T108" s="1">
        <v>165</v>
      </c>
      <c r="U108" s="1">
        <v>165</v>
      </c>
      <c r="V108" s="1">
        <f>19828/5</f>
        <v>3965.6</v>
      </c>
      <c r="W108" s="31">
        <f>U108+V108</f>
        <v>4130.6000000000004</v>
      </c>
      <c r="X108" s="1">
        <v>3966</v>
      </c>
      <c r="Y108" s="31">
        <f>W108+X108</f>
        <v>8096.6</v>
      </c>
      <c r="Z108" s="1">
        <v>3966</v>
      </c>
      <c r="AA108" s="31">
        <f>Y108+Z108</f>
        <v>12062.6</v>
      </c>
      <c r="AB108" s="31">
        <f>Z108</f>
        <v>3966</v>
      </c>
      <c r="AC108" s="31">
        <f>AA108+AB108</f>
        <v>16028.6</v>
      </c>
      <c r="AD108" s="31">
        <f>19828-16029</f>
        <v>3799</v>
      </c>
      <c r="AE108" s="31">
        <f>AC108+AD108</f>
        <v>19827.599999999999</v>
      </c>
      <c r="AF108" s="31">
        <v>0</v>
      </c>
      <c r="AG108" s="31">
        <f>AE108+AF108</f>
        <v>19827.599999999999</v>
      </c>
      <c r="AH108" s="31">
        <v>0</v>
      </c>
      <c r="AI108" s="31">
        <f>AG108+AH108</f>
        <v>19827.599999999999</v>
      </c>
      <c r="AJ108" s="31">
        <v>0</v>
      </c>
      <c r="AK108" s="31">
        <f>AI108+AJ108</f>
        <v>19827.599999999999</v>
      </c>
      <c r="AL108" s="31">
        <v>0</v>
      </c>
      <c r="AM108" s="31">
        <f>AK108+AL108</f>
        <v>19827.599999999999</v>
      </c>
      <c r="AN108" s="31">
        <v>0</v>
      </c>
      <c r="AO108" s="31">
        <f>AM108+AN108</f>
        <v>19827.599999999999</v>
      </c>
      <c r="AP108" s="31">
        <f>D108-AO108</f>
        <v>0.40000000000145519</v>
      </c>
      <c r="AQ108" s="31">
        <f>SUM(AN108)</f>
        <v>0</v>
      </c>
      <c r="AR108" s="31">
        <f>AO108+AQ108</f>
        <v>19827.599999999999</v>
      </c>
      <c r="AS108" s="31">
        <f>D108-AR108</f>
        <v>0.40000000000145519</v>
      </c>
      <c r="AU108" s="32">
        <v>7</v>
      </c>
      <c r="AV108" s="31">
        <v>0</v>
      </c>
      <c r="AW108" s="31">
        <f t="shared" ref="AW108:AW111" si="182">SUM(AO108+AV108)</f>
        <v>19827.599999999999</v>
      </c>
      <c r="AX108" s="4">
        <f t="shared" ref="AX108:AX111" si="183">SUM(D108-AW108)</f>
        <v>0.40000000000145519</v>
      </c>
      <c r="AY108" s="4">
        <v>0</v>
      </c>
      <c r="AZ108" s="4">
        <f t="shared" ref="AZ108:AZ111" si="184">SUM(AW108+AY108)</f>
        <v>19827.599999999999</v>
      </c>
      <c r="BA108" s="4">
        <f t="shared" ref="BA108:BA111" si="185">SUM(D108-AZ108)</f>
        <v>0.40000000000145519</v>
      </c>
      <c r="BB108" s="34">
        <v>0</v>
      </c>
      <c r="BC108" s="4">
        <f t="shared" ref="BC108:BC109" si="186">SUM(AZ108+BB108)</f>
        <v>19827.599999999999</v>
      </c>
      <c r="BD108" s="4">
        <f t="shared" ref="BD108:BD109" si="187">SUM(D108-BC108)</f>
        <v>0.40000000000145519</v>
      </c>
      <c r="BG108" s="35">
        <v>0</v>
      </c>
    </row>
    <row r="109" spans="1:60" ht="15.5" x14ac:dyDescent="0.35">
      <c r="B109" s="1" t="s">
        <v>109</v>
      </c>
      <c r="C109" s="33" t="s">
        <v>110</v>
      </c>
      <c r="D109" s="31">
        <v>66931</v>
      </c>
      <c r="E109" s="32" t="s">
        <v>21</v>
      </c>
      <c r="F109" s="32">
        <v>5</v>
      </c>
      <c r="G109" s="31"/>
      <c r="H109" s="31"/>
      <c r="I109" s="31"/>
      <c r="J109" s="31"/>
      <c r="K109" s="31"/>
      <c r="L109" s="31"/>
      <c r="M109" s="31"/>
      <c r="R109" s="31"/>
      <c r="W109" s="31"/>
      <c r="Y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>
        <v>1974</v>
      </c>
      <c r="AN109" s="31">
        <f>66931/5/12*6</f>
        <v>6693.1</v>
      </c>
      <c r="AO109" s="31">
        <f>AM109+AN109</f>
        <v>8667.1</v>
      </c>
      <c r="AP109" s="31">
        <f>D109-AO109</f>
        <v>58263.9</v>
      </c>
      <c r="AQ109" s="31">
        <f>SUM(D109/F109)</f>
        <v>13386.2</v>
      </c>
      <c r="AR109" s="31">
        <f>AO109+AQ109</f>
        <v>22053.300000000003</v>
      </c>
      <c r="AS109" s="31">
        <f>D109-AR109</f>
        <v>44877.7</v>
      </c>
      <c r="AU109" s="32">
        <v>7</v>
      </c>
      <c r="AV109" s="31">
        <f t="shared" ref="AV109" si="188">SUM(D109/AU109)</f>
        <v>9561.5714285714294</v>
      </c>
      <c r="AW109" s="31">
        <f t="shared" si="182"/>
        <v>18228.67142857143</v>
      </c>
      <c r="AX109" s="4">
        <f t="shared" si="183"/>
        <v>48702.328571428574</v>
      </c>
      <c r="AY109" s="4">
        <f t="shared" ref="AY109:AY111" si="189">SUM(D109/AU109)</f>
        <v>9561.5714285714294</v>
      </c>
      <c r="AZ109" s="4">
        <f t="shared" si="184"/>
        <v>27790.242857142861</v>
      </c>
      <c r="BA109" s="4">
        <f t="shared" si="185"/>
        <v>39140.757142857139</v>
      </c>
      <c r="BB109" s="34">
        <f t="shared" ref="BB109:BB111" si="190">SUM(D109/AU109)</f>
        <v>9561.5714285714294</v>
      </c>
      <c r="BC109" s="4">
        <f t="shared" si="186"/>
        <v>37351.814285714288</v>
      </c>
      <c r="BD109" s="4">
        <f t="shared" si="187"/>
        <v>29579.185714285712</v>
      </c>
      <c r="BG109" s="35">
        <v>13386.2</v>
      </c>
      <c r="BH109" s="42">
        <f>BB109-BG109</f>
        <v>-3824.6285714285714</v>
      </c>
    </row>
    <row r="110" spans="1:60" ht="15.5" x14ac:dyDescent="0.35">
      <c r="B110" s="1" t="s">
        <v>111</v>
      </c>
      <c r="C110" s="33">
        <v>44274</v>
      </c>
      <c r="D110" s="31">
        <v>5500</v>
      </c>
      <c r="E110" s="32" t="s">
        <v>21</v>
      </c>
      <c r="F110" s="32">
        <v>5</v>
      </c>
      <c r="G110" s="31"/>
      <c r="H110" s="31"/>
      <c r="I110" s="31"/>
      <c r="J110" s="31"/>
      <c r="K110" s="31"/>
      <c r="L110" s="31"/>
      <c r="M110" s="31"/>
      <c r="R110" s="31"/>
      <c r="W110" s="31"/>
      <c r="Y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Q110" s="1">
        <v>550</v>
      </c>
      <c r="AU110" s="32">
        <v>7</v>
      </c>
      <c r="AV110" s="1">
        <v>550</v>
      </c>
      <c r="AW110" s="31">
        <f t="shared" si="182"/>
        <v>550</v>
      </c>
      <c r="AX110" s="4">
        <f t="shared" si="183"/>
        <v>4950</v>
      </c>
      <c r="AY110" s="4">
        <f t="shared" si="189"/>
        <v>785.71428571428567</v>
      </c>
      <c r="AZ110" s="4">
        <f t="shared" si="184"/>
        <v>1335.7142857142858</v>
      </c>
      <c r="BA110" s="4">
        <f t="shared" si="185"/>
        <v>4164.2857142857138</v>
      </c>
      <c r="BB110" s="34">
        <f t="shared" si="190"/>
        <v>785.71428571428567</v>
      </c>
      <c r="BC110" s="4">
        <f t="shared" ref="BC110:BC111" si="191">SUM(AZ110+BB110)</f>
        <v>2121.4285714285716</v>
      </c>
      <c r="BD110" s="4">
        <f t="shared" ref="BD110:BD111" si="192">SUM(D110-BC110)</f>
        <v>3378.5714285714284</v>
      </c>
      <c r="BG110" s="35">
        <v>1100</v>
      </c>
      <c r="BH110" s="42">
        <f t="shared" ref="BH110:BH114" si="193">BB110-BG110</f>
        <v>-314.28571428571433</v>
      </c>
    </row>
    <row r="111" spans="1:60" ht="15.5" x14ac:dyDescent="0.35">
      <c r="B111" s="1" t="s">
        <v>112</v>
      </c>
      <c r="C111" s="33">
        <v>44253</v>
      </c>
      <c r="D111" s="31">
        <v>18000</v>
      </c>
      <c r="E111" s="32" t="s">
        <v>21</v>
      </c>
      <c r="F111" s="32">
        <v>5</v>
      </c>
      <c r="G111" s="31"/>
      <c r="H111" s="31"/>
      <c r="I111" s="31"/>
      <c r="J111" s="31"/>
      <c r="K111" s="31"/>
      <c r="L111" s="31"/>
      <c r="M111" s="31"/>
      <c r="R111" s="31"/>
      <c r="W111" s="31"/>
      <c r="Y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U111" s="32">
        <v>7</v>
      </c>
      <c r="AV111" s="1">
        <f>SUM(D111/5/2)</f>
        <v>1800</v>
      </c>
      <c r="AW111" s="31">
        <f t="shared" si="182"/>
        <v>1800</v>
      </c>
      <c r="AX111" s="4">
        <f t="shared" si="183"/>
        <v>16200</v>
      </c>
      <c r="AY111" s="4">
        <f t="shared" si="189"/>
        <v>2571.4285714285716</v>
      </c>
      <c r="AZ111" s="4">
        <f t="shared" si="184"/>
        <v>4371.4285714285716</v>
      </c>
      <c r="BA111" s="4">
        <f t="shared" si="185"/>
        <v>13628.571428571428</v>
      </c>
      <c r="BB111" s="34">
        <f t="shared" si="190"/>
        <v>2571.4285714285716</v>
      </c>
      <c r="BC111" s="4">
        <f t="shared" si="191"/>
        <v>6942.8571428571431</v>
      </c>
      <c r="BD111" s="4">
        <f t="shared" si="192"/>
        <v>11057.142857142857</v>
      </c>
      <c r="BG111" s="35">
        <v>3600</v>
      </c>
      <c r="BH111" s="42">
        <f t="shared" si="193"/>
        <v>-1028.5714285714284</v>
      </c>
    </row>
    <row r="112" spans="1:60" ht="15.5" x14ac:dyDescent="0.35">
      <c r="B112" s="1" t="s">
        <v>113</v>
      </c>
      <c r="C112" s="33">
        <v>44960</v>
      </c>
      <c r="D112" s="31">
        <v>18000</v>
      </c>
      <c r="E112" s="32" t="s">
        <v>21</v>
      </c>
      <c r="F112" s="32">
        <v>5</v>
      </c>
      <c r="G112" s="31"/>
      <c r="H112" s="31"/>
      <c r="I112" s="31"/>
      <c r="J112" s="31"/>
      <c r="K112" s="31"/>
      <c r="L112" s="31"/>
      <c r="M112" s="31"/>
      <c r="R112" s="31"/>
      <c r="W112" s="31"/>
      <c r="Y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U112" s="32">
        <v>7</v>
      </c>
      <c r="AW112" s="31"/>
      <c r="AX112" s="4"/>
      <c r="AY112" s="4"/>
      <c r="AZ112" s="4"/>
      <c r="BA112" s="4"/>
      <c r="BB112" s="34">
        <f>SUM(D112/AU112/2)</f>
        <v>1285.7142857142858</v>
      </c>
      <c r="BC112" s="4">
        <f t="shared" ref="BC112:BC114" si="194">SUM(AZ112+BB112)</f>
        <v>1285.7142857142858</v>
      </c>
      <c r="BD112" s="4">
        <f t="shared" ref="BD112:BD114" si="195">SUM(D112-BC112)</f>
        <v>16714.285714285714</v>
      </c>
      <c r="BG112" s="35">
        <v>1800</v>
      </c>
      <c r="BH112" s="42">
        <f t="shared" si="193"/>
        <v>-514.28571428571422</v>
      </c>
    </row>
    <row r="113" spans="1:61" ht="15.5" x14ac:dyDescent="0.35">
      <c r="C113" s="33">
        <v>44960</v>
      </c>
      <c r="D113" s="31">
        <v>18000</v>
      </c>
      <c r="E113" s="32" t="s">
        <v>21</v>
      </c>
      <c r="F113" s="32">
        <v>5</v>
      </c>
      <c r="G113" s="31"/>
      <c r="H113" s="31"/>
      <c r="I113" s="31"/>
      <c r="J113" s="31"/>
      <c r="K113" s="31"/>
      <c r="L113" s="31"/>
      <c r="M113" s="31"/>
      <c r="R113" s="31"/>
      <c r="W113" s="31"/>
      <c r="Y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U113" s="32">
        <v>7</v>
      </c>
      <c r="AW113" s="31"/>
      <c r="AX113" s="4"/>
      <c r="AY113" s="4"/>
      <c r="AZ113" s="4"/>
      <c r="BA113" s="4"/>
      <c r="BB113" s="34">
        <f t="shared" ref="BB113:BB114" si="196">SUM(D113/AU113/2)</f>
        <v>1285.7142857142858</v>
      </c>
      <c r="BC113" s="4">
        <f t="shared" si="194"/>
        <v>1285.7142857142858</v>
      </c>
      <c r="BD113" s="4">
        <f t="shared" si="195"/>
        <v>16714.285714285714</v>
      </c>
      <c r="BG113" s="35">
        <v>1800</v>
      </c>
      <c r="BH113" s="42">
        <f t="shared" si="193"/>
        <v>-514.28571428571422</v>
      </c>
    </row>
    <row r="114" spans="1:61" ht="15.5" x14ac:dyDescent="0.35">
      <c r="C114" s="33">
        <v>45183</v>
      </c>
      <c r="D114" s="31">
        <v>10250</v>
      </c>
      <c r="E114" s="32" t="s">
        <v>21</v>
      </c>
      <c r="F114" s="32">
        <v>5</v>
      </c>
      <c r="G114" s="31"/>
      <c r="H114" s="31"/>
      <c r="I114" s="31"/>
      <c r="J114" s="31"/>
      <c r="K114" s="31"/>
      <c r="L114" s="31"/>
      <c r="M114" s="31"/>
      <c r="R114" s="31"/>
      <c r="W114" s="31"/>
      <c r="Y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U114" s="32">
        <v>7</v>
      </c>
      <c r="AW114" s="31"/>
      <c r="AX114" s="4"/>
      <c r="AY114" s="4"/>
      <c r="AZ114" s="4"/>
      <c r="BA114" s="4"/>
      <c r="BB114" s="34">
        <f t="shared" si="196"/>
        <v>732.14285714285711</v>
      </c>
      <c r="BC114" s="4">
        <f t="shared" si="194"/>
        <v>732.14285714285711</v>
      </c>
      <c r="BD114" s="4">
        <f t="shared" si="195"/>
        <v>9517.8571428571431</v>
      </c>
      <c r="BE114" s="4">
        <f>SUM(D112:D114)</f>
        <v>46250</v>
      </c>
      <c r="BG114" s="35">
        <v>1025</v>
      </c>
      <c r="BH114" s="42">
        <f t="shared" si="193"/>
        <v>-292.85714285714289</v>
      </c>
    </row>
    <row r="115" spans="1:61" ht="15.5" x14ac:dyDescent="0.35">
      <c r="C115" s="33"/>
      <c r="D115" s="31"/>
      <c r="E115" s="32"/>
      <c r="F115" s="32"/>
      <c r="G115" s="31"/>
      <c r="H115" s="31"/>
      <c r="I115" s="31"/>
      <c r="J115" s="31"/>
      <c r="K115" s="31"/>
      <c r="L115" s="31"/>
      <c r="M115" s="31"/>
      <c r="R115" s="31"/>
      <c r="W115" s="31"/>
      <c r="Y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U115" s="1"/>
      <c r="BB115" s="27"/>
      <c r="BG115" s="28"/>
    </row>
    <row r="116" spans="1:61" ht="15.5" x14ac:dyDescent="0.35">
      <c r="B116" s="1" t="s">
        <v>114</v>
      </c>
      <c r="C116" s="47"/>
      <c r="D116" s="36">
        <f>SUM(D107:D114)</f>
        <v>156509</v>
      </c>
      <c r="E116" s="37"/>
      <c r="F116" s="37"/>
      <c r="G116" s="36">
        <f>SUM(G108:G108)</f>
        <v>0</v>
      </c>
      <c r="H116" s="36">
        <f>SUM(H108:H108)</f>
        <v>0</v>
      </c>
      <c r="I116" s="36">
        <f>SUM(I108:I108)</f>
        <v>0</v>
      </c>
      <c r="J116" s="36">
        <f>SUM(J108:J108)</f>
        <v>0</v>
      </c>
      <c r="K116" s="36">
        <f>SUM(I116:J116)</f>
        <v>0</v>
      </c>
      <c r="L116" s="36">
        <f>SUM(L108:L108)</f>
        <v>0</v>
      </c>
      <c r="M116" s="36">
        <f>SUM(K116:L116)</f>
        <v>0</v>
      </c>
      <c r="N116" s="36">
        <f>SUM(N108:N108)</f>
        <v>0</v>
      </c>
      <c r="O116" s="36" t="e">
        <f>SUM(#REF!)</f>
        <v>#REF!</v>
      </c>
      <c r="P116" s="36">
        <f>SUM(P108:P108)</f>
        <v>0</v>
      </c>
      <c r="Q116" s="36" t="e">
        <f>SUM(#REF!)</f>
        <v>#REF!</v>
      </c>
      <c r="R116" s="36" t="e">
        <f>SUM(#REF!)</f>
        <v>#REF!</v>
      </c>
      <c r="S116" s="36" t="e">
        <f>SUM(#REF!)</f>
        <v>#REF!</v>
      </c>
      <c r="T116" s="40">
        <f t="shared" ref="T116:AB116" si="197">SUM(T108:T108)</f>
        <v>165</v>
      </c>
      <c r="U116" s="40">
        <f t="shared" si="197"/>
        <v>165</v>
      </c>
      <c r="V116" s="40">
        <f t="shared" si="197"/>
        <v>3965.6</v>
      </c>
      <c r="W116" s="40">
        <f t="shared" si="197"/>
        <v>4130.6000000000004</v>
      </c>
      <c r="X116" s="40">
        <f t="shared" si="197"/>
        <v>3966</v>
      </c>
      <c r="Y116" s="40">
        <f t="shared" si="197"/>
        <v>8096.6</v>
      </c>
      <c r="Z116" s="40">
        <f t="shared" si="197"/>
        <v>3966</v>
      </c>
      <c r="AA116" s="40">
        <f t="shared" si="197"/>
        <v>12062.6</v>
      </c>
      <c r="AB116" s="36">
        <f t="shared" si="197"/>
        <v>3966</v>
      </c>
      <c r="AC116" s="36">
        <f>AA116+AB116</f>
        <v>16028.6</v>
      </c>
      <c r="AD116" s="36">
        <f>SUM(AD108:AD108)</f>
        <v>3799</v>
      </c>
      <c r="AE116" s="36">
        <f>SUM(AE108:AE108)</f>
        <v>19827.599999999999</v>
      </c>
      <c r="AF116" s="36">
        <f>SUM(AF108:AF108)</f>
        <v>0</v>
      </c>
      <c r="AG116" s="36">
        <f>SUM(AG108:AG108)</f>
        <v>19827.599999999999</v>
      </c>
      <c r="AH116" s="36">
        <f>SUM(AH108:AH108)</f>
        <v>0</v>
      </c>
      <c r="AI116" s="36">
        <f>SUM(AI107:AI109)</f>
        <v>19827.599999999999</v>
      </c>
      <c r="AJ116" s="36">
        <f>SUM(AJ107:AJ109)</f>
        <v>0</v>
      </c>
      <c r="AK116" s="36">
        <f>SUM(AK107:AK109)</f>
        <v>19827.599999999999</v>
      </c>
      <c r="AL116" s="36">
        <f>SUM(AL107:AL109)</f>
        <v>0</v>
      </c>
      <c r="AM116" s="36">
        <f t="shared" ref="AM116:AX116" si="198">SUM(AM107:AM110)</f>
        <v>21801.599999999999</v>
      </c>
      <c r="AN116" s="36">
        <f t="shared" si="198"/>
        <v>6693.1</v>
      </c>
      <c r="AO116" s="36">
        <f t="shared" si="198"/>
        <v>28494.699999999997</v>
      </c>
      <c r="AP116" s="36">
        <f t="shared" si="198"/>
        <v>58264.3</v>
      </c>
      <c r="AQ116" s="36">
        <f t="shared" si="198"/>
        <v>13936.2</v>
      </c>
      <c r="AR116" s="36">
        <f t="shared" si="198"/>
        <v>41880.9</v>
      </c>
      <c r="AS116" s="36">
        <f t="shared" si="198"/>
        <v>44878.1</v>
      </c>
      <c r="AT116" s="36"/>
      <c r="AU116" s="36"/>
      <c r="AV116" s="36">
        <f t="shared" si="198"/>
        <v>10111.571428571429</v>
      </c>
      <c r="AW116" s="36">
        <f t="shared" si="198"/>
        <v>38606.271428571432</v>
      </c>
      <c r="AX116" s="36">
        <f t="shared" si="198"/>
        <v>53652.728571428575</v>
      </c>
      <c r="AY116" s="36">
        <f>SUM(AY107:AY111)</f>
        <v>12918.714285714286</v>
      </c>
      <c r="AZ116" s="36">
        <f t="shared" ref="AZ116:BA116" si="199">SUM(AZ107:AZ111)</f>
        <v>53324.985714285714</v>
      </c>
      <c r="BA116" s="36">
        <f t="shared" si="199"/>
        <v>56934.014285714286</v>
      </c>
      <c r="BB116" s="38">
        <f>SUM(BB107:BB114)</f>
        <v>16222.285714285716</v>
      </c>
      <c r="BC116" s="36">
        <f t="shared" ref="BC116:BD116" si="200">SUM(BC107:BC114)</f>
        <v>69547.271428571432</v>
      </c>
      <c r="BD116" s="36">
        <f t="shared" si="200"/>
        <v>86961.728571428568</v>
      </c>
      <c r="BG116" s="39">
        <v>22711.200000000001</v>
      </c>
      <c r="BI116" s="42">
        <f>SUM(BH109:BH115)</f>
        <v>-6488.9142857142851</v>
      </c>
    </row>
    <row r="117" spans="1:61" ht="15.5" x14ac:dyDescent="0.35">
      <c r="B117" s="1" t="s">
        <v>115</v>
      </c>
      <c r="D117" s="45"/>
      <c r="E117" s="45"/>
      <c r="F117" s="48"/>
      <c r="G117" s="45"/>
      <c r="H117" s="45"/>
      <c r="I117" s="45"/>
      <c r="J117" s="45"/>
      <c r="K117" s="45"/>
      <c r="L117" s="45"/>
      <c r="M117" s="45"/>
      <c r="N117" s="45">
        <f>L117+M117</f>
        <v>0</v>
      </c>
      <c r="O117" s="45"/>
      <c r="P117" s="45"/>
      <c r="Q117" s="45"/>
      <c r="R117" s="45"/>
      <c r="Y117" s="45"/>
      <c r="Z117" s="45"/>
      <c r="AD117" s="45">
        <f>SUM(AB117:AC117)</f>
        <v>0</v>
      </c>
      <c r="AH117" s="49"/>
      <c r="AN117" s="45"/>
      <c r="AO117" s="45"/>
      <c r="AP117" s="50"/>
      <c r="AS117" s="50"/>
      <c r="AT117" s="40"/>
      <c r="AU117" s="1"/>
      <c r="BB117" s="27"/>
      <c r="BC117" s="45"/>
      <c r="BE117" s="1"/>
      <c r="BG117" s="39"/>
    </row>
    <row r="118" spans="1:61" ht="15.5" x14ac:dyDescent="0.35">
      <c r="D118" s="45"/>
      <c r="E118" s="45"/>
      <c r="F118" s="48"/>
      <c r="G118" s="45"/>
      <c r="H118" s="45"/>
      <c r="I118" s="45"/>
      <c r="J118" s="45"/>
      <c r="K118" s="45"/>
      <c r="L118" s="45"/>
      <c r="M118" s="45"/>
      <c r="N118" s="45">
        <f>L118+M118</f>
        <v>0</v>
      </c>
      <c r="O118" s="45"/>
      <c r="P118" s="45"/>
      <c r="Q118" s="45"/>
      <c r="R118" s="45"/>
      <c r="Y118" s="45"/>
      <c r="Z118" s="45"/>
      <c r="AD118" s="45">
        <f>SUM(AB118:AC118)</f>
        <v>0</v>
      </c>
      <c r="AH118" s="49"/>
      <c r="AN118" s="45"/>
      <c r="AO118" s="45"/>
      <c r="AP118" s="50"/>
      <c r="AS118" s="50"/>
      <c r="AT118" s="40"/>
      <c r="AU118" s="1"/>
      <c r="AV118" s="51"/>
      <c r="BB118" s="27"/>
      <c r="BE118" s="1"/>
      <c r="BG118" s="39"/>
    </row>
    <row r="119" spans="1:61" ht="15.5" x14ac:dyDescent="0.35">
      <c r="B119" s="1" t="s">
        <v>116</v>
      </c>
      <c r="C119" s="1" t="s">
        <v>117</v>
      </c>
      <c r="D119" s="45">
        <v>669409</v>
      </c>
      <c r="E119" s="45" t="s">
        <v>21</v>
      </c>
      <c r="F119" s="48">
        <v>62.5</v>
      </c>
      <c r="G119" s="45"/>
      <c r="H119" s="45">
        <v>502050</v>
      </c>
      <c r="I119" s="45">
        <v>16735</v>
      </c>
      <c r="J119" s="45">
        <f>SUM(H119:I119)</f>
        <v>518785</v>
      </c>
      <c r="K119" s="45">
        <f>I119</f>
        <v>16735</v>
      </c>
      <c r="L119" s="45">
        <f>J119+K119</f>
        <v>535520</v>
      </c>
      <c r="M119" s="45">
        <f>K119</f>
        <v>16735</v>
      </c>
      <c r="N119" s="45">
        <f>L119+M119</f>
        <v>552255</v>
      </c>
      <c r="O119" s="45">
        <f>M119</f>
        <v>16735</v>
      </c>
      <c r="P119" s="45">
        <f>N119+O119</f>
        <v>568990</v>
      </c>
      <c r="Q119" s="45">
        <f>D119/F119</f>
        <v>10710.544</v>
      </c>
      <c r="R119" s="45">
        <f>P119+Q119</f>
        <v>579700.54399999999</v>
      </c>
      <c r="S119" s="45">
        <f>SUM(D119/F119)</f>
        <v>10710.544</v>
      </c>
      <c r="T119" s="45">
        <f>R119+S119</f>
        <v>590411.08799999999</v>
      </c>
      <c r="U119" s="45">
        <f>S119</f>
        <v>10710.544</v>
      </c>
      <c r="V119" s="45">
        <f>T119+S119</f>
        <v>601121.63199999998</v>
      </c>
      <c r="W119" s="45">
        <f>U119</f>
        <v>10710.544</v>
      </c>
      <c r="X119" s="45">
        <f>V119+W119</f>
        <v>611832.17599999998</v>
      </c>
      <c r="Y119" s="45">
        <f>W119</f>
        <v>10710.544</v>
      </c>
      <c r="Z119" s="45">
        <f>X119+W119</f>
        <v>622542.72</v>
      </c>
      <c r="AA119" s="45">
        <f>Y119</f>
        <v>10710.544</v>
      </c>
      <c r="AB119" s="45">
        <f>SUM(Z119:AA119)</f>
        <v>633253.26399999997</v>
      </c>
      <c r="AC119" s="1">
        <v>8</v>
      </c>
      <c r="AD119" s="45">
        <f>SUM(AB119:AC119)</f>
        <v>633261.26399999997</v>
      </c>
      <c r="AF119" s="45">
        <f>AD119+AE119</f>
        <v>633261.26399999997</v>
      </c>
      <c r="AG119" s="1">
        <f>AE119</f>
        <v>0</v>
      </c>
      <c r="AH119" s="49">
        <f>AF119+AG119</f>
        <v>633261.26399999997</v>
      </c>
      <c r="AI119" s="1">
        <f>AG119</f>
        <v>0</v>
      </c>
      <c r="AJ119" s="1">
        <f>SUM(AH119:AI119)</f>
        <v>633261.26399999997</v>
      </c>
      <c r="AK119" s="1">
        <v>0</v>
      </c>
      <c r="AL119" s="1">
        <v>669409.35</v>
      </c>
      <c r="AM119" s="1">
        <v>0</v>
      </c>
      <c r="AN119" s="45">
        <v>669409.35</v>
      </c>
      <c r="AO119" s="45">
        <f>D119-AN119</f>
        <v>-0.34999999997671694</v>
      </c>
      <c r="AP119" s="52">
        <v>0</v>
      </c>
      <c r="AQ119" s="45">
        <f>AN119+AP119</f>
        <v>669409.35</v>
      </c>
      <c r="AR119" s="45">
        <v>-0.34999999997671694</v>
      </c>
      <c r="AS119" s="52">
        <v>0</v>
      </c>
      <c r="AT119" s="53">
        <v>669409.35</v>
      </c>
      <c r="AU119" s="41">
        <v>62.5</v>
      </c>
      <c r="AV119" s="54">
        <f>SUM(D119/F119)</f>
        <v>10710.544</v>
      </c>
      <c r="AW119" s="53">
        <f>AT119+AV119</f>
        <v>680119.89399999997</v>
      </c>
      <c r="AX119" s="45">
        <f>D119-AW119</f>
        <v>-10710.893999999971</v>
      </c>
      <c r="AY119" s="45">
        <v>0</v>
      </c>
      <c r="AZ119" s="45">
        <f t="shared" ref="AZ119:AZ120" si="201">SUM(AW119+AY119)</f>
        <v>680119.89399999997</v>
      </c>
      <c r="BA119" s="45">
        <f t="shared" ref="BA119:BA120" si="202">SUM(D119-AZ119)</f>
        <v>-10710.893999999971</v>
      </c>
      <c r="BB119" s="27">
        <v>0</v>
      </c>
      <c r="BC119" s="45">
        <f t="shared" ref="BC119:BC120" si="203">SUM(AZ119+BB119)</f>
        <v>680119.89399999997</v>
      </c>
      <c r="BD119" s="45">
        <f t="shared" ref="BD119:BD121" si="204">SUM(D119-BC119)</f>
        <v>-10710.893999999971</v>
      </c>
      <c r="BE119" s="1"/>
      <c r="BG119" s="39"/>
      <c r="BH119" s="45">
        <f>BB119</f>
        <v>0</v>
      </c>
    </row>
    <row r="120" spans="1:61" ht="15.5" x14ac:dyDescent="0.35">
      <c r="B120" s="1" t="s">
        <v>118</v>
      </c>
      <c r="C120" s="1" t="s">
        <v>119</v>
      </c>
      <c r="D120" s="45">
        <v>9225</v>
      </c>
      <c r="E120" s="45" t="s">
        <v>21</v>
      </c>
      <c r="F120" s="48">
        <v>62.5</v>
      </c>
      <c r="G120" s="45"/>
      <c r="H120" s="45">
        <v>1501</v>
      </c>
      <c r="I120" s="45">
        <v>231</v>
      </c>
      <c r="J120" s="45">
        <f>SUM(H120:I120)</f>
        <v>1732</v>
      </c>
      <c r="K120" s="45">
        <f>I120</f>
        <v>231</v>
      </c>
      <c r="L120" s="45">
        <f>J120+K120</f>
        <v>1963</v>
      </c>
      <c r="M120" s="45">
        <f>K120</f>
        <v>231</v>
      </c>
      <c r="N120" s="45">
        <f>L120+M120</f>
        <v>2194</v>
      </c>
      <c r="O120" s="45">
        <f>M120</f>
        <v>231</v>
      </c>
      <c r="P120" s="45">
        <f>N120+O120</f>
        <v>2425</v>
      </c>
      <c r="Q120" s="45">
        <f>D120/F120</f>
        <v>147.6</v>
      </c>
      <c r="R120" s="45">
        <f>P120+Q120</f>
        <v>2572.6</v>
      </c>
      <c r="S120" s="45">
        <f>SUM(D120/F120)</f>
        <v>147.6</v>
      </c>
      <c r="T120" s="45">
        <f>R120+S120</f>
        <v>2720.2</v>
      </c>
      <c r="U120" s="45">
        <f>S120</f>
        <v>147.6</v>
      </c>
      <c r="V120" s="45">
        <f>T120+S120</f>
        <v>2867.7999999999997</v>
      </c>
      <c r="W120" s="45">
        <f>U120</f>
        <v>147.6</v>
      </c>
      <c r="X120" s="45">
        <f>V120+W120</f>
        <v>3015.3999999999996</v>
      </c>
      <c r="Y120" s="45">
        <f>W120</f>
        <v>147.6</v>
      </c>
      <c r="Z120" s="45">
        <f>X120+W120</f>
        <v>3162.9999999999995</v>
      </c>
      <c r="AA120" s="45">
        <f>Y120</f>
        <v>147.6</v>
      </c>
      <c r="AB120" s="45">
        <f>SUM(Z120:AA120)</f>
        <v>3310.5999999999995</v>
      </c>
      <c r="AC120" s="1">
        <v>231</v>
      </c>
      <c r="AD120" s="45">
        <f>SUM(AB120:AC120)</f>
        <v>3541.5999999999995</v>
      </c>
      <c r="AE120" s="1">
        <f>AC120</f>
        <v>231</v>
      </c>
      <c r="AF120" s="45">
        <f>AD120+AE120</f>
        <v>3772.5999999999995</v>
      </c>
      <c r="AG120" s="1">
        <f>AE120</f>
        <v>231</v>
      </c>
      <c r="AH120" s="49">
        <f>AF120+AG120</f>
        <v>4003.5999999999995</v>
      </c>
      <c r="AI120" s="1">
        <f>AG120</f>
        <v>231</v>
      </c>
      <c r="AJ120" s="1">
        <f>SUM(AH120:AI120)</f>
        <v>4234.5999999999995</v>
      </c>
      <c r="AK120" s="1">
        <v>231</v>
      </c>
      <c r="AL120" s="1">
        <f>SUM(AJ120:AK120)</f>
        <v>4465.5999999999995</v>
      </c>
      <c r="AM120" s="1">
        <v>231</v>
      </c>
      <c r="AN120" s="45">
        <f>SUM(AL120:AM120)</f>
        <v>4696.5999999999995</v>
      </c>
      <c r="AO120" s="45">
        <f>D120-AN120</f>
        <v>4528.4000000000005</v>
      </c>
      <c r="AP120" s="52">
        <f>9925/40</f>
        <v>248.125</v>
      </c>
      <c r="AQ120" s="45">
        <f>AN120+AP120</f>
        <v>4944.7249999999995</v>
      </c>
      <c r="AR120" s="45">
        <v>3782.125</v>
      </c>
      <c r="AS120" s="52">
        <v>248.125</v>
      </c>
      <c r="AT120" s="53">
        <v>5691</v>
      </c>
      <c r="AU120" s="41">
        <v>62.5</v>
      </c>
      <c r="AV120" s="54">
        <f>SUM(D120/F120)</f>
        <v>147.6</v>
      </c>
      <c r="AW120" s="53">
        <f>AT120+AV120</f>
        <v>5838.6</v>
      </c>
      <c r="AX120" s="45">
        <f>D120-AW120</f>
        <v>3386.3999999999996</v>
      </c>
      <c r="AY120" s="45">
        <f t="shared" ref="AY120" si="205">SUM(D120/F120)</f>
        <v>147.6</v>
      </c>
      <c r="AZ120" s="45">
        <f t="shared" si="201"/>
        <v>5986.2000000000007</v>
      </c>
      <c r="BA120" s="45">
        <f t="shared" si="202"/>
        <v>3238.7999999999993</v>
      </c>
      <c r="BB120" s="27">
        <f t="shared" ref="BB120" si="206">SUM(D120/F120)</f>
        <v>147.6</v>
      </c>
      <c r="BC120" s="45">
        <f t="shared" si="203"/>
        <v>6133.8000000000011</v>
      </c>
      <c r="BD120" s="45">
        <f t="shared" si="204"/>
        <v>3091.1999999999989</v>
      </c>
      <c r="BE120" s="1"/>
      <c r="BG120" s="39"/>
      <c r="BH120" s="45">
        <f t="shared" ref="BH120:BH121" si="207">BB120</f>
        <v>147.6</v>
      </c>
    </row>
    <row r="121" spans="1:61" ht="15.5" x14ac:dyDescent="0.35">
      <c r="B121" s="1" t="s">
        <v>120</v>
      </c>
      <c r="C121" s="1" t="s">
        <v>121</v>
      </c>
      <c r="D121" s="45">
        <v>29505</v>
      </c>
      <c r="E121" s="45" t="s">
        <v>21</v>
      </c>
      <c r="F121" s="48">
        <v>62.5</v>
      </c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D121" s="45"/>
      <c r="AF121" s="45"/>
      <c r="AH121" s="49"/>
      <c r="AN121" s="45"/>
      <c r="AO121" s="45"/>
      <c r="AP121" s="52"/>
      <c r="AQ121" s="45"/>
      <c r="AR121" s="45"/>
      <c r="AS121" s="52"/>
      <c r="AT121" s="53"/>
      <c r="AU121" s="45"/>
      <c r="AV121" s="52"/>
      <c r="AW121" s="53"/>
      <c r="AX121" s="45"/>
      <c r="AY121" s="45"/>
      <c r="AZ121" s="45"/>
      <c r="BA121" s="45"/>
      <c r="BB121" s="27">
        <f>SUM(D121/F121/2)</f>
        <v>236.04</v>
      </c>
      <c r="BC121" s="45">
        <f t="shared" ref="BC121" si="208">SUM(AZ121+BB121)</f>
        <v>236.04</v>
      </c>
      <c r="BD121" s="45">
        <f t="shared" si="204"/>
        <v>29268.959999999999</v>
      </c>
      <c r="BE121" s="1">
        <v>29505</v>
      </c>
      <c r="BG121" s="39"/>
      <c r="BH121" s="45">
        <f t="shared" si="207"/>
        <v>236.04</v>
      </c>
    </row>
    <row r="122" spans="1:61" ht="15.5" x14ac:dyDescent="0.35">
      <c r="D122" s="53">
        <f>SUM(D119:D121)</f>
        <v>708139</v>
      </c>
      <c r="E122" s="45"/>
      <c r="F122" s="48"/>
      <c r="G122" s="45"/>
      <c r="H122" s="53">
        <f>SUM(H119:H120)</f>
        <v>503551</v>
      </c>
      <c r="I122" s="53">
        <f>SUM(I119:I120)</f>
        <v>16966</v>
      </c>
      <c r="J122" s="53">
        <f>SUM(J119:J120)</f>
        <v>520517</v>
      </c>
      <c r="K122" s="53">
        <f>SUM(K119:K120)</f>
        <v>16966</v>
      </c>
      <c r="L122" s="53">
        <f>J122+K122</f>
        <v>537483</v>
      </c>
      <c r="M122" s="53">
        <f>SUM(M119:M120)</f>
        <v>16966</v>
      </c>
      <c r="N122" s="53">
        <f>L122+M122</f>
        <v>554449</v>
      </c>
      <c r="O122" s="53">
        <f>SUM(O119:O120)</f>
        <v>16966</v>
      </c>
      <c r="P122" s="53">
        <f>N122+O122</f>
        <v>571415</v>
      </c>
      <c r="Q122" s="53">
        <f t="shared" ref="Q122:X122" si="209">SUM(Q119:Q120)</f>
        <v>10858.144</v>
      </c>
      <c r="R122" s="53">
        <f t="shared" si="209"/>
        <v>582273.14399999997</v>
      </c>
      <c r="S122" s="53">
        <f t="shared" si="209"/>
        <v>10858.144</v>
      </c>
      <c r="T122" s="53">
        <f t="shared" si="209"/>
        <v>593131.28799999994</v>
      </c>
      <c r="U122" s="53">
        <f t="shared" si="209"/>
        <v>10858.144</v>
      </c>
      <c r="V122" s="53">
        <f t="shared" si="209"/>
        <v>603989.43200000003</v>
      </c>
      <c r="W122" s="53">
        <f t="shared" si="209"/>
        <v>10858.144</v>
      </c>
      <c r="X122" s="53">
        <f t="shared" si="209"/>
        <v>614847.576</v>
      </c>
      <c r="Y122" s="53">
        <f>W122</f>
        <v>10858.144</v>
      </c>
      <c r="Z122" s="53">
        <f>X122+W122</f>
        <v>625705.72</v>
      </c>
      <c r="AA122" s="53">
        <f>SUM(AA119:AA120)</f>
        <v>10858.144</v>
      </c>
      <c r="AB122" s="53">
        <f>SUM(AB119:AB120)</f>
        <v>636563.86399999994</v>
      </c>
      <c r="AC122" s="40">
        <f>SUM(AC119:AC120)</f>
        <v>239</v>
      </c>
      <c r="AD122" s="53">
        <f>SUM(AB122:AC122)</f>
        <v>636802.86399999994</v>
      </c>
      <c r="AE122" s="1">
        <f>SUM(AE119:AE120)</f>
        <v>231</v>
      </c>
      <c r="AF122" s="45">
        <f>AD122+AE122</f>
        <v>637033.86399999994</v>
      </c>
      <c r="AG122" s="1">
        <f>SUM(AG119:AG120)</f>
        <v>231</v>
      </c>
      <c r="AH122" s="49">
        <f>SUM(AH119:AH120)</f>
        <v>637264.86399999994</v>
      </c>
      <c r="AI122" s="1">
        <f>SUM(AI119:AI120)</f>
        <v>231</v>
      </c>
      <c r="AJ122" s="1">
        <f>SUM(AJ119:AJ120)</f>
        <v>637495.86399999994</v>
      </c>
      <c r="AK122" s="1">
        <v>231</v>
      </c>
      <c r="AL122" s="1">
        <f>SUM(AL119:AL120)</f>
        <v>673874.95</v>
      </c>
      <c r="AM122" s="40">
        <v>231</v>
      </c>
      <c r="AN122" s="53">
        <f>SUM(AN119:AN120)</f>
        <v>674105.95</v>
      </c>
      <c r="AO122" s="53">
        <f>D122-AN122</f>
        <v>34033.050000000047</v>
      </c>
      <c r="AP122" s="55">
        <f>SUM(AP119:AP120)</f>
        <v>248.125</v>
      </c>
      <c r="AQ122" s="53">
        <f>SUM(AQ119:AQ120)</f>
        <v>674354.07499999995</v>
      </c>
      <c r="AR122" s="53">
        <v>3781.7750000000233</v>
      </c>
      <c r="AS122" s="55">
        <v>248.125</v>
      </c>
      <c r="AT122" s="53">
        <v>675100.35</v>
      </c>
      <c r="AU122" s="53">
        <v>3533.6500000000233</v>
      </c>
      <c r="AV122" s="55">
        <f>SUM(AV119:AV120)</f>
        <v>10858.144</v>
      </c>
      <c r="AW122" s="53">
        <f>SUM(AW119:AW120)</f>
        <v>685958.49399999995</v>
      </c>
      <c r="AX122" s="53">
        <f>SUM(AX119:AX120)</f>
        <v>-7324.4939999999715</v>
      </c>
      <c r="AY122" s="53">
        <f t="shared" ref="AY122:BD122" si="210">SUM(AY119:AY121)</f>
        <v>147.6</v>
      </c>
      <c r="AZ122" s="53">
        <f t="shared" si="210"/>
        <v>686106.09399999992</v>
      </c>
      <c r="BA122" s="53">
        <f t="shared" si="210"/>
        <v>-7472.0939999999719</v>
      </c>
      <c r="BB122" s="38">
        <f t="shared" si="210"/>
        <v>383.64</v>
      </c>
      <c r="BC122" s="53">
        <f t="shared" si="210"/>
        <v>686489.73400000005</v>
      </c>
      <c r="BD122" s="53">
        <f t="shared" si="210"/>
        <v>21649.266000000025</v>
      </c>
      <c r="BE122" s="1"/>
      <c r="BG122" s="39"/>
    </row>
    <row r="123" spans="1:61" ht="15.5" x14ac:dyDescent="0.35">
      <c r="C123" s="47"/>
      <c r="D123" s="36"/>
      <c r="E123" s="37"/>
      <c r="F123" s="37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40"/>
      <c r="U123" s="40"/>
      <c r="V123" s="40"/>
      <c r="W123" s="40"/>
      <c r="X123" s="40"/>
      <c r="Y123" s="40"/>
      <c r="Z123" s="40"/>
      <c r="AA123" s="40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8"/>
      <c r="BC123" s="36"/>
      <c r="BD123" s="36"/>
      <c r="BG123" s="39"/>
    </row>
    <row r="124" spans="1:61" ht="15.5" x14ac:dyDescent="0.35">
      <c r="D124" s="31"/>
      <c r="E124" s="32"/>
      <c r="F124" s="32"/>
      <c r="G124" s="31"/>
      <c r="H124" s="31"/>
      <c r="I124" s="31"/>
      <c r="J124" s="31"/>
      <c r="K124" s="31"/>
      <c r="L124" s="31"/>
      <c r="M124" s="31"/>
      <c r="R124" s="31"/>
      <c r="AB124" s="31"/>
      <c r="AC124" s="31"/>
      <c r="AD124" s="31"/>
      <c r="AE124" s="31"/>
      <c r="AF124" s="31"/>
      <c r="AH124" s="31"/>
      <c r="AJ124" s="31"/>
      <c r="AL124" s="31"/>
      <c r="AU124" s="1"/>
      <c r="BB124" s="27"/>
      <c r="BG124" s="28"/>
    </row>
    <row r="125" spans="1:61" ht="15.5" x14ac:dyDescent="0.35">
      <c r="A125" s="1">
        <v>393.2</v>
      </c>
      <c r="B125" s="1" t="s">
        <v>122</v>
      </c>
      <c r="D125" s="31"/>
      <c r="E125" s="32"/>
      <c r="F125" s="32"/>
      <c r="G125" s="31"/>
      <c r="H125" s="31"/>
      <c r="I125" s="31"/>
      <c r="J125" s="31"/>
      <c r="K125" s="31"/>
      <c r="L125" s="31"/>
      <c r="M125" s="31"/>
      <c r="R125" s="31"/>
      <c r="AB125" s="31"/>
      <c r="AC125" s="31"/>
      <c r="AD125" s="31"/>
      <c r="AE125" s="31"/>
      <c r="AF125" s="31"/>
      <c r="AH125" s="31"/>
      <c r="AJ125" s="31"/>
      <c r="AL125" s="31"/>
      <c r="AU125" s="1"/>
      <c r="BB125" s="27"/>
      <c r="BG125" s="28"/>
    </row>
    <row r="126" spans="1:61" ht="15.5" x14ac:dyDescent="0.35">
      <c r="B126" s="1" t="s">
        <v>123</v>
      </c>
      <c r="C126" s="33">
        <v>37438</v>
      </c>
      <c r="D126" s="31">
        <v>533</v>
      </c>
      <c r="E126" s="32" t="s">
        <v>21</v>
      </c>
      <c r="F126" s="32">
        <v>10</v>
      </c>
      <c r="G126" s="31">
        <f>27+53</f>
        <v>80</v>
      </c>
      <c r="H126" s="31">
        <f>SUM(D126/F126)</f>
        <v>53.3</v>
      </c>
      <c r="I126" s="31">
        <f>SUM(G126:H126)</f>
        <v>133.30000000000001</v>
      </c>
      <c r="J126" s="31">
        <f>SUM(D126/F126)</f>
        <v>53.3</v>
      </c>
      <c r="K126" s="31">
        <f>SUM(I126:J126)</f>
        <v>186.60000000000002</v>
      </c>
      <c r="L126" s="31">
        <f>SUM(D126/F126)</f>
        <v>53.3</v>
      </c>
      <c r="M126" s="31">
        <f>SUM(K126:L126)</f>
        <v>239.90000000000003</v>
      </c>
      <c r="N126" s="31">
        <f>SUM(D126/F126)</f>
        <v>53.3</v>
      </c>
      <c r="O126" s="31">
        <f>SUM(M126+N126)</f>
        <v>293.20000000000005</v>
      </c>
      <c r="P126" s="31">
        <f>SUM(D126/F126)</f>
        <v>53.3</v>
      </c>
      <c r="Q126" s="31">
        <f>SUM(O126+P126)</f>
        <v>346.50000000000006</v>
      </c>
      <c r="R126" s="31">
        <f>SUM(D126/F126)</f>
        <v>53.3</v>
      </c>
      <c r="S126" s="31">
        <f>SUM(Q126+R126)</f>
        <v>399.80000000000007</v>
      </c>
      <c r="T126" s="31">
        <f>D126/10</f>
        <v>53.3</v>
      </c>
      <c r="U126" s="31">
        <f>S126+T126</f>
        <v>453.10000000000008</v>
      </c>
      <c r="V126" s="31">
        <f>T126</f>
        <v>53.3</v>
      </c>
      <c r="W126" s="31">
        <f>U126+V126</f>
        <v>506.40000000000009</v>
      </c>
      <c r="X126" s="31">
        <f>533-506</f>
        <v>27</v>
      </c>
      <c r="Y126" s="31">
        <f>W126+X126</f>
        <v>533.40000000000009</v>
      </c>
      <c r="Z126" s="31">
        <v>0</v>
      </c>
      <c r="AA126" s="31">
        <f>Y126+Z126</f>
        <v>533.40000000000009</v>
      </c>
      <c r="AB126" s="31">
        <f>Z126</f>
        <v>0</v>
      </c>
      <c r="AC126" s="31">
        <f>AA126+AB126</f>
        <v>533.40000000000009</v>
      </c>
      <c r="AD126" s="31">
        <f>AB126</f>
        <v>0</v>
      </c>
      <c r="AE126" s="31">
        <f>AC126+AD126</f>
        <v>533.40000000000009</v>
      </c>
      <c r="AF126" s="31">
        <f>AD126</f>
        <v>0</v>
      </c>
      <c r="AG126" s="31">
        <f>AE126+AF126</f>
        <v>533.40000000000009</v>
      </c>
      <c r="AH126" s="31">
        <f>AF126</f>
        <v>0</v>
      </c>
      <c r="AI126" s="31">
        <f>AG126+AH126</f>
        <v>533.40000000000009</v>
      </c>
      <c r="AJ126" s="31">
        <f>AH126</f>
        <v>0</v>
      </c>
      <c r="AK126" s="31">
        <f>AI126+AJ126</f>
        <v>533.40000000000009</v>
      </c>
      <c r="AL126" s="31">
        <f>AJ126</f>
        <v>0</v>
      </c>
      <c r="AM126" s="31">
        <f>AK126+AL126</f>
        <v>533.40000000000009</v>
      </c>
      <c r="AN126" s="31">
        <f>AL126</f>
        <v>0</v>
      </c>
      <c r="AO126" s="31">
        <f>AM126+AN126</f>
        <v>533.40000000000009</v>
      </c>
      <c r="AP126" s="31">
        <f>D126-AO126</f>
        <v>-0.40000000000009095</v>
      </c>
      <c r="AQ126" s="31">
        <f>SUM(AN126)</f>
        <v>0</v>
      </c>
      <c r="AR126" s="31">
        <f>AO126+AQ126</f>
        <v>533.40000000000009</v>
      </c>
      <c r="AS126" s="31">
        <f>D126-AR126</f>
        <v>-0.40000000000009095</v>
      </c>
      <c r="AU126" s="32">
        <v>10</v>
      </c>
      <c r="AV126" s="31">
        <v>0</v>
      </c>
      <c r="AW126" s="31">
        <f t="shared" ref="AW126:AW127" si="211">SUM(AO126+AV126)</f>
        <v>533.40000000000009</v>
      </c>
      <c r="AX126" s="4">
        <f t="shared" ref="AX126:AX127" si="212">SUM(D126-AW126)</f>
        <v>-0.40000000000009095</v>
      </c>
      <c r="AY126" s="4">
        <v>0</v>
      </c>
      <c r="AZ126" s="4">
        <f t="shared" ref="AZ126:AZ127" si="213">SUM(AW126+AY126)</f>
        <v>533.40000000000009</v>
      </c>
      <c r="BA126" s="4">
        <f t="shared" ref="BA126:BA127" si="214">SUM(D126-AZ126)</f>
        <v>-0.40000000000009095</v>
      </c>
      <c r="BB126" s="34">
        <v>0</v>
      </c>
      <c r="BC126" s="4">
        <f t="shared" ref="BC126:BC127" si="215">SUM(AZ126+BB126)</f>
        <v>533.40000000000009</v>
      </c>
      <c r="BD126" s="4">
        <f t="shared" ref="BD126:BD127" si="216">SUM(D126-BC126)</f>
        <v>-0.40000000000009095</v>
      </c>
      <c r="BG126" s="35">
        <v>0</v>
      </c>
    </row>
    <row r="127" spans="1:61" ht="15.5" x14ac:dyDescent="0.35">
      <c r="B127" s="1" t="s">
        <v>124</v>
      </c>
      <c r="C127" s="33">
        <v>37803</v>
      </c>
      <c r="D127" s="31">
        <v>1390</v>
      </c>
      <c r="E127" s="32" t="s">
        <v>21</v>
      </c>
      <c r="F127" s="32">
        <v>10</v>
      </c>
      <c r="G127" s="31">
        <v>70</v>
      </c>
      <c r="H127" s="31">
        <f>SUM(D127/F127)</f>
        <v>139</v>
      </c>
      <c r="I127" s="31">
        <f>SUM(G127:H127)</f>
        <v>209</v>
      </c>
      <c r="J127" s="31">
        <f>SUM(D127/F127)</f>
        <v>139</v>
      </c>
      <c r="K127" s="31">
        <f>SUM(I127:J127)</f>
        <v>348</v>
      </c>
      <c r="L127" s="31">
        <f>SUM(D127/F127)</f>
        <v>139</v>
      </c>
      <c r="M127" s="31">
        <f>SUM(K127:L127)</f>
        <v>487</v>
      </c>
      <c r="N127" s="31">
        <f>SUM(D127/F127)</f>
        <v>139</v>
      </c>
      <c r="O127" s="31">
        <f>SUM(M127+N127)</f>
        <v>626</v>
      </c>
      <c r="P127" s="31">
        <f>SUM(D127/F127)</f>
        <v>139</v>
      </c>
      <c r="Q127" s="31">
        <f>SUM(O127+P127)</f>
        <v>765</v>
      </c>
      <c r="R127" s="31">
        <f>SUM(D127/F127)</f>
        <v>139</v>
      </c>
      <c r="S127" s="31">
        <f>SUM(Q127+R127)</f>
        <v>904</v>
      </c>
      <c r="T127" s="31">
        <f>D127/10</f>
        <v>139</v>
      </c>
      <c r="U127" s="31">
        <f>S127+T127</f>
        <v>1043</v>
      </c>
      <c r="V127" s="31">
        <f>T127</f>
        <v>139</v>
      </c>
      <c r="W127" s="31">
        <f>U127+V127</f>
        <v>1182</v>
      </c>
      <c r="X127" s="31">
        <v>166</v>
      </c>
      <c r="Y127" s="31">
        <f>W127+X127</f>
        <v>1348</v>
      </c>
      <c r="Z127" s="31">
        <f>1390-1348</f>
        <v>42</v>
      </c>
      <c r="AA127" s="31">
        <f>Y127+Z127</f>
        <v>1390</v>
      </c>
      <c r="AB127" s="31">
        <v>0</v>
      </c>
      <c r="AC127" s="31">
        <f>AA127+AB127</f>
        <v>1390</v>
      </c>
      <c r="AD127" s="31">
        <v>0</v>
      </c>
      <c r="AE127" s="31">
        <f>AC127+AD127</f>
        <v>1390</v>
      </c>
      <c r="AF127" s="31">
        <v>0</v>
      </c>
      <c r="AG127" s="31">
        <f>AE127+AF127</f>
        <v>1390</v>
      </c>
      <c r="AH127" s="31">
        <v>0</v>
      </c>
      <c r="AI127" s="31">
        <f>AG127+AH127</f>
        <v>1390</v>
      </c>
      <c r="AJ127" s="31">
        <v>0</v>
      </c>
      <c r="AK127" s="31">
        <f>AI127+AJ127</f>
        <v>1390</v>
      </c>
      <c r="AL127" s="31">
        <v>0</v>
      </c>
      <c r="AM127" s="31">
        <f>AK127+AL127</f>
        <v>1390</v>
      </c>
      <c r="AN127" s="31">
        <v>0</v>
      </c>
      <c r="AO127" s="31">
        <f>AM127+AN127</f>
        <v>1390</v>
      </c>
      <c r="AP127" s="31">
        <f>D127-AO127</f>
        <v>0</v>
      </c>
      <c r="AQ127" s="31">
        <f>SUM(AN127)</f>
        <v>0</v>
      </c>
      <c r="AR127" s="31">
        <f>AO127+AQ127</f>
        <v>1390</v>
      </c>
      <c r="AS127" s="31">
        <f>D127-AR127</f>
        <v>0</v>
      </c>
      <c r="AU127" s="32">
        <v>10</v>
      </c>
      <c r="AV127" s="31">
        <v>0</v>
      </c>
      <c r="AW127" s="31">
        <f t="shared" si="211"/>
        <v>1390</v>
      </c>
      <c r="AX127" s="4">
        <f t="shared" si="212"/>
        <v>0</v>
      </c>
      <c r="AY127" s="4">
        <v>0</v>
      </c>
      <c r="AZ127" s="4">
        <f t="shared" si="213"/>
        <v>1390</v>
      </c>
      <c r="BA127" s="4">
        <f t="shared" si="214"/>
        <v>0</v>
      </c>
      <c r="BB127" s="34">
        <v>0</v>
      </c>
      <c r="BC127" s="4">
        <f t="shared" si="215"/>
        <v>1390</v>
      </c>
      <c r="BD127" s="4">
        <f t="shared" si="216"/>
        <v>0</v>
      </c>
      <c r="BG127" s="35">
        <v>0</v>
      </c>
    </row>
    <row r="128" spans="1:61" ht="15.5" x14ac:dyDescent="0.35">
      <c r="C128" s="33"/>
      <c r="D128" s="31"/>
      <c r="E128" s="32"/>
      <c r="F128" s="32"/>
      <c r="G128" s="31"/>
      <c r="H128" s="31"/>
      <c r="I128" s="31"/>
      <c r="J128" s="31"/>
      <c r="K128" s="31"/>
      <c r="L128" s="31"/>
      <c r="M128" s="31"/>
      <c r="R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U128" s="1"/>
      <c r="BB128" s="27"/>
      <c r="BG128" s="28"/>
    </row>
    <row r="129" spans="1:59" ht="15.5" x14ac:dyDescent="0.35">
      <c r="A129" s="40"/>
      <c r="B129" s="40"/>
      <c r="C129" s="47"/>
      <c r="D129" s="36">
        <f>SUM(D126:D128)</f>
        <v>1923</v>
      </c>
      <c r="E129" s="37"/>
      <c r="F129" s="37"/>
      <c r="G129" s="36">
        <f>SUM(G126:G128)</f>
        <v>150</v>
      </c>
      <c r="H129" s="36">
        <f>SUM(H126:H128)</f>
        <v>192.3</v>
      </c>
      <c r="I129" s="36">
        <f>SUM(I126:I128)</f>
        <v>342.3</v>
      </c>
      <c r="J129" s="36">
        <f>SUM(J126:J128)</f>
        <v>192.3</v>
      </c>
      <c r="K129" s="36">
        <f>SUM(I129:J129)</f>
        <v>534.6</v>
      </c>
      <c r="L129" s="36">
        <f>SUM(L126:L128)</f>
        <v>192.3</v>
      </c>
      <c r="M129" s="36">
        <f>SUM(K129:L129)</f>
        <v>726.90000000000009</v>
      </c>
      <c r="N129" s="36">
        <f>SUM(N126:N128)</f>
        <v>192.3</v>
      </c>
      <c r="O129" s="36">
        <f>SUM(O126:O127)</f>
        <v>919.2</v>
      </c>
      <c r="P129" s="36">
        <f>SUM(P126:P128)</f>
        <v>192.3</v>
      </c>
      <c r="Q129" s="36">
        <f t="shared" ref="Q129:AA129" si="217">SUM(Q126:Q127)</f>
        <v>1111.5</v>
      </c>
      <c r="R129" s="36">
        <f t="shared" si="217"/>
        <v>192.3</v>
      </c>
      <c r="S129" s="36">
        <f t="shared" si="217"/>
        <v>1303.8000000000002</v>
      </c>
      <c r="T129" s="36">
        <f t="shared" si="217"/>
        <v>192.3</v>
      </c>
      <c r="U129" s="36">
        <f t="shared" si="217"/>
        <v>1496.1000000000001</v>
      </c>
      <c r="V129" s="36">
        <f t="shared" si="217"/>
        <v>192.3</v>
      </c>
      <c r="W129" s="36">
        <f t="shared" si="217"/>
        <v>1688.4</v>
      </c>
      <c r="X129" s="36">
        <f t="shared" si="217"/>
        <v>193</v>
      </c>
      <c r="Y129" s="36">
        <f t="shared" si="217"/>
        <v>1881.4</v>
      </c>
      <c r="Z129" s="36">
        <f t="shared" si="217"/>
        <v>42</v>
      </c>
      <c r="AA129" s="36">
        <f t="shared" si="217"/>
        <v>1923.4</v>
      </c>
      <c r="AB129" s="36">
        <v>0</v>
      </c>
      <c r="AC129" s="36">
        <f>AA129+AB129</f>
        <v>1923.4</v>
      </c>
      <c r="AD129" s="36">
        <v>0</v>
      </c>
      <c r="AE129" s="36">
        <f>AC129+AD129</f>
        <v>1923.4</v>
      </c>
      <c r="AF129" s="36">
        <v>0</v>
      </c>
      <c r="AG129" s="36">
        <f>AE129+AF129</f>
        <v>1923.4</v>
      </c>
      <c r="AH129" s="36">
        <v>0</v>
      </c>
      <c r="AI129" s="36">
        <f>AG129+AH129</f>
        <v>1923.4</v>
      </c>
      <c r="AJ129" s="36">
        <v>0</v>
      </c>
      <c r="AK129" s="36">
        <f>AI129+AJ129</f>
        <v>1923.4</v>
      </c>
      <c r="AL129" s="36">
        <v>0</v>
      </c>
      <c r="AM129" s="36">
        <f>AK129+AL129</f>
        <v>1923.4</v>
      </c>
      <c r="AN129" s="36">
        <v>0</v>
      </c>
      <c r="AO129" s="36">
        <f>AM129+AN129</f>
        <v>1923.4</v>
      </c>
      <c r="AP129" s="36">
        <f>D129-AO129</f>
        <v>-0.40000000000009095</v>
      </c>
      <c r="AQ129" s="36">
        <f>SUM(AQ126:AQ128)</f>
        <v>0</v>
      </c>
      <c r="AR129" s="36">
        <f>SUM(AR126:AR128)</f>
        <v>1923.4</v>
      </c>
      <c r="AS129" s="36">
        <f>SUM(AS126:AS128)</f>
        <v>-0.40000000000009095</v>
      </c>
      <c r="AT129" s="40"/>
      <c r="AU129" s="40"/>
      <c r="AV129" s="36">
        <f>SUM(AV126:AV128)</f>
        <v>0</v>
      </c>
      <c r="AW129" s="36">
        <f t="shared" ref="AW129:BD129" si="218">SUM(AW126:AW128)</f>
        <v>1923.4</v>
      </c>
      <c r="AX129" s="36">
        <f t="shared" si="218"/>
        <v>-0.40000000000009095</v>
      </c>
      <c r="AY129" s="36">
        <f t="shared" si="218"/>
        <v>0</v>
      </c>
      <c r="AZ129" s="36">
        <f t="shared" si="218"/>
        <v>1923.4</v>
      </c>
      <c r="BA129" s="36">
        <f t="shared" si="218"/>
        <v>-0.40000000000009095</v>
      </c>
      <c r="BB129" s="38">
        <f t="shared" si="218"/>
        <v>0</v>
      </c>
      <c r="BC129" s="36">
        <f t="shared" si="218"/>
        <v>1923.4</v>
      </c>
      <c r="BD129" s="36">
        <f t="shared" si="218"/>
        <v>-0.40000000000009095</v>
      </c>
      <c r="BG129" s="39">
        <v>0</v>
      </c>
    </row>
    <row r="130" spans="1:59" ht="15.5" x14ac:dyDescent="0.35">
      <c r="C130" s="33"/>
      <c r="D130" s="31"/>
      <c r="E130" s="32"/>
      <c r="F130" s="32"/>
      <c r="G130" s="31"/>
      <c r="H130" s="31"/>
      <c r="I130" s="31"/>
      <c r="J130" s="31"/>
      <c r="K130" s="31"/>
      <c r="L130" s="31"/>
      <c r="M130" s="31"/>
      <c r="R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N130" s="31"/>
      <c r="AU130" s="1"/>
      <c r="BB130" s="27"/>
      <c r="BG130" s="28"/>
    </row>
    <row r="131" spans="1:59" ht="15.5" x14ac:dyDescent="0.35">
      <c r="A131" s="1">
        <v>393.3</v>
      </c>
      <c r="B131" s="1" t="s">
        <v>125</v>
      </c>
      <c r="D131" s="31"/>
      <c r="E131" s="32"/>
      <c r="F131" s="32"/>
      <c r="G131" s="31"/>
      <c r="H131" s="31"/>
      <c r="I131" s="31"/>
      <c r="J131" s="31"/>
      <c r="K131" s="31"/>
      <c r="L131" s="31"/>
      <c r="M131" s="31"/>
      <c r="R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N131" s="31"/>
      <c r="AU131" s="1"/>
      <c r="BB131" s="27"/>
      <c r="BG131" s="28"/>
    </row>
    <row r="132" spans="1:59" ht="15.5" x14ac:dyDescent="0.35">
      <c r="B132" s="1" t="s">
        <v>85</v>
      </c>
      <c r="C132" s="33">
        <v>36069</v>
      </c>
      <c r="D132" s="31">
        <v>572</v>
      </c>
      <c r="E132" s="32" t="s">
        <v>21</v>
      </c>
      <c r="F132" s="32">
        <v>10</v>
      </c>
      <c r="G132" s="31">
        <f>243+57</f>
        <v>300</v>
      </c>
      <c r="H132" s="31">
        <f>SUM(D132/F132)</f>
        <v>57.2</v>
      </c>
      <c r="I132" s="31">
        <f>SUM(G132:H132)</f>
        <v>357.2</v>
      </c>
      <c r="J132" s="31">
        <f>SUM(D132/F132)</f>
        <v>57.2</v>
      </c>
      <c r="K132" s="31">
        <f>SUM(I132:J132)</f>
        <v>414.4</v>
      </c>
      <c r="L132" s="31">
        <f>SUM(D132/F132)</f>
        <v>57.2</v>
      </c>
      <c r="M132" s="31">
        <f>SUM(K132:L132)</f>
        <v>471.59999999999997</v>
      </c>
      <c r="N132" s="31">
        <f>SUM(D132/F132)</f>
        <v>57.2</v>
      </c>
      <c r="O132" s="31">
        <f>SUM(M132+N132)</f>
        <v>528.79999999999995</v>
      </c>
      <c r="P132" s="31">
        <f>SUM(D132/F132-14)</f>
        <v>43.2</v>
      </c>
      <c r="Q132" s="31">
        <f>SUM(O132+P132)</f>
        <v>572</v>
      </c>
      <c r="R132" s="31">
        <v>0</v>
      </c>
      <c r="S132" s="31">
        <f>SUM(Q132+R132)</f>
        <v>572</v>
      </c>
      <c r="T132" s="1">
        <v>0</v>
      </c>
      <c r="U132" s="1">
        <v>572</v>
      </c>
      <c r="V132" s="1">
        <v>0</v>
      </c>
      <c r="W132" s="1">
        <v>572</v>
      </c>
      <c r="X132" s="1">
        <v>0</v>
      </c>
      <c r="Y132" s="1">
        <v>572</v>
      </c>
      <c r="Z132" s="1">
        <v>0</v>
      </c>
      <c r="AA132" s="1">
        <v>572</v>
      </c>
      <c r="AB132" s="31">
        <f>Z132</f>
        <v>0</v>
      </c>
      <c r="AC132" s="31">
        <f>AA132+AB132</f>
        <v>572</v>
      </c>
      <c r="AD132" s="31">
        <f>AB132</f>
        <v>0</v>
      </c>
      <c r="AE132" s="31">
        <f>AC132+AD132</f>
        <v>572</v>
      </c>
      <c r="AF132" s="31">
        <f>AD132</f>
        <v>0</v>
      </c>
      <c r="AG132" s="31">
        <f>AE132+AF132</f>
        <v>572</v>
      </c>
      <c r="AH132" s="31">
        <f>AF132</f>
        <v>0</v>
      </c>
      <c r="AI132" s="31">
        <f>AG132+AH132</f>
        <v>572</v>
      </c>
      <c r="AJ132" s="31">
        <f>AH132</f>
        <v>0</v>
      </c>
      <c r="AK132" s="31">
        <f>AI132+AJ132</f>
        <v>572</v>
      </c>
      <c r="AL132" s="31">
        <f>AJ132</f>
        <v>0</v>
      </c>
      <c r="AM132" s="31">
        <f>AK132+AL132</f>
        <v>572</v>
      </c>
      <c r="AN132" s="31">
        <f>AL132</f>
        <v>0</v>
      </c>
      <c r="AO132" s="31">
        <f>AM132+AN132</f>
        <v>572</v>
      </c>
      <c r="AP132" s="31">
        <f>D132-AO132</f>
        <v>0</v>
      </c>
      <c r="AQ132" s="31">
        <f>SUM(AN132)</f>
        <v>0</v>
      </c>
      <c r="AR132" s="31">
        <f>AO132+AQ132</f>
        <v>572</v>
      </c>
      <c r="AS132" s="31">
        <f>D132-AR132</f>
        <v>0</v>
      </c>
      <c r="AU132" s="32">
        <v>10</v>
      </c>
      <c r="AV132" s="31">
        <v>0</v>
      </c>
      <c r="AW132" s="31">
        <f t="shared" ref="AW132:AW134" si="219">SUM(AO132+AV132)</f>
        <v>572</v>
      </c>
      <c r="AX132" s="4">
        <f t="shared" ref="AX132:AX134" si="220">SUM(D132-AW132)</f>
        <v>0</v>
      </c>
      <c r="AY132" s="4">
        <v>0</v>
      </c>
      <c r="AZ132" s="4">
        <f t="shared" ref="AZ132:AZ134" si="221">SUM(AW132+AY132)</f>
        <v>572</v>
      </c>
      <c r="BA132" s="4">
        <f t="shared" ref="BA132:BA134" si="222">SUM(D132-AZ132)</f>
        <v>0</v>
      </c>
      <c r="BB132" s="34">
        <v>0</v>
      </c>
      <c r="BC132" s="4">
        <f t="shared" ref="BC132:BC134" si="223">SUM(AZ132+BB132)</f>
        <v>572</v>
      </c>
      <c r="BD132" s="4">
        <f t="shared" ref="BD132:BD134" si="224">SUM(D132-BC132)</f>
        <v>0</v>
      </c>
      <c r="BG132" s="35">
        <v>0</v>
      </c>
    </row>
    <row r="133" spans="1:59" ht="15.5" x14ac:dyDescent="0.35">
      <c r="B133" s="1" t="s">
        <v>126</v>
      </c>
      <c r="C133" s="33">
        <v>37104</v>
      </c>
      <c r="D133" s="31">
        <v>1485</v>
      </c>
      <c r="E133" s="32" t="s">
        <v>21</v>
      </c>
      <c r="F133" s="32">
        <v>10</v>
      </c>
      <c r="G133" s="31">
        <f>211+149</f>
        <v>360</v>
      </c>
      <c r="H133" s="31">
        <f>SUM(D133/F133)</f>
        <v>148.5</v>
      </c>
      <c r="I133" s="31">
        <f>SUM(G133:H133)</f>
        <v>508.5</v>
      </c>
      <c r="J133" s="31">
        <f>SUM(D133/F133)</f>
        <v>148.5</v>
      </c>
      <c r="K133" s="31">
        <f>SUM(I133:J133)</f>
        <v>657</v>
      </c>
      <c r="L133" s="31">
        <f>SUM(D133/F133)</f>
        <v>148.5</v>
      </c>
      <c r="M133" s="31">
        <f>SUM(K133:L133)</f>
        <v>805.5</v>
      </c>
      <c r="N133" s="31">
        <f>SUM(D133/F133)</f>
        <v>148.5</v>
      </c>
      <c r="O133" s="31">
        <f>SUM(M133+N133)</f>
        <v>954</v>
      </c>
      <c r="P133" s="31">
        <f>SUM(D133/F133)</f>
        <v>148.5</v>
      </c>
      <c r="Q133" s="31">
        <f>SUM(O133+P133)</f>
        <v>1102.5</v>
      </c>
      <c r="R133" s="31">
        <f>SUM(D133/F133)</f>
        <v>148.5</v>
      </c>
      <c r="S133" s="31">
        <f>SUM(Q133+R133)</f>
        <v>1251</v>
      </c>
      <c r="T133" s="1">
        <v>149</v>
      </c>
      <c r="U133" s="1">
        <f>1251+149</f>
        <v>1400</v>
      </c>
      <c r="V133" s="1">
        <v>85</v>
      </c>
      <c r="W133" s="1">
        <v>1485</v>
      </c>
      <c r="X133" s="1">
        <v>0</v>
      </c>
      <c r="Y133" s="1">
        <v>1485</v>
      </c>
      <c r="Z133" s="1">
        <v>0</v>
      </c>
      <c r="AA133" s="1">
        <v>1485</v>
      </c>
      <c r="AB133" s="31">
        <f>Z133</f>
        <v>0</v>
      </c>
      <c r="AC133" s="31">
        <f>AA133+AB133</f>
        <v>1485</v>
      </c>
      <c r="AD133" s="31">
        <f>AB133</f>
        <v>0</v>
      </c>
      <c r="AE133" s="31">
        <f>AC133+AD133</f>
        <v>1485</v>
      </c>
      <c r="AF133" s="31">
        <f>AD133</f>
        <v>0</v>
      </c>
      <c r="AG133" s="31">
        <f>AE133+AF133</f>
        <v>1485</v>
      </c>
      <c r="AH133" s="31">
        <f>AF133</f>
        <v>0</v>
      </c>
      <c r="AI133" s="31">
        <f>AG133+AH133</f>
        <v>1485</v>
      </c>
      <c r="AJ133" s="31">
        <f>AH133</f>
        <v>0</v>
      </c>
      <c r="AK133" s="31">
        <f>AI133+AJ133</f>
        <v>1485</v>
      </c>
      <c r="AL133" s="31">
        <f>AJ133</f>
        <v>0</v>
      </c>
      <c r="AM133" s="31">
        <f>AK133+AL133</f>
        <v>1485</v>
      </c>
      <c r="AN133" s="31">
        <f>AL133</f>
        <v>0</v>
      </c>
      <c r="AO133" s="31">
        <f>AM133+AN133</f>
        <v>1485</v>
      </c>
      <c r="AP133" s="31">
        <f>D133-AO133</f>
        <v>0</v>
      </c>
      <c r="AQ133" s="31">
        <f>SUM(AN133)</f>
        <v>0</v>
      </c>
      <c r="AR133" s="31">
        <f>AO133+AQ133</f>
        <v>1485</v>
      </c>
      <c r="AS133" s="31">
        <f>D133-AR133</f>
        <v>0</v>
      </c>
      <c r="AU133" s="32">
        <v>10</v>
      </c>
      <c r="AV133" s="31">
        <v>0</v>
      </c>
      <c r="AW133" s="31">
        <f t="shared" si="219"/>
        <v>1485</v>
      </c>
      <c r="AX133" s="4">
        <f t="shared" si="220"/>
        <v>0</v>
      </c>
      <c r="AY133" s="4">
        <v>0</v>
      </c>
      <c r="AZ133" s="4">
        <f t="shared" si="221"/>
        <v>1485</v>
      </c>
      <c r="BA133" s="4">
        <f t="shared" si="222"/>
        <v>0</v>
      </c>
      <c r="BB133" s="34">
        <v>0</v>
      </c>
      <c r="BC133" s="4">
        <f t="shared" si="223"/>
        <v>1485</v>
      </c>
      <c r="BD133" s="4">
        <f t="shared" si="224"/>
        <v>0</v>
      </c>
      <c r="BG133" s="35">
        <v>0</v>
      </c>
    </row>
    <row r="134" spans="1:59" ht="15.5" x14ac:dyDescent="0.35">
      <c r="B134" s="1" t="s">
        <v>127</v>
      </c>
      <c r="C134" s="33">
        <v>39263</v>
      </c>
      <c r="D134" s="31">
        <v>3424</v>
      </c>
      <c r="E134" s="32" t="s">
        <v>21</v>
      </c>
      <c r="F134" s="32">
        <v>10</v>
      </c>
      <c r="G134" s="31"/>
      <c r="H134" s="31"/>
      <c r="I134" s="31"/>
      <c r="J134" s="31"/>
      <c r="K134" s="31"/>
      <c r="L134" s="31"/>
      <c r="M134" s="31"/>
      <c r="N134" s="31">
        <f>SUM(D134/F134)/2</f>
        <v>171.2</v>
      </c>
      <c r="O134" s="31">
        <f>SUM(M134+N134)</f>
        <v>171.2</v>
      </c>
      <c r="P134" s="31">
        <f>SUM(D134/F134)</f>
        <v>342.4</v>
      </c>
      <c r="Q134" s="31">
        <f>SUM(O134+P134)</f>
        <v>513.59999999999991</v>
      </c>
      <c r="R134" s="31">
        <f>SUM(D134/F134)</f>
        <v>342.4</v>
      </c>
      <c r="S134" s="31">
        <f>SUM(Q134+R134)</f>
        <v>855.99999999999989</v>
      </c>
      <c r="T134" s="1">
        <v>342</v>
      </c>
      <c r="U134" s="1">
        <f>856+342</f>
        <v>1198</v>
      </c>
      <c r="V134" s="31">
        <f>T134</f>
        <v>342</v>
      </c>
      <c r="W134" s="31">
        <f>U134+V134</f>
        <v>1540</v>
      </c>
      <c r="X134" s="31">
        <f>V134</f>
        <v>342</v>
      </c>
      <c r="Y134" s="31">
        <f>W134+X134</f>
        <v>1882</v>
      </c>
      <c r="Z134" s="31">
        <f>X134</f>
        <v>342</v>
      </c>
      <c r="AA134" s="31">
        <f>Y134+Z134</f>
        <v>2224</v>
      </c>
      <c r="AB134" s="31">
        <f>Z134</f>
        <v>342</v>
      </c>
      <c r="AC134" s="31">
        <f>AA134+AB134</f>
        <v>2566</v>
      </c>
      <c r="AD134" s="31">
        <f>AB134</f>
        <v>342</v>
      </c>
      <c r="AE134" s="31">
        <f>AC134+AD134</f>
        <v>2908</v>
      </c>
      <c r="AF134" s="31">
        <f>AD134</f>
        <v>342</v>
      </c>
      <c r="AG134" s="31">
        <f>AE134+AF134</f>
        <v>3250</v>
      </c>
      <c r="AH134" s="31">
        <f>3424-3250</f>
        <v>174</v>
      </c>
      <c r="AI134" s="31">
        <f>AG134+AH134</f>
        <v>3424</v>
      </c>
      <c r="AJ134" s="31">
        <v>0</v>
      </c>
      <c r="AK134" s="31">
        <f>AI134+AJ134</f>
        <v>3424</v>
      </c>
      <c r="AL134" s="31">
        <v>0</v>
      </c>
      <c r="AM134" s="31">
        <f>AK134+AL134</f>
        <v>3424</v>
      </c>
      <c r="AN134" s="31">
        <v>0</v>
      </c>
      <c r="AO134" s="31">
        <f>AM134+AN134</f>
        <v>3424</v>
      </c>
      <c r="AP134" s="31">
        <f>D134-AO134</f>
        <v>0</v>
      </c>
      <c r="AQ134" s="31">
        <f>SUM(AN134)</f>
        <v>0</v>
      </c>
      <c r="AR134" s="31">
        <f>AO134+AQ134</f>
        <v>3424</v>
      </c>
      <c r="AS134" s="31">
        <f>D134-AR134</f>
        <v>0</v>
      </c>
      <c r="AU134" s="32">
        <v>10</v>
      </c>
      <c r="AV134" s="31">
        <v>0</v>
      </c>
      <c r="AW134" s="31">
        <f t="shared" si="219"/>
        <v>3424</v>
      </c>
      <c r="AX134" s="4">
        <f t="shared" si="220"/>
        <v>0</v>
      </c>
      <c r="AY134" s="4">
        <v>0</v>
      </c>
      <c r="AZ134" s="4">
        <f t="shared" si="221"/>
        <v>3424</v>
      </c>
      <c r="BA134" s="4">
        <f t="shared" si="222"/>
        <v>0</v>
      </c>
      <c r="BB134" s="34">
        <v>0</v>
      </c>
      <c r="BC134" s="4">
        <f t="shared" si="223"/>
        <v>3424</v>
      </c>
      <c r="BD134" s="4">
        <f t="shared" si="224"/>
        <v>0</v>
      </c>
      <c r="BG134" s="35">
        <v>0</v>
      </c>
    </row>
    <row r="135" spans="1:59" ht="15.5" x14ac:dyDescent="0.35">
      <c r="C135" s="33"/>
      <c r="D135" s="31"/>
      <c r="E135" s="32"/>
      <c r="F135" s="32"/>
      <c r="G135" s="31"/>
      <c r="H135" s="31"/>
      <c r="I135" s="31"/>
      <c r="J135" s="31"/>
      <c r="K135" s="31"/>
      <c r="L135" s="31"/>
      <c r="M135" s="31"/>
      <c r="R135" s="31"/>
      <c r="AB135" s="31">
        <f>Z135</f>
        <v>0</v>
      </c>
      <c r="AC135" s="31">
        <f>AA135+AB135</f>
        <v>0</v>
      </c>
      <c r="AD135" s="31">
        <f>AB135</f>
        <v>0</v>
      </c>
      <c r="AE135" s="31">
        <f>AC135+AD135</f>
        <v>0</v>
      </c>
      <c r="AF135" s="31">
        <f>AD135</f>
        <v>0</v>
      </c>
      <c r="AG135" s="31">
        <f>AE135+AF135</f>
        <v>0</v>
      </c>
      <c r="AH135" s="31">
        <f>AF135</f>
        <v>0</v>
      </c>
      <c r="AI135" s="31">
        <f>AG135+AH135</f>
        <v>0</v>
      </c>
      <c r="AJ135" s="31">
        <f>AH135</f>
        <v>0</v>
      </c>
      <c r="AK135" s="31">
        <f>AI135+AJ135</f>
        <v>0</v>
      </c>
      <c r="AL135" s="31">
        <f>AJ135</f>
        <v>0</v>
      </c>
      <c r="AM135" s="31"/>
      <c r="AN135" s="31"/>
      <c r="AO135" s="31"/>
      <c r="AP135" s="31"/>
      <c r="AU135" s="1"/>
      <c r="BB135" s="27"/>
      <c r="BG135" s="28"/>
    </row>
    <row r="136" spans="1:59" ht="15.5" x14ac:dyDescent="0.35">
      <c r="A136" s="40"/>
      <c r="B136" s="40"/>
      <c r="C136" s="40"/>
      <c r="D136" s="36">
        <f>SUM(D132:D135)</f>
        <v>5481</v>
      </c>
      <c r="E136" s="37"/>
      <c r="F136" s="37"/>
      <c r="G136" s="36">
        <f>SUM(G132:G135)</f>
        <v>660</v>
      </c>
      <c r="H136" s="36">
        <f>SUM(H132:H135)</f>
        <v>205.7</v>
      </c>
      <c r="I136" s="36">
        <f>SUM(I132:I135)</f>
        <v>865.7</v>
      </c>
      <c r="J136" s="36">
        <f>SUM(J132:J135)</f>
        <v>205.7</v>
      </c>
      <c r="K136" s="36">
        <f>SUM(I136:J136)</f>
        <v>1071.4000000000001</v>
      </c>
      <c r="L136" s="36">
        <f>SUM(L132:L135)</f>
        <v>205.7</v>
      </c>
      <c r="M136" s="36">
        <f>SUM(K136:L136)</f>
        <v>1277.1000000000001</v>
      </c>
      <c r="N136" s="36">
        <f>SUM(N132:N135)</f>
        <v>376.9</v>
      </c>
      <c r="O136" s="36">
        <f t="shared" ref="O136:AA136" si="225">SUM(O132:O134)</f>
        <v>1654</v>
      </c>
      <c r="P136" s="36">
        <f t="shared" si="225"/>
        <v>534.09999999999991</v>
      </c>
      <c r="Q136" s="36">
        <f t="shared" si="225"/>
        <v>2188.1</v>
      </c>
      <c r="R136" s="36">
        <f t="shared" si="225"/>
        <v>490.9</v>
      </c>
      <c r="S136" s="36">
        <f t="shared" si="225"/>
        <v>2679</v>
      </c>
      <c r="T136" s="40">
        <f t="shared" si="225"/>
        <v>491</v>
      </c>
      <c r="U136" s="40">
        <f t="shared" si="225"/>
        <v>3170</v>
      </c>
      <c r="V136" s="40">
        <f t="shared" si="225"/>
        <v>427</v>
      </c>
      <c r="W136" s="40">
        <f t="shared" si="225"/>
        <v>3597</v>
      </c>
      <c r="X136" s="40">
        <f t="shared" si="225"/>
        <v>342</v>
      </c>
      <c r="Y136" s="40">
        <f t="shared" si="225"/>
        <v>3939</v>
      </c>
      <c r="Z136" s="40">
        <f t="shared" si="225"/>
        <v>342</v>
      </c>
      <c r="AA136" s="40">
        <f t="shared" si="225"/>
        <v>4281</v>
      </c>
      <c r="AB136" s="36">
        <f>Z136</f>
        <v>342</v>
      </c>
      <c r="AC136" s="36">
        <f>AA136+AB136</f>
        <v>4623</v>
      </c>
      <c r="AD136" s="36">
        <f>AB136</f>
        <v>342</v>
      </c>
      <c r="AE136" s="36">
        <f>AC136+AD136</f>
        <v>4965</v>
      </c>
      <c r="AF136" s="36">
        <f>AD136</f>
        <v>342</v>
      </c>
      <c r="AG136" s="36">
        <f>AE136+AF136</f>
        <v>5307</v>
      </c>
      <c r="AH136" s="36">
        <f>AF136</f>
        <v>342</v>
      </c>
      <c r="AI136" s="36">
        <f>AG136+AH136</f>
        <v>5649</v>
      </c>
      <c r="AJ136" s="36">
        <v>0</v>
      </c>
      <c r="AK136" s="36">
        <f>AI136+AJ136</f>
        <v>5649</v>
      </c>
      <c r="AL136" s="36">
        <v>0</v>
      </c>
      <c r="AM136" s="36">
        <f t="shared" ref="AM136:AS136" si="226">SUM(AM132:AM135)</f>
        <v>5481</v>
      </c>
      <c r="AN136" s="36">
        <f t="shared" si="226"/>
        <v>0</v>
      </c>
      <c r="AO136" s="36">
        <f t="shared" si="226"/>
        <v>5481</v>
      </c>
      <c r="AP136" s="36">
        <f t="shared" si="226"/>
        <v>0</v>
      </c>
      <c r="AQ136" s="36">
        <f t="shared" si="226"/>
        <v>0</v>
      </c>
      <c r="AR136" s="36">
        <f t="shared" si="226"/>
        <v>5481</v>
      </c>
      <c r="AS136" s="36">
        <f t="shared" si="226"/>
        <v>0</v>
      </c>
      <c r="AT136" s="40"/>
      <c r="AU136" s="40"/>
      <c r="AV136" s="36">
        <f t="shared" ref="AV136:BD136" si="227">SUM(AV132:AV135)</f>
        <v>0</v>
      </c>
      <c r="AW136" s="36">
        <f t="shared" si="227"/>
        <v>5481</v>
      </c>
      <c r="AX136" s="36">
        <f t="shared" si="227"/>
        <v>0</v>
      </c>
      <c r="AY136" s="36">
        <f t="shared" si="227"/>
        <v>0</v>
      </c>
      <c r="AZ136" s="36">
        <f t="shared" si="227"/>
        <v>5481</v>
      </c>
      <c r="BA136" s="36">
        <f t="shared" si="227"/>
        <v>0</v>
      </c>
      <c r="BB136" s="38">
        <f t="shared" si="227"/>
        <v>0</v>
      </c>
      <c r="BC136" s="36">
        <f t="shared" si="227"/>
        <v>5481</v>
      </c>
      <c r="BD136" s="36">
        <f t="shared" si="227"/>
        <v>0</v>
      </c>
      <c r="BG136" s="39">
        <v>0</v>
      </c>
    </row>
    <row r="137" spans="1:59" ht="15.5" x14ac:dyDescent="0.35">
      <c r="D137" s="31"/>
      <c r="E137" s="32"/>
      <c r="F137" s="32"/>
      <c r="G137" s="31"/>
      <c r="H137" s="31"/>
      <c r="I137" s="31"/>
      <c r="J137" s="31"/>
      <c r="K137" s="31"/>
      <c r="L137" s="31"/>
      <c r="M137" s="31"/>
      <c r="R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U137" s="1"/>
      <c r="BB137" s="27"/>
      <c r="BG137" s="28"/>
    </row>
    <row r="138" spans="1:59" ht="15.5" x14ac:dyDescent="0.35">
      <c r="A138" s="1">
        <v>393.5</v>
      </c>
      <c r="B138" s="1" t="s">
        <v>128</v>
      </c>
      <c r="D138" s="31"/>
      <c r="E138" s="32"/>
      <c r="F138" s="32"/>
      <c r="G138" s="31"/>
      <c r="H138" s="31"/>
      <c r="I138" s="31"/>
      <c r="J138" s="31"/>
      <c r="K138" s="31"/>
      <c r="L138" s="31"/>
      <c r="M138" s="31"/>
      <c r="R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U138" s="1"/>
      <c r="BB138" s="27"/>
      <c r="BG138" s="28"/>
    </row>
    <row r="139" spans="1:59" ht="15.5" x14ac:dyDescent="0.35">
      <c r="AU139" s="1"/>
      <c r="BB139" s="27"/>
      <c r="BG139" s="28"/>
    </row>
    <row r="140" spans="1:59" ht="15.5" x14ac:dyDescent="0.35">
      <c r="C140" s="33"/>
      <c r="D140" s="31">
        <f>SUM(D139:D139)</f>
        <v>0</v>
      </c>
      <c r="E140" s="32"/>
      <c r="F140" s="32"/>
      <c r="G140" s="36">
        <f>SUM(G139:G139)</f>
        <v>0</v>
      </c>
      <c r="H140" s="36">
        <f>SUM(H139:H139)</f>
        <v>0</v>
      </c>
      <c r="I140" s="36">
        <f>SUM(I139:I139)</f>
        <v>0</v>
      </c>
      <c r="J140" s="36">
        <f>SUM(J139:J139)</f>
        <v>0</v>
      </c>
      <c r="K140" s="36">
        <f>SUM(I140:J140)</f>
        <v>0</v>
      </c>
      <c r="L140" s="36">
        <f>SUM(L139:L139)</f>
        <v>0</v>
      </c>
      <c r="M140" s="36">
        <f>SUM(K140:L140)</f>
        <v>0</v>
      </c>
      <c r="N140" s="36">
        <f>SUM(N139:N139)</f>
        <v>0</v>
      </c>
      <c r="O140" s="36" t="e">
        <f>SUM(#REF!)</f>
        <v>#REF!</v>
      </c>
      <c r="P140" s="36">
        <f>SUM(P139:P139)</f>
        <v>0</v>
      </c>
      <c r="Q140" s="36" t="e">
        <f>SUM(#REF!)</f>
        <v>#REF!</v>
      </c>
      <c r="R140" s="36" t="e">
        <f>SUM(#REF!)</f>
        <v>#REF!</v>
      </c>
      <c r="S140" s="36" t="e">
        <f>SUM(#REF!)</f>
        <v>#REF!</v>
      </c>
      <c r="T140" s="40">
        <v>0</v>
      </c>
      <c r="U140" s="40">
        <v>1449</v>
      </c>
      <c r="V140" s="40">
        <v>0</v>
      </c>
      <c r="W140" s="40">
        <v>1449</v>
      </c>
      <c r="X140" s="40">
        <v>0</v>
      </c>
      <c r="Y140" s="40">
        <v>1449</v>
      </c>
      <c r="Z140" s="40">
        <v>0</v>
      </c>
      <c r="AA140" s="40">
        <v>1449</v>
      </c>
      <c r="AB140" s="31">
        <f>Z140</f>
        <v>0</v>
      </c>
      <c r="AC140" s="31">
        <f>AA140+AB140</f>
        <v>1449</v>
      </c>
      <c r="AD140" s="31">
        <f>AB140</f>
        <v>0</v>
      </c>
      <c r="AE140" s="31">
        <f>AC140+AD140</f>
        <v>1449</v>
      </c>
      <c r="AF140" s="31">
        <f>AD140</f>
        <v>0</v>
      </c>
      <c r="AG140" s="31">
        <f>AE140+AF140</f>
        <v>1449</v>
      </c>
      <c r="AH140" s="31">
        <f>AF140</f>
        <v>0</v>
      </c>
      <c r="AI140" s="31">
        <v>0</v>
      </c>
      <c r="AJ140" s="31">
        <f>AH140</f>
        <v>0</v>
      </c>
      <c r="AK140" s="31">
        <f>AI140+AJ140</f>
        <v>0</v>
      </c>
      <c r="AL140" s="31">
        <f>SUM(AL139:AL139)</f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U140" s="1"/>
      <c r="AV140" s="1">
        <v>0</v>
      </c>
      <c r="AW140" s="31">
        <f t="shared" ref="AW140" si="228">SUM(AO140+AV140)</f>
        <v>0</v>
      </c>
      <c r="AX140" s="4">
        <f t="shared" ref="AX140" si="229">SUM(D140-AW140)</f>
        <v>0</v>
      </c>
      <c r="AY140" s="4">
        <v>0</v>
      </c>
      <c r="AZ140" s="4">
        <f t="shared" ref="AZ140" si="230">SUM(AW140+AY140)</f>
        <v>0</v>
      </c>
      <c r="BA140" s="4">
        <f t="shared" ref="BA140" si="231">SUM(D140-AZ140)</f>
        <v>0</v>
      </c>
      <c r="BB140" s="27"/>
      <c r="BG140" s="28"/>
    </row>
    <row r="141" spans="1:59" ht="15.5" x14ac:dyDescent="0.35">
      <c r="C141" s="33"/>
      <c r="D141" s="31"/>
      <c r="E141" s="32"/>
      <c r="F141" s="32"/>
      <c r="G141" s="31"/>
      <c r="H141" s="31"/>
      <c r="I141" s="31"/>
      <c r="J141" s="31"/>
      <c r="K141" s="31"/>
      <c r="L141" s="31"/>
      <c r="M141" s="31"/>
      <c r="R141" s="31"/>
      <c r="AB141" s="31"/>
      <c r="AC141" s="31"/>
      <c r="AD141" s="31"/>
      <c r="AE141" s="31"/>
      <c r="AF141" s="31"/>
      <c r="AH141" s="31"/>
      <c r="AJ141" s="31"/>
      <c r="AL141" s="31"/>
      <c r="AU141" s="1"/>
      <c r="BB141" s="27"/>
      <c r="BG141" s="28"/>
    </row>
    <row r="142" spans="1:59" ht="15.5" x14ac:dyDescent="0.35">
      <c r="A142" s="1">
        <v>393.6</v>
      </c>
      <c r="B142" s="1" t="s">
        <v>129</v>
      </c>
      <c r="D142" s="31"/>
      <c r="E142" s="32"/>
      <c r="F142" s="32"/>
      <c r="G142" s="31"/>
      <c r="H142" s="31"/>
      <c r="I142" s="31"/>
      <c r="J142" s="31"/>
      <c r="K142" s="31"/>
      <c r="L142" s="31"/>
      <c r="M142" s="31"/>
      <c r="R142" s="31"/>
      <c r="AB142" s="31"/>
      <c r="AC142" s="31"/>
      <c r="AD142" s="31"/>
      <c r="AE142" s="31"/>
      <c r="AF142" s="31"/>
      <c r="AH142" s="31"/>
      <c r="AJ142" s="31"/>
      <c r="AL142" s="31"/>
      <c r="AU142" s="1"/>
      <c r="BB142" s="27"/>
      <c r="BG142" s="28"/>
    </row>
    <row r="143" spans="1:59" ht="15.5" x14ac:dyDescent="0.35">
      <c r="B143" s="1" t="s">
        <v>130</v>
      </c>
      <c r="C143" s="33">
        <v>37834</v>
      </c>
      <c r="D143" s="31">
        <v>2122</v>
      </c>
      <c r="E143" s="32" t="s">
        <v>21</v>
      </c>
      <c r="F143" s="32">
        <v>10</v>
      </c>
      <c r="G143" s="31">
        <v>88</v>
      </c>
      <c r="H143" s="31">
        <f>SUM(D143/F143)</f>
        <v>212.2</v>
      </c>
      <c r="I143" s="31">
        <f>SUM(G143:H143)</f>
        <v>300.2</v>
      </c>
      <c r="J143" s="31">
        <f>SUM(D143/F143)</f>
        <v>212.2</v>
      </c>
      <c r="K143" s="31">
        <f>SUM(I143:J143)</f>
        <v>512.4</v>
      </c>
      <c r="L143" s="31">
        <f>SUM(D143/F143)</f>
        <v>212.2</v>
      </c>
      <c r="M143" s="31">
        <f>SUM(K143:L143)</f>
        <v>724.59999999999991</v>
      </c>
      <c r="N143" s="31">
        <f>SUM(D143/F143)</f>
        <v>212.2</v>
      </c>
      <c r="O143" s="31">
        <f>SUM(M143+N143)</f>
        <v>936.8</v>
      </c>
      <c r="P143" s="31">
        <f>SUM(D143/F143)</f>
        <v>212.2</v>
      </c>
      <c r="Q143" s="31">
        <f>SUM(O143+P143)</f>
        <v>1149</v>
      </c>
      <c r="R143" s="31">
        <f>SUM(D143/F143)</f>
        <v>212.2</v>
      </c>
      <c r="S143" s="31">
        <f>SUM(Q143+R143)</f>
        <v>1361.2</v>
      </c>
      <c r="T143" s="1">
        <v>212</v>
      </c>
      <c r="U143" s="31">
        <f>S143+T143</f>
        <v>1573.2</v>
      </c>
      <c r="V143" s="31">
        <f>T143</f>
        <v>212</v>
      </c>
      <c r="W143" s="31">
        <f>U143+V143</f>
        <v>1785.2</v>
      </c>
      <c r="X143" s="31">
        <f>V143</f>
        <v>212</v>
      </c>
      <c r="Y143" s="31">
        <f>W143+X143</f>
        <v>1997.2</v>
      </c>
      <c r="Z143" s="31">
        <f>2122-1997</f>
        <v>125</v>
      </c>
      <c r="AA143" s="31">
        <f>Y143+Z143</f>
        <v>2122.1999999999998</v>
      </c>
      <c r="AB143" s="31">
        <v>0</v>
      </c>
      <c r="AC143" s="31">
        <f>AA143+AB143</f>
        <v>2122.1999999999998</v>
      </c>
      <c r="AD143" s="31">
        <v>0</v>
      </c>
      <c r="AE143" s="31">
        <f>AC143+AD143</f>
        <v>2122.1999999999998</v>
      </c>
      <c r="AF143" s="31">
        <v>0</v>
      </c>
      <c r="AG143" s="31">
        <f>AE143+AF143</f>
        <v>2122.1999999999998</v>
      </c>
      <c r="AH143" s="31">
        <v>0</v>
      </c>
      <c r="AI143" s="31">
        <f>AG143+AH143</f>
        <v>2122.1999999999998</v>
      </c>
      <c r="AJ143" s="31">
        <v>0</v>
      </c>
      <c r="AK143" s="31">
        <f>AI143+AJ143</f>
        <v>2122.1999999999998</v>
      </c>
      <c r="AL143" s="31">
        <v>0</v>
      </c>
      <c r="AM143" s="31">
        <f>AK143+AL143</f>
        <v>2122.1999999999998</v>
      </c>
      <c r="AN143" s="31">
        <v>0</v>
      </c>
      <c r="AO143" s="31">
        <f>AM143+AN143</f>
        <v>2122.1999999999998</v>
      </c>
      <c r="AP143" s="31">
        <f>D143-AO143</f>
        <v>-0.1999999999998181</v>
      </c>
      <c r="AQ143" s="31">
        <f>SUM(AN143)</f>
        <v>0</v>
      </c>
      <c r="AR143" s="31">
        <f>AO143+AQ143</f>
        <v>2122.1999999999998</v>
      </c>
      <c r="AS143" s="31">
        <f>D143-AR143</f>
        <v>-0.1999999999998181</v>
      </c>
      <c r="AU143" s="32">
        <v>10</v>
      </c>
      <c r="AV143" s="31">
        <v>0</v>
      </c>
      <c r="AW143" s="31">
        <f t="shared" ref="AW143:AW147" si="232">SUM(AO143+AV143)</f>
        <v>2122.1999999999998</v>
      </c>
      <c r="AX143" s="4">
        <f t="shared" ref="AX143:AX147" si="233">SUM(D143-AW143)</f>
        <v>-0.1999999999998181</v>
      </c>
      <c r="AY143" s="4">
        <v>0</v>
      </c>
      <c r="AZ143" s="4">
        <f t="shared" ref="AZ143:AZ147" si="234">SUM(AW143+AY143)</f>
        <v>2122.1999999999998</v>
      </c>
      <c r="BA143" s="4">
        <f t="shared" ref="BA143:BA146" si="235">SUM(D143-AZ143)</f>
        <v>-0.1999999999998181</v>
      </c>
      <c r="BB143" s="34">
        <v>0</v>
      </c>
      <c r="BC143" s="4">
        <f t="shared" ref="BC143:BC148" si="236">SUM(AZ143+BB143)</f>
        <v>2122.1999999999998</v>
      </c>
      <c r="BD143" s="4">
        <f t="shared" ref="BD143:BD148" si="237">SUM(D143-BC143)</f>
        <v>-0.1999999999998181</v>
      </c>
      <c r="BG143" s="35">
        <v>0</v>
      </c>
    </row>
    <row r="144" spans="1:59" ht="15.5" x14ac:dyDescent="0.35">
      <c r="B144" s="1" t="s">
        <v>130</v>
      </c>
      <c r="C144" s="33">
        <v>38030</v>
      </c>
      <c r="D144" s="31">
        <v>7000</v>
      </c>
      <c r="E144" s="32" t="s">
        <v>21</v>
      </c>
      <c r="F144" s="32">
        <v>10</v>
      </c>
      <c r="G144" s="31"/>
      <c r="H144" s="31">
        <f>SUM(D144/F144/2)</f>
        <v>350</v>
      </c>
      <c r="I144" s="31">
        <f>SUM(G144:H144)</f>
        <v>350</v>
      </c>
      <c r="J144" s="31">
        <f>SUM(D144/F144)</f>
        <v>700</v>
      </c>
      <c r="K144" s="31">
        <f>SUM(I144:J144)</f>
        <v>1050</v>
      </c>
      <c r="L144" s="31">
        <f>SUM(D144/F144)</f>
        <v>700</v>
      </c>
      <c r="M144" s="31">
        <f>SUM(K144:L144)</f>
        <v>1750</v>
      </c>
      <c r="N144" s="31">
        <f>SUM(D144/F144)</f>
        <v>700</v>
      </c>
      <c r="O144" s="31">
        <f>SUM(M144+N144)</f>
        <v>2450</v>
      </c>
      <c r="P144" s="31">
        <f>SUM(D144/F144)</f>
        <v>700</v>
      </c>
      <c r="Q144" s="31">
        <f>SUM(O144+P144)</f>
        <v>3150</v>
      </c>
      <c r="R144" s="31">
        <f>SUM(D144/F144)</f>
        <v>700</v>
      </c>
      <c r="S144" s="31">
        <f>SUM(Q144+R144)</f>
        <v>3850</v>
      </c>
      <c r="T144" s="1">
        <v>700</v>
      </c>
      <c r="U144" s="31">
        <f>S144+T144</f>
        <v>4550</v>
      </c>
      <c r="V144" s="31">
        <f>T144</f>
        <v>700</v>
      </c>
      <c r="W144" s="31">
        <f>U144+V144</f>
        <v>5250</v>
      </c>
      <c r="X144" s="31">
        <f>V144</f>
        <v>700</v>
      </c>
      <c r="Y144" s="31">
        <f>W144+X144</f>
        <v>5950</v>
      </c>
      <c r="Z144" s="31">
        <f>X144</f>
        <v>700</v>
      </c>
      <c r="AA144" s="31">
        <f>Y144+Z144</f>
        <v>6650</v>
      </c>
      <c r="AB144" s="31">
        <v>350</v>
      </c>
      <c r="AC144" s="31">
        <f>AA144+AB144</f>
        <v>7000</v>
      </c>
      <c r="AD144" s="31">
        <v>0</v>
      </c>
      <c r="AE144" s="31">
        <f>AC144+AD144</f>
        <v>7000</v>
      </c>
      <c r="AF144" s="31">
        <v>0</v>
      </c>
      <c r="AG144" s="31">
        <f>AE144+AF144</f>
        <v>7000</v>
      </c>
      <c r="AH144" s="31">
        <v>0</v>
      </c>
      <c r="AI144" s="31">
        <f>AG144+AH144</f>
        <v>7000</v>
      </c>
      <c r="AJ144" s="31">
        <v>0</v>
      </c>
      <c r="AK144" s="31">
        <f>AI144+AJ144</f>
        <v>7000</v>
      </c>
      <c r="AL144" s="31">
        <v>0</v>
      </c>
      <c r="AM144" s="31">
        <f>AK144+AL144</f>
        <v>7000</v>
      </c>
      <c r="AN144" s="31">
        <v>0</v>
      </c>
      <c r="AO144" s="31">
        <f>AM144+AN144</f>
        <v>7000</v>
      </c>
      <c r="AP144" s="31">
        <f>D144-AO144</f>
        <v>0</v>
      </c>
      <c r="AQ144" s="31">
        <f>SUM(AN144)</f>
        <v>0</v>
      </c>
      <c r="AR144" s="31">
        <f>AO144+AQ144</f>
        <v>7000</v>
      </c>
      <c r="AS144" s="31">
        <f>D144-AR144</f>
        <v>0</v>
      </c>
      <c r="AU144" s="32">
        <v>10</v>
      </c>
      <c r="AV144" s="31">
        <v>0</v>
      </c>
      <c r="AW144" s="31">
        <f t="shared" si="232"/>
        <v>7000</v>
      </c>
      <c r="AX144" s="4">
        <f t="shared" si="233"/>
        <v>0</v>
      </c>
      <c r="AY144" s="4">
        <v>0</v>
      </c>
      <c r="AZ144" s="4">
        <f t="shared" si="234"/>
        <v>7000</v>
      </c>
      <c r="BA144" s="4">
        <f t="shared" si="235"/>
        <v>0</v>
      </c>
      <c r="BB144" s="34">
        <v>0</v>
      </c>
      <c r="BC144" s="4">
        <f t="shared" si="236"/>
        <v>7000</v>
      </c>
      <c r="BD144" s="4">
        <f t="shared" si="237"/>
        <v>0</v>
      </c>
      <c r="BG144" s="35">
        <v>0</v>
      </c>
    </row>
    <row r="145" spans="1:60" ht="15.5" x14ac:dyDescent="0.35">
      <c r="B145" s="1" t="s">
        <v>131</v>
      </c>
      <c r="C145" s="33">
        <v>41201</v>
      </c>
      <c r="D145" s="31">
        <v>3608</v>
      </c>
      <c r="E145" s="32" t="s">
        <v>21</v>
      </c>
      <c r="F145" s="32">
        <v>10</v>
      </c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U145" s="31"/>
      <c r="V145" s="31"/>
      <c r="W145" s="31"/>
      <c r="X145" s="31">
        <v>75</v>
      </c>
      <c r="Y145" s="31">
        <f>W145+X145</f>
        <v>75</v>
      </c>
      <c r="Z145" s="31">
        <v>75</v>
      </c>
      <c r="AA145" s="31">
        <f>Y145+Z145</f>
        <v>150</v>
      </c>
      <c r="AB145" s="31">
        <v>361</v>
      </c>
      <c r="AC145" s="31">
        <f>AA145+AB145</f>
        <v>511</v>
      </c>
      <c r="AD145" s="31">
        <f>3609/10</f>
        <v>360.9</v>
      </c>
      <c r="AE145" s="31">
        <f>AC145+AD145</f>
        <v>871.9</v>
      </c>
      <c r="AF145" s="31">
        <f>3609/10</f>
        <v>360.9</v>
      </c>
      <c r="AG145" s="31">
        <f>AE145+AF145</f>
        <v>1232.8</v>
      </c>
      <c r="AH145" s="31">
        <f>3609/10</f>
        <v>360.9</v>
      </c>
      <c r="AI145" s="31">
        <f>AG145+AH145</f>
        <v>1593.6999999999998</v>
      </c>
      <c r="AJ145" s="31">
        <f>3609/10</f>
        <v>360.9</v>
      </c>
      <c r="AK145" s="31">
        <f>AI145+AJ145</f>
        <v>1954.6</v>
      </c>
      <c r="AL145" s="31">
        <f>3609/10</f>
        <v>360.9</v>
      </c>
      <c r="AM145" s="31">
        <v>2316</v>
      </c>
      <c r="AN145" s="31">
        <f>3609/10</f>
        <v>360.9</v>
      </c>
      <c r="AO145" s="31">
        <f>AM145+AN145</f>
        <v>2676.9</v>
      </c>
      <c r="AP145" s="31">
        <f>D145-AO145</f>
        <v>931.09999999999991</v>
      </c>
      <c r="AQ145" s="31">
        <f>SUM(AN145)</f>
        <v>360.9</v>
      </c>
      <c r="AR145" s="31">
        <f>AO145+AQ145</f>
        <v>3037.8</v>
      </c>
      <c r="AS145" s="31">
        <f>D145-AR145</f>
        <v>570.19999999999982</v>
      </c>
      <c r="AU145" s="32">
        <v>10</v>
      </c>
      <c r="AV145" s="31">
        <v>361</v>
      </c>
      <c r="AW145" s="31">
        <f t="shared" si="232"/>
        <v>3037.9</v>
      </c>
      <c r="AX145" s="4">
        <f t="shared" si="233"/>
        <v>570.09999999999991</v>
      </c>
      <c r="AY145" s="4">
        <f t="shared" ref="AY145" si="238">SUM(D145/AU145)</f>
        <v>360.8</v>
      </c>
      <c r="AZ145" s="4">
        <f t="shared" si="234"/>
        <v>3398.7000000000003</v>
      </c>
      <c r="BA145" s="4">
        <f t="shared" si="235"/>
        <v>209.29999999999973</v>
      </c>
      <c r="BB145" s="34">
        <v>209</v>
      </c>
      <c r="BC145" s="4">
        <f t="shared" si="236"/>
        <v>3607.7000000000003</v>
      </c>
      <c r="BD145" s="4">
        <f t="shared" si="237"/>
        <v>0.29999999999972715</v>
      </c>
      <c r="BG145" s="35">
        <v>209</v>
      </c>
    </row>
    <row r="146" spans="1:60" ht="15.5" x14ac:dyDescent="0.35">
      <c r="B146" s="1" t="s">
        <v>132</v>
      </c>
      <c r="C146" s="33" t="s">
        <v>133</v>
      </c>
      <c r="D146" s="31">
        <v>2728</v>
      </c>
      <c r="E146" s="32" t="s">
        <v>21</v>
      </c>
      <c r="F146" s="32">
        <v>10</v>
      </c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U146" s="31"/>
      <c r="V146" s="31">
        <v>182</v>
      </c>
      <c r="W146" s="31">
        <f>U146+V146</f>
        <v>182</v>
      </c>
      <c r="X146" s="31">
        <v>273</v>
      </c>
      <c r="Y146" s="31">
        <f>W146+X146</f>
        <v>455</v>
      </c>
      <c r="Z146" s="31">
        <v>273</v>
      </c>
      <c r="AA146" s="31">
        <f>Y146+Z146</f>
        <v>728</v>
      </c>
      <c r="AB146" s="31">
        <f>Z146</f>
        <v>273</v>
      </c>
      <c r="AC146" s="31">
        <f>AA146+AB146</f>
        <v>1001</v>
      </c>
      <c r="AD146" s="31">
        <f>AB146</f>
        <v>273</v>
      </c>
      <c r="AE146" s="31">
        <f>AC146+AD146</f>
        <v>1274</v>
      </c>
      <c r="AF146" s="31">
        <f>AD146</f>
        <v>273</v>
      </c>
      <c r="AG146" s="31">
        <f>AE146+AF146</f>
        <v>1547</v>
      </c>
      <c r="AH146" s="31">
        <f>AF146</f>
        <v>273</v>
      </c>
      <c r="AI146" s="31">
        <f>AG146+AH146</f>
        <v>1820</v>
      </c>
      <c r="AJ146" s="31">
        <f>AH146</f>
        <v>273</v>
      </c>
      <c r="AK146" s="31">
        <f>AI146+AJ146</f>
        <v>2093</v>
      </c>
      <c r="AL146" s="31">
        <f>AJ146</f>
        <v>273</v>
      </c>
      <c r="AM146" s="31">
        <f>AK146+AL146</f>
        <v>2366</v>
      </c>
      <c r="AN146" s="31">
        <f>AL146</f>
        <v>273</v>
      </c>
      <c r="AO146" s="31">
        <f>AM146+AN146</f>
        <v>2639</v>
      </c>
      <c r="AP146" s="31">
        <f>D146-AO146</f>
        <v>89</v>
      </c>
      <c r="AQ146" s="31">
        <v>89</v>
      </c>
      <c r="AR146" s="31">
        <f>AO146+AQ146</f>
        <v>2728</v>
      </c>
      <c r="AS146" s="31">
        <f>D146-AR146</f>
        <v>0</v>
      </c>
      <c r="AU146" s="32">
        <v>10</v>
      </c>
      <c r="AV146" s="31">
        <v>89</v>
      </c>
      <c r="AW146" s="31">
        <f t="shared" si="232"/>
        <v>2728</v>
      </c>
      <c r="AX146" s="4">
        <f t="shared" si="233"/>
        <v>0</v>
      </c>
      <c r="AY146" s="4">
        <v>0</v>
      </c>
      <c r="AZ146" s="4">
        <f t="shared" si="234"/>
        <v>2728</v>
      </c>
      <c r="BA146" s="4">
        <f t="shared" si="235"/>
        <v>0</v>
      </c>
      <c r="BB146" s="34">
        <v>0</v>
      </c>
      <c r="BC146" s="4">
        <f t="shared" si="236"/>
        <v>2728</v>
      </c>
      <c r="BD146" s="4">
        <f t="shared" si="237"/>
        <v>0</v>
      </c>
      <c r="BG146" s="35">
        <v>0</v>
      </c>
    </row>
    <row r="147" spans="1:60" ht="15.5" x14ac:dyDescent="0.35">
      <c r="B147" s="1" t="s">
        <v>134</v>
      </c>
      <c r="C147" s="33">
        <v>44323</v>
      </c>
      <c r="D147" s="31">
        <v>14500</v>
      </c>
      <c r="E147" s="32" t="s">
        <v>21</v>
      </c>
      <c r="F147" s="32">
        <v>10</v>
      </c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U147" s="32">
        <v>10</v>
      </c>
      <c r="AV147" s="31">
        <f>SUM(D147/10/2)</f>
        <v>725</v>
      </c>
      <c r="AW147" s="31">
        <f t="shared" si="232"/>
        <v>725</v>
      </c>
      <c r="AX147" s="4">
        <f t="shared" si="233"/>
        <v>13775</v>
      </c>
      <c r="AY147" s="4">
        <f t="shared" ref="AY147" si="239">SUM(D147/AU147)</f>
        <v>1450</v>
      </c>
      <c r="AZ147" s="4">
        <f t="shared" si="234"/>
        <v>2175</v>
      </c>
      <c r="BA147" s="4"/>
      <c r="BB147" s="34">
        <f t="shared" ref="BB147" si="240">SUM(D147/AU147)</f>
        <v>1450</v>
      </c>
      <c r="BC147" s="4">
        <f t="shared" si="236"/>
        <v>3625</v>
      </c>
      <c r="BD147" s="4">
        <f t="shared" si="237"/>
        <v>10875</v>
      </c>
      <c r="BG147" s="35">
        <v>1450</v>
      </c>
    </row>
    <row r="148" spans="1:60" ht="15.5" x14ac:dyDescent="0.35">
      <c r="B148" s="1" t="s">
        <v>135</v>
      </c>
      <c r="C148" s="33">
        <v>45163</v>
      </c>
      <c r="D148" s="31">
        <v>30000</v>
      </c>
      <c r="E148" s="32" t="s">
        <v>21</v>
      </c>
      <c r="F148" s="32">
        <v>10</v>
      </c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U148" s="32">
        <v>10</v>
      </c>
      <c r="AV148" s="31"/>
      <c r="AW148" s="31"/>
      <c r="AX148" s="4"/>
      <c r="AY148" s="4"/>
      <c r="AZ148" s="4"/>
      <c r="BA148" s="4"/>
      <c r="BB148" s="34">
        <f t="shared" ref="BB148" si="241">SUM(D148/AU148/2)</f>
        <v>1500</v>
      </c>
      <c r="BC148" s="4">
        <f t="shared" si="236"/>
        <v>1500</v>
      </c>
      <c r="BD148" s="4">
        <f t="shared" si="237"/>
        <v>28500</v>
      </c>
      <c r="BE148" s="4">
        <f>SUM(D148)</f>
        <v>30000</v>
      </c>
      <c r="BG148" s="35">
        <v>1500</v>
      </c>
    </row>
    <row r="149" spans="1:60" ht="15.5" x14ac:dyDescent="0.35">
      <c r="C149" s="33"/>
      <c r="D149" s="31"/>
      <c r="E149" s="32"/>
      <c r="F149" s="32"/>
      <c r="G149" s="31"/>
      <c r="H149" s="31"/>
      <c r="I149" s="31"/>
      <c r="J149" s="31"/>
      <c r="K149" s="31"/>
      <c r="L149" s="31"/>
      <c r="M149" s="31"/>
      <c r="R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U149" s="1"/>
      <c r="BB149" s="27"/>
      <c r="BG149" s="28"/>
    </row>
    <row r="150" spans="1:60" ht="15.5" x14ac:dyDescent="0.35">
      <c r="A150" s="40"/>
      <c r="B150" s="40"/>
      <c r="C150" s="47"/>
      <c r="D150" s="36">
        <f>SUM(D142:D149)</f>
        <v>59958</v>
      </c>
      <c r="E150" s="37"/>
      <c r="F150" s="37"/>
      <c r="G150" s="36">
        <f>SUM(G142:G149)</f>
        <v>88</v>
      </c>
      <c r="H150" s="36">
        <f>SUM(H142:H149)</f>
        <v>562.20000000000005</v>
      </c>
      <c r="I150" s="36">
        <f>SUM(I142:I149)</f>
        <v>650.20000000000005</v>
      </c>
      <c r="J150" s="36">
        <f>SUM(J142:J149)</f>
        <v>912.2</v>
      </c>
      <c r="K150" s="36">
        <f>SUM(I150:J150)</f>
        <v>1562.4</v>
      </c>
      <c r="L150" s="36">
        <f>SUM(L142:L149)</f>
        <v>912.2</v>
      </c>
      <c r="M150" s="36">
        <f>SUM(K150:L150)</f>
        <v>2474.6000000000004</v>
      </c>
      <c r="N150" s="36">
        <f>SUM(N142:N149)</f>
        <v>912.2</v>
      </c>
      <c r="O150" s="36">
        <f t="shared" ref="O150:U150" si="242">SUM(O143:O145)</f>
        <v>3386.8</v>
      </c>
      <c r="P150" s="36">
        <f t="shared" si="242"/>
        <v>912.2</v>
      </c>
      <c r="Q150" s="36">
        <f t="shared" si="242"/>
        <v>4299</v>
      </c>
      <c r="R150" s="36">
        <f t="shared" si="242"/>
        <v>912.2</v>
      </c>
      <c r="S150" s="36">
        <f t="shared" si="242"/>
        <v>5211.2</v>
      </c>
      <c r="T150" s="40">
        <f t="shared" si="242"/>
        <v>912</v>
      </c>
      <c r="U150" s="40">
        <f t="shared" si="242"/>
        <v>6123.2</v>
      </c>
      <c r="V150" s="36">
        <f t="shared" ref="V150:AA150" si="243">SUM(V143:V146)</f>
        <v>1094</v>
      </c>
      <c r="W150" s="36">
        <f t="shared" si="243"/>
        <v>7217.2</v>
      </c>
      <c r="X150" s="36">
        <f t="shared" si="243"/>
        <v>1260</v>
      </c>
      <c r="Y150" s="36">
        <f t="shared" si="243"/>
        <v>8477.2000000000007</v>
      </c>
      <c r="Z150" s="36">
        <f t="shared" si="243"/>
        <v>1173</v>
      </c>
      <c r="AA150" s="36">
        <f t="shared" si="243"/>
        <v>9650.2000000000007</v>
      </c>
      <c r="AB150" s="36">
        <f>Z150</f>
        <v>1173</v>
      </c>
      <c r="AC150" s="36">
        <f>AA150+AB150</f>
        <v>10823.2</v>
      </c>
      <c r="AD150" s="36">
        <f>AB150</f>
        <v>1173</v>
      </c>
      <c r="AE150" s="36">
        <f>AC150+AD150</f>
        <v>11996.2</v>
      </c>
      <c r="AF150" s="36">
        <f>AD150</f>
        <v>1173</v>
      </c>
      <c r="AG150" s="36">
        <f>AE150+AF150</f>
        <v>13169.2</v>
      </c>
      <c r="AH150" s="36">
        <f>AF150</f>
        <v>1173</v>
      </c>
      <c r="AI150" s="36">
        <f>AG150+AH150</f>
        <v>14342.2</v>
      </c>
      <c r="AJ150" s="36">
        <f>SUM(AJ143:AJ146)</f>
        <v>633.9</v>
      </c>
      <c r="AK150" s="36">
        <f>AI150+AJ150</f>
        <v>14976.1</v>
      </c>
      <c r="AL150" s="36">
        <f>SUM(AL143:AL146)</f>
        <v>633.9</v>
      </c>
      <c r="AM150" s="36">
        <f>SUM(AM143:AM146)</f>
        <v>13804.2</v>
      </c>
      <c r="AN150" s="36">
        <f>SUM(AN143:AN146)</f>
        <v>633.9</v>
      </c>
      <c r="AO150" s="36">
        <f>AM150+AN150</f>
        <v>14438.1</v>
      </c>
      <c r="AP150" s="36">
        <f>SUM(AP142:AP149)</f>
        <v>1019.9000000000001</v>
      </c>
      <c r="AQ150" s="36">
        <f>SUM(AQ142:AQ149)</f>
        <v>449.9</v>
      </c>
      <c r="AR150" s="36">
        <f>SUM(AR142:AR149)</f>
        <v>14888</v>
      </c>
      <c r="AS150" s="36">
        <f>SUM(AS142:AS149)</f>
        <v>570</v>
      </c>
      <c r="AT150" s="40"/>
      <c r="AU150" s="40"/>
      <c r="AV150" s="36">
        <f>SUM(AV142:AV149)</f>
        <v>1175</v>
      </c>
      <c r="AW150" s="36">
        <f t="shared" ref="AW150:BD150" si="244">SUM(AW142:AW149)</f>
        <v>15613.1</v>
      </c>
      <c r="AX150" s="36">
        <f t="shared" si="244"/>
        <v>14344.9</v>
      </c>
      <c r="AY150" s="36">
        <f t="shared" si="244"/>
        <v>1810.8</v>
      </c>
      <c r="AZ150" s="36">
        <f t="shared" si="244"/>
        <v>17423.900000000001</v>
      </c>
      <c r="BA150" s="36">
        <f t="shared" si="244"/>
        <v>209.09999999999991</v>
      </c>
      <c r="BB150" s="38">
        <f t="shared" si="244"/>
        <v>3159</v>
      </c>
      <c r="BC150" s="36">
        <f t="shared" si="244"/>
        <v>20582.900000000001</v>
      </c>
      <c r="BD150" s="36">
        <f t="shared" si="244"/>
        <v>39375.1</v>
      </c>
      <c r="BG150" s="39">
        <v>3159</v>
      </c>
    </row>
    <row r="151" spans="1:60" ht="15.5" x14ac:dyDescent="0.35">
      <c r="C151" s="33"/>
      <c r="D151" s="31"/>
      <c r="E151" s="32"/>
      <c r="F151" s="32"/>
      <c r="G151" s="31"/>
      <c r="H151" s="31"/>
      <c r="I151" s="31"/>
      <c r="J151" s="31"/>
      <c r="K151" s="31"/>
      <c r="L151" s="31"/>
      <c r="M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U151" s="1"/>
      <c r="BB151" s="28"/>
      <c r="BE151" s="4">
        <f>SUM(BE6:BE150)</f>
        <v>3604704</v>
      </c>
      <c r="BG151" s="28"/>
    </row>
    <row r="152" spans="1:60" ht="16" thickBot="1" x14ac:dyDescent="0.4">
      <c r="C152" s="33"/>
      <c r="D152" s="31">
        <f>SUM(D8+D150+D140+D136+D129+D116+D104+D98+D95+D92+D72+D69+D36+D16)</f>
        <v>23080829.870000001</v>
      </c>
      <c r="E152" s="32"/>
      <c r="F152" s="32"/>
      <c r="G152" s="31">
        <f t="shared" ref="G152:N152" si="245">SUM(G150+G140+G136+G129+G116+G104+G98+G95+G92+G72+G69+G36+G16)</f>
        <v>536086</v>
      </c>
      <c r="H152" s="31">
        <f t="shared" si="245"/>
        <v>207021.61250000002</v>
      </c>
      <c r="I152" s="31">
        <f t="shared" si="245"/>
        <v>743107.61249999993</v>
      </c>
      <c r="J152" s="31">
        <f t="shared" si="245"/>
        <v>304754.7</v>
      </c>
      <c r="K152" s="31">
        <f t="shared" si="245"/>
        <v>1051689.3125</v>
      </c>
      <c r="L152" s="31">
        <f t="shared" si="245"/>
        <v>353157.42337500001</v>
      </c>
      <c r="M152" s="31">
        <f t="shared" si="245"/>
        <v>1404846.7358750002</v>
      </c>
      <c r="N152" s="31">
        <f t="shared" si="245"/>
        <v>399956.13425</v>
      </c>
      <c r="O152" s="31" t="e">
        <f>SUM(O16+O36+O69+O72+O92+O95+O98+O104+O116+O129+O136+O140+O150)</f>
        <v>#REF!</v>
      </c>
      <c r="P152" s="31">
        <f>SUM(P150+P140+P136+P129+P116+P104+P98+P95+P92+P72+P69+P36+P16)</f>
        <v>423792.89675000007</v>
      </c>
      <c r="Q152" s="31" t="e">
        <f t="shared" ref="Q152:AA152" si="246">SUM(Q16+Q36+Q69+Q72+Q92+Q95+Q98+Q104+Q116+Q129+Q136+Q140+Q150)</f>
        <v>#REF!</v>
      </c>
      <c r="R152" s="31" t="e">
        <f t="shared" si="246"/>
        <v>#REF!</v>
      </c>
      <c r="S152" s="31" t="e">
        <f t="shared" si="246"/>
        <v>#REF!</v>
      </c>
      <c r="T152" s="31">
        <f t="shared" si="246"/>
        <v>473947.77174999996</v>
      </c>
      <c r="U152" s="31">
        <f t="shared" si="246"/>
        <v>3176036.9291250003</v>
      </c>
      <c r="V152" s="56">
        <f t="shared" si="246"/>
        <v>486065.07174999994</v>
      </c>
      <c r="W152" s="31">
        <f t="shared" si="246"/>
        <v>3662102.0008750008</v>
      </c>
      <c r="X152" s="57">
        <f t="shared" si="246"/>
        <v>581439.67174999998</v>
      </c>
      <c r="Y152" s="31">
        <f t="shared" si="246"/>
        <v>4243541.6726249997</v>
      </c>
      <c r="Z152" s="57">
        <f t="shared" si="246"/>
        <v>566725.87174999993</v>
      </c>
      <c r="AA152" s="31">
        <f t="shared" si="246"/>
        <v>4810267.5443750005</v>
      </c>
      <c r="AB152" s="31">
        <f>AB16+AB36+AB69+AB72+AB92+AB95+AB98+AB104+AB116+AB129+AB136+AB140+AB150</f>
        <v>563481.47174999991</v>
      </c>
      <c r="AC152" s="31">
        <f>AA152+AB152</f>
        <v>5373749.0161250001</v>
      </c>
      <c r="AD152" s="31">
        <f>AD16+AD36+AD69+AD72+AD92+AD95+AD98+AD104+AD116+AD129+AD136+AD140+AD150</f>
        <v>561823.27174999984</v>
      </c>
      <c r="AE152" s="31">
        <f>AC152+AD152</f>
        <v>5935572.2878750004</v>
      </c>
      <c r="AF152" s="31">
        <f>AF16+AF36+AF69+AF72+AF92+AF95+AF98+AF104+AF116+AF129+AF136+AF140+AF150</f>
        <v>546709.66133333324</v>
      </c>
      <c r="AG152" s="31">
        <f>AE152+AF152</f>
        <v>6482281.9492083341</v>
      </c>
      <c r="AH152" s="31">
        <f>AH16+AH36+AH69+AH72+AH92+AH95+AH98+AH104+AH116+AH129+AH136+AH140+AH150</f>
        <v>532892.06133333326</v>
      </c>
      <c r="AI152" s="31">
        <f t="shared" ref="AI152:AS152" si="247">SUM(AI150+AI140+AI136+AI129+AI116+AI104+AI98+AI95+AI92+AI72+AI69+AI36+AI16)</f>
        <v>7013885.810541667</v>
      </c>
      <c r="AJ152" s="31">
        <f t="shared" si="247"/>
        <v>531403.16133333335</v>
      </c>
      <c r="AK152" s="31">
        <f t="shared" si="247"/>
        <v>7545288.9718750007</v>
      </c>
      <c r="AL152" s="31">
        <f t="shared" si="247"/>
        <v>529090.41133333335</v>
      </c>
      <c r="AM152" s="31">
        <f t="shared" si="247"/>
        <v>8074379.5832083337</v>
      </c>
      <c r="AN152" s="31">
        <f t="shared" si="247"/>
        <v>533309.66133333335</v>
      </c>
      <c r="AO152" s="31">
        <f t="shared" si="247"/>
        <v>8607689.6445416678</v>
      </c>
      <c r="AP152" s="31">
        <f t="shared" si="247"/>
        <v>10594800.525458332</v>
      </c>
      <c r="AQ152" s="31">
        <f t="shared" si="247"/>
        <v>534763.46133333328</v>
      </c>
      <c r="AR152" s="31">
        <f t="shared" si="247"/>
        <v>9140484.9058750011</v>
      </c>
      <c r="AS152" s="31">
        <f t="shared" si="247"/>
        <v>10062004.964125</v>
      </c>
      <c r="AU152" s="1"/>
      <c r="AV152" s="31">
        <f t="shared" ref="AV152:BD152" si="248">SUM(AV8+AV150+AV140+AV136+AV129+AV116+AV104+AV98+AV95+AV92+AV72+AV69+AV36+AV16)</f>
        <v>531318.39628571423</v>
      </c>
      <c r="AW152" s="31">
        <f t="shared" si="248"/>
        <v>9139007.3408273831</v>
      </c>
      <c r="AX152" s="31">
        <f t="shared" si="248"/>
        <v>10213576.629172618</v>
      </c>
      <c r="AY152" s="31">
        <f t="shared" si="248"/>
        <v>549852.83914285712</v>
      </c>
      <c r="AZ152" s="31">
        <f t="shared" si="248"/>
        <v>9690660.1799702384</v>
      </c>
      <c r="BA152" s="31">
        <f t="shared" si="248"/>
        <v>9802645.7900297605</v>
      </c>
      <c r="BB152" s="58">
        <f>SUM(BB8+BB150+BB140+BB136+BB129+BB122+BB116+BB104+BB98+BB95+BB92+BB72+BB69+BB36+BB16)</f>
        <v>613439.94580952381</v>
      </c>
      <c r="BC152" s="31">
        <f t="shared" si="248"/>
        <v>10303716.485779762</v>
      </c>
      <c r="BD152" s="31">
        <f t="shared" si="248"/>
        <v>12777113.384220237</v>
      </c>
      <c r="BE152" s="31"/>
      <c r="BG152" s="59">
        <v>619737.13419780205</v>
      </c>
      <c r="BH152" s="1">
        <f>SUM(BH6:BH151)</f>
        <v>-6297.1883882783904</v>
      </c>
    </row>
    <row r="153" spans="1:60" ht="16" thickTop="1" x14ac:dyDescent="0.35">
      <c r="C153" s="33"/>
      <c r="D153" s="31"/>
      <c r="E153" s="32"/>
      <c r="F153" s="32"/>
      <c r="G153" s="31"/>
      <c r="H153" s="31"/>
      <c r="I153" s="31"/>
      <c r="J153" s="31"/>
      <c r="K153" s="31"/>
      <c r="L153" s="31"/>
      <c r="M153" s="31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1"/>
      <c r="AG153" s="60"/>
      <c r="AH153" s="61"/>
      <c r="AJ153" s="31"/>
      <c r="AL153" s="31"/>
      <c r="AU153" s="1"/>
      <c r="BH153" s="31">
        <f>SUM(BH3:BH152)</f>
        <v>-12594.376776556781</v>
      </c>
    </row>
    <row r="154" spans="1:60" ht="15.5" x14ac:dyDescent="0.35">
      <c r="C154" s="33"/>
      <c r="D154" s="37"/>
      <c r="E154" s="37"/>
      <c r="F154" s="37"/>
      <c r="G154" s="31"/>
      <c r="H154" s="31"/>
      <c r="I154" s="31"/>
      <c r="J154" s="31"/>
      <c r="K154" s="31"/>
      <c r="L154" s="31"/>
      <c r="M154" s="31"/>
      <c r="AF154" s="31"/>
      <c r="AH154" s="31"/>
      <c r="AJ154" s="31"/>
      <c r="AL154" s="31"/>
      <c r="AU154" s="1"/>
    </row>
    <row r="155" spans="1:60" ht="15.5" x14ac:dyDescent="0.35">
      <c r="D155" s="31"/>
      <c r="E155" s="32"/>
      <c r="F155" s="32"/>
      <c r="G155" s="31"/>
      <c r="H155" s="31"/>
      <c r="I155" s="31"/>
      <c r="J155" s="31"/>
      <c r="K155" s="31"/>
      <c r="L155" s="31"/>
      <c r="M155" s="31"/>
      <c r="AF155" s="31"/>
      <c r="AH155" s="31"/>
      <c r="AJ155" s="31"/>
      <c r="AL155" s="31"/>
      <c r="AU155" s="1"/>
    </row>
    <row r="156" spans="1:60" ht="15.5" x14ac:dyDescent="0.35">
      <c r="D156" s="31"/>
      <c r="E156" s="32"/>
      <c r="F156" s="32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AF156" s="31"/>
      <c r="AH156" s="31"/>
      <c r="AJ156" s="31"/>
      <c r="AL156" s="31"/>
      <c r="AU156" s="1"/>
    </row>
    <row r="157" spans="1:60" ht="15.5" x14ac:dyDescent="0.35">
      <c r="D157" s="31"/>
      <c r="E157" s="32"/>
      <c r="F157" s="32"/>
      <c r="G157" s="31"/>
      <c r="H157" s="31"/>
      <c r="I157" s="31"/>
      <c r="J157" s="31"/>
      <c r="K157" s="31"/>
      <c r="L157" s="31"/>
      <c r="AF157" s="31"/>
      <c r="AH157" s="31"/>
      <c r="AJ157" s="31"/>
      <c r="AL157" s="31"/>
      <c r="AU157" s="1"/>
      <c r="AV157" s="31"/>
      <c r="AW157" s="31"/>
    </row>
    <row r="158" spans="1:60" ht="15.5" x14ac:dyDescent="0.35">
      <c r="D158" s="31"/>
      <c r="E158" s="32"/>
      <c r="F158" s="32"/>
      <c r="G158" s="31"/>
      <c r="H158" s="31"/>
      <c r="I158" s="31"/>
      <c r="J158" s="31"/>
      <c r="K158" s="31"/>
      <c r="L158" s="31"/>
      <c r="AF158" s="31"/>
      <c r="AH158" s="31"/>
      <c r="AJ158" s="31"/>
      <c r="AL158" s="31"/>
      <c r="AU158" s="1"/>
    </row>
    <row r="159" spans="1:60" ht="15.5" x14ac:dyDescent="0.35">
      <c r="D159" s="31"/>
      <c r="E159" s="32"/>
      <c r="F159" s="32"/>
      <c r="G159" s="31"/>
      <c r="H159" s="31"/>
      <c r="I159" s="31"/>
      <c r="J159" s="31"/>
      <c r="K159" s="31"/>
      <c r="L159" s="31"/>
      <c r="AF159" s="31"/>
      <c r="AH159" s="31"/>
      <c r="AJ159" s="31"/>
      <c r="AL159" s="31"/>
      <c r="AU159" s="1"/>
      <c r="AW159" s="31"/>
    </row>
    <row r="160" spans="1:60" ht="15.5" x14ac:dyDescent="0.35">
      <c r="D160" s="31"/>
      <c r="E160" s="32"/>
      <c r="F160" s="31"/>
      <c r="G160" s="31"/>
      <c r="H160" s="31"/>
      <c r="I160" s="31"/>
      <c r="J160" s="31"/>
      <c r="K160" s="31"/>
      <c r="L160" s="31"/>
      <c r="AF160" s="31"/>
      <c r="AH160" s="31"/>
      <c r="AJ160" s="31"/>
      <c r="AL160" s="31"/>
      <c r="AU160" s="1"/>
    </row>
    <row r="161" spans="4:47" ht="15.5" x14ac:dyDescent="0.35">
      <c r="D161" s="31"/>
      <c r="E161" s="32"/>
      <c r="F161" s="32"/>
      <c r="G161" s="31"/>
      <c r="H161" s="31"/>
      <c r="I161" s="31"/>
      <c r="J161" s="31"/>
      <c r="K161" s="31"/>
      <c r="L161" s="31"/>
      <c r="AF161" s="31"/>
      <c r="AH161" s="31"/>
      <c r="AJ161" s="31"/>
      <c r="AL161" s="31"/>
      <c r="AU161" s="1"/>
    </row>
    <row r="162" spans="4:47" ht="15.5" x14ac:dyDescent="0.35">
      <c r="D162" s="31"/>
      <c r="E162" s="32"/>
      <c r="F162" s="32"/>
      <c r="G162" s="31"/>
      <c r="H162" s="31"/>
      <c r="I162" s="31"/>
      <c r="J162" s="31"/>
      <c r="K162" s="31"/>
      <c r="L162" s="31"/>
      <c r="AF162" s="31"/>
      <c r="AH162" s="31"/>
      <c r="AJ162" s="31"/>
      <c r="AL162" s="31"/>
      <c r="AU162" s="1"/>
    </row>
    <row r="163" spans="4:47" ht="15.5" x14ac:dyDescent="0.35">
      <c r="D163" s="31"/>
      <c r="E163" s="32"/>
      <c r="F163" s="32"/>
      <c r="G163" s="31"/>
      <c r="H163" s="31"/>
      <c r="I163" s="31"/>
      <c r="J163" s="31"/>
      <c r="K163" s="31"/>
      <c r="L163" s="31"/>
      <c r="AF163" s="31"/>
      <c r="AH163" s="31"/>
      <c r="AJ163" s="31"/>
      <c r="AL163" s="31"/>
      <c r="AU163" s="1"/>
    </row>
    <row r="164" spans="4:47" ht="15.5" x14ac:dyDescent="0.35">
      <c r="D164" s="31"/>
      <c r="E164" s="32"/>
      <c r="F164" s="32"/>
      <c r="G164" s="31"/>
      <c r="H164" s="31"/>
      <c r="I164" s="31"/>
      <c r="J164" s="31"/>
      <c r="K164" s="31"/>
      <c r="L164" s="31"/>
      <c r="AF164" s="31"/>
      <c r="AH164" s="31"/>
      <c r="AJ164" s="31"/>
      <c r="AL164" s="31"/>
      <c r="AU164" s="1"/>
    </row>
  </sheetData>
  <pageMargins left="0.25" right="0.25" top="0.75" bottom="0.75" header="0.3" footer="0.3"/>
  <pageSetup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Sewer</vt:lpstr>
      <vt:lpstr>Sewer!Print_Titles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2025-05-14T09:42:25Z</dcterms:created>
  <dcterms:modified xsi:type="dcterms:W3CDTF">2025-05-16T20:37:37Z</dcterms:modified>
</cp:coreProperties>
</file>