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3b9c8fbfb41fa2d/JSLawless Consulting/Bath County Water District/Application/"/>
    </mc:Choice>
  </mc:AlternateContent>
  <xr:revisionPtr revIDLastSave="1" documentId="8_{B58DA348-C214-4903-8677-C4E817FCA024}" xr6:coauthVersionLast="47" xr6:coauthVersionMax="47" xr10:uidLastSave="{BA1C6CD6-AB5C-44D2-96A9-4EAA9511B3D6}"/>
  <bookViews>
    <workbookView xWindow="28680" yWindow="-120" windowWidth="38640" windowHeight="21120" xr2:uid="{44C06E37-FFF5-4722-8458-BA5CB098C3C2}"/>
  </bookViews>
  <sheets>
    <sheet name="Present and Proposed R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4" i="1" l="1"/>
  <c r="F139" i="1"/>
  <c r="L139" i="1"/>
  <c r="J75" i="1"/>
  <c r="H75" i="1"/>
  <c r="H140" i="1" s="1"/>
  <c r="L140" i="1" s="1"/>
  <c r="J72" i="1"/>
  <c r="H72" i="1"/>
  <c r="H137" i="1" s="1"/>
  <c r="L74" i="1"/>
  <c r="F74" i="1"/>
  <c r="H97" i="1"/>
  <c r="J93" i="1"/>
  <c r="J99" i="1" s="1"/>
  <c r="H93" i="1"/>
  <c r="H96" i="1" s="1"/>
  <c r="H99" i="1" s="1"/>
  <c r="L99" i="1" s="1"/>
  <c r="J58" i="1"/>
  <c r="J57" i="1"/>
  <c r="J50" i="1"/>
  <c r="J51" i="1"/>
  <c r="J52" i="1"/>
  <c r="J49" i="1"/>
  <c r="J40" i="1"/>
  <c r="J41" i="1"/>
  <c r="J42" i="1"/>
  <c r="J43" i="1"/>
  <c r="J44" i="1"/>
  <c r="J39" i="1"/>
  <c r="L16" i="1"/>
  <c r="L131" i="1" l="1"/>
  <c r="L62" i="1"/>
  <c r="L72" i="1"/>
  <c r="L77" i="1" s="1"/>
  <c r="L75" i="1"/>
  <c r="L137" i="1"/>
  <c r="L142" i="1" s="1"/>
  <c r="H21" i="1"/>
  <c r="F20" i="1"/>
  <c r="R107" i="1"/>
  <c r="T104" i="1"/>
  <c r="T103" i="1"/>
  <c r="T101" i="1"/>
  <c r="R84" i="1"/>
  <c r="Q84" i="1"/>
  <c r="Q91" i="1" s="1"/>
  <c r="S82" i="1"/>
  <c r="S81" i="1"/>
  <c r="U81" i="1" s="1"/>
  <c r="R65" i="1"/>
  <c r="Q65" i="1"/>
  <c r="Q71" i="1" s="1"/>
  <c r="U63" i="1"/>
  <c r="T63" i="1"/>
  <c r="S63" i="1"/>
  <c r="T62" i="1"/>
  <c r="S62" i="1"/>
  <c r="S61" i="1"/>
  <c r="T61" i="1" s="1"/>
  <c r="S60" i="1"/>
  <c r="X60" i="1" s="1"/>
  <c r="AF107" i="1"/>
  <c r="AH104" i="1"/>
  <c r="AH103" i="1"/>
  <c r="AH105" i="1"/>
  <c r="AH101" i="1"/>
  <c r="H20" i="1" s="1"/>
  <c r="AG82" i="1"/>
  <c r="AH82" i="1" s="1"/>
  <c r="AI63" i="1"/>
  <c r="AJ63" i="1" s="1"/>
  <c r="AJ65" i="1" s="1"/>
  <c r="AH63" i="1"/>
  <c r="AG63" i="1"/>
  <c r="AH62" i="1"/>
  <c r="AG62" i="1"/>
  <c r="AI62" i="1" s="1"/>
  <c r="AG61" i="1"/>
  <c r="AH61" i="1" s="1"/>
  <c r="AH65" i="1" l="1"/>
  <c r="AF72" i="1" s="1"/>
  <c r="AH72" i="1" s="1"/>
  <c r="AL61" i="1"/>
  <c r="AL62" i="1"/>
  <c r="AI65" i="1"/>
  <c r="AF73" i="1" s="1"/>
  <c r="AH73" i="1" s="1"/>
  <c r="H22" i="1"/>
  <c r="L20" i="1"/>
  <c r="T91" i="1"/>
  <c r="AL63" i="1"/>
  <c r="AH107" i="1"/>
  <c r="T105" i="1"/>
  <c r="S84" i="1"/>
  <c r="R91" i="1" s="1"/>
  <c r="V63" i="1"/>
  <c r="V65" i="1" s="1"/>
  <c r="R74" i="1" s="1"/>
  <c r="S65" i="1"/>
  <c r="R71" i="1" s="1"/>
  <c r="X63" i="1"/>
  <c r="T65" i="1"/>
  <c r="R72" i="1" s="1"/>
  <c r="X61" i="1"/>
  <c r="T71" i="1"/>
  <c r="U62" i="1"/>
  <c r="U65" i="1" s="1"/>
  <c r="R73" i="1" s="1"/>
  <c r="T82" i="1"/>
  <c r="T84" i="1" s="1"/>
  <c r="R92" i="1" s="1"/>
  <c r="AH47" i="1"/>
  <c r="AH46" i="1"/>
  <c r="AH48" i="1"/>
  <c r="AH49" i="1"/>
  <c r="AH50" i="1"/>
  <c r="AH45" i="1"/>
  <c r="AM39" i="1"/>
  <c r="AG50" i="1" s="1"/>
  <c r="AL39" i="1"/>
  <c r="AG49" i="1" s="1"/>
  <c r="AK39" i="1"/>
  <c r="AG48" i="1" s="1"/>
  <c r="AJ39" i="1"/>
  <c r="AG47" i="1" s="1"/>
  <c r="AI39" i="1"/>
  <c r="AG46" i="1" s="1"/>
  <c r="AH39" i="1"/>
  <c r="AG45" i="1" s="1"/>
  <c r="AN36" i="1"/>
  <c r="AN35" i="1"/>
  <c r="AN34" i="1"/>
  <c r="AN33" i="1"/>
  <c r="AN32" i="1"/>
  <c r="AG39" i="1"/>
  <c r="AF39" i="1"/>
  <c r="AF45" i="1" s="1"/>
  <c r="AN31" i="1"/>
  <c r="S49" i="1"/>
  <c r="U49" i="1" s="1"/>
  <c r="S48" i="1"/>
  <c r="U48" i="1" s="1"/>
  <c r="Y39" i="1"/>
  <c r="S50" i="1" s="1"/>
  <c r="U50" i="1" s="1"/>
  <c r="X39" i="1"/>
  <c r="W39" i="1"/>
  <c r="V39" i="1"/>
  <c r="S47" i="1" s="1"/>
  <c r="U47" i="1" s="1"/>
  <c r="U39" i="1"/>
  <c r="S46" i="1" s="1"/>
  <c r="U46" i="1" s="1"/>
  <c r="T39" i="1"/>
  <c r="S45" i="1" s="1"/>
  <c r="S52" i="1" s="1"/>
  <c r="S39" i="1"/>
  <c r="R39" i="1"/>
  <c r="R45" i="1" s="1"/>
  <c r="U45" i="1" s="1"/>
  <c r="U52" i="1" s="1"/>
  <c r="Z36" i="1"/>
  <c r="Z35" i="1"/>
  <c r="Z34" i="1"/>
  <c r="Z33" i="1"/>
  <c r="Z32" i="1"/>
  <c r="Z31" i="1"/>
  <c r="S32" i="1"/>
  <c r="R34" i="1"/>
  <c r="R33" i="1"/>
  <c r="R32" i="1"/>
  <c r="AL10" i="1"/>
  <c r="AK10" i="1"/>
  <c r="AK9" i="1"/>
  <c r="AJ10" i="1"/>
  <c r="AJ9" i="1"/>
  <c r="AJ8" i="1"/>
  <c r="AK8" i="1" s="1"/>
  <c r="AK12" i="1" s="1"/>
  <c r="AG21" i="1" s="1"/>
  <c r="AI21" i="1" s="1"/>
  <c r="AJ7" i="1"/>
  <c r="AI10" i="1"/>
  <c r="AI9" i="1"/>
  <c r="AI8" i="1"/>
  <c r="AI7" i="1"/>
  <c r="AH7" i="1"/>
  <c r="AN7" i="1" s="1"/>
  <c r="AH5" i="1"/>
  <c r="AN5" i="1"/>
  <c r="AH10" i="1"/>
  <c r="AM10" i="1" s="1"/>
  <c r="AH9" i="1"/>
  <c r="AH8" i="1"/>
  <c r="AH6" i="1"/>
  <c r="X10" i="1"/>
  <c r="W8" i="1"/>
  <c r="W12" i="1" s="1"/>
  <c r="S21" i="1" s="1"/>
  <c r="W9" i="1"/>
  <c r="W10" i="1"/>
  <c r="V9" i="1"/>
  <c r="X9" i="1" s="1"/>
  <c r="X12" i="1" s="1"/>
  <c r="S22" i="1" s="1"/>
  <c r="V10" i="1"/>
  <c r="Y10" i="1" s="1"/>
  <c r="Y12" i="1" s="1"/>
  <c r="V8" i="1"/>
  <c r="U8" i="1"/>
  <c r="U9" i="1"/>
  <c r="U10" i="1"/>
  <c r="U7" i="1"/>
  <c r="T10" i="1"/>
  <c r="T9" i="1"/>
  <c r="T8" i="1"/>
  <c r="Z8" i="1"/>
  <c r="T7" i="1"/>
  <c r="V7" i="1" s="1"/>
  <c r="V12" i="1" s="1"/>
  <c r="T6" i="1"/>
  <c r="T5" i="1"/>
  <c r="Z5" i="1" s="1"/>
  <c r="AG5" i="1"/>
  <c r="AN8" i="1" l="1"/>
  <c r="H42" i="1"/>
  <c r="U21" i="1"/>
  <c r="U22" i="1"/>
  <c r="Z7" i="1"/>
  <c r="T92" i="1"/>
  <c r="T94" i="1" s="1"/>
  <c r="F15" i="1" s="1"/>
  <c r="AL9" i="1"/>
  <c r="AL12" i="1" s="1"/>
  <c r="AG22" i="1" s="1"/>
  <c r="AI22" i="1" s="1"/>
  <c r="AN10" i="1"/>
  <c r="AI6" i="1"/>
  <c r="AI12" i="1" s="1"/>
  <c r="AG19" i="1" s="1"/>
  <c r="F21" i="1"/>
  <c r="T107" i="1"/>
  <c r="T73" i="1"/>
  <c r="H51" i="1"/>
  <c r="AI47" i="1"/>
  <c r="T72" i="1"/>
  <c r="H50" i="1"/>
  <c r="AI46" i="1"/>
  <c r="AI48" i="1"/>
  <c r="T74" i="1"/>
  <c r="U82" i="1"/>
  <c r="T76" i="1"/>
  <c r="X62" i="1"/>
  <c r="R94" i="1"/>
  <c r="R76" i="1"/>
  <c r="AI49" i="1"/>
  <c r="AI50" i="1"/>
  <c r="AI45" i="1"/>
  <c r="AG52" i="1"/>
  <c r="H43" i="1" l="1"/>
  <c r="L21" i="1"/>
  <c r="L22" i="1" s="1"/>
  <c r="L78" i="1" s="1"/>
  <c r="L80" i="1" s="1"/>
  <c r="F22" i="1"/>
  <c r="F14" i="1"/>
  <c r="L50" i="1"/>
  <c r="H119" i="1"/>
  <c r="AN9" i="1"/>
  <c r="AN6" i="1"/>
  <c r="AI52" i="1"/>
  <c r="L51" i="1"/>
  <c r="H120" i="1"/>
  <c r="L120" i="1" s="1"/>
  <c r="L42" i="1"/>
  <c r="H111" i="1"/>
  <c r="L111" i="1" s="1"/>
  <c r="AG2" i="1"/>
  <c r="L119" i="1" l="1"/>
  <c r="L43" i="1"/>
  <c r="H112" i="1"/>
  <c r="L112" i="1" s="1"/>
  <c r="S12" i="1"/>
  <c r="R12" i="1"/>
  <c r="R18" i="1" s="1"/>
  <c r="U6" i="1"/>
  <c r="U12" i="1" l="1"/>
  <c r="Z6" i="1"/>
  <c r="U18" i="1"/>
  <c r="Q97" i="1"/>
  <c r="Z9" i="1"/>
  <c r="Z10" i="1"/>
  <c r="T12" i="1"/>
  <c r="S18" i="1" s="1"/>
  <c r="AF84" i="1"/>
  <c r="AE84" i="1"/>
  <c r="AG81" i="1"/>
  <c r="AI81" i="1" s="1"/>
  <c r="AF65" i="1"/>
  <c r="AE65" i="1"/>
  <c r="AE71" i="1" s="1"/>
  <c r="AG60" i="1"/>
  <c r="AG12" i="1"/>
  <c r="AF12" i="1"/>
  <c r="AF18" i="1" s="1"/>
  <c r="AT16" i="1" l="1"/>
  <c r="AG65" i="1"/>
  <c r="AF71" i="1" s="1"/>
  <c r="H49" i="1" s="1"/>
  <c r="AL60" i="1"/>
  <c r="AU16" i="1"/>
  <c r="AH71" i="1"/>
  <c r="F49" i="1"/>
  <c r="AE91" i="1"/>
  <c r="AE97" i="1" s="1"/>
  <c r="F39" i="1"/>
  <c r="AI18" i="1"/>
  <c r="AJ12" i="1"/>
  <c r="S19" i="1"/>
  <c r="S23" i="1"/>
  <c r="S20" i="1"/>
  <c r="AM12" i="1"/>
  <c r="AG23" i="1" s="1"/>
  <c r="AI23" i="1" s="1"/>
  <c r="AI82" i="1"/>
  <c r="AH84" i="1"/>
  <c r="AF92" i="1" s="1"/>
  <c r="AG84" i="1"/>
  <c r="AF91" i="1" s="1"/>
  <c r="H57" i="1" s="1"/>
  <c r="H126" i="1" s="1"/>
  <c r="AI19" i="1"/>
  <c r="AH12" i="1"/>
  <c r="AG18" i="1" s="1"/>
  <c r="H39" i="1" s="1"/>
  <c r="AF74" i="1"/>
  <c r="H108" i="1" l="1"/>
  <c r="U20" i="1"/>
  <c r="H40" i="1"/>
  <c r="U19" i="1"/>
  <c r="U23" i="1"/>
  <c r="H44" i="1"/>
  <c r="AG20" i="1"/>
  <c r="H41" i="1" s="1"/>
  <c r="F108" i="1"/>
  <c r="L39" i="1"/>
  <c r="F46" i="1"/>
  <c r="AV16" i="1"/>
  <c r="F57" i="1"/>
  <c r="AH91" i="1"/>
  <c r="F118" i="1"/>
  <c r="L118" i="1" s="1"/>
  <c r="L49" i="1"/>
  <c r="AH74" i="1"/>
  <c r="AH76" i="1" s="1"/>
  <c r="H14" i="1" s="1"/>
  <c r="L14" i="1" s="1"/>
  <c r="H52" i="1"/>
  <c r="H54" i="1"/>
  <c r="H118" i="1"/>
  <c r="AH92" i="1"/>
  <c r="AH94" i="1" s="1"/>
  <c r="H15" i="1" s="1"/>
  <c r="L15" i="1" s="1"/>
  <c r="H58" i="1"/>
  <c r="H127" i="1" s="1"/>
  <c r="L127" i="1" s="1"/>
  <c r="U25" i="1"/>
  <c r="S25" i="1"/>
  <c r="R97" i="1" s="1"/>
  <c r="R111" i="1" s="1"/>
  <c r="R118" i="1" s="1"/>
  <c r="AF94" i="1"/>
  <c r="AV15" i="1" s="1"/>
  <c r="AV18" i="1" s="1"/>
  <c r="AF76" i="1"/>
  <c r="AU15" i="1" s="1"/>
  <c r="AU18" i="1" s="1"/>
  <c r="AG25" i="1"/>
  <c r="H110" i="1" l="1"/>
  <c r="L110" i="1" s="1"/>
  <c r="L41" i="1"/>
  <c r="F13" i="1"/>
  <c r="T97" i="1"/>
  <c r="T111" i="1" s="1"/>
  <c r="T118" i="1" s="1"/>
  <c r="AT15" i="1"/>
  <c r="AT18" i="1" s="1"/>
  <c r="AF97" i="1"/>
  <c r="AF111" i="1" s="1"/>
  <c r="AI20" i="1"/>
  <c r="AI25" i="1" s="1"/>
  <c r="L44" i="1"/>
  <c r="H113" i="1"/>
  <c r="L113" i="1" s="1"/>
  <c r="H123" i="1"/>
  <c r="L40" i="1"/>
  <c r="H109" i="1"/>
  <c r="L109" i="1" s="1"/>
  <c r="L123" i="1"/>
  <c r="H46" i="1"/>
  <c r="L46" i="1"/>
  <c r="L108" i="1"/>
  <c r="F115" i="1"/>
  <c r="H129" i="1"/>
  <c r="L52" i="1"/>
  <c r="H121" i="1"/>
  <c r="L121" i="1" s="1"/>
  <c r="L54" i="1"/>
  <c r="F126" i="1"/>
  <c r="L126" i="1" s="1"/>
  <c r="L129" i="1" s="1"/>
  <c r="L57" i="1"/>
  <c r="L58" i="1"/>
  <c r="H84" i="1" l="1"/>
  <c r="AF118" i="1"/>
  <c r="L115" i="1"/>
  <c r="L133" i="1" s="1"/>
  <c r="H115" i="1"/>
  <c r="H13" i="1"/>
  <c r="H17" i="1" s="1"/>
  <c r="H24" i="1" s="1"/>
  <c r="AH97" i="1"/>
  <c r="AH111" i="1" s="1"/>
  <c r="AH118" i="1" s="1"/>
  <c r="L13" i="1"/>
  <c r="L17" i="1" s="1"/>
  <c r="F17" i="1"/>
  <c r="F24" i="1" s="1"/>
  <c r="L60" i="1"/>
  <c r="L64" i="1" s="1"/>
  <c r="H60" i="1"/>
  <c r="H83" i="1" s="1"/>
  <c r="L65" i="1" l="1"/>
  <c r="L67" i="1" s="1"/>
  <c r="L24" i="1"/>
  <c r="L27" i="1"/>
</calcChain>
</file>

<file path=xl/sharedStrings.xml><?xml version="1.0" encoding="utf-8"?>
<sst xmlns="http://schemas.openxmlformats.org/spreadsheetml/2006/main" count="333" uniqueCount="92">
  <si>
    <t>Next 5,000 Gallons</t>
  </si>
  <si>
    <t>Bills</t>
  </si>
  <si>
    <t>Gallons</t>
  </si>
  <si>
    <t>Next 5,000</t>
  </si>
  <si>
    <t>Over 10,000</t>
  </si>
  <si>
    <t>Totals</t>
  </si>
  <si>
    <t>Revenue by Rate Increment</t>
  </si>
  <si>
    <t>Rates</t>
  </si>
  <si>
    <t>Revenue</t>
  </si>
  <si>
    <t xml:space="preserve">5/8 Inch </t>
  </si>
  <si>
    <t>1 Inch</t>
  </si>
  <si>
    <t>2 Inch</t>
  </si>
  <si>
    <t>Total</t>
  </si>
  <si>
    <t>From Raw Data Billing Report</t>
  </si>
  <si>
    <t>5/8 Inch</t>
  </si>
  <si>
    <t>Rate Effective Commission Case No.</t>
  </si>
  <si>
    <t>TEST YEAR BILLING ANALYSIS RECALCULATION OF TEST YEAR BILLED REVENUE</t>
  </si>
  <si>
    <t>Meter Size</t>
  </si>
  <si>
    <t>Adjustment</t>
  </si>
  <si>
    <t>5/8 Inch Meters</t>
  </si>
  <si>
    <t>1 Inch Meters</t>
  </si>
  <si>
    <t>2 Inch Meters</t>
  </si>
  <si>
    <t>Case No.</t>
  </si>
  <si>
    <t>Billing Reports 8/1/24-12/31/24</t>
  </si>
  <si>
    <t>Billing Reports 1/1/24-7/31/24</t>
  </si>
  <si>
    <t>Next 10,000</t>
  </si>
  <si>
    <t>Next 30,000</t>
  </si>
  <si>
    <t>Over 50,000</t>
  </si>
  <si>
    <t>First 2,000 Minimum Bill</t>
  </si>
  <si>
    <t>First 2,000</t>
  </si>
  <si>
    <t>Next 3,000</t>
  </si>
  <si>
    <t>Next 3,000 Gallons</t>
  </si>
  <si>
    <t>Next 10,000 Gallons</t>
  </si>
  <si>
    <t>Next 30,000 Gallons</t>
  </si>
  <si>
    <t>Over 50,000 Gallons</t>
  </si>
  <si>
    <t>5/8 Inch Single Meter Serving Multifamily Dwelling Pursuant to Tariff C.5.g.</t>
  </si>
  <si>
    <t>Rate</t>
  </si>
  <si>
    <t>Total Retail</t>
  </si>
  <si>
    <t>First 10,000</t>
  </si>
  <si>
    <t>First 10,000 Minimum Bill</t>
  </si>
  <si>
    <t>First 50,000 Minimum Bill</t>
  </si>
  <si>
    <t>Over 50,0000</t>
  </si>
  <si>
    <t>First 50,000</t>
  </si>
  <si>
    <t>Wholesale</t>
  </si>
  <si>
    <t>Sharpsburg</t>
  </si>
  <si>
    <t>Owingsville</t>
  </si>
  <si>
    <t>Total Owingsville</t>
  </si>
  <si>
    <t>Total Wholesale</t>
  </si>
  <si>
    <t>Grand Total</t>
  </si>
  <si>
    <t>Total Revenue from Billing Analysis, Billed 12 Months Ended December 31, 2024</t>
  </si>
  <si>
    <t>2022-00404</t>
  </si>
  <si>
    <t>2024-00177</t>
  </si>
  <si>
    <t>January 1 -</t>
  </si>
  <si>
    <t>July 31</t>
  </si>
  <si>
    <t>August 1 -</t>
  </si>
  <si>
    <t>December 31</t>
  </si>
  <si>
    <t>Wholesale:</t>
  </si>
  <si>
    <t xml:space="preserve">  Sharpsburg Water District</t>
  </si>
  <si>
    <t xml:space="preserve">  City of Owingsville</t>
  </si>
  <si>
    <t>Remove Billing Adjustments</t>
  </si>
  <si>
    <t>Total Billing Analysis</t>
  </si>
  <si>
    <t>Less: Reported for the Test-Year</t>
  </si>
  <si>
    <t>Total 1 Inch Meters</t>
  </si>
  <si>
    <t>Total 5/8 Inch Meters</t>
  </si>
  <si>
    <t>Total 2 Inch Meters</t>
  </si>
  <si>
    <t>Billing Adjustments at 2024-00177 Rates</t>
  </si>
  <si>
    <t>Adjustment Amount</t>
  </si>
  <si>
    <t>Divide by: Leak Adjustment Rate</t>
  </si>
  <si>
    <t>Calculated Gallons</t>
  </si>
  <si>
    <t>Times: 2024-00177 Rate</t>
  </si>
  <si>
    <t>Leak Adjustments 2024-00177 Rates</t>
  </si>
  <si>
    <t>Remove Billing Adjustments at 2024-00177 Rates</t>
  </si>
  <si>
    <t>Total Pro Forma Present Rate Retail Sales</t>
  </si>
  <si>
    <t>Less: Test-Year Retail Sales</t>
  </si>
  <si>
    <t>Adjustment to Test-Year Billing Analysis</t>
  </si>
  <si>
    <t>Wholesale Customers</t>
  </si>
  <si>
    <t>Sharpsburg Water District</t>
  </si>
  <si>
    <t>City of Owingsville</t>
  </si>
  <si>
    <t>Less: Test-Year Wholesale Sales</t>
  </si>
  <si>
    <t>Adjustment to Test-Year</t>
  </si>
  <si>
    <t>Total Gallons</t>
  </si>
  <si>
    <t xml:space="preserve">Annualize Test-Year Retail Sales Revenue Using </t>
  </si>
  <si>
    <t xml:space="preserve"> Rates Authorized by the Commission in Case No. 2024-00177</t>
  </si>
  <si>
    <t>Number of Bill</t>
  </si>
  <si>
    <t>5/8</t>
  </si>
  <si>
    <t>Average Usage</t>
  </si>
  <si>
    <t>Average Sales</t>
  </si>
  <si>
    <t>Revenues at Proposed Rates</t>
  </si>
  <si>
    <t>Proposed</t>
  </si>
  <si>
    <t>Remove Billing Adjustments at Proposed Rates</t>
  </si>
  <si>
    <t>Total Water Sales Revnue and Proposed Rates</t>
  </si>
  <si>
    <t>Total Retail Sales at Proposed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</si>
</sst>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&quot;$&quot;* #,##0_);_(&quot;$&quot;* \(#,##0\);_(&quot;$&quot;* &quot;-&quot;??_);_(@_)"/>
    <numFmt numFmtId="167" formatCode="_(* #,##0.0000_);_(* \(#,##0.0000\);_(* &quot;-&quot;??_);_(@_)"/>
    <numFmt numFmtId="168" formatCode="_(&quot;$&quot;* #,##0.00000_);_(&quot;$&quot;* \(#,##0.00000\);_(&quot;$&quot;* &quot;-&quot;??_);_(@_)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2" fillId="0" borderId="0" xfId="1" applyNumberFormat="1" applyFont="1"/>
    <xf numFmtId="166" fontId="0" fillId="0" borderId="0" xfId="2" applyNumberFormat="1" applyFont="1"/>
    <xf numFmtId="164" fontId="0" fillId="0" borderId="1" xfId="1" applyNumberFormat="1" applyFont="1" applyBorder="1" applyAlignment="1">
      <alignment horizontal="center"/>
    </xf>
    <xf numFmtId="164" fontId="0" fillId="0" borderId="1" xfId="1" quotePrefix="1" applyNumberFormat="1" applyFont="1" applyBorder="1" applyAlignment="1">
      <alignment horizontal="center"/>
    </xf>
    <xf numFmtId="166" fontId="0" fillId="0" borderId="2" xfId="2" applyNumberFormat="1" applyFont="1" applyBorder="1"/>
    <xf numFmtId="164" fontId="0" fillId="0" borderId="0" xfId="1" applyNumberFormat="1" applyFont="1" applyBorder="1"/>
    <xf numFmtId="43" fontId="0" fillId="0" borderId="0" xfId="1" applyFont="1" applyBorder="1"/>
    <xf numFmtId="165" fontId="0" fillId="0" borderId="0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2" fillId="0" borderId="0" xfId="1" applyNumberFormat="1" applyFont="1" applyBorder="1"/>
    <xf numFmtId="164" fontId="0" fillId="2" borderId="0" xfId="1" applyNumberFormat="1" applyFont="1" applyFill="1" applyBorder="1"/>
    <xf numFmtId="164" fontId="3" fillId="0" borderId="1" xfId="1" applyNumberFormat="1" applyFont="1" applyBorder="1" applyAlignment="1"/>
    <xf numFmtId="164" fontId="3" fillId="0" borderId="0" xfId="1" applyNumberFormat="1" applyFont="1" applyBorder="1" applyAlignment="1"/>
    <xf numFmtId="164" fontId="0" fillId="0" borderId="3" xfId="1" applyNumberFormat="1" applyFont="1" applyBorder="1"/>
    <xf numFmtId="166" fontId="0" fillId="0" borderId="0" xfId="2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/>
    <xf numFmtId="164" fontId="0" fillId="0" borderId="4" xfId="1" applyNumberFormat="1" applyFont="1" applyBorder="1" applyAlignment="1"/>
    <xf numFmtId="164" fontId="0" fillId="0" borderId="4" xfId="1" applyNumberFormat="1" applyFont="1" applyBorder="1"/>
    <xf numFmtId="164" fontId="0" fillId="0" borderId="4" xfId="1" applyNumberFormat="1" applyFont="1" applyBorder="1" applyAlignment="1">
      <alignment horizontal="center"/>
    </xf>
    <xf numFmtId="44" fontId="0" fillId="0" borderId="0" xfId="2" applyFont="1" applyBorder="1"/>
    <xf numFmtId="164" fontId="0" fillId="0" borderId="0" xfId="1" applyNumberFormat="1" applyFont="1" applyBorder="1" applyAlignment="1">
      <alignment horizontal="left"/>
    </xf>
    <xf numFmtId="164" fontId="0" fillId="0" borderId="5" xfId="1" applyNumberFormat="1" applyFont="1" applyBorder="1"/>
    <xf numFmtId="164" fontId="0" fillId="0" borderId="6" xfId="1" applyNumberFormat="1" applyFont="1" applyBorder="1"/>
    <xf numFmtId="167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8" fontId="0" fillId="0" borderId="0" xfId="2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43" fontId="0" fillId="0" borderId="6" xfId="1" applyFont="1" applyBorder="1"/>
    <xf numFmtId="44" fontId="0" fillId="0" borderId="6" xfId="2" applyFont="1" applyBorder="1"/>
    <xf numFmtId="166" fontId="0" fillId="0" borderId="6" xfId="2" applyNumberFormat="1" applyFont="1" applyBorder="1"/>
    <xf numFmtId="165" fontId="0" fillId="0" borderId="1" xfId="1" applyNumberFormat="1" applyFont="1" applyBorder="1"/>
    <xf numFmtId="164" fontId="0" fillId="0" borderId="0" xfId="1" quotePrefix="1" applyNumberFormat="1" applyFont="1" applyBorder="1"/>
    <xf numFmtId="164" fontId="0" fillId="0" borderId="11" xfId="1" applyNumberFormat="1" applyFont="1" applyBorder="1" applyAlignment="1">
      <alignment horizontal="center"/>
    </xf>
    <xf numFmtId="166" fontId="0" fillId="0" borderId="9" xfId="2" applyNumberFormat="1" applyFont="1" applyBorder="1"/>
    <xf numFmtId="164" fontId="0" fillId="0" borderId="9" xfId="1" applyNumberFormat="1" applyFont="1" applyBorder="1" applyAlignment="1">
      <alignment horizontal="center"/>
    </xf>
    <xf numFmtId="166" fontId="0" fillId="0" borderId="11" xfId="2" applyNumberFormat="1" applyFont="1" applyBorder="1"/>
    <xf numFmtId="164" fontId="0" fillId="0" borderId="12" xfId="1" applyNumberFormat="1" applyFont="1" applyBorder="1"/>
    <xf numFmtId="164" fontId="0" fillId="0" borderId="10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3" borderId="0" xfId="1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2E943-0F47-4D32-9156-AEDA880399FB}">
  <dimension ref="A1:CX186"/>
  <sheetViews>
    <sheetView showGridLines="0" tabSelected="1" zoomScale="85" zoomScaleNormal="85" zoomScaleSheetLayoutView="115" workbookViewId="0">
      <selection activeCell="Z28" sqref="Z28"/>
    </sheetView>
  </sheetViews>
  <sheetFormatPr defaultRowHeight="15.6" x14ac:dyDescent="0.3"/>
  <cols>
    <col min="1" max="2" width="8.796875" style="2"/>
    <col min="3" max="3" width="0.8984375" style="2" customWidth="1"/>
    <col min="4" max="4" width="12.296875" style="2" customWidth="1"/>
    <col min="5" max="5" width="3.5" style="2" customWidth="1"/>
    <col min="6" max="6" width="14.09765625" style="2" bestFit="1" customWidth="1"/>
    <col min="7" max="7" width="2.296875" style="2" customWidth="1"/>
    <col min="8" max="8" width="14.5" style="2" bestFit="1" customWidth="1"/>
    <col min="9" max="9" width="0.8984375" style="2" customWidth="1"/>
    <col min="10" max="10" width="10.5" style="2" customWidth="1"/>
    <col min="11" max="11" width="0.8984375" style="2" customWidth="1"/>
    <col min="12" max="12" width="12.796875" style="2" customWidth="1"/>
    <col min="13" max="15" width="8.796875" style="2"/>
    <col min="16" max="16" width="14.19921875" style="2" bestFit="1" customWidth="1"/>
    <col min="17" max="17" width="8.796875" style="2"/>
    <col min="18" max="18" width="13" style="2" bestFit="1" customWidth="1"/>
    <col min="19" max="19" width="12.59765625" style="2" bestFit="1" customWidth="1"/>
    <col min="20" max="20" width="11.59765625" style="2" bestFit="1" customWidth="1"/>
    <col min="21" max="21" width="12.09765625" style="2" bestFit="1" customWidth="1"/>
    <col min="22" max="22" width="11.8984375" style="2" bestFit="1" customWidth="1"/>
    <col min="23" max="23" width="16" style="2" customWidth="1"/>
    <col min="24" max="24" width="10.69921875" style="2" customWidth="1"/>
    <col min="25" max="25" width="10.59765625" style="2" bestFit="1" customWidth="1"/>
    <col min="26" max="26" width="11.8984375" style="2" bestFit="1" customWidth="1"/>
    <col min="27" max="31" width="8.796875" style="2" customWidth="1"/>
    <col min="32" max="32" width="12.59765625" style="2" bestFit="1" customWidth="1"/>
    <col min="33" max="33" width="11.8984375" style="2" bestFit="1" customWidth="1"/>
    <col min="34" max="34" width="15.3984375" style="2" bestFit="1" customWidth="1"/>
    <col min="35" max="39" width="11.8984375" style="2" customWidth="1"/>
    <col min="40" max="40" width="11.59765625" style="2" bestFit="1" customWidth="1"/>
    <col min="41" max="45" width="8.796875" style="2" customWidth="1"/>
    <col min="46" max="46" width="12.59765625" style="2" bestFit="1" customWidth="1"/>
    <col min="47" max="47" width="10.59765625" style="2" bestFit="1" customWidth="1"/>
    <col min="48" max="48" width="11.09765625" style="2" customWidth="1"/>
    <col min="49" max="49" width="11.59765625" style="2" customWidth="1"/>
    <col min="50" max="52" width="11.8984375" style="2" customWidth="1"/>
    <col min="53" max="53" width="11.09765625" style="2" customWidth="1"/>
    <col min="54" max="58" width="8.796875" style="2" customWidth="1"/>
    <col min="59" max="59" width="11.09765625" style="2" customWidth="1"/>
    <col min="60" max="60" width="11.59765625" style="2" customWidth="1"/>
    <col min="61" max="63" width="11.8984375" style="2" customWidth="1"/>
    <col min="64" max="69" width="11.09765625" style="2" customWidth="1"/>
    <col min="70" max="70" width="12.09765625" style="2" bestFit="1" customWidth="1"/>
    <col min="71" max="71" width="11.09765625" style="2" customWidth="1"/>
    <col min="72" max="72" width="12.09765625" style="2" bestFit="1" customWidth="1"/>
    <col min="73" max="76" width="11.09765625" style="2" customWidth="1"/>
    <col min="77" max="77" width="8.796875" style="2" customWidth="1"/>
    <col min="78" max="81" width="8.796875" style="2"/>
    <col min="82" max="82" width="12.19921875" style="2" customWidth="1"/>
    <col min="83" max="83" width="11.59765625" style="2" bestFit="1" customWidth="1"/>
    <col min="84" max="86" width="11.8984375" style="2" bestFit="1" customWidth="1"/>
    <col min="87" max="87" width="10.09765625" style="2" bestFit="1" customWidth="1"/>
    <col min="88" max="93" width="8.796875" style="2"/>
    <col min="94" max="94" width="13" style="2" customWidth="1"/>
    <col min="95" max="95" width="11.59765625" style="2" bestFit="1" customWidth="1"/>
    <col min="96" max="98" width="11.8984375" style="2" bestFit="1" customWidth="1"/>
    <col min="99" max="99" width="11.09765625" style="2" bestFit="1" customWidth="1"/>
    <col min="100" max="16384" width="8.796875" style="2"/>
  </cols>
  <sheetData>
    <row r="1" spans="1:102" ht="25.8" x14ac:dyDescent="0.5">
      <c r="O1" s="57" t="s">
        <v>16</v>
      </c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17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</row>
    <row r="2" spans="1:102" x14ac:dyDescent="0.3">
      <c r="O2" s="6" t="s">
        <v>24</v>
      </c>
      <c r="AC2" s="6" t="s">
        <v>23</v>
      </c>
      <c r="AG2" s="2">
        <f>S2</f>
        <v>0</v>
      </c>
      <c r="AR2" s="15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5"/>
      <c r="BD2" s="11"/>
      <c r="BE2" s="11"/>
      <c r="BF2" s="11"/>
      <c r="BG2" s="16"/>
      <c r="BH2" s="16"/>
      <c r="BI2" s="16"/>
      <c r="BJ2" s="16"/>
      <c r="BK2" s="16"/>
      <c r="BL2" s="11"/>
      <c r="BM2" s="11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11"/>
      <c r="BY2" s="11"/>
      <c r="BZ2" s="15"/>
      <c r="CA2" s="11"/>
      <c r="CB2" s="11"/>
      <c r="CC2" s="11"/>
      <c r="CD2" s="16"/>
      <c r="CE2" s="16"/>
      <c r="CF2" s="16"/>
      <c r="CG2" s="16"/>
      <c r="CH2" s="16"/>
      <c r="CI2" s="11"/>
      <c r="CJ2" s="11"/>
      <c r="CK2" s="11"/>
      <c r="CL2" s="11"/>
      <c r="CM2" s="11"/>
      <c r="CN2" s="11"/>
      <c r="CO2" s="11"/>
      <c r="CP2" s="11"/>
      <c r="CQ2" s="11"/>
      <c r="CR2" s="16"/>
      <c r="CS2" s="16"/>
      <c r="CT2" s="16"/>
      <c r="CU2" s="11"/>
      <c r="CV2" s="11"/>
      <c r="CW2" s="11"/>
      <c r="CX2" s="11"/>
    </row>
    <row r="3" spans="1:102" x14ac:dyDescent="0.3">
      <c r="O3" s="6" t="s">
        <v>9</v>
      </c>
      <c r="AC3" s="6" t="s">
        <v>9</v>
      </c>
      <c r="AR3" s="15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5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5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5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</row>
    <row r="4" spans="1:102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2"/>
      <c r="R4" s="2" t="s">
        <v>1</v>
      </c>
      <c r="S4" s="2" t="s">
        <v>2</v>
      </c>
      <c r="T4" s="2" t="s">
        <v>29</v>
      </c>
      <c r="U4" s="2" t="s">
        <v>30</v>
      </c>
      <c r="V4" s="2" t="s">
        <v>3</v>
      </c>
      <c r="W4" s="2" t="s">
        <v>25</v>
      </c>
      <c r="X4" s="2" t="s">
        <v>26</v>
      </c>
      <c r="Y4" s="2" t="s">
        <v>27</v>
      </c>
      <c r="AF4" s="2" t="s">
        <v>1</v>
      </c>
      <c r="AG4" s="2" t="s">
        <v>2</v>
      </c>
      <c r="AH4" s="2" t="s">
        <v>29</v>
      </c>
      <c r="AI4" s="2" t="s">
        <v>30</v>
      </c>
      <c r="AJ4" s="2" t="s">
        <v>3</v>
      </c>
      <c r="AK4" s="2" t="s">
        <v>25</v>
      </c>
      <c r="AL4" s="2" t="s">
        <v>26</v>
      </c>
      <c r="AM4" s="2" t="s">
        <v>27</v>
      </c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</row>
    <row r="5" spans="1:102" x14ac:dyDescent="0.3">
      <c r="A5" s="3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/>
      <c r="O5" s="2" t="s">
        <v>28</v>
      </c>
      <c r="R5" s="2">
        <v>7587</v>
      </c>
      <c r="S5" s="2">
        <v>4280000</v>
      </c>
      <c r="T5" s="2">
        <f>S5</f>
        <v>4280000</v>
      </c>
      <c r="Z5" s="2">
        <f>SUM(T5:Y5)</f>
        <v>4280000</v>
      </c>
      <c r="AC5" s="2" t="s">
        <v>28</v>
      </c>
      <c r="AF5" s="2">
        <v>5373</v>
      </c>
      <c r="AG5" s="2">
        <f>2949001</f>
        <v>2949001</v>
      </c>
      <c r="AH5" s="2">
        <f>AG5</f>
        <v>2949001</v>
      </c>
      <c r="AN5" s="2">
        <f>SUM(AH5:AM5)</f>
        <v>2949001</v>
      </c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</row>
    <row r="6" spans="1:102" x14ac:dyDescent="0.3">
      <c r="A6" s="33"/>
      <c r="B6" s="49" t="s">
        <v>49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34"/>
      <c r="O6" s="2" t="s">
        <v>31</v>
      </c>
      <c r="R6" s="2">
        <v>12627</v>
      </c>
      <c r="S6" s="2">
        <v>36085000</v>
      </c>
      <c r="T6" s="2">
        <f>R6*2000</f>
        <v>25254000</v>
      </c>
      <c r="U6" s="2">
        <f>S6-T6</f>
        <v>10831000</v>
      </c>
      <c r="Z6" s="2">
        <f t="shared" ref="Z6:Z10" si="0">SUM(T6:Y6)</f>
        <v>36085000</v>
      </c>
      <c r="AC6" s="2" t="s">
        <v>31</v>
      </c>
      <c r="AF6" s="2">
        <v>8921</v>
      </c>
      <c r="AG6" s="2">
        <v>25631000</v>
      </c>
      <c r="AH6" s="2">
        <f>AF6*2000</f>
        <v>17842000</v>
      </c>
      <c r="AI6" s="2">
        <f>AG6-AH6</f>
        <v>7789000</v>
      </c>
      <c r="AN6" s="2">
        <f t="shared" ref="AN6:AN10" si="1">SUM(AH6:AM6)</f>
        <v>25631000</v>
      </c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</row>
    <row r="7" spans="1:102" x14ac:dyDescent="0.3">
      <c r="A7" s="33"/>
      <c r="B7" s="11"/>
      <c r="C7" s="11"/>
      <c r="D7" s="11"/>
      <c r="E7" s="23"/>
      <c r="F7" s="24" t="s">
        <v>15</v>
      </c>
      <c r="G7" s="24"/>
      <c r="H7" s="24"/>
      <c r="I7" s="23"/>
      <c r="J7" s="23"/>
      <c r="K7" s="11"/>
      <c r="L7" s="11"/>
      <c r="M7" s="34"/>
      <c r="O7" s="2" t="s">
        <v>0</v>
      </c>
      <c r="R7" s="2">
        <v>5425</v>
      </c>
      <c r="S7" s="2">
        <v>34002000</v>
      </c>
      <c r="T7" s="2">
        <f t="shared" ref="T7" si="2">R7*2000</f>
        <v>10850000</v>
      </c>
      <c r="U7" s="2">
        <f>R7*3000</f>
        <v>16275000</v>
      </c>
      <c r="V7" s="2">
        <f>S7-T7-U7</f>
        <v>6877000</v>
      </c>
      <c r="Z7" s="2">
        <f t="shared" si="0"/>
        <v>34002000</v>
      </c>
      <c r="AC7" s="2" t="s">
        <v>0</v>
      </c>
      <c r="AF7" s="2">
        <v>4149</v>
      </c>
      <c r="AG7" s="2">
        <v>26138000</v>
      </c>
      <c r="AH7" s="2">
        <f>AF7*2000</f>
        <v>8298000</v>
      </c>
      <c r="AI7" s="2">
        <f>AF7*3000</f>
        <v>12447000</v>
      </c>
      <c r="AJ7" s="2">
        <f>AG7-AH7-AI7</f>
        <v>5393000</v>
      </c>
      <c r="AN7" s="2">
        <f t="shared" si="1"/>
        <v>26138000</v>
      </c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</row>
    <row r="8" spans="1:102" x14ac:dyDescent="0.3">
      <c r="A8" s="33"/>
      <c r="B8" s="11"/>
      <c r="C8" s="11"/>
      <c r="D8" s="14"/>
      <c r="E8" s="14"/>
      <c r="F8" s="26" t="s">
        <v>50</v>
      </c>
      <c r="G8" s="14"/>
      <c r="H8" s="26" t="s">
        <v>51</v>
      </c>
      <c r="I8" s="14"/>
      <c r="J8" s="14"/>
      <c r="K8" s="14"/>
      <c r="L8" s="11"/>
      <c r="M8" s="34"/>
      <c r="O8" s="2" t="s">
        <v>32</v>
      </c>
      <c r="R8" s="2">
        <v>1280</v>
      </c>
      <c r="S8" s="2">
        <v>16160000</v>
      </c>
      <c r="T8" s="2">
        <f>R8*2000</f>
        <v>2560000</v>
      </c>
      <c r="U8" s="2">
        <f t="shared" ref="U8:U10" si="3">R8*3000</f>
        <v>3840000</v>
      </c>
      <c r="V8" s="2">
        <f>R8*5000</f>
        <v>6400000</v>
      </c>
      <c r="W8" s="2">
        <f>S8-T8-U8-V8</f>
        <v>3360000</v>
      </c>
      <c r="Z8" s="2">
        <f t="shared" si="0"/>
        <v>16160000</v>
      </c>
      <c r="AC8" s="2" t="s">
        <v>32</v>
      </c>
      <c r="AF8" s="2">
        <v>960</v>
      </c>
      <c r="AG8" s="2">
        <v>12382000</v>
      </c>
      <c r="AH8" s="2">
        <f>AF8*2000</f>
        <v>1920000</v>
      </c>
      <c r="AI8" s="2">
        <f>AF8*3000</f>
        <v>2880000</v>
      </c>
      <c r="AJ8" s="2">
        <f>AF8*5000</f>
        <v>4800000</v>
      </c>
      <c r="AK8" s="2">
        <f>AG8-AH8-AI8-AJ8</f>
        <v>2782000</v>
      </c>
      <c r="AN8" s="2">
        <f t="shared" si="1"/>
        <v>12382000</v>
      </c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</row>
    <row r="9" spans="1:102" x14ac:dyDescent="0.3">
      <c r="A9" s="33"/>
      <c r="B9" s="14"/>
      <c r="C9" s="11"/>
      <c r="D9" s="21"/>
      <c r="E9" s="14"/>
      <c r="F9" s="14" t="s">
        <v>52</v>
      </c>
      <c r="G9" s="14"/>
      <c r="H9" s="21" t="s">
        <v>54</v>
      </c>
      <c r="I9" s="14"/>
      <c r="J9" s="14"/>
      <c r="K9" s="11"/>
      <c r="L9" s="11"/>
      <c r="M9" s="34"/>
      <c r="O9" s="2" t="s">
        <v>33</v>
      </c>
      <c r="R9" s="2">
        <v>341</v>
      </c>
      <c r="S9" s="2">
        <v>9482000</v>
      </c>
      <c r="T9" s="2">
        <f>R9*2000</f>
        <v>682000</v>
      </c>
      <c r="U9" s="2">
        <f t="shared" si="3"/>
        <v>1023000</v>
      </c>
      <c r="V9" s="2">
        <f t="shared" ref="V9:V10" si="4">R9*5000</f>
        <v>1705000</v>
      </c>
      <c r="W9" s="2">
        <f>R9*10000</f>
        <v>3410000</v>
      </c>
      <c r="X9" s="2">
        <f>S9-T9-U9-V9-W9</f>
        <v>2662000</v>
      </c>
      <c r="Z9" s="2">
        <f t="shared" si="0"/>
        <v>9482000</v>
      </c>
      <c r="AC9" s="2" t="s">
        <v>33</v>
      </c>
      <c r="AF9" s="2">
        <v>287</v>
      </c>
      <c r="AG9" s="2">
        <v>8317000</v>
      </c>
      <c r="AH9" s="2">
        <f>AF9*2000</f>
        <v>574000</v>
      </c>
      <c r="AI9" s="2">
        <f>AF9*3000</f>
        <v>861000</v>
      </c>
      <c r="AJ9" s="2">
        <f>AF9*5000</f>
        <v>1435000</v>
      </c>
      <c r="AK9" s="2">
        <f>AF9*10000</f>
        <v>2870000</v>
      </c>
      <c r="AL9" s="2">
        <f>AG9-AH9-AI9-AJ9-AK9</f>
        <v>2577000</v>
      </c>
      <c r="AN9" s="2">
        <f t="shared" si="1"/>
        <v>8317000</v>
      </c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</row>
    <row r="10" spans="1:102" x14ac:dyDescent="0.3">
      <c r="A10" s="33"/>
      <c r="B10" s="22"/>
      <c r="C10" s="11"/>
      <c r="D10" s="21"/>
      <c r="E10" s="14"/>
      <c r="F10" s="9" t="s">
        <v>53</v>
      </c>
      <c r="G10" s="14"/>
      <c r="H10" s="9" t="s">
        <v>55</v>
      </c>
      <c r="I10" s="14"/>
      <c r="J10" s="14"/>
      <c r="K10" s="11"/>
      <c r="L10" s="8" t="s">
        <v>12</v>
      </c>
      <c r="M10" s="34"/>
      <c r="O10" s="2" t="s">
        <v>34</v>
      </c>
      <c r="R10" s="4">
        <v>68</v>
      </c>
      <c r="S10" s="4">
        <v>7194000</v>
      </c>
      <c r="T10" s="4">
        <f>R10*2000</f>
        <v>136000</v>
      </c>
      <c r="U10" s="4">
        <f t="shared" si="3"/>
        <v>204000</v>
      </c>
      <c r="V10" s="4">
        <f t="shared" si="4"/>
        <v>340000</v>
      </c>
      <c r="W10" s="4">
        <f>R10*10000</f>
        <v>680000</v>
      </c>
      <c r="X10" s="4">
        <f>R10*30000</f>
        <v>2040000</v>
      </c>
      <c r="Y10" s="4">
        <f>S10-T10-U10-V10-W10-X10</f>
        <v>3794000</v>
      </c>
      <c r="Z10" s="2">
        <f t="shared" si="0"/>
        <v>7194000</v>
      </c>
      <c r="AC10" s="2" t="s">
        <v>34</v>
      </c>
      <c r="AF10" s="4">
        <v>56</v>
      </c>
      <c r="AG10" s="4">
        <v>4673000</v>
      </c>
      <c r="AH10" s="4">
        <f>AF10*2000</f>
        <v>112000</v>
      </c>
      <c r="AI10" s="4">
        <f>AF10*3000</f>
        <v>168000</v>
      </c>
      <c r="AJ10" s="4">
        <f>AF10*5000</f>
        <v>280000</v>
      </c>
      <c r="AK10" s="4">
        <f>AF10*10000</f>
        <v>560000</v>
      </c>
      <c r="AL10" s="4">
        <f>AF10*30000</f>
        <v>1680000</v>
      </c>
      <c r="AM10" s="4">
        <f>AG10-AH10-AI10-AJ10-AK10-AL10</f>
        <v>1873000</v>
      </c>
      <c r="AN10" s="2">
        <f t="shared" si="1"/>
        <v>4673000</v>
      </c>
      <c r="AR10" s="11" t="s">
        <v>86</v>
      </c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</row>
    <row r="11" spans="1:102" x14ac:dyDescent="0.3">
      <c r="A11" s="3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34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</row>
    <row r="12" spans="1:102" ht="16.2" thickBot="1" x14ac:dyDescent="0.35">
      <c r="A12" s="33"/>
      <c r="B12" s="8" t="s">
        <v>17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4"/>
      <c r="O12" s="2" t="s">
        <v>5</v>
      </c>
      <c r="R12" s="5">
        <f>SUM(R5:R11)</f>
        <v>27328</v>
      </c>
      <c r="S12" s="5">
        <f>SUM(S5:S11)</f>
        <v>107203000</v>
      </c>
      <c r="T12" s="5">
        <f t="shared" ref="T12" si="5">SUM(T5:T11)</f>
        <v>43762000</v>
      </c>
      <c r="U12" s="5">
        <f>SUM(U5:U11)</f>
        <v>32173000</v>
      </c>
      <c r="V12" s="5">
        <f>SUM(V5:V11)</f>
        <v>15322000</v>
      </c>
      <c r="W12" s="5">
        <f>SUM(W5:W11)</f>
        <v>7450000</v>
      </c>
      <c r="X12" s="5">
        <f>SUM(X5:X11)</f>
        <v>4702000</v>
      </c>
      <c r="Y12" s="5">
        <f>SUM(Y5:Y11)</f>
        <v>3794000</v>
      </c>
      <c r="AC12" s="2" t="s">
        <v>5</v>
      </c>
      <c r="AF12" s="5">
        <f>SUM(AF5:AF11)</f>
        <v>19746</v>
      </c>
      <c r="AG12" s="5">
        <f>SUM(AG5:AG11)</f>
        <v>80090001</v>
      </c>
      <c r="AH12" s="5">
        <f t="shared" ref="AH12" si="6">SUM(AH5:AH11)</f>
        <v>31695001</v>
      </c>
      <c r="AI12" s="5">
        <f>SUM(AI5:AI11)</f>
        <v>24145000</v>
      </c>
      <c r="AJ12" s="5">
        <f t="shared" ref="AJ12:AL12" si="7">SUM(AJ5:AJ11)</f>
        <v>11908000</v>
      </c>
      <c r="AK12" s="5">
        <f t="shared" si="7"/>
        <v>6212000</v>
      </c>
      <c r="AL12" s="5">
        <f t="shared" si="7"/>
        <v>4257000</v>
      </c>
      <c r="AM12" s="5">
        <f t="shared" ref="AM12" si="8">SUM(AM5:AM11)</f>
        <v>1873000</v>
      </c>
      <c r="AR12" s="11"/>
      <c r="AS12" s="11"/>
      <c r="AT12" s="42" t="s">
        <v>84</v>
      </c>
      <c r="AU12" s="11">
        <v>1</v>
      </c>
      <c r="AV12" s="11">
        <v>2</v>
      </c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</row>
    <row r="13" spans="1:102" ht="16.2" thickTop="1" x14ac:dyDescent="0.3">
      <c r="A13" s="33"/>
      <c r="B13" s="11" t="s">
        <v>14</v>
      </c>
      <c r="C13" s="11"/>
      <c r="D13" s="20"/>
      <c r="E13" s="11"/>
      <c r="F13" s="20">
        <f>U25+U52</f>
        <v>922193.3600000001</v>
      </c>
      <c r="G13" s="20"/>
      <c r="H13" s="20">
        <f>+AI25+AI52</f>
        <v>699374.59000000008</v>
      </c>
      <c r="I13" s="20"/>
      <c r="J13" s="20"/>
      <c r="K13" s="20"/>
      <c r="L13" s="20">
        <f>SUM(F13:K13)</f>
        <v>1621567.9500000002</v>
      </c>
      <c r="M13" s="34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</row>
    <row r="14" spans="1:102" x14ac:dyDescent="0.3">
      <c r="A14" s="33"/>
      <c r="B14" s="11" t="s">
        <v>10</v>
      </c>
      <c r="C14" s="11"/>
      <c r="D14" s="11"/>
      <c r="E14" s="11"/>
      <c r="F14" s="11">
        <f>T76</f>
        <v>21137.21</v>
      </c>
      <c r="G14" s="11"/>
      <c r="H14" s="11">
        <f>AH76</f>
        <v>18404.830000000002</v>
      </c>
      <c r="I14" s="11"/>
      <c r="J14" s="11"/>
      <c r="K14" s="11"/>
      <c r="L14" s="11">
        <f>SUM(F14:K14)</f>
        <v>39542.04</v>
      </c>
      <c r="M14" s="34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</row>
    <row r="15" spans="1:102" x14ac:dyDescent="0.3">
      <c r="A15" s="33"/>
      <c r="B15" s="11" t="s">
        <v>11</v>
      </c>
      <c r="C15" s="11"/>
      <c r="D15" s="11"/>
      <c r="E15" s="11"/>
      <c r="F15" s="11">
        <f>T94</f>
        <v>20284.519999999997</v>
      </c>
      <c r="G15" s="11"/>
      <c r="H15" s="11">
        <f>AH94</f>
        <v>16983.09</v>
      </c>
      <c r="I15" s="11"/>
      <c r="J15" s="11"/>
      <c r="K15" s="11"/>
      <c r="L15" s="11">
        <f t="shared" ref="L15:L16" si="9">SUM(F15:K15)</f>
        <v>37267.61</v>
      </c>
      <c r="M15" s="34"/>
      <c r="O15" s="2" t="s">
        <v>6</v>
      </c>
      <c r="AC15" s="2" t="s">
        <v>6</v>
      </c>
      <c r="AR15" s="11" t="s">
        <v>2</v>
      </c>
      <c r="AS15" s="11"/>
      <c r="AT15" s="11">
        <f>AG25+S25+S52+AG52</f>
        <v>201711001</v>
      </c>
      <c r="AU15" s="11">
        <f>AF76+R76</f>
        <v>7034000</v>
      </c>
      <c r="AV15" s="11">
        <f>R94+AF94</f>
        <v>7645000</v>
      </c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</row>
    <row r="16" spans="1:102" x14ac:dyDescent="0.3">
      <c r="A16" s="33"/>
      <c r="B16" s="11" t="s">
        <v>59</v>
      </c>
      <c r="C16" s="11"/>
      <c r="D16" s="11"/>
      <c r="E16" s="11"/>
      <c r="F16" s="11">
        <v>-8469.0499999999993</v>
      </c>
      <c r="G16" s="11"/>
      <c r="H16" s="11">
        <v>-2945.61</v>
      </c>
      <c r="I16" s="11"/>
      <c r="J16" s="11"/>
      <c r="K16" s="11"/>
      <c r="L16" s="11">
        <f t="shared" si="9"/>
        <v>-11414.66</v>
      </c>
      <c r="M16" s="34"/>
      <c r="AR16" s="11" t="s">
        <v>83</v>
      </c>
      <c r="AS16" s="11"/>
      <c r="AT16" s="11">
        <f>AF18+AF45+R18+R45</f>
        <v>51040</v>
      </c>
      <c r="AU16" s="11">
        <f>AE71+Q71</f>
        <v>216</v>
      </c>
      <c r="AV16" s="11">
        <f>Q91+AE91</f>
        <v>36</v>
      </c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</row>
    <row r="17" spans="1:102" x14ac:dyDescent="0.3">
      <c r="A17" s="33"/>
      <c r="B17" s="11" t="s">
        <v>37</v>
      </c>
      <c r="C17" s="11"/>
      <c r="D17" s="11"/>
      <c r="E17" s="11"/>
      <c r="F17" s="25">
        <f>SUM(F13:F16)</f>
        <v>955146.04</v>
      </c>
      <c r="G17" s="11"/>
      <c r="H17" s="25">
        <f>SUM(H13:H16)</f>
        <v>731816.9</v>
      </c>
      <c r="I17" s="11"/>
      <c r="J17" s="11"/>
      <c r="K17" s="11"/>
      <c r="L17" s="25">
        <f>SUM(L13:L16)</f>
        <v>1686962.9400000004</v>
      </c>
      <c r="M17" s="34"/>
      <c r="R17" s="2" t="s">
        <v>1</v>
      </c>
      <c r="S17" s="2" t="s">
        <v>2</v>
      </c>
      <c r="T17" s="2" t="s">
        <v>7</v>
      </c>
      <c r="U17" s="2" t="s">
        <v>8</v>
      </c>
      <c r="AF17" s="2" t="s">
        <v>1</v>
      </c>
      <c r="AG17" s="2" t="s">
        <v>2</v>
      </c>
      <c r="AH17" s="2" t="s">
        <v>7</v>
      </c>
      <c r="AI17" s="2" t="s">
        <v>8</v>
      </c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</row>
    <row r="18" spans="1:102" x14ac:dyDescent="0.3">
      <c r="A18" s="3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4"/>
      <c r="O18" s="2" t="s">
        <v>28</v>
      </c>
      <c r="R18" s="2">
        <f>R12</f>
        <v>27328</v>
      </c>
      <c r="S18" s="2">
        <f>T12</f>
        <v>43762000</v>
      </c>
      <c r="T18" s="1">
        <v>17.54</v>
      </c>
      <c r="U18" s="2">
        <f>R18*T18</f>
        <v>479333.12</v>
      </c>
      <c r="V18" s="1"/>
      <c r="W18" s="1"/>
      <c r="X18" s="1"/>
      <c r="AC18" s="2" t="s">
        <v>28</v>
      </c>
      <c r="AF18" s="2">
        <f>AF12</f>
        <v>19746</v>
      </c>
      <c r="AG18" s="2">
        <f>AH12</f>
        <v>31695001</v>
      </c>
      <c r="AH18" s="1">
        <v>17.940000000000001</v>
      </c>
      <c r="AI18" s="2">
        <f>AF18*AH18</f>
        <v>354243.24000000005</v>
      </c>
      <c r="AR18" s="11" t="s">
        <v>85</v>
      </c>
      <c r="AS18" s="11"/>
      <c r="AT18" s="11">
        <f>AT15/AT16</f>
        <v>3952.0180446708464</v>
      </c>
      <c r="AU18" s="11">
        <f>AU15/AU16</f>
        <v>32564.814814814814</v>
      </c>
      <c r="AV18" s="11">
        <f>AV15/AV16</f>
        <v>212361.11111111112</v>
      </c>
      <c r="AW18" s="12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2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2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2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2"/>
      <c r="CR18" s="11"/>
      <c r="CS18" s="11"/>
      <c r="CT18" s="11"/>
      <c r="CU18" s="11"/>
      <c r="CV18" s="11"/>
      <c r="CW18" s="11"/>
      <c r="CX18" s="11"/>
    </row>
    <row r="19" spans="1:102" x14ac:dyDescent="0.3">
      <c r="A19" s="33"/>
      <c r="B19" s="11" t="s">
        <v>56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4"/>
      <c r="O19" s="2" t="s">
        <v>31</v>
      </c>
      <c r="S19" s="2">
        <f>U12</f>
        <v>32173000</v>
      </c>
      <c r="T19" s="3">
        <v>6.8500000000000002E-3</v>
      </c>
      <c r="U19" s="2">
        <f>S19*T19</f>
        <v>220385.05000000002</v>
      </c>
      <c r="V19" s="1"/>
      <c r="W19" s="1"/>
      <c r="X19" s="1"/>
      <c r="AC19" s="2" t="s">
        <v>31</v>
      </c>
      <c r="AG19" s="2">
        <f>AI12</f>
        <v>24145000</v>
      </c>
      <c r="AH19" s="3">
        <v>7.0499999999999998E-3</v>
      </c>
      <c r="AI19" s="2">
        <f>AG19*AH19</f>
        <v>170222.25</v>
      </c>
      <c r="AR19" s="11"/>
      <c r="AS19" s="11"/>
      <c r="AT19" s="11"/>
      <c r="AU19" s="11"/>
      <c r="AV19" s="11"/>
      <c r="AW19" s="13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3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3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3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3"/>
      <c r="CR19" s="11"/>
      <c r="CS19" s="11"/>
      <c r="CT19" s="11"/>
      <c r="CU19" s="11"/>
      <c r="CV19" s="11"/>
      <c r="CW19" s="11"/>
      <c r="CX19" s="11"/>
    </row>
    <row r="20" spans="1:102" x14ac:dyDescent="0.3">
      <c r="A20" s="33"/>
      <c r="B20" s="11" t="s">
        <v>57</v>
      </c>
      <c r="C20" s="11"/>
      <c r="D20" s="11"/>
      <c r="E20" s="11"/>
      <c r="F20" s="11">
        <f>T101</f>
        <v>212112.12</v>
      </c>
      <c r="G20" s="11"/>
      <c r="H20" s="11">
        <f>AH101</f>
        <v>180780.88</v>
      </c>
      <c r="I20" s="11"/>
      <c r="J20" s="11"/>
      <c r="K20" s="11"/>
      <c r="L20" s="11">
        <f>F20+H20</f>
        <v>392893</v>
      </c>
      <c r="M20" s="34"/>
      <c r="O20" s="2" t="s">
        <v>0</v>
      </c>
      <c r="S20" s="2">
        <f>V12</f>
        <v>15322000</v>
      </c>
      <c r="T20" s="3">
        <v>5.3699999999999998E-3</v>
      </c>
      <c r="U20" s="2">
        <f>S20*T20</f>
        <v>82279.14</v>
      </c>
      <c r="V20" s="1"/>
      <c r="W20" s="1"/>
      <c r="X20" s="1"/>
      <c r="AC20" s="2" t="s">
        <v>0</v>
      </c>
      <c r="AG20" s="2">
        <f>AJ12</f>
        <v>11908000</v>
      </c>
      <c r="AH20" s="3">
        <v>5.5700000000000003E-3</v>
      </c>
      <c r="AI20" s="2">
        <f t="shared" ref="AI20:AI23" si="10">AG20*AH20</f>
        <v>66327.56</v>
      </c>
      <c r="AR20" s="11"/>
      <c r="AS20" s="11"/>
      <c r="AT20" s="11"/>
      <c r="AU20" s="11"/>
      <c r="AV20" s="11"/>
      <c r="AW20" s="13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3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3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3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3"/>
      <c r="CR20" s="11"/>
      <c r="CS20" s="11"/>
      <c r="CT20" s="11"/>
      <c r="CU20" s="11"/>
      <c r="CV20" s="11"/>
      <c r="CW20" s="11"/>
      <c r="CX20" s="11"/>
    </row>
    <row r="21" spans="1:102" x14ac:dyDescent="0.3">
      <c r="A21" s="33"/>
      <c r="B21" s="11" t="s">
        <v>58</v>
      </c>
      <c r="C21" s="11"/>
      <c r="D21" s="11"/>
      <c r="E21" s="11"/>
      <c r="F21" s="4">
        <f>T105</f>
        <v>254045.39</v>
      </c>
      <c r="G21" s="11"/>
      <c r="H21" s="4">
        <f>AH105</f>
        <v>215624.40999999997</v>
      </c>
      <c r="I21" s="11"/>
      <c r="J21" s="11"/>
      <c r="K21" s="11"/>
      <c r="L21" s="4">
        <f>F21+H21</f>
        <v>469669.8</v>
      </c>
      <c r="M21" s="34"/>
      <c r="O21" s="2" t="s">
        <v>32</v>
      </c>
      <c r="S21" s="2">
        <f>W12</f>
        <v>7450000</v>
      </c>
      <c r="T21" s="3">
        <v>4.6800000000000001E-3</v>
      </c>
      <c r="U21" s="2">
        <f t="shared" ref="U21:U22" si="11">S21*T21</f>
        <v>34866</v>
      </c>
      <c r="V21" s="1"/>
      <c r="W21" s="1"/>
      <c r="X21" s="1"/>
      <c r="AC21" s="2" t="s">
        <v>32</v>
      </c>
      <c r="AG21" s="2">
        <f>AK12</f>
        <v>6212000</v>
      </c>
      <c r="AH21" s="3">
        <v>4.8799999999999998E-3</v>
      </c>
      <c r="AI21" s="2">
        <f t="shared" si="10"/>
        <v>30314.559999999998</v>
      </c>
      <c r="AR21" s="11"/>
      <c r="AS21" s="11"/>
      <c r="AT21" s="11"/>
      <c r="AU21" s="11"/>
      <c r="AV21" s="11"/>
      <c r="AW21" s="13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3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3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3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3"/>
      <c r="CR21" s="11"/>
      <c r="CS21" s="11"/>
      <c r="CT21" s="11"/>
      <c r="CU21" s="11"/>
      <c r="CV21" s="11"/>
      <c r="CW21" s="11"/>
      <c r="CX21" s="11"/>
    </row>
    <row r="22" spans="1:102" x14ac:dyDescent="0.3">
      <c r="A22" s="33"/>
      <c r="B22" s="11" t="s">
        <v>47</v>
      </c>
      <c r="C22" s="11"/>
      <c r="D22" s="11"/>
      <c r="E22" s="11"/>
      <c r="F22" s="25">
        <f>SUM(F20:F21)</f>
        <v>466157.51</v>
      </c>
      <c r="G22" s="11"/>
      <c r="H22" s="25">
        <f>SUM(H20:H21)</f>
        <v>396405.29</v>
      </c>
      <c r="I22" s="11"/>
      <c r="J22" s="11"/>
      <c r="K22" s="11"/>
      <c r="L22" s="25">
        <f>SUM(L20:L21)</f>
        <v>862562.8</v>
      </c>
      <c r="M22" s="34"/>
      <c r="O22" s="2" t="s">
        <v>33</v>
      </c>
      <c r="S22" s="2">
        <f>X12</f>
        <v>4702000</v>
      </c>
      <c r="T22" s="3">
        <v>4.4600000000000004E-3</v>
      </c>
      <c r="U22" s="2">
        <f t="shared" si="11"/>
        <v>20970.920000000002</v>
      </c>
      <c r="V22" s="1"/>
      <c r="W22" s="1"/>
      <c r="X22" s="1"/>
      <c r="AC22" s="2" t="s">
        <v>33</v>
      </c>
      <c r="AG22" s="2">
        <f>AL12</f>
        <v>4257000</v>
      </c>
      <c r="AH22" s="3">
        <v>4.6600000000000001E-3</v>
      </c>
      <c r="AI22" s="2">
        <f t="shared" si="10"/>
        <v>19837.62</v>
      </c>
      <c r="AR22" s="11"/>
      <c r="AS22" s="11"/>
      <c r="AT22" s="11"/>
      <c r="AU22" s="11"/>
      <c r="AV22" s="11"/>
      <c r="AW22" s="13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3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3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3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3"/>
      <c r="CR22" s="11"/>
      <c r="CS22" s="11"/>
      <c r="CT22" s="11"/>
      <c r="CU22" s="11"/>
      <c r="CV22" s="11"/>
      <c r="CW22" s="11"/>
      <c r="CX22" s="11"/>
    </row>
    <row r="23" spans="1:102" x14ac:dyDescent="0.3">
      <c r="A23" s="3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4"/>
      <c r="O23" s="2" t="s">
        <v>34</v>
      </c>
      <c r="S23" s="4">
        <f>Y12</f>
        <v>3794000</v>
      </c>
      <c r="T23" s="3">
        <v>4.3299999999999996E-3</v>
      </c>
      <c r="U23" s="4">
        <f>S23*T23</f>
        <v>16428.02</v>
      </c>
      <c r="V23" s="1"/>
      <c r="W23" s="1"/>
      <c r="X23" s="1"/>
      <c r="AC23" s="2" t="s">
        <v>34</v>
      </c>
      <c r="AG23" s="4">
        <f>AM12</f>
        <v>1873000</v>
      </c>
      <c r="AH23" s="3">
        <v>4.5300000000000002E-3</v>
      </c>
      <c r="AI23" s="4">
        <f t="shared" si="10"/>
        <v>8484.69</v>
      </c>
      <c r="AR23" s="11"/>
      <c r="AS23" s="11"/>
      <c r="AT23" s="11"/>
      <c r="AU23" s="11"/>
      <c r="AV23" s="11"/>
      <c r="AW23" s="13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3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3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3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3"/>
      <c r="CR23" s="11"/>
      <c r="CS23" s="11"/>
      <c r="CT23" s="11"/>
      <c r="CU23" s="11"/>
      <c r="CV23" s="11"/>
      <c r="CW23" s="11"/>
      <c r="CX23" s="11"/>
    </row>
    <row r="24" spans="1:102" ht="16.2" thickBot="1" x14ac:dyDescent="0.35">
      <c r="A24" s="33"/>
      <c r="B24" s="11" t="s">
        <v>60</v>
      </c>
      <c r="C24" s="11"/>
      <c r="D24" s="20"/>
      <c r="E24" s="20"/>
      <c r="F24" s="10">
        <f>SUM(F17:F21)</f>
        <v>1421303.5500000003</v>
      </c>
      <c r="G24" s="20"/>
      <c r="H24" s="10">
        <f>SUM(H17:H21)</f>
        <v>1128222.19</v>
      </c>
      <c r="I24" s="20"/>
      <c r="J24" s="20"/>
      <c r="K24" s="20"/>
      <c r="L24" s="11">
        <f>SUM(L17:L21)</f>
        <v>2549525.7400000002</v>
      </c>
      <c r="M24" s="34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</row>
    <row r="25" spans="1:102" ht="16.8" thickTop="1" thickBot="1" x14ac:dyDescent="0.35">
      <c r="A25" s="33"/>
      <c r="B25" s="11" t="s">
        <v>61</v>
      </c>
      <c r="C25" s="11"/>
      <c r="D25" s="11"/>
      <c r="E25" s="11"/>
      <c r="F25" s="11"/>
      <c r="G25" s="11"/>
      <c r="H25" s="11"/>
      <c r="I25" s="11"/>
      <c r="J25" s="11"/>
      <c r="K25" s="11"/>
      <c r="L25" s="4">
        <v>-2549969</v>
      </c>
      <c r="M25" s="34"/>
      <c r="S25" s="5">
        <f>SUM(S18:S24)</f>
        <v>107203000</v>
      </c>
      <c r="U25" s="5">
        <f>SUM(U18:U24)</f>
        <v>854262.25000000012</v>
      </c>
      <c r="V25" s="1"/>
      <c r="W25" s="1"/>
      <c r="X25" s="1"/>
      <c r="AG25" s="5">
        <f>SUM(AG18:AG24)</f>
        <v>80090001</v>
      </c>
      <c r="AI25" s="5">
        <f>SUM(AI18:AI24)</f>
        <v>649429.92000000004</v>
      </c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</row>
    <row r="26" spans="1:102" ht="16.2" thickTop="1" x14ac:dyDescent="0.3">
      <c r="A26" s="3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4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</row>
    <row r="27" spans="1:102" ht="16.2" thickBot="1" x14ac:dyDescent="0.35">
      <c r="A27" s="33"/>
      <c r="B27" s="11" t="s">
        <v>18</v>
      </c>
      <c r="C27" s="11"/>
      <c r="D27" s="11"/>
      <c r="E27" s="11"/>
      <c r="F27" s="11"/>
      <c r="G27" s="11"/>
      <c r="H27" s="11"/>
      <c r="I27" s="11"/>
      <c r="J27" s="11"/>
      <c r="K27" s="11"/>
      <c r="L27" s="10">
        <f>L24+L25</f>
        <v>-443.25999999977648</v>
      </c>
      <c r="M27" s="34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</row>
    <row r="28" spans="1:102" ht="16.2" thickTop="1" x14ac:dyDescent="0.3">
      <c r="A28" s="3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4"/>
      <c r="O28" s="2" t="s">
        <v>35</v>
      </c>
      <c r="AC28" s="2" t="s">
        <v>35</v>
      </c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</row>
    <row r="29" spans="1:102" x14ac:dyDescent="0.3">
      <c r="A29" s="3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37"/>
      <c r="T29" s="49" t="s">
        <v>36</v>
      </c>
      <c r="U29" s="49"/>
      <c r="V29" s="49"/>
      <c r="W29" s="49"/>
      <c r="X29" s="49"/>
      <c r="Y29" s="49"/>
      <c r="AH29" s="49" t="s">
        <v>36</v>
      </c>
      <c r="AI29" s="49"/>
      <c r="AJ29" s="49"/>
      <c r="AK29" s="49"/>
      <c r="AL29" s="49"/>
      <c r="AM29" s="49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5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5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5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5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</row>
    <row r="30" spans="1:102" x14ac:dyDescent="0.3">
      <c r="T30" s="2" t="s">
        <v>29</v>
      </c>
      <c r="U30" s="2" t="s">
        <v>30</v>
      </c>
      <c r="V30" s="2" t="s">
        <v>3</v>
      </c>
      <c r="W30" s="2" t="s">
        <v>25</v>
      </c>
      <c r="X30" s="2" t="s">
        <v>26</v>
      </c>
      <c r="Y30" s="2" t="s">
        <v>27</v>
      </c>
      <c r="AH30" s="2" t="s">
        <v>29</v>
      </c>
      <c r="AI30" s="2" t="s">
        <v>30</v>
      </c>
      <c r="AJ30" s="2" t="s">
        <v>3</v>
      </c>
      <c r="AK30" s="2" t="s">
        <v>25</v>
      </c>
      <c r="AL30" s="2" t="s">
        <v>26</v>
      </c>
      <c r="AM30" s="2" t="s">
        <v>27</v>
      </c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</row>
    <row r="31" spans="1:102" x14ac:dyDescent="0.3">
      <c r="R31" s="2" t="s">
        <v>1</v>
      </c>
      <c r="S31" s="2" t="s">
        <v>2</v>
      </c>
      <c r="T31" s="3">
        <v>17.54</v>
      </c>
      <c r="U31" s="3">
        <v>6.8500000000000002E-3</v>
      </c>
      <c r="V31" s="3">
        <v>5.3699999999999998E-3</v>
      </c>
      <c r="W31" s="3">
        <v>4.6800000000000001E-3</v>
      </c>
      <c r="X31" s="3">
        <v>4.4600000000000004E-3</v>
      </c>
      <c r="Y31" s="3">
        <v>4.3299999999999996E-3</v>
      </c>
      <c r="Z31" s="2">
        <f>SUM(T31:Y31)</f>
        <v>17.56569</v>
      </c>
      <c r="AF31" s="2" t="s">
        <v>1</v>
      </c>
      <c r="AG31" s="2" t="s">
        <v>2</v>
      </c>
      <c r="AH31" s="3">
        <v>17.940000000000001</v>
      </c>
      <c r="AI31" s="3">
        <v>7.0499999999999998E-3</v>
      </c>
      <c r="AJ31" s="3">
        <v>5.5700000000000003E-3</v>
      </c>
      <c r="AK31" s="3">
        <v>4.8799999999999998E-3</v>
      </c>
      <c r="AL31" s="3">
        <v>4.6600000000000001E-3</v>
      </c>
      <c r="AM31" s="3">
        <v>4.5300000000000002E-3</v>
      </c>
      <c r="AN31" s="2">
        <f>SUM(AH31:AM31)</f>
        <v>17.96669</v>
      </c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</row>
    <row r="32" spans="1:102" x14ac:dyDescent="0.3">
      <c r="O32" s="2" t="s">
        <v>28</v>
      </c>
      <c r="R32" s="2">
        <f>638+72+20+30</f>
        <v>760</v>
      </c>
      <c r="S32" s="2">
        <f>626000+87000+26000+47000</f>
        <v>786000</v>
      </c>
      <c r="T32" s="2">
        <v>786000</v>
      </c>
      <c r="Z32" s="2">
        <f t="shared" ref="Z32:Z36" si="12">SUM(T32:Y32)</f>
        <v>786000</v>
      </c>
      <c r="AC32" s="2" t="s">
        <v>28</v>
      </c>
      <c r="AF32" s="2">
        <v>478</v>
      </c>
      <c r="AG32" s="2">
        <v>503000</v>
      </c>
      <c r="AH32" s="2">
        <v>503000</v>
      </c>
      <c r="AN32" s="2">
        <f t="shared" ref="AN32:AN36" si="13">SUM(AH32:AM32)</f>
        <v>503000</v>
      </c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</row>
    <row r="33" spans="1:102" x14ac:dyDescent="0.3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1"/>
      <c r="M33" s="32"/>
      <c r="O33" s="2" t="s">
        <v>31</v>
      </c>
      <c r="R33" s="2">
        <f>900+123+32+36</f>
        <v>1091</v>
      </c>
      <c r="S33" s="2">
        <v>3382000</v>
      </c>
      <c r="T33" s="2">
        <v>2182000</v>
      </c>
      <c r="U33" s="2">
        <v>1200000</v>
      </c>
      <c r="Z33" s="2">
        <f t="shared" si="12"/>
        <v>3382000</v>
      </c>
      <c r="AC33" s="2" t="s">
        <v>31</v>
      </c>
      <c r="AF33" s="2">
        <v>824</v>
      </c>
      <c r="AG33" s="2">
        <v>2617000</v>
      </c>
      <c r="AH33" s="2">
        <v>1648000</v>
      </c>
      <c r="AI33" s="2">
        <v>883000</v>
      </c>
      <c r="AJ33" s="59">
        <v>86000</v>
      </c>
      <c r="AN33" s="2">
        <f t="shared" si="13"/>
        <v>2617000</v>
      </c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</row>
    <row r="34" spans="1:102" x14ac:dyDescent="0.3">
      <c r="A34" s="33"/>
      <c r="B34" s="58" t="s">
        <v>81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34"/>
      <c r="O34" s="2" t="s">
        <v>0</v>
      </c>
      <c r="R34" s="2">
        <f>292+15+4+18</f>
        <v>329</v>
      </c>
      <c r="S34" s="2">
        <v>2129000</v>
      </c>
      <c r="T34" s="2">
        <v>658000</v>
      </c>
      <c r="U34" s="2">
        <v>987000</v>
      </c>
      <c r="V34" s="2">
        <v>484000</v>
      </c>
      <c r="Z34" s="2">
        <f t="shared" si="12"/>
        <v>2129000</v>
      </c>
      <c r="AC34" s="2" t="s">
        <v>0</v>
      </c>
      <c r="AF34" s="2">
        <v>286</v>
      </c>
      <c r="AG34" s="2">
        <v>1816000</v>
      </c>
      <c r="AH34" s="2">
        <v>572000</v>
      </c>
      <c r="AI34" s="2">
        <v>858000</v>
      </c>
      <c r="AJ34" s="2">
        <v>386000</v>
      </c>
      <c r="AN34" s="2">
        <f t="shared" si="13"/>
        <v>1816000</v>
      </c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</row>
    <row r="35" spans="1:102" x14ac:dyDescent="0.3">
      <c r="A35" s="33"/>
      <c r="B35" s="49" t="s">
        <v>82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34"/>
      <c r="O35" s="2" t="s">
        <v>32</v>
      </c>
      <c r="R35" s="2">
        <v>116</v>
      </c>
      <c r="S35" s="2">
        <v>1568000</v>
      </c>
      <c r="T35" s="2">
        <v>232000</v>
      </c>
      <c r="U35" s="2">
        <v>348000</v>
      </c>
      <c r="V35" s="2">
        <v>580000</v>
      </c>
      <c r="W35" s="2">
        <v>408000</v>
      </c>
      <c r="Z35" s="2">
        <f t="shared" si="12"/>
        <v>1568000</v>
      </c>
      <c r="AC35" s="2" t="s">
        <v>32</v>
      </c>
      <c r="AF35" s="2">
        <v>48</v>
      </c>
      <c r="AG35" s="2">
        <v>698000</v>
      </c>
      <c r="AH35" s="2">
        <v>96000</v>
      </c>
      <c r="AI35" s="2">
        <v>144000</v>
      </c>
      <c r="AJ35" s="2">
        <v>240000</v>
      </c>
      <c r="AK35" s="2">
        <v>218000</v>
      </c>
      <c r="AN35" s="2">
        <f t="shared" si="13"/>
        <v>698000</v>
      </c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</row>
    <row r="36" spans="1:102" x14ac:dyDescent="0.3">
      <c r="A36" s="33"/>
      <c r="B36" s="11"/>
      <c r="C36" s="11"/>
      <c r="D36" s="11"/>
      <c r="E36" s="11"/>
      <c r="F36" s="11"/>
      <c r="G36" s="11"/>
      <c r="H36" s="11"/>
      <c r="I36" s="11"/>
      <c r="J36" s="14" t="s">
        <v>22</v>
      </c>
      <c r="K36" s="11"/>
      <c r="L36" s="11"/>
      <c r="M36" s="34"/>
      <c r="O36" s="2" t="s">
        <v>33</v>
      </c>
      <c r="R36" s="4">
        <v>18</v>
      </c>
      <c r="S36" s="4">
        <v>508000</v>
      </c>
      <c r="T36" s="4">
        <v>36000</v>
      </c>
      <c r="U36" s="4">
        <v>54000</v>
      </c>
      <c r="V36" s="4">
        <v>90000</v>
      </c>
      <c r="W36" s="4">
        <v>180000</v>
      </c>
      <c r="X36" s="4">
        <v>148000</v>
      </c>
      <c r="Y36" s="4"/>
      <c r="Z36" s="2">
        <f t="shared" si="12"/>
        <v>508000</v>
      </c>
      <c r="AC36" s="2" t="s">
        <v>33</v>
      </c>
      <c r="AF36" s="4">
        <v>16</v>
      </c>
      <c r="AG36" s="4">
        <v>411000</v>
      </c>
      <c r="AH36" s="4">
        <v>32000</v>
      </c>
      <c r="AI36" s="4">
        <v>48000</v>
      </c>
      <c r="AJ36" s="4">
        <v>80000</v>
      </c>
      <c r="AK36" s="4">
        <v>160000</v>
      </c>
      <c r="AL36" s="4">
        <v>91000</v>
      </c>
      <c r="AM36" s="4"/>
      <c r="AN36" s="2">
        <f t="shared" si="13"/>
        <v>411000</v>
      </c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</row>
    <row r="37" spans="1:102" x14ac:dyDescent="0.3">
      <c r="A37" s="33"/>
      <c r="B37" s="11"/>
      <c r="C37" s="11"/>
      <c r="D37" s="11"/>
      <c r="E37" s="11"/>
      <c r="F37" s="11"/>
      <c r="G37" s="11"/>
      <c r="H37" s="11"/>
      <c r="I37" s="11"/>
      <c r="J37" s="14" t="s">
        <v>51</v>
      </c>
      <c r="K37" s="11"/>
      <c r="L37" s="11"/>
      <c r="M37" s="34"/>
      <c r="O37" s="2" t="s">
        <v>34</v>
      </c>
      <c r="AC37" s="2" t="s">
        <v>34</v>
      </c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</row>
    <row r="38" spans="1:102" x14ac:dyDescent="0.3">
      <c r="A38" s="33"/>
      <c r="B38" s="55" t="s">
        <v>19</v>
      </c>
      <c r="C38" s="55"/>
      <c r="D38" s="55"/>
      <c r="E38" s="11"/>
      <c r="F38" s="8" t="s">
        <v>1</v>
      </c>
      <c r="G38" s="14"/>
      <c r="H38" s="8" t="s">
        <v>2</v>
      </c>
      <c r="I38" s="14"/>
      <c r="J38" s="8" t="s">
        <v>7</v>
      </c>
      <c r="K38" s="14"/>
      <c r="L38" s="8" t="s">
        <v>8</v>
      </c>
      <c r="M38" s="34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</row>
    <row r="39" spans="1:102" ht="16.2" thickBot="1" x14ac:dyDescent="0.35">
      <c r="A39" s="33"/>
      <c r="B39" s="11" t="s">
        <v>28</v>
      </c>
      <c r="C39" s="11"/>
      <c r="D39" s="11"/>
      <c r="E39" s="11"/>
      <c r="F39" s="11">
        <f>R18+R45+AF18+AF45</f>
        <v>51040</v>
      </c>
      <c r="G39" s="11"/>
      <c r="H39" s="11">
        <f>S18+S45+AG18+AG45</f>
        <v>82202001</v>
      </c>
      <c r="I39" s="11"/>
      <c r="J39" s="27">
        <f>AH18</f>
        <v>17.940000000000001</v>
      </c>
      <c r="K39" s="11"/>
      <c r="L39" s="20">
        <f>F39*J39</f>
        <v>915657.60000000009</v>
      </c>
      <c r="M39" s="34"/>
      <c r="O39" s="2" t="s">
        <v>5</v>
      </c>
      <c r="R39" s="5">
        <f>SUM(R32:R38)</f>
        <v>2314</v>
      </c>
      <c r="S39" s="5">
        <f>SUM(S32:S38)</f>
        <v>8373000</v>
      </c>
      <c r="T39" s="5">
        <f t="shared" ref="T39" si="14">SUM(T32:T38)</f>
        <v>3894000</v>
      </c>
      <c r="U39" s="5">
        <f>SUM(U32:U38)</f>
        <v>2589000</v>
      </c>
      <c r="V39" s="5">
        <f>SUM(V32:V38)</f>
        <v>1154000</v>
      </c>
      <c r="W39" s="5">
        <f>SUM(W32:W38)</f>
        <v>588000</v>
      </c>
      <c r="X39" s="5">
        <f>SUM(X32:X38)</f>
        <v>148000</v>
      </c>
      <c r="Y39" s="5">
        <f>SUM(Y32:Y38)</f>
        <v>0</v>
      </c>
      <c r="AC39" s="2" t="s">
        <v>5</v>
      </c>
      <c r="AF39" s="5">
        <f>SUM(AF32:AF38)</f>
        <v>1652</v>
      </c>
      <c r="AG39" s="5">
        <f>SUM(AG32:AG38)</f>
        <v>6045000</v>
      </c>
      <c r="AH39" s="5">
        <f t="shared" ref="AH39" si="15">SUM(AH32:AH38)</f>
        <v>2851000</v>
      </c>
      <c r="AI39" s="5">
        <f>SUM(AI32:AI38)</f>
        <v>1933000</v>
      </c>
      <c r="AJ39" s="5">
        <f>SUM(AJ32:AJ38)</f>
        <v>792000</v>
      </c>
      <c r="AK39" s="5">
        <f>SUM(AK32:AK38)</f>
        <v>378000</v>
      </c>
      <c r="AL39" s="5">
        <f>SUM(AL32:AL38)</f>
        <v>91000</v>
      </c>
      <c r="AM39" s="5">
        <f>SUM(AM32:AM38)</f>
        <v>0</v>
      </c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</row>
    <row r="40" spans="1:102" ht="16.2" thickTop="1" x14ac:dyDescent="0.3">
      <c r="A40" s="33"/>
      <c r="B40" s="11" t="s">
        <v>31</v>
      </c>
      <c r="C40" s="11"/>
      <c r="D40" s="11"/>
      <c r="E40" s="11"/>
      <c r="F40" s="11"/>
      <c r="G40" s="11"/>
      <c r="H40" s="11">
        <f t="shared" ref="H40:H44" si="16">S19+S46+AG19+AG46</f>
        <v>60840000</v>
      </c>
      <c r="I40" s="11"/>
      <c r="J40" s="13">
        <f>AH19</f>
        <v>7.0499999999999998E-3</v>
      </c>
      <c r="K40" s="11"/>
      <c r="L40" s="11">
        <f>H40*J40</f>
        <v>428922</v>
      </c>
      <c r="M40" s="34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</row>
    <row r="41" spans="1:102" x14ac:dyDescent="0.3">
      <c r="A41" s="33"/>
      <c r="B41" s="11" t="s">
        <v>0</v>
      </c>
      <c r="C41" s="11"/>
      <c r="D41" s="11"/>
      <c r="E41" s="11"/>
      <c r="F41" s="11"/>
      <c r="G41" s="11"/>
      <c r="H41" s="11">
        <f t="shared" si="16"/>
        <v>29176000</v>
      </c>
      <c r="I41" s="11"/>
      <c r="J41" s="13">
        <f t="shared" ref="J41:J44" si="17">AH20</f>
        <v>5.5700000000000003E-3</v>
      </c>
      <c r="K41" s="11"/>
      <c r="L41" s="11">
        <f t="shared" ref="L41:L44" si="18">H41*J41</f>
        <v>162510.32</v>
      </c>
      <c r="M41" s="34"/>
      <c r="AS41" s="11"/>
      <c r="AT41" s="11"/>
      <c r="AU41" s="11"/>
      <c r="AV41" s="11"/>
      <c r="AW41" s="12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2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2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2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2"/>
      <c r="CR41" s="11"/>
      <c r="CS41" s="11"/>
      <c r="CT41" s="11"/>
      <c r="CU41" s="11"/>
      <c r="CV41" s="11"/>
      <c r="CW41" s="11"/>
      <c r="CX41" s="11"/>
    </row>
    <row r="42" spans="1:102" x14ac:dyDescent="0.3">
      <c r="A42" s="33"/>
      <c r="B42" s="11" t="s">
        <v>32</v>
      </c>
      <c r="C42" s="11"/>
      <c r="D42" s="11"/>
      <c r="E42" s="11"/>
      <c r="F42" s="11"/>
      <c r="G42" s="11"/>
      <c r="H42" s="11">
        <f t="shared" si="16"/>
        <v>14628000</v>
      </c>
      <c r="I42" s="11"/>
      <c r="J42" s="13">
        <f t="shared" si="17"/>
        <v>4.8799999999999998E-3</v>
      </c>
      <c r="K42" s="11"/>
      <c r="L42" s="11">
        <f t="shared" si="18"/>
        <v>71384.639999999999</v>
      </c>
      <c r="M42" s="34"/>
      <c r="O42" s="2" t="s">
        <v>6</v>
      </c>
      <c r="AC42" s="2" t="s">
        <v>6</v>
      </c>
      <c r="AS42" s="11"/>
      <c r="AT42" s="11"/>
      <c r="AU42" s="11"/>
      <c r="AV42" s="11"/>
      <c r="AW42" s="13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3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3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3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3"/>
      <c r="CR42" s="11"/>
      <c r="CS42" s="11"/>
      <c r="CT42" s="11"/>
      <c r="CU42" s="11"/>
      <c r="CV42" s="11"/>
      <c r="CW42" s="11"/>
      <c r="CX42" s="11"/>
    </row>
    <row r="43" spans="1:102" x14ac:dyDescent="0.3">
      <c r="A43" s="33"/>
      <c r="B43" s="11" t="s">
        <v>33</v>
      </c>
      <c r="C43" s="11"/>
      <c r="D43" s="11"/>
      <c r="E43" s="11"/>
      <c r="F43" s="11"/>
      <c r="G43" s="11"/>
      <c r="H43" s="11">
        <f t="shared" si="16"/>
        <v>9198000</v>
      </c>
      <c r="I43" s="11"/>
      <c r="J43" s="13">
        <f t="shared" si="17"/>
        <v>4.6600000000000001E-3</v>
      </c>
      <c r="K43" s="11"/>
      <c r="L43" s="11">
        <f t="shared" si="18"/>
        <v>42862.68</v>
      </c>
      <c r="M43" s="34"/>
      <c r="AS43" s="11"/>
      <c r="AT43" s="11"/>
      <c r="AU43" s="11"/>
      <c r="AV43" s="11"/>
      <c r="AW43" s="13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3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3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3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3"/>
      <c r="CR43" s="11"/>
      <c r="CS43" s="11"/>
      <c r="CT43" s="11"/>
      <c r="CU43" s="11"/>
      <c r="CV43" s="11"/>
      <c r="CW43" s="11"/>
      <c r="CX43" s="11"/>
    </row>
    <row r="44" spans="1:102" x14ac:dyDescent="0.3">
      <c r="A44" s="33"/>
      <c r="B44" s="11" t="s">
        <v>34</v>
      </c>
      <c r="C44" s="11"/>
      <c r="D44" s="11"/>
      <c r="E44" s="11"/>
      <c r="F44" s="11"/>
      <c r="G44" s="11"/>
      <c r="H44" s="4">
        <f t="shared" si="16"/>
        <v>5667000</v>
      </c>
      <c r="I44" s="11"/>
      <c r="J44" s="13">
        <f t="shared" si="17"/>
        <v>4.5300000000000002E-3</v>
      </c>
      <c r="K44" s="11"/>
      <c r="L44" s="4">
        <f t="shared" si="18"/>
        <v>25671.510000000002</v>
      </c>
      <c r="M44" s="34"/>
      <c r="R44" s="2" t="s">
        <v>1</v>
      </c>
      <c r="S44" s="2" t="s">
        <v>2</v>
      </c>
      <c r="T44" s="2" t="s">
        <v>7</v>
      </c>
      <c r="U44" s="2" t="s">
        <v>8</v>
      </c>
      <c r="AF44" s="2" t="s">
        <v>1</v>
      </c>
      <c r="AG44" s="2" t="s">
        <v>2</v>
      </c>
      <c r="AH44" s="2" t="s">
        <v>7</v>
      </c>
      <c r="AI44" s="2" t="s">
        <v>8</v>
      </c>
      <c r="AS44" s="11"/>
      <c r="AT44" s="11"/>
      <c r="AU44" s="11"/>
      <c r="AV44" s="11"/>
      <c r="AW44" s="13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3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3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3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3"/>
      <c r="CR44" s="11"/>
      <c r="CS44" s="11"/>
      <c r="CT44" s="11"/>
      <c r="CU44" s="11"/>
      <c r="CV44" s="11"/>
      <c r="CW44" s="11"/>
      <c r="CX44" s="11"/>
    </row>
    <row r="45" spans="1:102" x14ac:dyDescent="0.3">
      <c r="A45" s="3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34"/>
      <c r="O45" s="2" t="s">
        <v>28</v>
      </c>
      <c r="R45" s="2">
        <f>R39</f>
        <v>2314</v>
      </c>
      <c r="S45" s="2">
        <f>T39</f>
        <v>3894000</v>
      </c>
      <c r="T45" s="1">
        <v>17.54</v>
      </c>
      <c r="U45" s="2">
        <f>R45*T45</f>
        <v>40587.56</v>
      </c>
      <c r="V45" s="1"/>
      <c r="W45" s="1"/>
      <c r="X45" s="1"/>
      <c r="AC45" s="2" t="s">
        <v>28</v>
      </c>
      <c r="AF45" s="2">
        <f>AF39</f>
        <v>1652</v>
      </c>
      <c r="AG45" s="2">
        <f>AH39</f>
        <v>2851000</v>
      </c>
      <c r="AH45" s="1">
        <f>AH18</f>
        <v>17.940000000000001</v>
      </c>
      <c r="AI45" s="2">
        <f>AF45*AH45</f>
        <v>29636.880000000001</v>
      </c>
      <c r="AJ45" s="1"/>
      <c r="AK45" s="1"/>
      <c r="AL45" s="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</row>
    <row r="46" spans="1:102" x14ac:dyDescent="0.3">
      <c r="A46" s="33"/>
      <c r="B46" s="11" t="s">
        <v>63</v>
      </c>
      <c r="C46" s="11"/>
      <c r="D46" s="11"/>
      <c r="E46" s="11"/>
      <c r="F46" s="11">
        <f>SUM(F39:F45)</f>
        <v>51040</v>
      </c>
      <c r="G46" s="11"/>
      <c r="H46" s="4">
        <f>SUM(H39:H45)</f>
        <v>201711001</v>
      </c>
      <c r="I46" s="11"/>
      <c r="J46" s="11"/>
      <c r="K46" s="11"/>
      <c r="L46" s="4">
        <f>SUM(L39:L45)</f>
        <v>1647008.75</v>
      </c>
      <c r="M46" s="34"/>
      <c r="O46" s="2" t="s">
        <v>31</v>
      </c>
      <c r="S46" s="2">
        <f>U39</f>
        <v>2589000</v>
      </c>
      <c r="T46" s="3">
        <v>6.8500000000000002E-3</v>
      </c>
      <c r="U46" s="2">
        <f>S46*T46</f>
        <v>17734.650000000001</v>
      </c>
      <c r="V46" s="1"/>
      <c r="W46" s="1"/>
      <c r="X46" s="1"/>
      <c r="AC46" s="2" t="s">
        <v>31</v>
      </c>
      <c r="AG46" s="2">
        <f>AI39</f>
        <v>1933000</v>
      </c>
      <c r="AH46" s="3">
        <f>AH19</f>
        <v>7.0499999999999998E-3</v>
      </c>
      <c r="AI46" s="2">
        <f>AG46*AH46</f>
        <v>13627.65</v>
      </c>
      <c r="AJ46" s="1"/>
      <c r="AK46" s="1"/>
      <c r="AL46" s="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</row>
    <row r="47" spans="1:102" x14ac:dyDescent="0.3">
      <c r="A47" s="3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4"/>
      <c r="O47" s="2" t="s">
        <v>0</v>
      </c>
      <c r="S47" s="2">
        <f>V39</f>
        <v>1154000</v>
      </c>
      <c r="T47" s="3">
        <v>5.3699999999999998E-3</v>
      </c>
      <c r="U47" s="2">
        <f>S47*T47</f>
        <v>6196.98</v>
      </c>
      <c r="V47" s="1"/>
      <c r="W47" s="1"/>
      <c r="X47" s="1"/>
      <c r="AC47" s="2" t="s">
        <v>0</v>
      </c>
      <c r="AG47" s="2">
        <f>AJ39</f>
        <v>792000</v>
      </c>
      <c r="AH47" s="3">
        <f>AH20</f>
        <v>5.5700000000000003E-3</v>
      </c>
      <c r="AI47" s="2">
        <f>AG47*AH47</f>
        <v>4411.4400000000005</v>
      </c>
      <c r="AJ47" s="1"/>
      <c r="AK47" s="1"/>
      <c r="AL47" s="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</row>
    <row r="48" spans="1:102" x14ac:dyDescent="0.3">
      <c r="A48" s="33"/>
      <c r="B48" s="49" t="s">
        <v>20</v>
      </c>
      <c r="C48" s="49"/>
      <c r="D48" s="49"/>
      <c r="E48" s="11"/>
      <c r="F48" s="14"/>
      <c r="G48" s="14"/>
      <c r="H48" s="14"/>
      <c r="I48" s="14"/>
      <c r="J48" s="14"/>
      <c r="K48" s="14"/>
      <c r="L48" s="14"/>
      <c r="M48" s="34"/>
      <c r="O48" s="2" t="s">
        <v>32</v>
      </c>
      <c r="S48" s="2">
        <f>W39</f>
        <v>588000</v>
      </c>
      <c r="T48" s="3">
        <v>4.6800000000000001E-3</v>
      </c>
      <c r="U48" s="2">
        <f t="shared" ref="U48:U49" si="19">S48*T48</f>
        <v>2751.84</v>
      </c>
      <c r="V48" s="1"/>
      <c r="W48" s="1"/>
      <c r="X48" s="1"/>
      <c r="AC48" s="2" t="s">
        <v>32</v>
      </c>
      <c r="AG48" s="2">
        <f>AK39</f>
        <v>378000</v>
      </c>
      <c r="AH48" s="3">
        <f t="shared" ref="AH48:AH50" si="20">AH21</f>
        <v>4.8799999999999998E-3</v>
      </c>
      <c r="AI48" s="2">
        <f t="shared" ref="AI48:AI49" si="21">AG48*AH48</f>
        <v>1844.6399999999999</v>
      </c>
      <c r="AJ48" s="1"/>
      <c r="AK48" s="1"/>
      <c r="AL48" s="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5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5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5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5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</row>
    <row r="49" spans="1:102" x14ac:dyDescent="0.3">
      <c r="A49" s="33"/>
      <c r="B49" s="11" t="s">
        <v>39</v>
      </c>
      <c r="C49" s="11"/>
      <c r="D49" s="11"/>
      <c r="E49" s="11"/>
      <c r="F49" s="11">
        <f>Q71+AE71</f>
        <v>216</v>
      </c>
      <c r="G49" s="11"/>
      <c r="H49" s="11">
        <f>R71+AF71</f>
        <v>1457000</v>
      </c>
      <c r="I49" s="11"/>
      <c r="J49" s="27">
        <f>AG71</f>
        <v>66.94</v>
      </c>
      <c r="K49" s="11"/>
      <c r="L49" s="11">
        <f>F49*J49</f>
        <v>14459.039999999999</v>
      </c>
      <c r="M49" s="34"/>
      <c r="O49" s="2" t="s">
        <v>33</v>
      </c>
      <c r="S49" s="2">
        <f>X39</f>
        <v>148000</v>
      </c>
      <c r="T49" s="3">
        <v>4.4600000000000004E-3</v>
      </c>
      <c r="U49" s="2">
        <f t="shared" si="19"/>
        <v>660.08</v>
      </c>
      <c r="V49" s="1"/>
      <c r="W49" s="1"/>
      <c r="X49" s="1"/>
      <c r="AC49" s="2" t="s">
        <v>33</v>
      </c>
      <c r="AG49" s="2">
        <f>AL39</f>
        <v>91000</v>
      </c>
      <c r="AH49" s="3">
        <f t="shared" si="20"/>
        <v>4.6600000000000001E-3</v>
      </c>
      <c r="AI49" s="2">
        <f t="shared" si="21"/>
        <v>424.06</v>
      </c>
      <c r="AJ49" s="1"/>
      <c r="AK49" s="1"/>
      <c r="AL49" s="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</row>
    <row r="50" spans="1:102" x14ac:dyDescent="0.3">
      <c r="A50" s="33"/>
      <c r="B50" s="11" t="s">
        <v>32</v>
      </c>
      <c r="C50" s="11"/>
      <c r="D50" s="11"/>
      <c r="E50" s="11"/>
      <c r="F50" s="11"/>
      <c r="G50" s="11"/>
      <c r="H50" s="11">
        <f>R72+AF72</f>
        <v>1091000</v>
      </c>
      <c r="I50" s="11"/>
      <c r="J50" s="13">
        <f t="shared" ref="J50:J52" si="22">AG72</f>
        <v>4.8799999999999998E-3</v>
      </c>
      <c r="K50" s="11"/>
      <c r="L50" s="11">
        <f>H50*J50</f>
        <v>5324.08</v>
      </c>
      <c r="M50" s="34"/>
      <c r="O50" s="2" t="s">
        <v>34</v>
      </c>
      <c r="S50" s="4">
        <f>Y39</f>
        <v>0</v>
      </c>
      <c r="T50" s="3">
        <v>4.3299999999999996E-3</v>
      </c>
      <c r="U50" s="4">
        <f>S50*T50</f>
        <v>0</v>
      </c>
      <c r="V50" s="1"/>
      <c r="W50" s="1"/>
      <c r="X50" s="1"/>
      <c r="AC50" s="2" t="s">
        <v>34</v>
      </c>
      <c r="AG50" s="4">
        <f>AM39</f>
        <v>0</v>
      </c>
      <c r="AH50" s="3">
        <f t="shared" si="20"/>
        <v>4.5300000000000002E-3</v>
      </c>
      <c r="AI50" s="4">
        <f>AG50*AH50</f>
        <v>0</v>
      </c>
      <c r="AJ50" s="1"/>
      <c r="AK50" s="1"/>
      <c r="AL50" s="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</row>
    <row r="51" spans="1:102" x14ac:dyDescent="0.3">
      <c r="A51" s="33"/>
      <c r="B51" s="11" t="s">
        <v>33</v>
      </c>
      <c r="C51" s="11"/>
      <c r="D51" s="11"/>
      <c r="E51" s="11"/>
      <c r="F51" s="11"/>
      <c r="G51" s="11"/>
      <c r="H51" s="11">
        <f t="shared" ref="H51:H52" si="23">R73+AF73</f>
        <v>2078000</v>
      </c>
      <c r="I51" s="11"/>
      <c r="J51" s="13">
        <f t="shared" si="22"/>
        <v>4.6600000000000001E-3</v>
      </c>
      <c r="K51" s="11"/>
      <c r="L51" s="11">
        <f t="shared" ref="L51:L52" si="24">H51*J51</f>
        <v>9683.48</v>
      </c>
      <c r="M51" s="34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</row>
    <row r="52" spans="1:102" ht="16.2" thickBot="1" x14ac:dyDescent="0.35">
      <c r="A52" s="33"/>
      <c r="B52" s="11" t="s">
        <v>34</v>
      </c>
      <c r="C52" s="11"/>
      <c r="D52" s="11"/>
      <c r="E52" s="11"/>
      <c r="F52" s="11"/>
      <c r="G52" s="11"/>
      <c r="H52" s="4">
        <f t="shared" si="23"/>
        <v>2408000</v>
      </c>
      <c r="I52" s="11"/>
      <c r="J52" s="13">
        <f t="shared" si="22"/>
        <v>4.5300000000000002E-3</v>
      </c>
      <c r="K52" s="11"/>
      <c r="L52" s="4">
        <f t="shared" si="24"/>
        <v>10908.24</v>
      </c>
      <c r="M52" s="34"/>
      <c r="S52" s="5">
        <f>SUM(S45:S51)</f>
        <v>8373000</v>
      </c>
      <c r="U52" s="5">
        <f>SUM(U45:U51)</f>
        <v>67931.11</v>
      </c>
      <c r="V52" s="1"/>
      <c r="W52" s="1"/>
      <c r="X52" s="1"/>
      <c r="AG52" s="5">
        <f>SUM(AG45:AG51)</f>
        <v>6045000</v>
      </c>
      <c r="AI52" s="5">
        <f>SUM(AI45:AI51)</f>
        <v>49944.67</v>
      </c>
      <c r="AJ52" s="1"/>
      <c r="AK52" s="1"/>
      <c r="AL52" s="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</row>
    <row r="53" spans="1:102" ht="16.2" thickTop="1" x14ac:dyDescent="0.3">
      <c r="A53" s="3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34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</row>
    <row r="54" spans="1:102" x14ac:dyDescent="0.3">
      <c r="A54" s="33"/>
      <c r="B54" s="11" t="s">
        <v>62</v>
      </c>
      <c r="C54" s="11"/>
      <c r="D54" s="11"/>
      <c r="E54" s="11"/>
      <c r="F54" s="11"/>
      <c r="G54" s="11"/>
      <c r="H54" s="4">
        <f>SUM(H49:H53)</f>
        <v>7034000</v>
      </c>
      <c r="I54" s="11"/>
      <c r="J54" s="11"/>
      <c r="K54" s="11"/>
      <c r="L54" s="4">
        <f>SUM(L49:L53)</f>
        <v>40374.839999999997</v>
      </c>
      <c r="M54" s="34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</row>
    <row r="55" spans="1:102" x14ac:dyDescent="0.3">
      <c r="A55" s="3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34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</row>
    <row r="56" spans="1:102" x14ac:dyDescent="0.3">
      <c r="A56" s="33"/>
      <c r="B56" s="49" t="s">
        <v>21</v>
      </c>
      <c r="C56" s="49"/>
      <c r="D56" s="49"/>
      <c r="E56" s="11"/>
      <c r="F56" s="14"/>
      <c r="G56" s="14"/>
      <c r="H56" s="14"/>
      <c r="I56" s="14"/>
      <c r="J56" s="14"/>
      <c r="K56" s="14"/>
      <c r="L56" s="14"/>
      <c r="M56" s="34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</row>
    <row r="57" spans="1:102" x14ac:dyDescent="0.3">
      <c r="A57" s="33"/>
      <c r="B57" s="11" t="s">
        <v>40</v>
      </c>
      <c r="C57" s="11"/>
      <c r="D57" s="11"/>
      <c r="E57" s="11"/>
      <c r="F57" s="11">
        <f>Q91+AE91</f>
        <v>36</v>
      </c>
      <c r="G57" s="11"/>
      <c r="H57" s="11">
        <f>R91+AF91</f>
        <v>1248000</v>
      </c>
      <c r="I57" s="11"/>
      <c r="J57" s="27">
        <f>AG91</f>
        <v>255.5</v>
      </c>
      <c r="K57" s="11"/>
      <c r="L57" s="11">
        <f>F57*J57</f>
        <v>9198</v>
      </c>
      <c r="M57" s="34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</row>
    <row r="58" spans="1:102" x14ac:dyDescent="0.3">
      <c r="A58" s="33"/>
      <c r="B58" s="11" t="s">
        <v>41</v>
      </c>
      <c r="C58" s="11"/>
      <c r="D58" s="11"/>
      <c r="E58" s="11"/>
      <c r="F58" s="11"/>
      <c r="G58" s="11"/>
      <c r="H58" s="4">
        <f>R92+AF92</f>
        <v>6397000</v>
      </c>
      <c r="I58" s="11"/>
      <c r="J58" s="13">
        <f>AG92</f>
        <v>4.5300000000000002E-3</v>
      </c>
      <c r="K58" s="11"/>
      <c r="L58" s="4">
        <f>H58*J58</f>
        <v>28978.41</v>
      </c>
      <c r="M58" s="34"/>
      <c r="N58" s="6" t="s">
        <v>10</v>
      </c>
      <c r="AB58" s="6" t="s">
        <v>10</v>
      </c>
      <c r="AQ58" s="15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</row>
    <row r="59" spans="1:102" x14ac:dyDescent="0.3">
      <c r="A59" s="3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34"/>
      <c r="Q59" s="2" t="s">
        <v>1</v>
      </c>
      <c r="R59" s="2" t="s">
        <v>2</v>
      </c>
      <c r="S59" s="2" t="s">
        <v>38</v>
      </c>
      <c r="T59" s="2" t="s">
        <v>25</v>
      </c>
      <c r="U59" s="2" t="s">
        <v>26</v>
      </c>
      <c r="V59" s="2" t="s">
        <v>4</v>
      </c>
      <c r="AE59" s="2" t="s">
        <v>1</v>
      </c>
      <c r="AF59" s="2" t="s">
        <v>2</v>
      </c>
      <c r="AG59" s="2" t="s">
        <v>38</v>
      </c>
      <c r="AH59" s="2" t="s">
        <v>25</v>
      </c>
      <c r="AI59" s="2" t="s">
        <v>26</v>
      </c>
      <c r="AJ59" s="2" t="s">
        <v>4</v>
      </c>
      <c r="AQ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</row>
    <row r="60" spans="1:102" x14ac:dyDescent="0.3">
      <c r="A60" s="33"/>
      <c r="B60" s="11" t="s">
        <v>64</v>
      </c>
      <c r="C60" s="11"/>
      <c r="D60" s="11"/>
      <c r="E60" s="11"/>
      <c r="F60" s="11"/>
      <c r="G60" s="11"/>
      <c r="H60" s="4">
        <f>SUM(H57:H59)</f>
        <v>7645000</v>
      </c>
      <c r="I60" s="11"/>
      <c r="J60" s="11"/>
      <c r="K60" s="11"/>
      <c r="L60" s="4">
        <f>SUM(L57:L59)</f>
        <v>38176.410000000003</v>
      </c>
      <c r="M60" s="34"/>
      <c r="N60" s="2" t="s">
        <v>39</v>
      </c>
      <c r="Q60" s="2">
        <v>53</v>
      </c>
      <c r="R60" s="2">
        <v>114000</v>
      </c>
      <c r="S60" s="2">
        <f>R60</f>
        <v>114000</v>
      </c>
      <c r="X60" s="2">
        <f>SUM(S60:V60)</f>
        <v>114000</v>
      </c>
      <c r="AB60" s="2" t="s">
        <v>39</v>
      </c>
      <c r="AE60" s="2">
        <v>41</v>
      </c>
      <c r="AF60" s="2">
        <v>123000</v>
      </c>
      <c r="AG60" s="2">
        <f>AF60</f>
        <v>123000</v>
      </c>
      <c r="AL60" s="2">
        <f>SUM(AG60:AJ60)</f>
        <v>123000</v>
      </c>
      <c r="AQ60" s="11"/>
      <c r="AS60" s="11"/>
      <c r="AT60" s="11"/>
      <c r="AU60" s="11"/>
      <c r="AV60" s="11"/>
      <c r="AW60" s="12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2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2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2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2"/>
      <c r="CR60" s="11"/>
      <c r="CS60" s="11"/>
      <c r="CT60" s="11"/>
      <c r="CU60" s="11"/>
      <c r="CV60" s="11"/>
      <c r="CW60" s="11"/>
      <c r="CX60" s="11"/>
    </row>
    <row r="61" spans="1:102" x14ac:dyDescent="0.3">
      <c r="A61" s="33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34"/>
      <c r="N61" s="2" t="s">
        <v>32</v>
      </c>
      <c r="Q61" s="2">
        <v>15</v>
      </c>
      <c r="R61" s="2">
        <v>228000</v>
      </c>
      <c r="S61" s="2">
        <f>Q61*10000</f>
        <v>150000</v>
      </c>
      <c r="T61" s="2">
        <f>R61-S61</f>
        <v>78000</v>
      </c>
      <c r="X61" s="2">
        <f t="shared" ref="X61:X62" si="25">SUM(S61:V61)</f>
        <v>228000</v>
      </c>
      <c r="AB61" s="2" t="s">
        <v>32</v>
      </c>
      <c r="AE61" s="2">
        <v>8</v>
      </c>
      <c r="AF61" s="2">
        <v>103000</v>
      </c>
      <c r="AG61" s="2">
        <f>AE61*10000</f>
        <v>80000</v>
      </c>
      <c r="AH61" s="2">
        <f>AF61-AG61</f>
        <v>23000</v>
      </c>
      <c r="AL61" s="2">
        <f t="shared" ref="AL61:AL62" si="26">SUM(AG61:AJ61)</f>
        <v>103000</v>
      </c>
      <c r="AQ61" s="11"/>
      <c r="AS61" s="11"/>
      <c r="AT61" s="11"/>
      <c r="AU61" s="11"/>
      <c r="AV61" s="11"/>
      <c r="AW61" s="13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3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3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3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3"/>
      <c r="CR61" s="11"/>
      <c r="CS61" s="11"/>
      <c r="CT61" s="11"/>
      <c r="CU61" s="11"/>
      <c r="CV61" s="11"/>
      <c r="CW61" s="11"/>
      <c r="CX61" s="11"/>
    </row>
    <row r="62" spans="1:102" x14ac:dyDescent="0.3">
      <c r="A62" s="33"/>
      <c r="B62" s="11" t="s">
        <v>71</v>
      </c>
      <c r="C62" s="11"/>
      <c r="D62" s="11"/>
      <c r="E62" s="11"/>
      <c r="F62" s="11"/>
      <c r="G62" s="11"/>
      <c r="H62" s="11"/>
      <c r="I62" s="11"/>
      <c r="J62" s="11"/>
      <c r="K62" s="11"/>
      <c r="L62" s="4">
        <f>L99</f>
        <v>-11911.378475073314</v>
      </c>
      <c r="M62" s="34"/>
      <c r="N62" s="2" t="s">
        <v>33</v>
      </c>
      <c r="Q62" s="2">
        <v>30</v>
      </c>
      <c r="R62" s="2">
        <v>915000</v>
      </c>
      <c r="S62" s="2">
        <f>Q62*10000</f>
        <v>300000</v>
      </c>
      <c r="T62" s="2">
        <f>Q62*10000</f>
        <v>300000</v>
      </c>
      <c r="U62" s="2">
        <f>R62-S62-T62</f>
        <v>315000</v>
      </c>
      <c r="X62" s="2">
        <f t="shared" si="25"/>
        <v>915000</v>
      </c>
      <c r="AB62" s="2" t="s">
        <v>33</v>
      </c>
      <c r="AE62" s="2">
        <v>17</v>
      </c>
      <c r="AF62" s="2">
        <v>543000</v>
      </c>
      <c r="AG62" s="2">
        <f>AE62*10000</f>
        <v>170000</v>
      </c>
      <c r="AH62" s="2">
        <f>AE62*10000</f>
        <v>170000</v>
      </c>
      <c r="AI62" s="2">
        <f>AF62-AG62-AH62</f>
        <v>203000</v>
      </c>
      <c r="AL62" s="2">
        <f t="shared" si="26"/>
        <v>543000</v>
      </c>
      <c r="AQ62" s="11"/>
      <c r="AS62" s="11"/>
      <c r="AT62" s="11"/>
      <c r="AU62" s="11"/>
      <c r="AV62" s="11"/>
      <c r="AW62" s="13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3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3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3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3"/>
      <c r="CR62" s="11"/>
      <c r="CS62" s="11"/>
      <c r="CT62" s="11"/>
      <c r="CU62" s="11"/>
      <c r="CV62" s="11"/>
      <c r="CW62" s="11"/>
      <c r="CX62" s="11"/>
    </row>
    <row r="63" spans="1:102" x14ac:dyDescent="0.3">
      <c r="A63" s="3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34"/>
      <c r="N63" s="2" t="s">
        <v>34</v>
      </c>
      <c r="Q63" s="4">
        <v>28</v>
      </c>
      <c r="R63" s="4">
        <v>2491000</v>
      </c>
      <c r="S63" s="4">
        <f>Q63*10000</f>
        <v>280000</v>
      </c>
      <c r="T63" s="4">
        <f>Q63*10000</f>
        <v>280000</v>
      </c>
      <c r="U63" s="4">
        <f>Q63*30000</f>
        <v>840000</v>
      </c>
      <c r="V63" s="4">
        <f>R63-S63-T63-U63</f>
        <v>1091000</v>
      </c>
      <c r="W63" s="11"/>
      <c r="X63" s="2">
        <f>SUM(S63:V63)</f>
        <v>2491000</v>
      </c>
      <c r="AB63" s="2" t="s">
        <v>34</v>
      </c>
      <c r="AE63" s="4">
        <v>24</v>
      </c>
      <c r="AF63" s="4">
        <v>2517000</v>
      </c>
      <c r="AG63" s="4">
        <f>AE63*10000</f>
        <v>240000</v>
      </c>
      <c r="AH63" s="4">
        <f>AE63*10000</f>
        <v>240000</v>
      </c>
      <c r="AI63" s="4">
        <f>AE63*30000</f>
        <v>720000</v>
      </c>
      <c r="AJ63" s="4">
        <f>AF63-AG63-AH63-AI63</f>
        <v>1317000</v>
      </c>
      <c r="AK63" s="11"/>
      <c r="AL63" s="2">
        <f>SUM(AG63:AJ63)</f>
        <v>2517000</v>
      </c>
      <c r="AQ63" s="11"/>
      <c r="AS63" s="11"/>
      <c r="AT63" s="11"/>
      <c r="AU63" s="11"/>
      <c r="AV63" s="11"/>
      <c r="AW63" s="13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3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3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3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3"/>
      <c r="CR63" s="11"/>
      <c r="CS63" s="11"/>
      <c r="CT63" s="11"/>
      <c r="CU63" s="11"/>
      <c r="CV63" s="11"/>
      <c r="CW63" s="11"/>
      <c r="CX63" s="11"/>
    </row>
    <row r="64" spans="1:102" x14ac:dyDescent="0.3">
      <c r="A64" s="33"/>
      <c r="B64" s="11" t="s">
        <v>72</v>
      </c>
      <c r="C64" s="11"/>
      <c r="D64" s="11"/>
      <c r="E64" s="11"/>
      <c r="F64" s="11"/>
      <c r="G64" s="11"/>
      <c r="H64" s="11"/>
      <c r="I64" s="11"/>
      <c r="J64" s="11"/>
      <c r="K64" s="11"/>
      <c r="L64" s="11">
        <f>L46+L54+L60+L62</f>
        <v>1713648.6215249267</v>
      </c>
      <c r="M64" s="34"/>
      <c r="AQ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</row>
    <row r="65" spans="1:102" ht="16.2" thickBot="1" x14ac:dyDescent="0.35">
      <c r="A65" s="33"/>
      <c r="B65" s="11" t="s">
        <v>73</v>
      </c>
      <c r="C65" s="11"/>
      <c r="D65" s="11"/>
      <c r="E65" s="11"/>
      <c r="F65" s="11"/>
      <c r="G65" s="11"/>
      <c r="H65" s="11"/>
      <c r="I65" s="11"/>
      <c r="J65" s="11"/>
      <c r="K65" s="11"/>
      <c r="L65" s="4">
        <f>-L17</f>
        <v>-1686962.9400000004</v>
      </c>
      <c r="M65" s="34"/>
      <c r="N65" s="2" t="s">
        <v>5</v>
      </c>
      <c r="Q65" s="5">
        <f>SUM(Q60:Q64)</f>
        <v>126</v>
      </c>
      <c r="R65" s="5">
        <f>SUM(R60:R64)</f>
        <v>3748000</v>
      </c>
      <c r="S65" s="5">
        <f>SUM(S60:S64)</f>
        <v>844000</v>
      </c>
      <c r="T65" s="5">
        <f>SUM(T60:T64)</f>
        <v>658000</v>
      </c>
      <c r="U65" s="5">
        <f>SUM(U60:U63)</f>
        <v>1155000</v>
      </c>
      <c r="V65" s="5">
        <f>SUM(V60:V64)</f>
        <v>1091000</v>
      </c>
      <c r="W65" s="11"/>
      <c r="AB65" s="2" t="s">
        <v>5</v>
      </c>
      <c r="AE65" s="5">
        <f>SUM(AE60:AE64)</f>
        <v>90</v>
      </c>
      <c r="AF65" s="5">
        <f>SUM(AF60:AF64)</f>
        <v>3286000</v>
      </c>
      <c r="AG65" s="5">
        <f>SUM(AG60:AG64)</f>
        <v>613000</v>
      </c>
      <c r="AH65" s="5">
        <f>SUM(AH60:AH64)</f>
        <v>433000</v>
      </c>
      <c r="AI65" s="5">
        <f>SUM(AI60:AI63)</f>
        <v>923000</v>
      </c>
      <c r="AJ65" s="5">
        <f>SUM(AJ60:AJ64)</f>
        <v>1317000</v>
      </c>
      <c r="AK65" s="11"/>
      <c r="AQ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</row>
    <row r="66" spans="1:102" ht="16.2" thickTop="1" x14ac:dyDescent="0.3">
      <c r="A66" s="33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34"/>
      <c r="AQ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</row>
    <row r="67" spans="1:102" ht="16.2" thickBot="1" x14ac:dyDescent="0.35">
      <c r="A67" s="33"/>
      <c r="B67" s="11" t="s">
        <v>74</v>
      </c>
      <c r="C67" s="11"/>
      <c r="D67" s="11"/>
      <c r="E67" s="11"/>
      <c r="F67" s="11"/>
      <c r="G67" s="11"/>
      <c r="H67" s="11"/>
      <c r="I67" s="11"/>
      <c r="J67" s="11"/>
      <c r="K67" s="11"/>
      <c r="L67" s="10">
        <f>L64+L65</f>
        <v>26685.681524926331</v>
      </c>
      <c r="M67" s="34"/>
      <c r="AQ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</row>
    <row r="68" spans="1:102" ht="16.2" thickTop="1" x14ac:dyDescent="0.3">
      <c r="A68" s="33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34"/>
      <c r="N68" s="2" t="s">
        <v>6</v>
      </c>
      <c r="AB68" s="2" t="s">
        <v>6</v>
      </c>
      <c r="AQ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</row>
    <row r="69" spans="1:102" x14ac:dyDescent="0.3">
      <c r="A69" s="33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34"/>
      <c r="AQ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</row>
    <row r="70" spans="1:102" x14ac:dyDescent="0.3">
      <c r="A70" s="33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20"/>
      <c r="M70" s="34"/>
      <c r="Q70" s="2" t="s">
        <v>1</v>
      </c>
      <c r="R70" s="2" t="s">
        <v>2</v>
      </c>
      <c r="S70" s="2" t="s">
        <v>7</v>
      </c>
      <c r="T70" s="2" t="s">
        <v>8</v>
      </c>
      <c r="AE70" s="2" t="s">
        <v>1</v>
      </c>
      <c r="AF70" s="2" t="s">
        <v>2</v>
      </c>
      <c r="AG70" s="2" t="s">
        <v>7</v>
      </c>
      <c r="AH70" s="2" t="s">
        <v>8</v>
      </c>
      <c r="AQ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</row>
    <row r="71" spans="1:102" x14ac:dyDescent="0.3">
      <c r="A71" s="33"/>
      <c r="B71" s="49" t="s">
        <v>75</v>
      </c>
      <c r="C71" s="49"/>
      <c r="D71" s="49"/>
      <c r="E71" s="11"/>
      <c r="F71" s="8" t="s">
        <v>1</v>
      </c>
      <c r="G71" s="11"/>
      <c r="H71" s="8" t="s">
        <v>2</v>
      </c>
      <c r="I71" s="11"/>
      <c r="J71" s="8" t="s">
        <v>36</v>
      </c>
      <c r="K71" s="11"/>
      <c r="L71" s="8" t="s">
        <v>8</v>
      </c>
      <c r="M71" s="34"/>
      <c r="N71" s="2" t="s">
        <v>39</v>
      </c>
      <c r="Q71" s="2">
        <f>Q65</f>
        <v>126</v>
      </c>
      <c r="R71" s="2">
        <f>S65</f>
        <v>844000</v>
      </c>
      <c r="S71" s="1">
        <v>64.94</v>
      </c>
      <c r="T71" s="2">
        <f>Q71*S71</f>
        <v>8182.44</v>
      </c>
      <c r="AB71" s="2" t="s">
        <v>39</v>
      </c>
      <c r="AE71" s="2">
        <f>AE65</f>
        <v>90</v>
      </c>
      <c r="AF71" s="2">
        <f>AG65</f>
        <v>613000</v>
      </c>
      <c r="AG71" s="1">
        <v>66.94</v>
      </c>
      <c r="AH71" s="2">
        <f>AE71*AG71</f>
        <v>6024.5999999999995</v>
      </c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</row>
    <row r="72" spans="1:102" x14ac:dyDescent="0.3">
      <c r="A72" s="33"/>
      <c r="B72" s="11" t="s">
        <v>76</v>
      </c>
      <c r="C72" s="11"/>
      <c r="D72" s="11"/>
      <c r="E72" s="11"/>
      <c r="F72" s="11"/>
      <c r="G72" s="11"/>
      <c r="H72" s="11">
        <f>R101+AF101</f>
        <v>95140000</v>
      </c>
      <c r="I72" s="11"/>
      <c r="J72" s="35">
        <f>AG101</f>
        <v>4.2399999999999998E-3</v>
      </c>
      <c r="K72" s="11"/>
      <c r="L72" s="20">
        <f>H72*J72</f>
        <v>403393.6</v>
      </c>
      <c r="M72" s="34"/>
      <c r="N72" s="2" t="s">
        <v>32</v>
      </c>
      <c r="R72" s="2">
        <f>T65</f>
        <v>658000</v>
      </c>
      <c r="S72" s="3">
        <v>4.6800000000000001E-3</v>
      </c>
      <c r="T72" s="2">
        <f>R72*S72</f>
        <v>3079.44</v>
      </c>
      <c r="AB72" s="2" t="s">
        <v>32</v>
      </c>
      <c r="AF72" s="2">
        <f>AH65</f>
        <v>433000</v>
      </c>
      <c r="AG72" s="3">
        <v>4.8799999999999998E-3</v>
      </c>
      <c r="AH72" s="2">
        <f>AF72*AG72</f>
        <v>2113.04</v>
      </c>
      <c r="AQ72" s="11"/>
    </row>
    <row r="73" spans="1:102" x14ac:dyDescent="0.3">
      <c r="A73" s="33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34"/>
      <c r="N73" s="2" t="s">
        <v>33</v>
      </c>
      <c r="R73" s="2">
        <f>U65</f>
        <v>1155000</v>
      </c>
      <c r="S73" s="3">
        <v>4.4600000000000004E-3</v>
      </c>
      <c r="T73" s="2">
        <f>R73*S73</f>
        <v>5151.3</v>
      </c>
      <c r="AB73" s="2" t="s">
        <v>33</v>
      </c>
      <c r="AF73" s="2">
        <f>AI65</f>
        <v>923000</v>
      </c>
      <c r="AG73" s="3">
        <v>4.6600000000000001E-3</v>
      </c>
      <c r="AH73" s="2">
        <f>AF73*AG73</f>
        <v>4301.18</v>
      </c>
      <c r="AQ73" s="11"/>
    </row>
    <row r="74" spans="1:102" x14ac:dyDescent="0.3">
      <c r="A74" s="33"/>
      <c r="B74" s="11" t="s">
        <v>77</v>
      </c>
      <c r="C74" s="11"/>
      <c r="D74" s="11"/>
      <c r="E74" s="11"/>
      <c r="F74" s="11">
        <f>Q103+AE103</f>
        <v>12</v>
      </c>
      <c r="G74" s="11"/>
      <c r="H74" s="11"/>
      <c r="I74" s="11"/>
      <c r="J74" s="12">
        <v>4906.7</v>
      </c>
      <c r="K74" s="11"/>
      <c r="L74" s="11">
        <f>F74*J74</f>
        <v>58880.399999999994</v>
      </c>
      <c r="M74" s="34"/>
      <c r="N74" s="2" t="s">
        <v>34</v>
      </c>
      <c r="R74" s="4">
        <f>V65</f>
        <v>1091000</v>
      </c>
      <c r="S74" s="3">
        <v>4.3299999999999996E-3</v>
      </c>
      <c r="T74" s="4">
        <f>R74*S74</f>
        <v>4724.03</v>
      </c>
      <c r="AB74" s="2" t="s">
        <v>34</v>
      </c>
      <c r="AF74" s="4">
        <f>AJ65</f>
        <v>1317000</v>
      </c>
      <c r="AG74" s="3">
        <v>4.5300000000000002E-3</v>
      </c>
      <c r="AH74" s="4">
        <f>AF74*AG74</f>
        <v>5966.01</v>
      </c>
      <c r="AQ74" s="11"/>
    </row>
    <row r="75" spans="1:102" x14ac:dyDescent="0.3">
      <c r="A75" s="33"/>
      <c r="B75" s="11"/>
      <c r="C75" s="11"/>
      <c r="D75" s="11"/>
      <c r="E75" s="11"/>
      <c r="F75" s="11"/>
      <c r="G75" s="11"/>
      <c r="H75" s="11">
        <f>R104+AF104</f>
        <v>125240000</v>
      </c>
      <c r="I75" s="11"/>
      <c r="J75" s="13">
        <f>AG104</f>
        <v>3.3899999999999998E-3</v>
      </c>
      <c r="K75" s="11"/>
      <c r="L75" s="4">
        <f>H75*J75</f>
        <v>424563.6</v>
      </c>
      <c r="M75" s="34"/>
      <c r="S75" s="3"/>
      <c r="AG75" s="3"/>
      <c r="AQ75" s="11"/>
    </row>
    <row r="76" spans="1:102" ht="16.2" thickBot="1" x14ac:dyDescent="0.35">
      <c r="A76" s="33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34"/>
      <c r="N76" s="2" t="s">
        <v>5</v>
      </c>
      <c r="R76" s="5">
        <f>SUM(R71:R75)</f>
        <v>3748000</v>
      </c>
      <c r="T76" s="5">
        <f>SUM(T71:T75)</f>
        <v>21137.21</v>
      </c>
      <c r="AB76" s="2" t="s">
        <v>5</v>
      </c>
      <c r="AF76" s="5">
        <f>SUM(AF71:AF75)</f>
        <v>3286000</v>
      </c>
      <c r="AH76" s="5">
        <f>SUM(AH71:AH75)</f>
        <v>18404.830000000002</v>
      </c>
      <c r="AQ76" s="11"/>
    </row>
    <row r="77" spans="1:102" ht="16.2" thickTop="1" x14ac:dyDescent="0.3">
      <c r="A77" s="33"/>
      <c r="B77" s="11" t="s">
        <v>47</v>
      </c>
      <c r="C77" s="11"/>
      <c r="D77" s="11"/>
      <c r="E77" s="11"/>
      <c r="F77" s="11"/>
      <c r="G77" s="11"/>
      <c r="H77" s="11"/>
      <c r="I77" s="11"/>
      <c r="J77" s="11"/>
      <c r="K77" s="11"/>
      <c r="L77" s="11">
        <f>SUM(L72:L76)</f>
        <v>886837.6</v>
      </c>
      <c r="M77" s="34"/>
      <c r="AQ77" s="15"/>
    </row>
    <row r="78" spans="1:102" x14ac:dyDescent="0.3">
      <c r="A78" s="33"/>
      <c r="B78" s="11" t="s">
        <v>78</v>
      </c>
      <c r="C78" s="11"/>
      <c r="D78" s="11"/>
      <c r="E78" s="11"/>
      <c r="F78" s="11"/>
      <c r="G78" s="11"/>
      <c r="H78" s="11"/>
      <c r="I78" s="11"/>
      <c r="J78" s="11"/>
      <c r="K78" s="11"/>
      <c r="L78" s="4">
        <f>-L22</f>
        <v>-862562.8</v>
      </c>
      <c r="M78" s="34"/>
      <c r="AQ78" s="11"/>
    </row>
    <row r="79" spans="1:102" x14ac:dyDescent="0.3">
      <c r="A79" s="33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34"/>
      <c r="N79" s="6" t="s">
        <v>11</v>
      </c>
      <c r="AB79" s="6" t="s">
        <v>11</v>
      </c>
      <c r="AQ79" s="11"/>
    </row>
    <row r="80" spans="1:102" ht="16.2" thickBot="1" x14ac:dyDescent="0.35">
      <c r="A80" s="33"/>
      <c r="B80" s="11" t="s">
        <v>79</v>
      </c>
      <c r="C80" s="11"/>
      <c r="D80" s="11"/>
      <c r="E80" s="11"/>
      <c r="F80" s="11"/>
      <c r="G80" s="11"/>
      <c r="H80" s="11"/>
      <c r="I80" s="11"/>
      <c r="J80" s="11"/>
      <c r="K80" s="11"/>
      <c r="L80" s="10">
        <f>L77+L78</f>
        <v>24274.79999999993</v>
      </c>
      <c r="M80" s="34"/>
      <c r="Q80" s="2" t="s">
        <v>1</v>
      </c>
      <c r="R80" s="2" t="s">
        <v>2</v>
      </c>
      <c r="S80" s="2" t="s">
        <v>42</v>
      </c>
      <c r="T80" s="2" t="s">
        <v>27</v>
      </c>
      <c r="AE80" s="2" t="s">
        <v>1</v>
      </c>
      <c r="AF80" s="2" t="s">
        <v>2</v>
      </c>
      <c r="AG80" s="2" t="s">
        <v>42</v>
      </c>
      <c r="AH80" s="2" t="s">
        <v>27</v>
      </c>
      <c r="AQ80" s="11"/>
    </row>
    <row r="81" spans="1:43" ht="16.2" thickTop="1" x14ac:dyDescent="0.3">
      <c r="A81" s="11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34"/>
      <c r="N81" s="2" t="s">
        <v>40</v>
      </c>
      <c r="Q81" s="2">
        <v>10</v>
      </c>
      <c r="R81" s="2">
        <v>202000</v>
      </c>
      <c r="S81" s="2">
        <f>R81</f>
        <v>202000</v>
      </c>
      <c r="U81" s="2">
        <f>SUM(S81:T81)</f>
        <v>202000</v>
      </c>
      <c r="AB81" s="2" t="s">
        <v>40</v>
      </c>
      <c r="AE81" s="2">
        <v>7</v>
      </c>
      <c r="AF81" s="2">
        <v>96000</v>
      </c>
      <c r="AG81" s="2">
        <f>AF81</f>
        <v>96000</v>
      </c>
      <c r="AI81" s="2">
        <f>SUM(AG81:AH81)</f>
        <v>96000</v>
      </c>
      <c r="AQ81" s="11"/>
    </row>
    <row r="82" spans="1:43" x14ac:dyDescent="0.3">
      <c r="A82" s="4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37"/>
      <c r="N82" s="2" t="s">
        <v>41</v>
      </c>
      <c r="Q82" s="4">
        <v>11</v>
      </c>
      <c r="R82" s="4">
        <v>4044000</v>
      </c>
      <c r="S82" s="4">
        <f>Q82*50000</f>
        <v>550000</v>
      </c>
      <c r="T82" s="4">
        <f>R82-S82</f>
        <v>3494000</v>
      </c>
      <c r="U82" s="2">
        <f>SUM(S82:T82)</f>
        <v>4044000</v>
      </c>
      <c r="AB82" s="2" t="s">
        <v>41</v>
      </c>
      <c r="AE82" s="4">
        <v>8</v>
      </c>
      <c r="AF82" s="4">
        <v>3303000</v>
      </c>
      <c r="AG82" s="4">
        <f>AE82*50000</f>
        <v>400000</v>
      </c>
      <c r="AH82" s="4">
        <f>AF82-AG82</f>
        <v>2903000</v>
      </c>
      <c r="AI82" s="2">
        <f>SUM(AG82:AH82)</f>
        <v>3303000</v>
      </c>
      <c r="AQ82" s="11"/>
    </row>
    <row r="83" spans="1:43" x14ac:dyDescent="0.3">
      <c r="A83" s="11"/>
      <c r="B83" s="11" t="s">
        <v>80</v>
      </c>
      <c r="C83" s="11"/>
      <c r="D83" s="11"/>
      <c r="E83" s="11"/>
      <c r="F83" s="11"/>
      <c r="G83" s="11"/>
      <c r="H83" s="11">
        <f>H46+H54+H60+H72+H75</f>
        <v>436770001</v>
      </c>
      <c r="I83" s="11"/>
      <c r="J83" s="14"/>
      <c r="K83" s="11"/>
      <c r="L83" s="11"/>
      <c r="M83" s="11"/>
      <c r="AQ83" s="11"/>
    </row>
    <row r="84" spans="1:43" ht="16.2" thickBot="1" x14ac:dyDescent="0.35">
      <c r="A84" s="11"/>
      <c r="B84" s="11"/>
      <c r="C84" s="11"/>
      <c r="D84" s="11"/>
      <c r="E84" s="11"/>
      <c r="F84" s="11"/>
      <c r="G84" s="11"/>
      <c r="H84" s="2">
        <f>AF111+R111</f>
        <v>436770001</v>
      </c>
      <c r="I84" s="11"/>
      <c r="J84" s="14"/>
      <c r="K84" s="11"/>
      <c r="L84" s="11"/>
      <c r="M84" s="11"/>
      <c r="N84" s="2" t="s">
        <v>5</v>
      </c>
      <c r="Q84" s="5">
        <f>SUM(Q81:Q83)</f>
        <v>21</v>
      </c>
      <c r="R84" s="5">
        <f t="shared" ref="R84:T84" si="27">SUM(R81:R83)</f>
        <v>4246000</v>
      </c>
      <c r="S84" s="5">
        <f t="shared" si="27"/>
        <v>752000</v>
      </c>
      <c r="T84" s="5">
        <f t="shared" si="27"/>
        <v>3494000</v>
      </c>
      <c r="AB84" s="2" t="s">
        <v>5</v>
      </c>
      <c r="AE84" s="5">
        <f>SUM(AE81:AE83)</f>
        <v>15</v>
      </c>
      <c r="AF84" s="5">
        <f t="shared" ref="AF84" si="28">SUM(AF81:AF83)</f>
        <v>3399000</v>
      </c>
      <c r="AG84" s="5">
        <f t="shared" ref="AG84" si="29">SUM(AG81:AG83)</f>
        <v>496000</v>
      </c>
      <c r="AH84" s="5">
        <f t="shared" ref="AH84" si="30">SUM(AH81:AH83)</f>
        <v>2903000</v>
      </c>
      <c r="AQ84" s="11"/>
    </row>
    <row r="85" spans="1:43" ht="16.2" thickTop="1" x14ac:dyDescent="0.3">
      <c r="A85" s="11"/>
      <c r="B85" s="14"/>
      <c r="C85" s="14"/>
      <c r="D85" s="14"/>
      <c r="E85" s="11"/>
      <c r="F85" s="14"/>
      <c r="G85" s="14"/>
      <c r="H85" s="14"/>
      <c r="I85" s="14"/>
      <c r="J85" s="14"/>
      <c r="K85" s="14"/>
      <c r="L85" s="14"/>
      <c r="M85" s="11"/>
      <c r="AQ85" s="11"/>
    </row>
    <row r="86" spans="1:43" x14ac:dyDescent="0.3">
      <c r="A86" s="29"/>
      <c r="B86" s="30"/>
      <c r="C86" s="30"/>
      <c r="D86" s="30"/>
      <c r="E86" s="30"/>
      <c r="F86" s="30"/>
      <c r="G86" s="38"/>
      <c r="H86" s="30"/>
      <c r="I86" s="30"/>
      <c r="J86" s="39"/>
      <c r="K86" s="30"/>
      <c r="L86" s="40"/>
      <c r="M86" s="32"/>
      <c r="AQ86" s="11"/>
    </row>
    <row r="87" spans="1:43" x14ac:dyDescent="0.3">
      <c r="A87" s="33"/>
      <c r="B87" s="11" t="s">
        <v>65</v>
      </c>
      <c r="C87" s="11"/>
      <c r="D87" s="11"/>
      <c r="E87" s="11"/>
      <c r="F87" s="11"/>
      <c r="G87" s="13"/>
      <c r="H87" s="11"/>
      <c r="I87" s="11"/>
      <c r="J87" s="13"/>
      <c r="K87" s="11"/>
      <c r="L87" s="11"/>
      <c r="M87" s="34"/>
      <c r="AQ87" s="11"/>
    </row>
    <row r="88" spans="1:43" x14ac:dyDescent="0.3">
      <c r="A88" s="33"/>
      <c r="B88" s="11"/>
      <c r="C88" s="11"/>
      <c r="D88" s="11"/>
      <c r="E88" s="11"/>
      <c r="F88" s="11"/>
      <c r="G88" s="13"/>
      <c r="H88" s="11"/>
      <c r="I88" s="11"/>
      <c r="J88" s="13"/>
      <c r="K88" s="11"/>
      <c r="L88" s="11"/>
      <c r="M88" s="34"/>
      <c r="N88" s="2" t="s">
        <v>6</v>
      </c>
      <c r="AB88" s="2" t="s">
        <v>6</v>
      </c>
      <c r="AQ88" s="11"/>
    </row>
    <row r="89" spans="1:43" x14ac:dyDescent="0.3">
      <c r="A89" s="33"/>
      <c r="B89" s="11"/>
      <c r="C89" s="11"/>
      <c r="D89" s="11"/>
      <c r="E89" s="14"/>
      <c r="F89" s="11"/>
      <c r="G89" s="11"/>
      <c r="H89" s="8" t="s">
        <v>50</v>
      </c>
      <c r="I89" s="13"/>
      <c r="J89" s="8" t="s">
        <v>51</v>
      </c>
      <c r="K89" s="11"/>
      <c r="L89" s="13"/>
      <c r="M89" s="34"/>
      <c r="AQ89" s="11"/>
    </row>
    <row r="90" spans="1:43" x14ac:dyDescent="0.3">
      <c r="A90" s="33"/>
      <c r="B90" s="11"/>
      <c r="C90" s="11"/>
      <c r="D90" s="11"/>
      <c r="E90" s="14"/>
      <c r="F90" s="11"/>
      <c r="G90" s="11"/>
      <c r="H90" s="14" t="s">
        <v>52</v>
      </c>
      <c r="I90" s="11"/>
      <c r="J90" s="21" t="s">
        <v>54</v>
      </c>
      <c r="K90" s="11"/>
      <c r="L90" s="11"/>
      <c r="M90" s="34"/>
      <c r="Q90" s="2" t="s">
        <v>1</v>
      </c>
      <c r="R90" s="2" t="s">
        <v>2</v>
      </c>
      <c r="S90" s="2" t="s">
        <v>7</v>
      </c>
      <c r="T90" s="2" t="s">
        <v>8</v>
      </c>
      <c r="AE90" s="2" t="s">
        <v>1</v>
      </c>
      <c r="AF90" s="2" t="s">
        <v>2</v>
      </c>
      <c r="AG90" s="2" t="s">
        <v>7</v>
      </c>
      <c r="AH90" s="2" t="s">
        <v>8</v>
      </c>
      <c r="AQ90" s="11"/>
    </row>
    <row r="91" spans="1:43" x14ac:dyDescent="0.3">
      <c r="A91" s="33"/>
      <c r="B91" s="11"/>
      <c r="C91" s="11"/>
      <c r="D91" s="11"/>
      <c r="E91" s="14"/>
      <c r="F91" s="11"/>
      <c r="G91" s="11"/>
      <c r="H91" s="9" t="s">
        <v>53</v>
      </c>
      <c r="I91" s="11"/>
      <c r="J91" s="9" t="s">
        <v>55</v>
      </c>
      <c r="K91" s="11"/>
      <c r="L91" s="14" t="s">
        <v>12</v>
      </c>
      <c r="M91" s="34"/>
      <c r="N91" s="2" t="s">
        <v>40</v>
      </c>
      <c r="Q91" s="2">
        <f>Q84</f>
        <v>21</v>
      </c>
      <c r="R91" s="2">
        <f>S84</f>
        <v>752000</v>
      </c>
      <c r="S91" s="1">
        <v>245.5</v>
      </c>
      <c r="T91" s="2">
        <f>Q91*S91</f>
        <v>5155.5</v>
      </c>
      <c r="AB91" s="2" t="s">
        <v>40</v>
      </c>
      <c r="AE91" s="2">
        <f>AE84</f>
        <v>15</v>
      </c>
      <c r="AF91" s="2">
        <f>AG84</f>
        <v>496000</v>
      </c>
      <c r="AG91" s="1">
        <v>255.5</v>
      </c>
      <c r="AH91" s="2">
        <f>AE91*AG91</f>
        <v>3832.5</v>
      </c>
      <c r="AQ91" s="11"/>
    </row>
    <row r="92" spans="1:43" x14ac:dyDescent="0.3">
      <c r="A92" s="33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34"/>
      <c r="N92" s="2" t="s">
        <v>41</v>
      </c>
      <c r="R92" s="4">
        <f>T84</f>
        <v>3494000</v>
      </c>
      <c r="S92" s="3">
        <v>4.3299999999999996E-3</v>
      </c>
      <c r="T92" s="4">
        <f>R92*S92</f>
        <v>15129.019999999999</v>
      </c>
      <c r="AB92" s="2" t="s">
        <v>41</v>
      </c>
      <c r="AF92" s="4">
        <f>AH84</f>
        <v>2903000</v>
      </c>
      <c r="AG92" s="3">
        <v>4.5300000000000002E-3</v>
      </c>
      <c r="AH92" s="4">
        <f>AF92*AG92</f>
        <v>13150.59</v>
      </c>
      <c r="AQ92" s="11"/>
    </row>
    <row r="93" spans="1:43" x14ac:dyDescent="0.3">
      <c r="A93" s="33"/>
      <c r="B93" s="11"/>
      <c r="C93" s="28" t="s">
        <v>66</v>
      </c>
      <c r="D93" s="11"/>
      <c r="E93" s="14"/>
      <c r="F93" s="14"/>
      <c r="G93" s="11"/>
      <c r="H93" s="11">
        <f>F16</f>
        <v>-8469.0499999999993</v>
      </c>
      <c r="I93" s="11"/>
      <c r="J93" s="11">
        <f>H16</f>
        <v>-2945.61</v>
      </c>
      <c r="K93" s="11"/>
      <c r="L93" s="11"/>
      <c r="M93" s="34"/>
      <c r="S93" s="3"/>
      <c r="AG93" s="3"/>
      <c r="AQ93" s="11"/>
    </row>
    <row r="94" spans="1:43" ht="16.2" thickBot="1" x14ac:dyDescent="0.35">
      <c r="A94" s="33"/>
      <c r="B94" s="11"/>
      <c r="C94" s="11" t="s">
        <v>67</v>
      </c>
      <c r="D94" s="11"/>
      <c r="E94" s="11"/>
      <c r="F94" s="11"/>
      <c r="G94" s="11"/>
      <c r="H94" s="41">
        <v>3.4099999999999998E-3</v>
      </c>
      <c r="I94" s="11"/>
      <c r="J94" s="13">
        <v>3.6099999999999999E-3</v>
      </c>
      <c r="K94" s="11"/>
      <c r="L94" s="27"/>
      <c r="M94" s="34"/>
      <c r="N94" s="2" t="s">
        <v>5</v>
      </c>
      <c r="R94" s="5">
        <f>SUM(R91:R93)</f>
        <v>4246000</v>
      </c>
      <c r="S94" s="3"/>
      <c r="T94" s="5">
        <f>SUM(T91:T92)</f>
        <v>20284.519999999997</v>
      </c>
      <c r="AB94" s="2" t="s">
        <v>5</v>
      </c>
      <c r="AF94" s="5">
        <f>SUM(AF91:AF93)</f>
        <v>3399000</v>
      </c>
      <c r="AG94" s="3"/>
      <c r="AH94" s="5">
        <f>SUM(AH91:AH92)</f>
        <v>16983.09</v>
      </c>
      <c r="AQ94" s="11"/>
    </row>
    <row r="95" spans="1:43" ht="16.2" thickTop="1" x14ac:dyDescent="0.3">
      <c r="A95" s="3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3"/>
      <c r="M95" s="34"/>
      <c r="AQ95" s="11"/>
    </row>
    <row r="96" spans="1:43" x14ac:dyDescent="0.3">
      <c r="A96" s="33"/>
      <c r="B96" s="11"/>
      <c r="C96" s="11" t="s">
        <v>68</v>
      </c>
      <c r="D96" s="11"/>
      <c r="E96" s="11"/>
      <c r="F96" s="11"/>
      <c r="G96" s="11"/>
      <c r="H96" s="11">
        <f>H93/H94</f>
        <v>-2483592.375366569</v>
      </c>
      <c r="I96" s="11"/>
      <c r="J96" s="11"/>
      <c r="K96" s="11"/>
      <c r="L96" s="13"/>
      <c r="M96" s="34"/>
      <c r="AQ96" s="11"/>
    </row>
    <row r="97" spans="1:43" ht="16.2" thickBot="1" x14ac:dyDescent="0.35">
      <c r="A97" s="33"/>
      <c r="B97" s="11"/>
      <c r="C97" s="11" t="s">
        <v>69</v>
      </c>
      <c r="D97" s="11"/>
      <c r="E97" s="11"/>
      <c r="F97" s="11"/>
      <c r="G97" s="11"/>
      <c r="H97" s="41">
        <f>J94</f>
        <v>3.6099999999999999E-3</v>
      </c>
      <c r="I97" s="11"/>
      <c r="J97" s="11"/>
      <c r="K97" s="11"/>
      <c r="L97" s="11"/>
      <c r="M97" s="34"/>
      <c r="N97" s="6" t="s">
        <v>37</v>
      </c>
      <c r="Q97" s="2">
        <f>R18+Q71+Q91+R45</f>
        <v>29789</v>
      </c>
      <c r="R97" s="5">
        <f>S25+R76+R94+S52</f>
        <v>123570000</v>
      </c>
      <c r="T97" s="10">
        <f>U25+T76+T94+U52</f>
        <v>963615.09000000008</v>
      </c>
      <c r="AB97" s="6" t="s">
        <v>37</v>
      </c>
      <c r="AE97" s="2">
        <f>AF18+AE71+AE91+AF45</f>
        <v>21503</v>
      </c>
      <c r="AF97" s="5">
        <f>AG25+AF76+AF94+AG52</f>
        <v>92820001</v>
      </c>
      <c r="AH97" s="10">
        <f>AI25+AH76+AH94+AI52</f>
        <v>734762.51</v>
      </c>
      <c r="AQ97" s="11"/>
    </row>
    <row r="98" spans="1:43" ht="16.2" thickTop="1" x14ac:dyDescent="0.3">
      <c r="A98" s="33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34"/>
      <c r="AQ98" s="11"/>
    </row>
    <row r="99" spans="1:43" ht="16.2" thickBot="1" x14ac:dyDescent="0.35">
      <c r="A99" s="33"/>
      <c r="B99" s="11"/>
      <c r="C99" s="11" t="s">
        <v>70</v>
      </c>
      <c r="D99" s="11"/>
      <c r="E99" s="11"/>
      <c r="F99" s="11"/>
      <c r="G99" s="11"/>
      <c r="H99" s="5">
        <f>H96*H97</f>
        <v>-8965.7684750733133</v>
      </c>
      <c r="I99" s="11"/>
      <c r="J99" s="5">
        <f>J93</f>
        <v>-2945.61</v>
      </c>
      <c r="K99" s="11"/>
      <c r="L99" s="5">
        <f>H99+J99</f>
        <v>-11911.378475073314</v>
      </c>
      <c r="M99" s="34"/>
      <c r="N99" s="6" t="s">
        <v>43</v>
      </c>
      <c r="AB99" s="6" t="s">
        <v>43</v>
      </c>
      <c r="AQ99" s="11"/>
    </row>
    <row r="100" spans="1:43" ht="16.2" thickTop="1" x14ac:dyDescent="0.3">
      <c r="A100" s="36"/>
      <c r="B100" s="4"/>
      <c r="C100" s="4"/>
      <c r="D100" s="8"/>
      <c r="E100" s="8"/>
      <c r="F100" s="8"/>
      <c r="G100" s="4"/>
      <c r="H100" s="4"/>
      <c r="I100" s="4"/>
      <c r="J100" s="4"/>
      <c r="K100" s="4"/>
      <c r="L100" s="4"/>
      <c r="M100" s="37"/>
      <c r="Q100" s="2" t="s">
        <v>1</v>
      </c>
      <c r="R100" s="2" t="s">
        <v>2</v>
      </c>
      <c r="S100" s="2" t="s">
        <v>7</v>
      </c>
      <c r="T100" s="2" t="s">
        <v>8</v>
      </c>
      <c r="AE100" s="2" t="s">
        <v>1</v>
      </c>
      <c r="AF100" s="2" t="s">
        <v>2</v>
      </c>
      <c r="AG100" s="2" t="s">
        <v>7</v>
      </c>
      <c r="AH100" s="2" t="s">
        <v>8</v>
      </c>
    </row>
    <row r="101" spans="1:43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27"/>
      <c r="K101" s="11"/>
      <c r="L101" s="11"/>
      <c r="M101" s="11"/>
      <c r="N101" s="2" t="s">
        <v>44</v>
      </c>
      <c r="R101" s="2">
        <v>52503000</v>
      </c>
      <c r="S101" s="3">
        <v>4.0400000000000002E-3</v>
      </c>
      <c r="T101" s="2">
        <f>R101*S101</f>
        <v>212112.12</v>
      </c>
      <c r="AB101" s="2" t="s">
        <v>44</v>
      </c>
      <c r="AF101" s="2">
        <v>42637000</v>
      </c>
      <c r="AG101" s="3">
        <v>4.2399999999999998E-3</v>
      </c>
      <c r="AH101" s="2">
        <f>AF101*AG101</f>
        <v>180780.88</v>
      </c>
    </row>
    <row r="102" spans="1:43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3"/>
      <c r="K102" s="11"/>
      <c r="L102" s="11"/>
      <c r="M102" s="11"/>
      <c r="Z102" s="11"/>
    </row>
    <row r="103" spans="1:43" ht="31.2" x14ac:dyDescent="0.6">
      <c r="A103" s="11"/>
      <c r="B103" s="50" t="s">
        <v>87</v>
      </c>
      <c r="C103" s="51"/>
      <c r="D103" s="51"/>
      <c r="E103" s="51"/>
      <c r="F103" s="51"/>
      <c r="G103" s="51"/>
      <c r="H103" s="51"/>
      <c r="I103" s="51"/>
      <c r="J103" s="51"/>
      <c r="K103" s="51"/>
      <c r="L103" s="52"/>
      <c r="M103" s="11"/>
      <c r="N103" s="2" t="s">
        <v>45</v>
      </c>
      <c r="Q103" s="2">
        <v>7</v>
      </c>
      <c r="S103" s="1">
        <v>4906.7</v>
      </c>
      <c r="T103" s="2">
        <f>Q103*S103</f>
        <v>34346.9</v>
      </c>
      <c r="Z103" s="11"/>
      <c r="AB103" s="2" t="s">
        <v>45</v>
      </c>
      <c r="AE103" s="2">
        <v>5</v>
      </c>
      <c r="AG103" s="1">
        <v>4906.7</v>
      </c>
      <c r="AH103" s="2">
        <f>AE103*AG103</f>
        <v>24533.5</v>
      </c>
    </row>
    <row r="104" spans="1:43" x14ac:dyDescent="0.3">
      <c r="A104" s="11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53"/>
      <c r="M104" s="11"/>
      <c r="R104" s="2">
        <v>68871000</v>
      </c>
      <c r="S104" s="3">
        <v>3.1900000000000001E-3</v>
      </c>
      <c r="T104" s="4">
        <f>R104*S104</f>
        <v>219698.49000000002</v>
      </c>
      <c r="Z104" s="11"/>
      <c r="AF104" s="2">
        <v>56369000</v>
      </c>
      <c r="AG104" s="3">
        <v>3.3899999999999998E-3</v>
      </c>
      <c r="AH104" s="4">
        <f>AF104*AG104</f>
        <v>191090.90999999997</v>
      </c>
    </row>
    <row r="105" spans="1:43" x14ac:dyDescent="0.3">
      <c r="A105" s="11"/>
      <c r="B105" s="33"/>
      <c r="C105" s="11"/>
      <c r="D105" s="11"/>
      <c r="E105" s="11"/>
      <c r="F105" s="11"/>
      <c r="G105" s="11"/>
      <c r="H105" s="11"/>
      <c r="I105" s="11"/>
      <c r="J105" s="14"/>
      <c r="K105" s="11"/>
      <c r="L105" s="34"/>
      <c r="M105" s="11"/>
      <c r="N105" s="2" t="s">
        <v>46</v>
      </c>
      <c r="T105" s="2">
        <f>T103+T104</f>
        <v>254045.39</v>
      </c>
      <c r="Z105" s="11"/>
      <c r="AB105" s="2" t="s">
        <v>46</v>
      </c>
      <c r="AH105" s="2">
        <f>AH103+AH104</f>
        <v>215624.40999999997</v>
      </c>
    </row>
    <row r="106" spans="1:43" x14ac:dyDescent="0.3">
      <c r="A106" s="11"/>
      <c r="B106" s="33"/>
      <c r="C106" s="11"/>
      <c r="D106" s="11"/>
      <c r="E106" s="11"/>
      <c r="F106" s="11"/>
      <c r="G106" s="11"/>
      <c r="H106" s="11"/>
      <c r="I106" s="11"/>
      <c r="J106" s="14" t="s">
        <v>88</v>
      </c>
      <c r="K106" s="11"/>
      <c r="L106" s="34"/>
      <c r="M106" s="11"/>
      <c r="Z106" s="11"/>
    </row>
    <row r="107" spans="1:43" ht="16.2" thickBot="1" x14ac:dyDescent="0.35">
      <c r="A107" s="11"/>
      <c r="B107" s="54" t="s">
        <v>19</v>
      </c>
      <c r="C107" s="55"/>
      <c r="D107" s="55"/>
      <c r="E107" s="11"/>
      <c r="F107" s="8" t="s">
        <v>1</v>
      </c>
      <c r="G107" s="14"/>
      <c r="H107" s="8" t="s">
        <v>2</v>
      </c>
      <c r="I107" s="14"/>
      <c r="J107" s="8" t="s">
        <v>7</v>
      </c>
      <c r="K107" s="14"/>
      <c r="L107" s="43" t="s">
        <v>8</v>
      </c>
      <c r="M107" s="11"/>
      <c r="N107" s="2" t="s">
        <v>47</v>
      </c>
      <c r="R107" s="19">
        <f>SUM(R101:R106)</f>
        <v>121374000</v>
      </c>
      <c r="T107" s="19">
        <f>T101+T105</f>
        <v>466157.51</v>
      </c>
      <c r="Z107" s="11"/>
      <c r="AB107" s="2" t="s">
        <v>47</v>
      </c>
      <c r="AF107" s="19">
        <f>SUM(AF101:AF106)</f>
        <v>99006000</v>
      </c>
      <c r="AH107" s="19">
        <f>AH101+AH105</f>
        <v>396405.29</v>
      </c>
    </row>
    <row r="108" spans="1:43" ht="16.2" thickTop="1" x14ac:dyDescent="0.3">
      <c r="A108" s="11"/>
      <c r="B108" s="33" t="s">
        <v>28</v>
      </c>
      <c r="C108" s="11"/>
      <c r="D108" s="11"/>
      <c r="E108" s="11"/>
      <c r="F108" s="11">
        <f>F39</f>
        <v>51040</v>
      </c>
      <c r="G108" s="11"/>
      <c r="H108" s="11">
        <f>H39</f>
        <v>82202001</v>
      </c>
      <c r="I108" s="11"/>
      <c r="J108" s="27">
        <v>24.17</v>
      </c>
      <c r="K108" s="11"/>
      <c r="L108" s="44">
        <f>F108*J108</f>
        <v>1233636.8</v>
      </c>
      <c r="M108" s="11"/>
      <c r="Z108" s="11"/>
    </row>
    <row r="109" spans="1:43" x14ac:dyDescent="0.3">
      <c r="A109" s="11"/>
      <c r="B109" s="33" t="s">
        <v>31</v>
      </c>
      <c r="C109" s="11"/>
      <c r="D109" s="11"/>
      <c r="E109" s="11"/>
      <c r="F109" s="11"/>
      <c r="G109" s="11"/>
      <c r="H109" s="11">
        <f t="shared" ref="H109:H113" si="31">H40</f>
        <v>60840000</v>
      </c>
      <c r="I109" s="11"/>
      <c r="J109" s="13">
        <v>9.4999999999999998E-3</v>
      </c>
      <c r="K109" s="11"/>
      <c r="L109" s="34">
        <f>H109*J109</f>
        <v>577980</v>
      </c>
      <c r="M109" s="11"/>
      <c r="Z109" s="11"/>
    </row>
    <row r="110" spans="1:43" x14ac:dyDescent="0.3">
      <c r="A110" s="11"/>
      <c r="B110" s="33" t="s">
        <v>0</v>
      </c>
      <c r="C110" s="11"/>
      <c r="D110" s="11"/>
      <c r="E110" s="11"/>
      <c r="F110" s="11"/>
      <c r="G110" s="11"/>
      <c r="H110" s="11">
        <f t="shared" si="31"/>
        <v>29176000</v>
      </c>
      <c r="I110" s="11"/>
      <c r="J110" s="13">
        <v>7.5100000000000002E-3</v>
      </c>
      <c r="K110" s="11"/>
      <c r="L110" s="34">
        <f t="shared" ref="L110:L113" si="32">H110*J110</f>
        <v>219111.76</v>
      </c>
      <c r="M110" s="11"/>
      <c r="R110" s="2" t="s">
        <v>2</v>
      </c>
      <c r="T110" s="2" t="s">
        <v>8</v>
      </c>
      <c r="Z110" s="11"/>
      <c r="AF110" s="2" t="s">
        <v>2</v>
      </c>
      <c r="AH110" s="2" t="s">
        <v>8</v>
      </c>
    </row>
    <row r="111" spans="1:43" x14ac:dyDescent="0.3">
      <c r="A111" s="11"/>
      <c r="B111" s="33" t="s">
        <v>32</v>
      </c>
      <c r="C111" s="11"/>
      <c r="D111" s="11"/>
      <c r="E111" s="11"/>
      <c r="F111" s="11"/>
      <c r="G111" s="11"/>
      <c r="H111" s="11">
        <f t="shared" si="31"/>
        <v>14628000</v>
      </c>
      <c r="I111" s="11"/>
      <c r="J111" s="13">
        <v>6.5799999999999999E-3</v>
      </c>
      <c r="K111" s="11"/>
      <c r="L111" s="34">
        <f>H111*J111</f>
        <v>96252.24</v>
      </c>
      <c r="M111" s="11"/>
      <c r="N111" s="2" t="s">
        <v>48</v>
      </c>
      <c r="R111" s="2">
        <f>R97+R107</f>
        <v>244944000</v>
      </c>
      <c r="T111" s="7">
        <f>T97+T107</f>
        <v>1429772.6</v>
      </c>
      <c r="Z111" s="11"/>
      <c r="AB111" s="2" t="s">
        <v>48</v>
      </c>
      <c r="AF111" s="2">
        <f>AF97+AF107</f>
        <v>191826001</v>
      </c>
      <c r="AH111" s="7">
        <f>AH97+AH107</f>
        <v>1131167.8</v>
      </c>
    </row>
    <row r="112" spans="1:43" x14ac:dyDescent="0.3">
      <c r="A112" s="11"/>
      <c r="B112" s="33" t="s">
        <v>33</v>
      </c>
      <c r="C112" s="11"/>
      <c r="D112" s="11"/>
      <c r="E112" s="11"/>
      <c r="F112" s="11"/>
      <c r="G112" s="11"/>
      <c r="H112" s="11">
        <f t="shared" si="31"/>
        <v>9198000</v>
      </c>
      <c r="I112" s="11"/>
      <c r="J112" s="13">
        <v>6.28E-3</v>
      </c>
      <c r="K112" s="11"/>
      <c r="L112" s="34">
        <f>H112*J112</f>
        <v>57763.44</v>
      </c>
      <c r="M112" s="11"/>
    </row>
    <row r="113" spans="1:34" x14ac:dyDescent="0.3">
      <c r="A113" s="11"/>
      <c r="B113" s="33" t="s">
        <v>34</v>
      </c>
      <c r="C113" s="11"/>
      <c r="D113" s="11"/>
      <c r="E113" s="11"/>
      <c r="F113" s="11"/>
      <c r="G113" s="11"/>
      <c r="H113" s="4">
        <f t="shared" si="31"/>
        <v>5667000</v>
      </c>
      <c r="I113" s="11"/>
      <c r="J113" s="13">
        <v>6.1000000000000004E-3</v>
      </c>
      <c r="K113" s="11"/>
      <c r="L113" s="37">
        <f t="shared" si="32"/>
        <v>34568.700000000004</v>
      </c>
      <c r="M113" s="11"/>
    </row>
    <row r="114" spans="1:34" x14ac:dyDescent="0.3">
      <c r="A114" s="11"/>
      <c r="B114" s="33"/>
      <c r="C114" s="11"/>
      <c r="D114" s="11"/>
      <c r="E114" s="11"/>
      <c r="F114" s="11"/>
      <c r="G114" s="11"/>
      <c r="H114" s="11"/>
      <c r="I114" s="11"/>
      <c r="J114" s="11"/>
      <c r="K114" s="11"/>
      <c r="L114" s="34"/>
      <c r="M114" s="11"/>
      <c r="Z114" s="11"/>
    </row>
    <row r="115" spans="1:34" x14ac:dyDescent="0.3">
      <c r="A115" s="11"/>
      <c r="B115" s="33" t="s">
        <v>63</v>
      </c>
      <c r="C115" s="11"/>
      <c r="D115" s="11"/>
      <c r="E115" s="11"/>
      <c r="F115" s="11">
        <f>SUM(F108:F114)</f>
        <v>51040</v>
      </c>
      <c r="G115" s="11"/>
      <c r="H115" s="4">
        <f>SUM(H108:H114)</f>
        <v>201711001</v>
      </c>
      <c r="I115" s="11"/>
      <c r="J115" s="11"/>
      <c r="K115" s="11"/>
      <c r="L115" s="37">
        <f>SUM(L108:L114)</f>
        <v>2219312.9400000004</v>
      </c>
      <c r="M115" s="11"/>
      <c r="Z115" s="11"/>
    </row>
    <row r="116" spans="1:34" x14ac:dyDescent="0.3">
      <c r="A116" s="11"/>
      <c r="B116" s="33"/>
      <c r="C116" s="11"/>
      <c r="D116" s="11"/>
      <c r="E116" s="11"/>
      <c r="F116" s="11"/>
      <c r="G116" s="11"/>
      <c r="H116" s="11"/>
      <c r="I116" s="11"/>
      <c r="J116" s="11"/>
      <c r="K116" s="11"/>
      <c r="L116" s="34"/>
      <c r="M116" s="11"/>
      <c r="N116" s="2" t="s">
        <v>13</v>
      </c>
      <c r="R116" s="2">
        <v>244944000</v>
      </c>
      <c r="T116" s="2">
        <v>1431386.28</v>
      </c>
      <c r="Z116" s="11"/>
      <c r="AB116" s="2" t="s">
        <v>13</v>
      </c>
      <c r="AF116" s="2">
        <v>191825001</v>
      </c>
      <c r="AH116" s="2">
        <v>1119860.25</v>
      </c>
    </row>
    <row r="117" spans="1:34" x14ac:dyDescent="0.3">
      <c r="A117" s="11"/>
      <c r="B117" s="48" t="s">
        <v>20</v>
      </c>
      <c r="C117" s="49"/>
      <c r="D117" s="49"/>
      <c r="E117" s="11"/>
      <c r="F117" s="11"/>
      <c r="G117" s="14"/>
      <c r="H117" s="14"/>
      <c r="I117" s="14"/>
      <c r="J117" s="14"/>
      <c r="K117" s="14"/>
      <c r="L117" s="45"/>
      <c r="M117" s="11"/>
      <c r="Z117" s="11"/>
    </row>
    <row r="118" spans="1:34" x14ac:dyDescent="0.3">
      <c r="A118" s="11"/>
      <c r="B118" s="33" t="s">
        <v>39</v>
      </c>
      <c r="C118" s="11"/>
      <c r="D118" s="11"/>
      <c r="E118" s="11"/>
      <c r="F118" s="11">
        <f t="shared" ref="F118:F126" si="33">F49</f>
        <v>216</v>
      </c>
      <c r="G118" s="11"/>
      <c r="H118" s="11">
        <f>H49</f>
        <v>1457000</v>
      </c>
      <c r="I118" s="11"/>
      <c r="J118" s="27">
        <v>90.2</v>
      </c>
      <c r="K118" s="11"/>
      <c r="L118" s="34">
        <f>F118*J118</f>
        <v>19483.2</v>
      </c>
      <c r="M118" s="11"/>
      <c r="R118" s="2">
        <f>R111-R116</f>
        <v>0</v>
      </c>
      <c r="T118" s="2">
        <f>T111-T116</f>
        <v>-1613.6799999999348</v>
      </c>
      <c r="Z118" s="11"/>
      <c r="AF118" s="2">
        <f>AF111-AF116</f>
        <v>1000</v>
      </c>
      <c r="AH118" s="2">
        <f>AH111-AH116</f>
        <v>11307.550000000047</v>
      </c>
    </row>
    <row r="119" spans="1:34" x14ac:dyDescent="0.3">
      <c r="A119" s="11"/>
      <c r="B119" s="33" t="s">
        <v>32</v>
      </c>
      <c r="C119" s="11"/>
      <c r="D119" s="11"/>
      <c r="E119" s="11"/>
      <c r="F119" s="11"/>
      <c r="G119" s="11"/>
      <c r="H119" s="11">
        <f t="shared" ref="H119:H121" si="34">H50</f>
        <v>1091000</v>
      </c>
      <c r="I119" s="11"/>
      <c r="J119" s="13">
        <v>6.5799999999999999E-3</v>
      </c>
      <c r="K119" s="11"/>
      <c r="L119" s="34">
        <f>H119*J119</f>
        <v>7178.78</v>
      </c>
      <c r="M119" s="11"/>
      <c r="O119" s="11"/>
      <c r="P119" s="11"/>
      <c r="Q119" s="11"/>
      <c r="R119" s="11"/>
      <c r="S119" s="11"/>
      <c r="U119" s="11"/>
      <c r="V119" s="11"/>
      <c r="W119" s="11"/>
      <c r="X119" s="11"/>
      <c r="Y119" s="11"/>
      <c r="Z119" s="11"/>
    </row>
    <row r="120" spans="1:34" x14ac:dyDescent="0.3">
      <c r="A120" s="11"/>
      <c r="B120" s="33" t="s">
        <v>33</v>
      </c>
      <c r="C120" s="11"/>
      <c r="D120" s="11"/>
      <c r="E120" s="11"/>
      <c r="F120" s="11"/>
      <c r="G120" s="11"/>
      <c r="H120" s="11">
        <f t="shared" si="34"/>
        <v>2078000</v>
      </c>
      <c r="I120" s="11"/>
      <c r="J120" s="13">
        <v>6.28E-3</v>
      </c>
      <c r="K120" s="11"/>
      <c r="L120" s="34">
        <f t="shared" ref="L120:L121" si="35">H120*J120</f>
        <v>13049.84</v>
      </c>
      <c r="M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34" x14ac:dyDescent="0.3">
      <c r="A121" s="11"/>
      <c r="B121" s="33" t="s">
        <v>34</v>
      </c>
      <c r="C121" s="11"/>
      <c r="D121" s="11"/>
      <c r="E121" s="11"/>
      <c r="F121" s="11"/>
      <c r="G121" s="11"/>
      <c r="H121" s="4">
        <f t="shared" si="34"/>
        <v>2408000</v>
      </c>
      <c r="I121" s="11"/>
      <c r="J121" s="13">
        <v>6.1000000000000004E-3</v>
      </c>
      <c r="K121" s="11"/>
      <c r="L121" s="37">
        <f t="shared" si="35"/>
        <v>14688.800000000001</v>
      </c>
      <c r="M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34" x14ac:dyDescent="0.3">
      <c r="A122" s="11"/>
      <c r="B122" s="33"/>
      <c r="C122" s="11"/>
      <c r="D122" s="11"/>
      <c r="E122" s="11"/>
      <c r="F122" s="11"/>
      <c r="G122" s="11"/>
      <c r="H122" s="11"/>
      <c r="I122" s="11"/>
      <c r="J122" s="11"/>
      <c r="K122" s="11"/>
      <c r="L122" s="34"/>
      <c r="M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34" x14ac:dyDescent="0.3">
      <c r="A123" s="11"/>
      <c r="B123" s="33" t="s">
        <v>62</v>
      </c>
      <c r="C123" s="11"/>
      <c r="D123" s="11"/>
      <c r="E123" s="11"/>
      <c r="F123" s="11"/>
      <c r="G123" s="11"/>
      <c r="H123" s="4">
        <f>SUM(H118:H122)</f>
        <v>7034000</v>
      </c>
      <c r="I123" s="11"/>
      <c r="J123" s="11"/>
      <c r="K123" s="11"/>
      <c r="L123" s="37">
        <f>SUM(L118:L122)</f>
        <v>54400.62</v>
      </c>
      <c r="M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34" x14ac:dyDescent="0.3">
      <c r="A124" s="11"/>
      <c r="B124" s="33"/>
      <c r="C124" s="11"/>
      <c r="D124" s="11"/>
      <c r="E124" s="11"/>
      <c r="F124" s="11"/>
      <c r="G124" s="11"/>
      <c r="H124" s="11"/>
      <c r="I124" s="11"/>
      <c r="J124" s="11"/>
      <c r="K124" s="11"/>
      <c r="L124" s="34"/>
      <c r="M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34" x14ac:dyDescent="0.3">
      <c r="A125" s="11"/>
      <c r="B125" s="48" t="s">
        <v>21</v>
      </c>
      <c r="C125" s="49"/>
      <c r="D125" s="49"/>
      <c r="E125" s="11"/>
      <c r="F125" s="11"/>
      <c r="G125" s="14"/>
      <c r="H125" s="14"/>
      <c r="I125" s="14"/>
      <c r="J125" s="14"/>
      <c r="K125" s="14"/>
      <c r="L125" s="45"/>
      <c r="M125" s="11"/>
      <c r="O125" s="11"/>
      <c r="P125" s="11"/>
      <c r="Q125" s="11"/>
      <c r="R125" s="11"/>
      <c r="S125" s="11"/>
      <c r="T125" s="13"/>
      <c r="U125" s="11"/>
      <c r="V125" s="11"/>
      <c r="W125" s="11"/>
      <c r="X125" s="11"/>
      <c r="Y125" s="11"/>
      <c r="Z125" s="11"/>
    </row>
    <row r="126" spans="1:34" x14ac:dyDescent="0.3">
      <c r="A126" s="11"/>
      <c r="B126" s="33" t="s">
        <v>40</v>
      </c>
      <c r="C126" s="11"/>
      <c r="D126" s="11"/>
      <c r="E126" s="11"/>
      <c r="F126" s="11">
        <f t="shared" si="33"/>
        <v>36</v>
      </c>
      <c r="G126" s="11"/>
      <c r="H126" s="11">
        <f>H57</f>
        <v>1248000</v>
      </c>
      <c r="I126" s="11"/>
      <c r="J126" s="27">
        <v>344.3</v>
      </c>
      <c r="K126" s="11"/>
      <c r="L126" s="34">
        <f>F126*J126</f>
        <v>12394.800000000001</v>
      </c>
      <c r="M126" s="11"/>
      <c r="O126" s="11"/>
      <c r="P126" s="11"/>
      <c r="Q126" s="11"/>
      <c r="R126" s="11"/>
      <c r="S126" s="11"/>
      <c r="T126" s="13"/>
      <c r="U126" s="11"/>
      <c r="V126" s="11"/>
      <c r="W126" s="11"/>
      <c r="X126" s="11"/>
      <c r="Y126" s="11"/>
      <c r="Z126" s="11"/>
    </row>
    <row r="127" spans="1:34" x14ac:dyDescent="0.3">
      <c r="A127" s="11"/>
      <c r="B127" s="33" t="s">
        <v>41</v>
      </c>
      <c r="C127" s="11"/>
      <c r="D127" s="11"/>
      <c r="E127" s="11"/>
      <c r="F127" s="11"/>
      <c r="G127" s="11"/>
      <c r="H127" s="11">
        <f>H58</f>
        <v>6397000</v>
      </c>
      <c r="I127" s="11"/>
      <c r="J127" s="13">
        <v>6.1000000000000004E-3</v>
      </c>
      <c r="K127" s="11"/>
      <c r="L127" s="37">
        <f>H127*J127</f>
        <v>39021.700000000004</v>
      </c>
      <c r="M127" s="11"/>
      <c r="O127" s="11"/>
      <c r="P127" s="11"/>
      <c r="Q127" s="11"/>
      <c r="R127" s="11"/>
      <c r="S127" s="11"/>
      <c r="T127" s="13"/>
      <c r="U127" s="11"/>
      <c r="V127" s="11"/>
      <c r="W127" s="11"/>
      <c r="X127" s="11"/>
      <c r="Y127" s="11"/>
      <c r="Z127" s="11"/>
    </row>
    <row r="128" spans="1:34" x14ac:dyDescent="0.3">
      <c r="A128" s="11"/>
      <c r="B128" s="33"/>
      <c r="C128" s="11"/>
      <c r="D128" s="11"/>
      <c r="E128" s="11"/>
      <c r="F128" s="11"/>
      <c r="G128" s="11"/>
      <c r="H128" s="4"/>
      <c r="I128" s="11"/>
      <c r="J128" s="11"/>
      <c r="K128" s="11"/>
      <c r="L128" s="34"/>
      <c r="M128" s="11"/>
      <c r="O128" s="11"/>
      <c r="P128" s="11"/>
      <c r="Q128" s="11"/>
      <c r="R128" s="11"/>
      <c r="S128" s="11"/>
      <c r="T128" s="13"/>
      <c r="U128" s="11"/>
      <c r="V128" s="11"/>
      <c r="W128" s="11"/>
      <c r="X128" s="11"/>
      <c r="Y128" s="11"/>
      <c r="Z128" s="11"/>
    </row>
    <row r="129" spans="1:26" x14ac:dyDescent="0.3">
      <c r="A129" s="11"/>
      <c r="B129" s="33" t="s">
        <v>64</v>
      </c>
      <c r="C129" s="11"/>
      <c r="D129" s="11"/>
      <c r="E129" s="11"/>
      <c r="F129" s="11"/>
      <c r="G129" s="11"/>
      <c r="H129" s="4">
        <f>SUM(H126:H128)</f>
        <v>7645000</v>
      </c>
      <c r="I129" s="11"/>
      <c r="J129" s="11"/>
      <c r="K129" s="11"/>
      <c r="L129" s="37">
        <f>SUM(L126:L128)</f>
        <v>51416.500000000007</v>
      </c>
      <c r="M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x14ac:dyDescent="0.3">
      <c r="A130" s="11"/>
      <c r="B130" s="33"/>
      <c r="C130" s="11"/>
      <c r="D130" s="11"/>
      <c r="E130" s="11"/>
      <c r="F130" s="11"/>
      <c r="G130" s="11"/>
      <c r="H130" s="11"/>
      <c r="I130" s="11"/>
      <c r="J130" s="11"/>
      <c r="K130" s="11"/>
      <c r="L130" s="34"/>
      <c r="M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x14ac:dyDescent="0.3">
      <c r="A131" s="11"/>
      <c r="B131" s="33" t="s">
        <v>89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37">
        <f>L99*1.34753</f>
        <v>-16050.939836515541</v>
      </c>
      <c r="M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x14ac:dyDescent="0.3">
      <c r="A132" s="11"/>
      <c r="B132" s="33"/>
      <c r="C132" s="11"/>
      <c r="D132" s="11"/>
      <c r="E132" s="11"/>
      <c r="F132" s="11"/>
      <c r="G132" s="11"/>
      <c r="H132" s="11"/>
      <c r="I132" s="11"/>
      <c r="J132" s="11"/>
      <c r="K132" s="11"/>
      <c r="L132" s="34"/>
      <c r="M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x14ac:dyDescent="0.3">
      <c r="A133" s="11"/>
      <c r="B133" s="33" t="s">
        <v>91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46">
        <f>L115+L123+L129+L131</f>
        <v>2309079.1201634849</v>
      </c>
      <c r="M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x14ac:dyDescent="0.3">
      <c r="A134" s="11"/>
      <c r="B134" s="33"/>
      <c r="C134" s="11"/>
      <c r="D134" s="11"/>
      <c r="E134" s="11"/>
      <c r="F134" s="11"/>
      <c r="G134" s="11"/>
      <c r="H134" s="11"/>
      <c r="I134" s="11"/>
      <c r="J134" s="11"/>
      <c r="K134" s="11"/>
      <c r="L134" s="34"/>
      <c r="M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x14ac:dyDescent="0.3">
      <c r="A135" s="11"/>
      <c r="B135" s="33"/>
      <c r="C135" s="11"/>
      <c r="D135" s="11"/>
      <c r="E135" s="11"/>
      <c r="F135" s="11"/>
      <c r="G135" s="11"/>
      <c r="H135" s="11"/>
      <c r="I135" s="11"/>
      <c r="J135" s="11"/>
      <c r="K135" s="11"/>
      <c r="L135" s="44"/>
      <c r="M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x14ac:dyDescent="0.3">
      <c r="A136" s="11"/>
      <c r="B136" s="48" t="s">
        <v>75</v>
      </c>
      <c r="C136" s="49"/>
      <c r="D136" s="49"/>
      <c r="E136" s="11"/>
      <c r="F136" s="8" t="s">
        <v>1</v>
      </c>
      <c r="G136" s="11"/>
      <c r="H136" s="8" t="s">
        <v>2</v>
      </c>
      <c r="I136" s="11"/>
      <c r="J136" s="8" t="s">
        <v>36</v>
      </c>
      <c r="K136" s="11"/>
      <c r="L136" s="43" t="s">
        <v>8</v>
      </c>
      <c r="M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x14ac:dyDescent="0.3">
      <c r="A137" s="11"/>
      <c r="B137" s="33" t="s">
        <v>76</v>
      </c>
      <c r="C137" s="11"/>
      <c r="D137" s="11"/>
      <c r="E137" s="11"/>
      <c r="F137" s="11"/>
      <c r="G137" s="11"/>
      <c r="H137" s="11">
        <f>H72</f>
        <v>95140000</v>
      </c>
      <c r="I137" s="11"/>
      <c r="J137" s="35">
        <v>5.7099999999999998E-3</v>
      </c>
      <c r="K137" s="11"/>
      <c r="L137" s="44">
        <f>H137*J137</f>
        <v>543249.4</v>
      </c>
      <c r="M137" s="11"/>
    </row>
    <row r="138" spans="1:26" x14ac:dyDescent="0.3">
      <c r="A138" s="11"/>
      <c r="B138" s="33"/>
      <c r="C138" s="11"/>
      <c r="D138" s="11"/>
      <c r="E138" s="11"/>
      <c r="F138" s="11"/>
      <c r="G138" s="11"/>
      <c r="H138" s="11"/>
      <c r="I138" s="11"/>
      <c r="J138" s="11"/>
      <c r="K138" s="11"/>
      <c r="L138" s="34"/>
      <c r="M138" s="11"/>
    </row>
    <row r="139" spans="1:26" x14ac:dyDescent="0.3">
      <c r="A139" s="11"/>
      <c r="B139" s="33" t="s">
        <v>77</v>
      </c>
      <c r="C139" s="11"/>
      <c r="D139" s="11"/>
      <c r="E139" s="11"/>
      <c r="F139" s="11">
        <f>F74</f>
        <v>12</v>
      </c>
      <c r="G139" s="11"/>
      <c r="H139" s="11"/>
      <c r="I139" s="11"/>
      <c r="J139" s="12">
        <v>6611.95</v>
      </c>
      <c r="K139" s="11"/>
      <c r="L139" s="34">
        <f>F139*J139</f>
        <v>79343.399999999994</v>
      </c>
      <c r="M139" s="11"/>
    </row>
    <row r="140" spans="1:26" x14ac:dyDescent="0.3">
      <c r="A140" s="11"/>
      <c r="B140" s="33"/>
      <c r="C140" s="11"/>
      <c r="D140" s="11"/>
      <c r="E140" s="11"/>
      <c r="F140" s="11"/>
      <c r="G140" s="11"/>
      <c r="H140" s="11">
        <f>H75</f>
        <v>125240000</v>
      </c>
      <c r="I140" s="11"/>
      <c r="J140" s="13">
        <v>4.5700000000000003E-3</v>
      </c>
      <c r="K140" s="11"/>
      <c r="L140" s="37">
        <f>H140*J140</f>
        <v>572346.80000000005</v>
      </c>
      <c r="M140" s="11"/>
    </row>
    <row r="141" spans="1:26" x14ac:dyDescent="0.3">
      <c r="A141" s="11"/>
      <c r="B141" s="33"/>
      <c r="C141" s="11"/>
      <c r="D141" s="11"/>
      <c r="E141" s="11"/>
      <c r="F141" s="11"/>
      <c r="G141" s="11"/>
      <c r="H141" s="11"/>
      <c r="I141" s="11"/>
      <c r="J141" s="11"/>
      <c r="K141" s="11"/>
      <c r="L141" s="34"/>
      <c r="M141" s="11"/>
    </row>
    <row r="142" spans="1:26" x14ac:dyDescent="0.3">
      <c r="A142" s="11"/>
      <c r="B142" s="33" t="s">
        <v>47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46">
        <f>SUM(L137:L141)</f>
        <v>1194939.6000000001</v>
      </c>
      <c r="M142" s="11"/>
    </row>
    <row r="143" spans="1:26" x14ac:dyDescent="0.3">
      <c r="A143" s="11"/>
      <c r="B143" s="33"/>
      <c r="C143" s="11"/>
      <c r="D143" s="11"/>
      <c r="E143" s="11"/>
      <c r="F143" s="11"/>
      <c r="G143" s="11"/>
      <c r="H143" s="11"/>
      <c r="I143" s="11"/>
      <c r="J143" s="11"/>
      <c r="K143" s="11"/>
      <c r="L143" s="34"/>
      <c r="M143" s="11"/>
    </row>
    <row r="144" spans="1:26" ht="16.2" thickBot="1" x14ac:dyDescent="0.35">
      <c r="A144" s="11"/>
      <c r="B144" s="33" t="s">
        <v>90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47">
        <f>L133+L142</f>
        <v>3504018.720163485</v>
      </c>
      <c r="M144" s="11"/>
    </row>
    <row r="145" spans="1:13" ht="16.2" thickTop="1" x14ac:dyDescent="0.3">
      <c r="A145" s="11"/>
      <c r="B145" s="36"/>
      <c r="C145" s="4"/>
      <c r="D145" s="4"/>
      <c r="E145" s="4"/>
      <c r="F145" s="4"/>
      <c r="G145" s="4"/>
      <c r="H145" s="4"/>
      <c r="I145" s="4"/>
      <c r="J145" s="4"/>
      <c r="K145" s="4"/>
      <c r="L145" s="46"/>
      <c r="M145" s="11"/>
    </row>
    <row r="146" spans="1:13" x14ac:dyDescent="0.3">
      <c r="A146" s="11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11"/>
    </row>
    <row r="147" spans="1:13" x14ac:dyDescent="0.3">
      <c r="A147" s="11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1"/>
    </row>
    <row r="148" spans="1:13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4"/>
      <c r="K148" s="11"/>
      <c r="L148" s="11"/>
      <c r="M148" s="11"/>
    </row>
    <row r="149" spans="1:13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4"/>
      <c r="K149" s="11"/>
      <c r="L149" s="11"/>
      <c r="M149" s="11"/>
    </row>
    <row r="150" spans="1:13" x14ac:dyDescent="0.3">
      <c r="A150" s="11"/>
      <c r="B150" s="14"/>
      <c r="C150" s="14"/>
      <c r="D150" s="14"/>
      <c r="E150" s="11"/>
      <c r="F150" s="14"/>
      <c r="G150" s="14"/>
      <c r="H150" s="14"/>
      <c r="I150" s="14"/>
      <c r="J150" s="14"/>
      <c r="K150" s="14"/>
      <c r="L150" s="14"/>
      <c r="M150" s="11"/>
    </row>
    <row r="151" spans="1:13" x14ac:dyDescent="0.3">
      <c r="A151" s="11"/>
      <c r="B151" s="11"/>
      <c r="C151" s="11"/>
      <c r="D151" s="11"/>
      <c r="E151" s="11"/>
      <c r="F151" s="11"/>
      <c r="G151" s="12"/>
      <c r="H151" s="11"/>
      <c r="I151" s="11"/>
      <c r="J151" s="27"/>
      <c r="K151" s="11"/>
      <c r="L151" s="20"/>
      <c r="M151" s="11"/>
    </row>
    <row r="152" spans="1:13" x14ac:dyDescent="0.3">
      <c r="A152" s="11"/>
      <c r="B152" s="11"/>
      <c r="C152" s="11"/>
      <c r="D152" s="11"/>
      <c r="E152" s="11"/>
      <c r="F152" s="11"/>
      <c r="G152" s="13"/>
      <c r="H152" s="11"/>
      <c r="I152" s="11"/>
      <c r="J152" s="13"/>
      <c r="K152" s="11"/>
      <c r="L152" s="11"/>
      <c r="M152" s="11"/>
    </row>
    <row r="153" spans="1:13" x14ac:dyDescent="0.3">
      <c r="A153" s="11"/>
      <c r="B153" s="11"/>
      <c r="C153" s="11"/>
      <c r="D153" s="11"/>
      <c r="E153" s="11"/>
      <c r="F153" s="11"/>
      <c r="G153" s="13"/>
      <c r="H153" s="11"/>
      <c r="I153" s="11"/>
      <c r="J153" s="13"/>
      <c r="K153" s="11"/>
      <c r="L153" s="11"/>
      <c r="M153" s="11"/>
    </row>
    <row r="154" spans="1:13" x14ac:dyDescent="0.3">
      <c r="A154" s="11"/>
      <c r="B154" s="11"/>
      <c r="C154" s="11"/>
      <c r="D154" s="11"/>
      <c r="E154" s="14"/>
      <c r="F154" s="11"/>
      <c r="G154" s="11"/>
      <c r="H154" s="14"/>
      <c r="I154" s="13"/>
      <c r="J154" s="14"/>
      <c r="K154" s="11"/>
      <c r="L154" s="13"/>
      <c r="M154" s="11"/>
    </row>
    <row r="155" spans="1:13" x14ac:dyDescent="0.3">
      <c r="A155" s="11"/>
      <c r="B155" s="11"/>
      <c r="C155" s="11"/>
      <c r="D155" s="11"/>
      <c r="E155" s="14"/>
      <c r="F155" s="11"/>
      <c r="G155" s="11"/>
      <c r="H155" s="14"/>
      <c r="I155" s="11"/>
      <c r="J155" s="21"/>
      <c r="K155" s="11"/>
      <c r="L155" s="11"/>
      <c r="M155" s="11"/>
    </row>
    <row r="156" spans="1:13" x14ac:dyDescent="0.3">
      <c r="A156" s="11"/>
      <c r="B156" s="11"/>
      <c r="C156" s="11"/>
      <c r="D156" s="11"/>
      <c r="E156" s="14"/>
      <c r="F156" s="11"/>
      <c r="G156" s="11"/>
      <c r="H156" s="21"/>
      <c r="I156" s="11"/>
      <c r="J156" s="21"/>
      <c r="K156" s="11"/>
      <c r="L156" s="14"/>
      <c r="M156" s="11"/>
    </row>
    <row r="157" spans="1:13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 x14ac:dyDescent="0.3">
      <c r="A158" s="11"/>
      <c r="B158" s="11"/>
      <c r="C158" s="28"/>
      <c r="D158" s="11"/>
      <c r="E158" s="14"/>
      <c r="F158" s="14"/>
      <c r="G158" s="11"/>
      <c r="H158" s="11"/>
      <c r="I158" s="11"/>
      <c r="J158" s="11"/>
      <c r="K158" s="11"/>
      <c r="L158" s="11"/>
      <c r="M158" s="11"/>
    </row>
    <row r="159" spans="1:13" x14ac:dyDescent="0.3">
      <c r="A159" s="11"/>
      <c r="B159" s="11"/>
      <c r="C159" s="11"/>
      <c r="D159" s="11"/>
      <c r="E159" s="11"/>
      <c r="F159" s="11"/>
      <c r="G159" s="11"/>
      <c r="H159" s="13"/>
      <c r="I159" s="11"/>
      <c r="J159" s="13"/>
      <c r="K159" s="11"/>
      <c r="L159" s="27"/>
      <c r="M159" s="11"/>
    </row>
    <row r="160" spans="1:13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3"/>
      <c r="M160" s="11"/>
    </row>
    <row r="161" spans="1:13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3"/>
      <c r="M161" s="11"/>
    </row>
    <row r="162" spans="1:13" x14ac:dyDescent="0.3">
      <c r="A162" s="11"/>
      <c r="B162" s="11"/>
      <c r="C162" s="11"/>
      <c r="D162" s="11"/>
      <c r="E162" s="11"/>
      <c r="F162" s="11"/>
      <c r="G162" s="11"/>
      <c r="H162" s="13"/>
      <c r="I162" s="11"/>
      <c r="J162" s="11"/>
      <c r="K162" s="11"/>
      <c r="L162" s="11"/>
      <c r="M162" s="11"/>
    </row>
    <row r="163" spans="1:13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13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 x14ac:dyDescent="0.3">
      <c r="A165" s="11"/>
      <c r="B165" s="11"/>
      <c r="C165" s="11"/>
      <c r="D165" s="14"/>
      <c r="E165" s="14"/>
      <c r="F165" s="14"/>
      <c r="G165" s="11"/>
      <c r="H165" s="11"/>
      <c r="I165" s="11"/>
      <c r="J165" s="11"/>
      <c r="K165" s="11"/>
      <c r="L165" s="11"/>
      <c r="M165" s="11"/>
    </row>
    <row r="166" spans="1:13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13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13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spans="1:13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13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1:13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1:13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1:13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1:13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13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1:13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spans="1:13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spans="1:13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spans="1:13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1:13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13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13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13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1:13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spans="1:13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</sheetData>
  <mergeCells count="17">
    <mergeCell ref="O1:AN1"/>
    <mergeCell ref="T29:Y29"/>
    <mergeCell ref="AH29:AM29"/>
    <mergeCell ref="B34:L34"/>
    <mergeCell ref="B35:L35"/>
    <mergeCell ref="B6:L6"/>
    <mergeCell ref="BN2:BW2"/>
    <mergeCell ref="B38:D38"/>
    <mergeCell ref="B48:D48"/>
    <mergeCell ref="B71:D71"/>
    <mergeCell ref="B56:D56"/>
    <mergeCell ref="B136:D136"/>
    <mergeCell ref="B103:L103"/>
    <mergeCell ref="B104:L104"/>
    <mergeCell ref="B107:D107"/>
    <mergeCell ref="B117:D117"/>
    <mergeCell ref="B125:D125"/>
  </mergeCells>
  <pageMargins left="0.7" right="0.7" top="0.75" bottom="0.75" header="0.3" footer="0.3"/>
  <pageSetup orientation="portrait" r:id="rId1"/>
  <colBreaks count="1" manualBreakCount="1">
    <brk id="13" max="1048575" man="1"/>
  </colBreaks>
  <ignoredErrors>
    <ignoredError sqref="AI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Present and Proposed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lawless</dc:creator>
  <cp:lastModifiedBy>jack lawless</cp:lastModifiedBy>
  <cp:lastPrinted>2024-12-13T21:09:41Z</cp:lastPrinted>
  <dcterms:created xsi:type="dcterms:W3CDTF">2024-12-03T00:50:19Z</dcterms:created>
  <dcterms:modified xsi:type="dcterms:W3CDTF">2025-05-04T12:55:12Z</dcterms:modified>
</cp:coreProperties>
</file>