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3rd Set of Data Requests (17)/"/>
    </mc:Choice>
  </mc:AlternateContent>
  <xr:revisionPtr revIDLastSave="0" documentId="13_ncr:1_{0F444C63-395E-4896-B072-FD9E55C1BB10}" xr6:coauthVersionLast="47" xr6:coauthVersionMax="47" xr10:uidLastSave="{00000000-0000-0000-0000-000000000000}"/>
  <bookViews>
    <workbookView xWindow="-120" yWindow="-120" windowWidth="29040" windowHeight="15720" xr2:uid="{F7345A75-69A5-4B18-AF42-512102599392}"/>
  </bookViews>
  <sheets>
    <sheet name="Customer Charge" sheetId="1" r:id="rId1"/>
    <sheet name="WP FR-16(7)(v)Rate Incr (100%)" sheetId="2" r:id="rId2"/>
  </sheets>
  <definedNames>
    <definedName name="_Fill" hidden="1">#REF!</definedName>
    <definedName name="_Order1" hidden="1">255</definedName>
    <definedName name="_Regression_Out" hidden="1">#N/A</definedName>
    <definedName name="alloc_factors">#REF!</definedName>
    <definedName name="Alloctable_Classified_Distribution">#REF!</definedName>
    <definedName name="AllocTable_Classified_Production">#REF!</definedName>
    <definedName name="AllocTable_Classified_Storage">#REF!</definedName>
    <definedName name="AllocTable_Functional">#REF!</definedName>
    <definedName name="ALLOCTABLE_Prod_Commodity">#REF!</definedName>
    <definedName name="case_name">#REF!</definedName>
    <definedName name="co_name">#REF!</definedName>
    <definedName name="Composite_Tax_Rate">#REF!</definedName>
    <definedName name="coss_type">#REF!</definedName>
    <definedName name="data_filing">#REF!</definedName>
    <definedName name="FIT">#REF!</definedName>
    <definedName name="Mains">#REF!</definedName>
    <definedName name="Pages">#REF!</definedName>
    <definedName name="Pages2">#REF!</definedName>
    <definedName name="_xlnm.Print_Area" localSheetId="1">'WP FR-16(7)(v)Rate Incr (100%)'!$A$1:$N$37</definedName>
    <definedName name="RegressionConstant">#REF!</definedName>
    <definedName name="RegressionXcoefficient">#REF!</definedName>
    <definedName name="RegulatorCost">#REF!</definedName>
    <definedName name="RegulatorSize">#REF!</definedName>
    <definedName name="RegulatorUnits">#REF!</definedName>
    <definedName name="RevTax">#REF!</definedName>
    <definedName name="RofR">#REF!</definedName>
    <definedName name="Sch_E3.1">'Customer Charge'!$A$1:$I$33</definedName>
    <definedName name="Services_Cost">#REF!</definedName>
    <definedName name="Services_Kind">#REF!</definedName>
    <definedName name="Services_Quantity">#REF!</definedName>
    <definedName name="Services_Size">#REF!</definedName>
    <definedName name="Services_Type">#REF!</definedName>
    <definedName name="SIT">#REF!</definedName>
    <definedName name="test_period">#REF!</definedName>
    <definedName name="time_period">#REF!</definedName>
    <definedName name="type">#REF!</definedName>
    <definedName name="Witness">#REF!</definedName>
    <definedName name="Witness1">#REF!</definedName>
    <definedName name="WorkingCap">#REF!</definedName>
    <definedName name="WPE_3.2g_P1">#REF!</definedName>
    <definedName name="WPE_3.2g_P2">#REF!</definedName>
    <definedName name="WPE_3.2l_P1">'WP FR-16(7)(v)Rate Incr (100%)'!$A$1:$N$37</definedName>
    <definedName name="wrn.Allocation._.Factors." localSheetId="1" hidden="1">{#N/A,#N/A,FALSE,"Alloc Factors";#N/A,#N/A,FALSE,"AverageExcess";#N/A,#N/A,FALSE,"Monthly Data";#N/A,#N/A,FALSE,"HighPressure";#N/A,#N/A,FALSE,"IndustrialM&amp;R";#N/A,#N/A,FALSE,"Mains";#N/A,#N/A,FALSE,"Services"}</definedName>
    <definedName name="wrn.Allocation._.Factors." hidden="1">{#N/A,#N/A,FALSE,"Alloc Factors";#N/A,#N/A,FALSE,"AverageExcess";#N/A,#N/A,FALSE,"Monthly Data";#N/A,#N/A,FALSE,"HighPressure";#N/A,#N/A,FALSE,"IndustrialM&amp;R";#N/A,#N/A,FALSE,"Mains";#N/A,#N/A,FALSE,"Services"}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2" l="1"/>
  <c r="K34" i="2"/>
  <c r="K33" i="2"/>
  <c r="K32" i="2"/>
  <c r="K31" i="2"/>
  <c r="K29" i="2"/>
  <c r="K28" i="2"/>
  <c r="K35" i="2" s="1"/>
  <c r="P19" i="2"/>
  <c r="F18" i="2"/>
  <c r="I13" i="2"/>
  <c r="K10" i="2"/>
  <c r="I23" i="1"/>
  <c r="I27" i="1" s="1"/>
  <c r="I31" i="1" s="1"/>
  <c r="I33" i="1" s="1"/>
  <c r="G23" i="1"/>
  <c r="G27" i="1" s="1"/>
  <c r="G31" i="1" s="1"/>
  <c r="G33" i="1" s="1"/>
  <c r="E23" i="1"/>
  <c r="E27" i="1" s="1"/>
  <c r="E31" i="1" s="1"/>
  <c r="E33" i="1" s="1"/>
  <c r="C23" i="1"/>
  <c r="C27" i="1" s="1"/>
  <c r="C31" i="1" s="1"/>
  <c r="C33" i="1" s="1"/>
  <c r="E20" i="2" l="1"/>
  <c r="F16" i="2"/>
  <c r="J26" i="2"/>
  <c r="F15" i="2"/>
  <c r="F17" i="2"/>
  <c r="D20" i="2"/>
  <c r="C20" i="2"/>
  <c r="J18" i="2" l="1"/>
  <c r="J16" i="2"/>
  <c r="D37" i="2"/>
  <c r="G20" i="2"/>
  <c r="F20" i="2"/>
  <c r="J15" i="2"/>
  <c r="J17" i="2"/>
  <c r="H16" i="2" l="1"/>
  <c r="H18" i="2"/>
  <c r="H17" i="2"/>
  <c r="I18" i="2" l="1"/>
  <c r="P18" i="2" s="1"/>
  <c r="G15" i="2"/>
  <c r="H15" i="2" s="1"/>
  <c r="I17" i="2"/>
  <c r="P17" i="2" s="1"/>
  <c r="I16" i="2"/>
  <c r="H20" i="2" l="1"/>
  <c r="I15" i="2"/>
  <c r="K16" i="2"/>
  <c r="L16" i="2" s="1"/>
  <c r="N16" i="2"/>
  <c r="P16" i="2"/>
  <c r="K17" i="2"/>
  <c r="L17" i="2" s="1"/>
  <c r="N17" i="2"/>
  <c r="K18" i="2"/>
  <c r="L18" i="2" s="1"/>
  <c r="N18" i="2"/>
  <c r="T15" i="2" l="1"/>
  <c r="T20" i="2" s="1"/>
  <c r="S15" i="2"/>
  <c r="S20" i="2" s="1"/>
  <c r="Q15" i="2"/>
  <c r="Q20" i="2" s="1"/>
  <c r="R15" i="2"/>
  <c r="R20" i="2" s="1"/>
  <c r="U15" i="2"/>
  <c r="U20" i="2" s="1"/>
  <c r="V15" i="2"/>
  <c r="V20" i="2" s="1"/>
  <c r="I20" i="2"/>
  <c r="K15" i="2"/>
  <c r="N15" i="2"/>
  <c r="N20" i="2" s="1"/>
  <c r="P15" i="2"/>
  <c r="P20" i="2" s="1"/>
  <c r="L15" i="2" l="1"/>
  <c r="K20" i="2"/>
  <c r="K37" i="2" l="1"/>
  <c r="K40" i="2" s="1"/>
  <c r="L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 Czupik</author>
  </authors>
  <commentList>
    <comment ref="E15" authorId="0" shapeId="0" xr:uid="{28EFBF8C-FD77-4FA5-896F-B9203F346EFD}">
      <text>
        <r>
          <rPr>
            <sz val="10"/>
            <color indexed="81"/>
            <rFont val="Tahoma"/>
            <family val="2"/>
          </rPr>
          <t xml:space="preserve">Source: WPE-3.2k Present NOI
</t>
        </r>
      </text>
    </comment>
    <comment ref="J20" authorId="0" shapeId="0" xr:uid="{B7024EF9-1F15-4435-AF49-40A70CF62FD1}">
      <text>
        <r>
          <rPr>
            <sz val="10"/>
            <color indexed="81"/>
            <rFont val="Tahoma"/>
            <family val="2"/>
          </rPr>
          <t xml:space="preserve">Per revenue requirement model.
</t>
        </r>
      </text>
    </comment>
  </commentList>
</comments>
</file>

<file path=xl/sharedStrings.xml><?xml version="1.0" encoding="utf-8"?>
<sst xmlns="http://schemas.openxmlformats.org/spreadsheetml/2006/main" count="162" uniqueCount="124">
  <si>
    <t>CUSTOMER CHARGE ANALYSIS / MINIMUM BILL RATIONALE</t>
  </si>
  <si>
    <t>CUSTOMER CHARGE ANALYSIS</t>
  </si>
  <si>
    <t>PAGE 1 of 1</t>
  </si>
  <si>
    <t>WORK PAPER REFERENCE NO(S).: SCHEDULE E-3.2e, WPE-4d</t>
  </si>
  <si>
    <t>WITNESS RESPONSIBLE:</t>
  </si>
  <si>
    <t/>
  </si>
  <si>
    <t>IT</t>
  </si>
  <si>
    <t>LINE</t>
  </si>
  <si>
    <t>RS</t>
  </si>
  <si>
    <t>GS</t>
  </si>
  <si>
    <t>FT-L</t>
  </si>
  <si>
    <t>INTERUPT</t>
  </si>
  <si>
    <t>NO.</t>
  </si>
  <si>
    <t>DESCRIPTION</t>
  </si>
  <si>
    <t>RESIDENTIAL</t>
  </si>
  <si>
    <t>GEN SERV</t>
  </si>
  <si>
    <t>FIRM TRANS</t>
  </si>
  <si>
    <t>TRANS</t>
  </si>
  <si>
    <t>Rate Base</t>
  </si>
  <si>
    <t>Operating Expense</t>
  </si>
  <si>
    <t>Operating Expense Plus Return</t>
  </si>
  <si>
    <t>Less: Revenue Credits</t>
  </si>
  <si>
    <t>Customer Cost Component (Revenue Requirement)</t>
  </si>
  <si>
    <t>Total Customers</t>
  </si>
  <si>
    <t>Annual Revenue / Customer</t>
  </si>
  <si>
    <t>Monthly Revenue / Customer</t>
  </si>
  <si>
    <t>WORK PAPER REFERENCE:</t>
  </si>
  <si>
    <t>WP FR-16(7)(v) - XII</t>
  </si>
  <si>
    <t>CALCULATION PROPOSED REVENUE DISTRIBUTION</t>
  </si>
  <si>
    <t>REFLECTING A PROPOSED REVENUE SUBSIDY/EXCESS ELIMINATION COMPONENT</t>
  </si>
  <si>
    <t>PAGE 1</t>
  </si>
  <si>
    <t>Present</t>
  </si>
  <si>
    <t>Inter Class</t>
  </si>
  <si>
    <t>Revenues</t>
  </si>
  <si>
    <t>Subsidization</t>
  </si>
  <si>
    <t>Rate Increase</t>
  </si>
  <si>
    <t>Proposed Revenues</t>
  </si>
  <si>
    <t>Proposed</t>
  </si>
  <si>
    <t>ROR</t>
  </si>
  <si>
    <t>Proposed Increase</t>
  </si>
  <si>
    <t>Net Operating</t>
  </si>
  <si>
    <t>At Average</t>
  </si>
  <si>
    <t>Overcollected</t>
  </si>
  <si>
    <t>times</t>
  </si>
  <si>
    <t>(allocated to class</t>
  </si>
  <si>
    <t>Percent</t>
  </si>
  <si>
    <t>At Proposed</t>
  </si>
  <si>
    <t>Less</t>
  </si>
  <si>
    <t>Inter Class Subsidization</t>
  </si>
  <si>
    <t>Line</t>
  </si>
  <si>
    <t>Income</t>
  </si>
  <si>
    <t>(Undercollected)</t>
  </si>
  <si>
    <t>based on Rate Base)</t>
  </si>
  <si>
    <t>Increase</t>
  </si>
  <si>
    <t>Rates</t>
  </si>
  <si>
    <t>(Subsidy) Excess</t>
  </si>
  <si>
    <t>Functionalized</t>
  </si>
  <si>
    <t>Classified</t>
  </si>
  <si>
    <t>No.</t>
  </si>
  <si>
    <t>Rate Class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</si>
  <si>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</si>
  <si>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</si>
  <si>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</si>
  <si>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</si>
  <si>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</si>
  <si>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</si>
  <si>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</si>
  <si>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</si>
  <si>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</si>
  <si>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</si>
  <si>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</si>
  <si>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</si>
  <si>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Total</t>
  </si>
  <si>
    <t>Production</t>
  </si>
  <si>
    <t>Storage</t>
  </si>
  <si>
    <t>Distribution</t>
  </si>
  <si>
    <t>Demand</t>
  </si>
  <si>
    <t>Commodity</t>
  </si>
  <si>
    <t>Customer</t>
  </si>
  <si>
    <t>FR-16(7)(v)-8</t>
  </si>
  <si>
    <t>WP - Pres NOI</t>
  </si>
  <si>
    <t>(C) / (A)</t>
  </si>
  <si>
    <t>(B) + (((D) Line 5 * (C))/(1-FIT))</t>
  </si>
  <si>
    <t>(B) - (E)</t>
  </si>
  <si>
    <t>(H) Line 5 * ((A) / (A) Line 5)</t>
  </si>
  <si>
    <t>(B) - (G) + (H)</t>
  </si>
  <si>
    <t>((H) - (G)) / (B)</t>
  </si>
  <si>
    <t>((((H) - (G))*(1-FIT)+ (C)) / (A)</t>
  </si>
  <si>
    <t>(H) - (G)</t>
  </si>
  <si>
    <t>100% Commodity</t>
  </si>
  <si>
    <t>Rate RS</t>
  </si>
  <si>
    <t>Rate GS</t>
  </si>
  <si>
    <t>Rate FT-L</t>
  </si>
  <si>
    <t>Rate IT</t>
  </si>
  <si>
    <t xml:space="preserve"> </t>
  </si>
  <si>
    <t xml:space="preserve">     Total</t>
  </si>
  <si>
    <t>Reduced by increase</t>
  </si>
  <si>
    <t>in reconnection charges</t>
  </si>
  <si>
    <t>Allocation Factor</t>
  </si>
  <si>
    <t>RB99</t>
  </si>
  <si>
    <t>Increase Including</t>
  </si>
  <si>
    <t>Incr to Recon Chg</t>
  </si>
  <si>
    <t xml:space="preserve">MISCELLANEOUS REVENUES: </t>
  </si>
  <si>
    <t>Interdepartmental (Incl in GS)</t>
  </si>
  <si>
    <t>Bad Check Charges</t>
  </si>
  <si>
    <t>Reconnection Charges</t>
  </si>
  <si>
    <t>Late Payment Charges</t>
  </si>
  <si>
    <t>Special Contracts (Rate FT-L)</t>
  </si>
  <si>
    <t>$851,990 increase in Spec Contract included in overall</t>
  </si>
  <si>
    <t>Other Misc</t>
  </si>
  <si>
    <t>rate incr. above</t>
  </si>
  <si>
    <t>Revenue Transp of Gas - Interco</t>
  </si>
  <si>
    <t xml:space="preserve">  Total Misc</t>
  </si>
  <si>
    <t xml:space="preserve">    Total Company</t>
  </si>
  <si>
    <t>Sch A - Adjusted Operating Revenues</t>
  </si>
  <si>
    <t>Difference</t>
  </si>
  <si>
    <t>TWELVE MONTHS ENDING DECEMBER 31, 2026</t>
  </si>
  <si>
    <t>CASE NO: 2025-00125</t>
  </si>
  <si>
    <t xml:space="preserve">TYPE OF FILING: "X" ORIGINAL   UPDATED    REVISED  </t>
  </si>
  <si>
    <t>DUKE ENERGY KENTUCKY, INC.</t>
  </si>
  <si>
    <t>DOUGLAS J. HEITKAMP</t>
  </si>
  <si>
    <t xml:space="preserve">GAS COST OF SERVICE STUDY </t>
  </si>
  <si>
    <t>DATA: 12 MONTH FORECASTED PERIOD</t>
  </si>
  <si>
    <t>Return @ 8.01%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</si>
</sst>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0.000%"/>
    <numFmt numFmtId="166" formatCode="0.000000%"/>
    <numFmt numFmtId="167" formatCode="_(&quot;$&quot;* #,##0_);_(&quot;$&quot;* \(#,##0\);_(&quot;$&quot;* &quot;-&quot;??_);_(@_)"/>
    <numFmt numFmtId="168" formatCode="_(* #,##0_);_(* \(#,##0\);_(* &quot;-&quot;??_);_(@_)"/>
  </numFmts>
  <fonts count="9">
    <font>
      <sz val="12"/>
      <name val="Arial"/>
      <family val="2"/>
    </font>
    <font>
      <sz val="12"/>
      <color rgb="FF0000FF"/>
      <name val="Arial"/>
      <family val="2"/>
    </font>
    <font>
      <sz val="10"/>
      <name val="Arial"/>
      <family val="2"/>
    </font>
    <font>
      <sz val="12"/>
      <name val="Arial MT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2" fontId="0" fillId="0" borderId="2" xfId="0" applyNumberFormat="1" applyBorder="1"/>
    <xf numFmtId="42" fontId="0" fillId="0" borderId="0" xfId="0" applyNumberFormat="1"/>
    <xf numFmtId="41" fontId="0" fillId="0" borderId="0" xfId="0" applyNumberFormat="1"/>
    <xf numFmtId="44" fontId="0" fillId="0" borderId="0" xfId="0" applyNumberFormat="1"/>
    <xf numFmtId="44" fontId="0" fillId="0" borderId="3" xfId="0" applyNumberFormat="1" applyBorder="1"/>
    <xf numFmtId="0" fontId="2" fillId="0" borderId="0" xfId="0" applyFont="1"/>
    <xf numFmtId="0" fontId="2" fillId="0" borderId="0" xfId="1" applyFont="1"/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Continuous"/>
    </xf>
    <xf numFmtId="0" fontId="6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Continuous"/>
    </xf>
    <xf numFmtId="10" fontId="5" fillId="3" borderId="0" xfId="2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2" fillId="2" borderId="7" xfId="1" applyFont="1" applyFill="1" applyBorder="1"/>
    <xf numFmtId="0" fontId="2" fillId="4" borderId="2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2" fillId="5" borderId="2" xfId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2" xfId="1" quotePrefix="1" applyFont="1" applyBorder="1" applyAlignment="1">
      <alignment horizontal="center"/>
    </xf>
    <xf numFmtId="0" fontId="7" fillId="2" borderId="7" xfId="1" quotePrefix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5" borderId="0" xfId="1" quotePrefix="1" applyFont="1" applyFill="1" applyAlignment="1">
      <alignment horizontal="center"/>
    </xf>
    <xf numFmtId="0" fontId="7" fillId="5" borderId="0" xfId="1" applyFont="1" applyFill="1" applyAlignment="1">
      <alignment horizontal="center"/>
    </xf>
    <xf numFmtId="0" fontId="7" fillId="5" borderId="9" xfId="1" quotePrefix="1" applyFont="1" applyFill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quotePrefix="1" applyFont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/>
    <xf numFmtId="0" fontId="2" fillId="4" borderId="9" xfId="0" applyFont="1" applyFill="1" applyBorder="1"/>
    <xf numFmtId="0" fontId="2" fillId="5" borderId="0" xfId="1" applyFont="1" applyFill="1"/>
    <xf numFmtId="0" fontId="2" fillId="5" borderId="9" xfId="1" applyFont="1" applyFill="1" applyBorder="1"/>
    <xf numFmtId="42" fontId="2" fillId="0" borderId="0" xfId="3" applyNumberFormat="1" applyFont="1" applyAlignment="1">
      <alignment horizontal="right"/>
    </xf>
    <xf numFmtId="42" fontId="2" fillId="0" borderId="0" xfId="3" applyNumberFormat="1" applyFont="1" applyFill="1" applyAlignment="1">
      <alignment horizontal="right"/>
    </xf>
    <xf numFmtId="164" fontId="2" fillId="0" borderId="0" xfId="4" applyNumberFormat="1" applyFont="1"/>
    <xf numFmtId="165" fontId="2" fillId="0" borderId="0" xfId="2" applyNumberFormat="1" applyFont="1" applyBorder="1"/>
    <xf numFmtId="166" fontId="2" fillId="0" borderId="0" xfId="4" applyNumberFormat="1" applyFont="1"/>
    <xf numFmtId="167" fontId="2" fillId="2" borderId="7" xfId="5" applyNumberFormat="1" applyFont="1" applyFill="1" applyBorder="1"/>
    <xf numFmtId="167" fontId="2" fillId="4" borderId="0" xfId="5" applyNumberFormat="1" applyFont="1" applyFill="1" applyBorder="1"/>
    <xf numFmtId="167" fontId="2" fillId="5" borderId="7" xfId="5" applyNumberFormat="1" applyFont="1" applyFill="1" applyBorder="1"/>
    <xf numFmtId="167" fontId="2" fillId="5" borderId="0" xfId="5" applyNumberFormat="1" applyFont="1" applyFill="1" applyBorder="1"/>
    <xf numFmtId="167" fontId="2" fillId="5" borderId="9" xfId="5" applyNumberFormat="1" applyFont="1" applyFill="1" applyBorder="1"/>
    <xf numFmtId="41" fontId="2" fillId="0" borderId="0" xfId="3" applyNumberFormat="1" applyFont="1" applyAlignment="1">
      <alignment horizontal="right"/>
    </xf>
    <xf numFmtId="41" fontId="2" fillId="0" borderId="0" xfId="3" applyNumberFormat="1" applyFont="1" applyFill="1" applyAlignment="1">
      <alignment horizontal="right"/>
    </xf>
    <xf numFmtId="168" fontId="2" fillId="2" borderId="7" xfId="1" applyNumberFormat="1" applyFont="1" applyFill="1" applyBorder="1"/>
    <xf numFmtId="168" fontId="2" fillId="4" borderId="0" xfId="1" applyNumberFormat="1" applyFont="1" applyFill="1"/>
    <xf numFmtId="168" fontId="2" fillId="4" borderId="9" xfId="1" applyNumberFormat="1" applyFont="1" applyFill="1" applyBorder="1"/>
    <xf numFmtId="168" fontId="2" fillId="5" borderId="0" xfId="1" applyNumberFormat="1" applyFont="1" applyFill="1"/>
    <xf numFmtId="168" fontId="2" fillId="5" borderId="9" xfId="1" applyNumberFormat="1" applyFont="1" applyFill="1" applyBorder="1"/>
    <xf numFmtId="41" fontId="2" fillId="0" borderId="0" xfId="3" applyNumberFormat="1" applyFont="1"/>
    <xf numFmtId="41" fontId="2" fillId="0" borderId="0" xfId="3" applyNumberFormat="1" applyFont="1" applyFill="1"/>
    <xf numFmtId="37" fontId="2" fillId="0" borderId="0" xfId="0" applyNumberFormat="1" applyFont="1"/>
    <xf numFmtId="164" fontId="2" fillId="0" borderId="0" xfId="2" applyNumberFormat="1" applyFont="1"/>
    <xf numFmtId="3" fontId="2" fillId="0" borderId="0" xfId="0" applyNumberFormat="1" applyFont="1"/>
    <xf numFmtId="37" fontId="2" fillId="0" borderId="0" xfId="5" applyNumberFormat="1" applyFont="1"/>
    <xf numFmtId="165" fontId="2" fillId="0" borderId="0" xfId="2" applyNumberFormat="1" applyFont="1"/>
    <xf numFmtId="167" fontId="2" fillId="0" borderId="10" xfId="5" applyNumberFormat="1" applyFont="1" applyBorder="1"/>
    <xf numFmtId="167" fontId="2" fillId="0" borderId="10" xfId="5" applyNumberFormat="1" applyFont="1" applyFill="1" applyBorder="1"/>
    <xf numFmtId="164" fontId="2" fillId="0" borderId="10" xfId="4" applyNumberFormat="1" applyFont="1" applyBorder="1"/>
    <xf numFmtId="165" fontId="2" fillId="0" borderId="10" xfId="4" applyNumberFormat="1" applyFont="1" applyBorder="1"/>
    <xf numFmtId="166" fontId="2" fillId="0" borderId="10" xfId="4" applyNumberFormat="1" applyFont="1" applyBorder="1"/>
    <xf numFmtId="167" fontId="2" fillId="2" borderId="11" xfId="5" applyNumberFormat="1" applyFont="1" applyFill="1" applyBorder="1"/>
    <xf numFmtId="167" fontId="2" fillId="4" borderId="10" xfId="5" applyNumberFormat="1" applyFont="1" applyFill="1" applyBorder="1"/>
    <xf numFmtId="167" fontId="2" fillId="4" borderId="12" xfId="5" applyNumberFormat="1" applyFont="1" applyFill="1" applyBorder="1"/>
    <xf numFmtId="167" fontId="2" fillId="5" borderId="10" xfId="5" applyNumberFormat="1" applyFont="1" applyFill="1" applyBorder="1"/>
    <xf numFmtId="167" fontId="2" fillId="5" borderId="12" xfId="5" applyNumberFormat="1" applyFont="1" applyFill="1" applyBorder="1"/>
    <xf numFmtId="0" fontId="2" fillId="0" borderId="1" xfId="0" applyFont="1" applyBorder="1"/>
    <xf numFmtId="167" fontId="2" fillId="0" borderId="0" xfId="0" applyNumberFormat="1" applyFont="1"/>
    <xf numFmtId="0" fontId="4" fillId="4" borderId="0" xfId="1" applyFont="1" applyFill="1" applyAlignment="1" applyProtection="1">
      <alignment horizontal="center"/>
      <protection locked="0"/>
    </xf>
    <xf numFmtId="0" fontId="2" fillId="5" borderId="0" xfId="0" applyFont="1" applyFill="1"/>
    <xf numFmtId="0" fontId="2" fillId="2" borderId="13" xfId="1" applyFont="1" applyFill="1" applyBorder="1"/>
    <xf numFmtId="0" fontId="2" fillId="4" borderId="14" xfId="0" applyFont="1" applyFill="1" applyBorder="1"/>
    <xf numFmtId="0" fontId="2" fillId="4" borderId="15" xfId="0" applyFont="1" applyFill="1" applyBorder="1"/>
    <xf numFmtId="0" fontId="2" fillId="5" borderId="14" xfId="1" applyFont="1" applyFill="1" applyBorder="1"/>
    <xf numFmtId="0" fontId="2" fillId="5" borderId="15" xfId="1" applyFont="1" applyFill="1" applyBorder="1"/>
    <xf numFmtId="0" fontId="7" fillId="0" borderId="0" xfId="0" applyFont="1"/>
    <xf numFmtId="37" fontId="5" fillId="0" borderId="0" xfId="0" applyNumberFormat="1" applyFont="1"/>
    <xf numFmtId="44" fontId="2" fillId="0" borderId="0" xfId="0" applyNumberFormat="1" applyFont="1"/>
    <xf numFmtId="6" fontId="2" fillId="0" borderId="0" xfId="0" applyNumberFormat="1" applyFont="1"/>
    <xf numFmtId="37" fontId="2" fillId="0" borderId="1" xfId="0" applyNumberFormat="1" applyFont="1" applyBorder="1"/>
    <xf numFmtId="37" fontId="2" fillId="0" borderId="3" xfId="0" applyNumberFormat="1" applyFont="1" applyBorder="1"/>
    <xf numFmtId="0" fontId="2" fillId="0" borderId="16" xfId="0" applyFont="1" applyBorder="1"/>
    <xf numFmtId="37" fontId="2" fillId="0" borderId="2" xfId="0" applyNumberFormat="1" applyFont="1" applyBorder="1"/>
  </cellXfs>
  <cellStyles count="6">
    <cellStyle name="Comma 2 2" xfId="3" xr:uid="{B8F2A461-186C-40B0-B2AB-43C90B0A0E44}"/>
    <cellStyle name="Currency 2" xfId="5" xr:uid="{9482793D-EE08-48E5-8079-AE9163AC6E3A}"/>
    <cellStyle name="Normal" xfId="0" builtinId="0"/>
    <cellStyle name="Normal 2 5" xfId="1" xr:uid="{8FA8F0E6-F3B1-4D42-931A-6BB72BD22A23}"/>
    <cellStyle name="Percent 2" xfId="2" xr:uid="{67F41758-4336-40BA-822C-D2EF56134B77}"/>
    <cellStyle name="Percent 2 2" xfId="4" xr:uid="{968DAA89-E295-4D48-A68F-FB909B16E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692AB-C05F-42DA-83DE-7FEBEBE964CF}">
  <sheetPr codeName="Sheet4">
    <tabColor theme="4" tint="0.59999389629810485"/>
    <pageSetUpPr fitToPage="1"/>
  </sheetPr>
  <dimension ref="A1:I34"/>
  <sheetViews>
    <sheetView tabSelected="1" view="pageLayout" zoomScaleNormal="80" workbookViewId="0">
      <selection activeCell="E3" sqref="E3"/>
    </sheetView>
  </sheetViews>
  <sheetFormatPr defaultRowHeight="15"/>
  <cols>
    <col min="1" max="1" width="5.44140625" customWidth="1"/>
    <col min="2" max="2" width="45.77734375" customWidth="1"/>
    <col min="3" max="3" width="15.77734375" customWidth="1"/>
    <col min="4" max="4" width="1.5546875" customWidth="1"/>
    <col min="5" max="5" width="15.77734375" customWidth="1"/>
    <col min="6" max="6" width="1.5546875" customWidth="1"/>
    <col min="7" max="7" width="15.77734375" customWidth="1"/>
    <col min="8" max="8" width="1.5546875" customWidth="1"/>
    <col min="9" max="9" width="15.77734375" customWidth="1"/>
  </cols>
  <sheetData>
    <row r="1" spans="1:9">
      <c r="A1" s="1" t="s">
        <v>119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117</v>
      </c>
      <c r="B2" s="1"/>
      <c r="C2" s="1"/>
      <c r="D2" s="1"/>
      <c r="E2" s="1"/>
      <c r="F2" s="1"/>
      <c r="G2" s="1"/>
      <c r="H2" s="1"/>
      <c r="I2" s="1"/>
    </row>
    <row r="3" spans="1:9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9">
      <c r="A4" s="1" t="s">
        <v>116</v>
      </c>
      <c r="B4" s="1"/>
      <c r="C4" s="1"/>
      <c r="D4" s="1"/>
      <c r="E4" s="1"/>
      <c r="F4" s="1"/>
      <c r="G4" s="1"/>
      <c r="H4" s="1"/>
      <c r="I4" s="1"/>
    </row>
    <row r="7" spans="1:9">
      <c r="A7" t="s">
        <v>122</v>
      </c>
      <c r="G7" t="s">
        <v>1</v>
      </c>
    </row>
    <row r="8" spans="1:9">
      <c r="A8" t="s">
        <v>118</v>
      </c>
      <c r="G8" t="s">
        <v>2</v>
      </c>
      <c r="H8" s="2"/>
    </row>
    <row r="9" spans="1:9">
      <c r="A9" s="2" t="s">
        <v>3</v>
      </c>
      <c r="G9" t="s">
        <v>4</v>
      </c>
    </row>
    <row r="10" spans="1:9">
      <c r="G10" t="s">
        <v>120</v>
      </c>
    </row>
    <row r="13" spans="1:9">
      <c r="A13" s="3"/>
      <c r="B13" s="3"/>
      <c r="C13" s="4" t="s">
        <v>5</v>
      </c>
      <c r="D13" s="4"/>
      <c r="E13" s="4" t="s">
        <v>5</v>
      </c>
      <c r="F13" s="4"/>
      <c r="G13" s="4" t="s">
        <v>5</v>
      </c>
      <c r="H13" s="4"/>
      <c r="I13" s="5" t="s">
        <v>6</v>
      </c>
    </row>
    <row r="14" spans="1:9">
      <c r="A14" s="6" t="s">
        <v>7</v>
      </c>
      <c r="B14" s="6"/>
      <c r="C14" s="7" t="s">
        <v>8</v>
      </c>
      <c r="D14" s="7"/>
      <c r="E14" s="7" t="s">
        <v>9</v>
      </c>
      <c r="F14" s="7"/>
      <c r="G14" s="7" t="s">
        <v>10</v>
      </c>
      <c r="H14" s="7"/>
      <c r="I14" s="7" t="s">
        <v>11</v>
      </c>
    </row>
    <row r="15" spans="1:9">
      <c r="A15" s="8" t="s">
        <v>12</v>
      </c>
      <c r="B15" s="8" t="s">
        <v>13</v>
      </c>
      <c r="C15" s="9" t="s">
        <v>14</v>
      </c>
      <c r="D15" s="9"/>
      <c r="E15" s="9" t="s">
        <v>15</v>
      </c>
      <c r="F15" s="9"/>
      <c r="G15" s="9" t="s">
        <v>16</v>
      </c>
      <c r="H15" s="9"/>
      <c r="I15" s="9" t="s">
        <v>17</v>
      </c>
    </row>
    <row r="17" spans="1:9">
      <c r="A17" s="6">
        <v>1</v>
      </c>
      <c r="B17" t="s">
        <v>18</v>
      </c>
      <c r="C17" s="10">
        <v>189278382</v>
      </c>
      <c r="D17" s="11"/>
      <c r="E17" s="10">
        <v>32632912</v>
      </c>
      <c r="F17" s="11"/>
      <c r="G17" s="10">
        <v>1877758</v>
      </c>
      <c r="H17" s="11"/>
      <c r="I17" s="10">
        <v>460036</v>
      </c>
    </row>
    <row r="18" spans="1:9">
      <c r="A18" s="6"/>
    </row>
    <row r="19" spans="1:9">
      <c r="A19" s="6">
        <v>2</v>
      </c>
      <c r="B19" t="s">
        <v>19</v>
      </c>
      <c r="C19" s="11">
        <v>24404108</v>
      </c>
      <c r="D19" s="11"/>
      <c r="E19" s="11">
        <v>3692383</v>
      </c>
      <c r="F19" s="11"/>
      <c r="G19" s="11">
        <v>285525</v>
      </c>
      <c r="H19" s="11"/>
      <c r="I19" s="11">
        <v>68887</v>
      </c>
    </row>
    <row r="20" spans="1:9">
      <c r="A20" s="6"/>
    </row>
    <row r="21" spans="1:9">
      <c r="A21" s="6">
        <v>3</v>
      </c>
      <c r="B21" t="s">
        <v>123</v>
      </c>
      <c r="C21" s="10">
        <v>15163091</v>
      </c>
      <c r="D21" s="11"/>
      <c r="E21" s="10">
        <v>2614223</v>
      </c>
      <c r="F21" s="11"/>
      <c r="G21" s="10">
        <v>150427</v>
      </c>
      <c r="H21" s="11"/>
      <c r="I21" s="10">
        <v>36853</v>
      </c>
    </row>
    <row r="22" spans="1:9">
      <c r="A22" s="6"/>
    </row>
    <row r="23" spans="1:9">
      <c r="A23" s="6">
        <v>4</v>
      </c>
      <c r="B23" t="s">
        <v>20</v>
      </c>
      <c r="C23" s="11">
        <f>C19+C21</f>
        <v>39567199</v>
      </c>
      <c r="D23" s="11"/>
      <c r="E23" s="11">
        <f>E19+E21</f>
        <v>6306606</v>
      </c>
      <c r="F23" s="11"/>
      <c r="G23" s="11">
        <f>G19+G21</f>
        <v>435952</v>
      </c>
      <c r="H23" s="11"/>
      <c r="I23" s="11">
        <f>I19+I21</f>
        <v>105740</v>
      </c>
    </row>
    <row r="24" spans="1:9">
      <c r="A24" s="6"/>
    </row>
    <row r="25" spans="1:9">
      <c r="A25" s="6">
        <v>5</v>
      </c>
      <c r="B25" t="s">
        <v>21</v>
      </c>
      <c r="C25" s="11">
        <v>681745</v>
      </c>
      <c r="D25" s="11"/>
      <c r="E25" s="11">
        <v>68193</v>
      </c>
      <c r="F25" s="11"/>
      <c r="G25" s="11">
        <v>4666</v>
      </c>
      <c r="H25" s="11"/>
      <c r="I25" s="11">
        <v>1062</v>
      </c>
    </row>
    <row r="26" spans="1:9">
      <c r="A26" s="6"/>
    </row>
    <row r="27" spans="1:9">
      <c r="A27" s="6">
        <v>6</v>
      </c>
      <c r="B27" t="s">
        <v>22</v>
      </c>
      <c r="C27" s="11">
        <f>C23-C25</f>
        <v>38885454</v>
      </c>
      <c r="D27" s="11"/>
      <c r="E27" s="11">
        <f>E23-E25</f>
        <v>6238413</v>
      </c>
      <c r="F27" s="11"/>
      <c r="G27" s="11">
        <f>G23-G25</f>
        <v>431286</v>
      </c>
      <c r="H27" s="11"/>
      <c r="I27" s="11">
        <f>I23-I25</f>
        <v>104678</v>
      </c>
    </row>
    <row r="28" spans="1:9">
      <c r="A28" s="6"/>
    </row>
    <row r="29" spans="1:9">
      <c r="A29" s="6">
        <v>7</v>
      </c>
      <c r="B29" t="s">
        <v>23</v>
      </c>
      <c r="C29" s="12">
        <v>98278</v>
      </c>
      <c r="D29" s="12"/>
      <c r="E29" s="12">
        <v>7417</v>
      </c>
      <c r="F29" s="12"/>
      <c r="G29" s="12">
        <v>135</v>
      </c>
      <c r="H29" s="12"/>
      <c r="I29" s="12">
        <v>19</v>
      </c>
    </row>
    <row r="30" spans="1:9">
      <c r="A30" s="6"/>
    </row>
    <row r="31" spans="1:9">
      <c r="A31" s="6">
        <v>8</v>
      </c>
      <c r="B31" t="s">
        <v>24</v>
      </c>
      <c r="C31" s="13">
        <f>ROUND(C27/C29,2)</f>
        <v>395.67</v>
      </c>
      <c r="D31" s="13"/>
      <c r="E31" s="13">
        <f>ROUND(E27/E29,2)</f>
        <v>841.1</v>
      </c>
      <c r="F31" s="13"/>
      <c r="G31" s="13">
        <f>ROUND(G27/G29,2)</f>
        <v>3194.71</v>
      </c>
      <c r="H31" s="13"/>
      <c r="I31" s="13">
        <f>ROUND(I27/I29,2)</f>
        <v>5509.37</v>
      </c>
    </row>
    <row r="32" spans="1:9">
      <c r="A32" s="6"/>
    </row>
    <row r="33" spans="1:9" ht="15.75" thickBot="1">
      <c r="A33" s="6">
        <v>9</v>
      </c>
      <c r="B33" t="s">
        <v>25</v>
      </c>
      <c r="C33" s="14">
        <f>ROUND(C31/12,2)</f>
        <v>32.97</v>
      </c>
      <c r="D33" s="13"/>
      <c r="E33" s="14">
        <f>ROUND(E31/12,2)</f>
        <v>70.09</v>
      </c>
      <c r="F33" s="13"/>
      <c r="G33" s="14">
        <f>ROUND(G31/12,2)</f>
        <v>266.23</v>
      </c>
      <c r="H33" s="13"/>
      <c r="I33" s="14">
        <f>ROUND(I31/12,2)</f>
        <v>459.11</v>
      </c>
    </row>
    <row r="34" spans="1:9" ht="15.75" thickTop="1"/>
  </sheetData>
  <pageMargins left="1" right="1" top="1" bottom="1" header="0.25" footer="0"/>
  <pageSetup scale="80" orientation="landscape" r:id="rId1"/>
  <headerFooter>
    <oddHeader>&amp;R&amp;"Times New Roman,Bold"&amp;10KyPSC Case No. 2025-00125
STAFF-DR-03-014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5AB2-4747-49C2-BD19-E904CD0D0B13}">
  <sheetPr codeName="Sheet6">
    <tabColor rgb="FFFF6600"/>
    <pageSetUpPr fitToPage="1"/>
  </sheetPr>
  <dimension ref="A1:V63"/>
  <sheetViews>
    <sheetView view="pageLayout" zoomScaleNormal="90" workbookViewId="0">
      <selection activeCell="N5" sqref="N5"/>
    </sheetView>
  </sheetViews>
  <sheetFormatPr defaultColWidth="12.77734375" defaultRowHeight="12.75"/>
  <cols>
    <col min="1" max="1" width="5.109375" style="15" customWidth="1"/>
    <col min="2" max="2" width="15.21875" style="15" customWidth="1"/>
    <col min="3" max="9" width="12.77734375" style="15"/>
    <col min="10" max="10" width="15.44140625" style="15" customWidth="1"/>
    <col min="11" max="11" width="14.109375" style="15" customWidth="1"/>
    <col min="12" max="15" width="12.77734375" style="15"/>
    <col min="16" max="16" width="0" style="15" hidden="1" customWidth="1"/>
    <col min="17" max="17" width="9.21875" style="15" hidden="1" customWidth="1"/>
    <col min="18" max="18" width="10.44140625" style="15" hidden="1" customWidth="1"/>
    <col min="19" max="22" width="0" style="15" hidden="1" customWidth="1"/>
    <col min="23" max="16384" width="12.77734375" style="15"/>
  </cols>
  <sheetData>
    <row r="1" spans="1:22">
      <c r="A1" s="15" t="s">
        <v>119</v>
      </c>
      <c r="M1" s="16" t="s">
        <v>26</v>
      </c>
    </row>
    <row r="2" spans="1:22">
      <c r="A2" s="15" t="s">
        <v>121</v>
      </c>
      <c r="M2" s="16" t="s">
        <v>27</v>
      </c>
    </row>
    <row r="3" spans="1:22">
      <c r="A3" s="15" t="s">
        <v>117</v>
      </c>
      <c r="M3" s="16" t="s">
        <v>4</v>
      </c>
    </row>
    <row r="4" spans="1:22">
      <c r="A4" s="15" t="s">
        <v>28</v>
      </c>
      <c r="M4" s="16" t="s">
        <v>120</v>
      </c>
    </row>
    <row r="5" spans="1:22">
      <c r="A5" s="15" t="s">
        <v>29</v>
      </c>
      <c r="M5" s="16" t="s">
        <v>30</v>
      </c>
    </row>
    <row r="8" spans="1:22">
      <c r="G8" s="17" t="s">
        <v>31</v>
      </c>
      <c r="H8" s="18" t="s">
        <v>32</v>
      </c>
      <c r="I8" s="18" t="s">
        <v>32</v>
      </c>
    </row>
    <row r="9" spans="1:22" ht="13.5" thickBot="1">
      <c r="A9" s="17"/>
      <c r="B9" s="17"/>
      <c r="C9" s="17"/>
      <c r="D9" s="17"/>
      <c r="E9" s="17"/>
      <c r="F9" s="17"/>
      <c r="G9" s="17" t="s">
        <v>33</v>
      </c>
      <c r="H9" s="18" t="s">
        <v>34</v>
      </c>
      <c r="I9" s="18" t="s">
        <v>34</v>
      </c>
      <c r="J9" s="17" t="s">
        <v>35</v>
      </c>
      <c r="K9" s="19" t="s">
        <v>36</v>
      </c>
      <c r="L9" s="17" t="s">
        <v>37</v>
      </c>
      <c r="M9" s="17" t="s">
        <v>38</v>
      </c>
      <c r="N9" s="19" t="s">
        <v>39</v>
      </c>
    </row>
    <row r="10" spans="1:22" ht="13.5" thickBot="1">
      <c r="A10" s="17"/>
      <c r="B10" s="17"/>
      <c r="C10" s="17"/>
      <c r="D10" s="17" t="s">
        <v>31</v>
      </c>
      <c r="E10" s="17" t="s">
        <v>40</v>
      </c>
      <c r="F10" s="17" t="s">
        <v>31</v>
      </c>
      <c r="G10" s="17" t="s">
        <v>41</v>
      </c>
      <c r="H10" s="17" t="s">
        <v>42</v>
      </c>
      <c r="I10" s="18" t="s">
        <v>43</v>
      </c>
      <c r="J10" s="17" t="s">
        <v>44</v>
      </c>
      <c r="K10" s="20" t="str">
        <f>TEXT(1-I11,"0.00%")&amp;"  Interclass"</f>
        <v>0.00%  Interclass</v>
      </c>
      <c r="L10" s="17" t="s">
        <v>45</v>
      </c>
      <c r="M10" s="17" t="s">
        <v>46</v>
      </c>
      <c r="N10" s="19" t="s">
        <v>47</v>
      </c>
      <c r="P10" s="21" t="s">
        <v>48</v>
      </c>
      <c r="Q10" s="22"/>
      <c r="R10" s="22"/>
      <c r="S10" s="23"/>
      <c r="T10" s="23"/>
      <c r="U10" s="23"/>
      <c r="V10" s="24"/>
    </row>
    <row r="11" spans="1:22">
      <c r="A11" s="17" t="s">
        <v>49</v>
      </c>
      <c r="B11" s="17"/>
      <c r="C11" s="17" t="s">
        <v>18</v>
      </c>
      <c r="D11" s="17" t="s">
        <v>33</v>
      </c>
      <c r="E11" s="17" t="s">
        <v>50</v>
      </c>
      <c r="F11" s="17" t="s">
        <v>38</v>
      </c>
      <c r="G11" s="17" t="s">
        <v>38</v>
      </c>
      <c r="H11" s="17" t="s">
        <v>51</v>
      </c>
      <c r="I11" s="25">
        <v>1</v>
      </c>
      <c r="J11" s="17" t="s">
        <v>52</v>
      </c>
      <c r="K11" s="26" t="s">
        <v>34</v>
      </c>
      <c r="L11" s="17" t="s">
        <v>53</v>
      </c>
      <c r="M11" s="17" t="s">
        <v>54</v>
      </c>
      <c r="N11" s="19" t="s">
        <v>55</v>
      </c>
      <c r="P11" s="27"/>
      <c r="Q11" s="28" t="s">
        <v>56</v>
      </c>
      <c r="R11" s="28"/>
      <c r="S11" s="29"/>
      <c r="T11" s="30" t="s">
        <v>57</v>
      </c>
      <c r="U11" s="30"/>
      <c r="V11" s="31"/>
    </row>
    <row r="12" spans="1:22">
      <c r="A12" s="32" t="s">
        <v>58</v>
      </c>
      <c r="B12" s="32" t="s">
        <v>59</v>
      </c>
      <c r="C12" s="32" t="s">
        <v>60</v>
      </c>
      <c r="D12" s="32" t="s">
        <v>61</v>
      </c>
      <c r="E12" s="32" t="s">
        <v>62</v>
      </c>
      <c r="F12" s="32" t="s">
        <v>63</v>
      </c>
      <c r="G12" s="32" t="s">
        <v>64</v>
      </c>
      <c r="H12" s="32" t="s">
        <v>65</v>
      </c>
      <c r="I12" s="32" t="s">
        <v>66</v>
      </c>
      <c r="J12" s="32" t="s">
        <v>67</v>
      </c>
      <c r="K12" s="32" t="s">
        <v>68</v>
      </c>
      <c r="L12" s="32" t="s">
        <v>69</v>
      </c>
      <c r="M12" s="32" t="s">
        <v>70</v>
      </c>
      <c r="N12" s="33" t="s">
        <v>71</v>
      </c>
      <c r="P12" s="34" t="s">
        <v>72</v>
      </c>
      <c r="Q12" s="35" t="s">
        <v>73</v>
      </c>
      <c r="R12" s="35" t="s">
        <v>74</v>
      </c>
      <c r="S12" s="36" t="s">
        <v>75</v>
      </c>
      <c r="T12" s="37" t="s">
        <v>76</v>
      </c>
      <c r="U12" s="38" t="s">
        <v>77</v>
      </c>
      <c r="V12" s="39" t="s">
        <v>78</v>
      </c>
    </row>
    <row r="13" spans="1:22" ht="25.5">
      <c r="A13" s="17"/>
      <c r="B13" s="17"/>
      <c r="C13" s="17" t="s">
        <v>79</v>
      </c>
      <c r="D13" s="17" t="s">
        <v>79</v>
      </c>
      <c r="E13" s="17" t="s">
        <v>80</v>
      </c>
      <c r="F13" s="17" t="s">
        <v>81</v>
      </c>
      <c r="G13" s="40" t="s">
        <v>82</v>
      </c>
      <c r="H13" s="41" t="s">
        <v>83</v>
      </c>
      <c r="I13" s="17" t="str">
        <f>H12&amp;" * "&amp;TEXT(I11,"0.00%")</f>
        <v>(F) * 100.00%</v>
      </c>
      <c r="J13" s="40" t="s">
        <v>84</v>
      </c>
      <c r="K13" s="41" t="s">
        <v>85</v>
      </c>
      <c r="L13" s="19" t="s">
        <v>86</v>
      </c>
      <c r="M13" s="40" t="s">
        <v>87</v>
      </c>
      <c r="N13" s="41" t="s">
        <v>88</v>
      </c>
      <c r="P13" s="27"/>
      <c r="Q13" s="42" t="s">
        <v>89</v>
      </c>
      <c r="R13" s="43"/>
      <c r="S13" s="44"/>
      <c r="T13" s="45"/>
      <c r="U13" s="45"/>
      <c r="V13" s="46"/>
    </row>
    <row r="14" spans="1:22">
      <c r="P14" s="27"/>
      <c r="Q14" s="43"/>
      <c r="R14" s="43"/>
      <c r="S14" s="44"/>
      <c r="T14" s="45"/>
      <c r="U14" s="45"/>
      <c r="V14" s="46"/>
    </row>
    <row r="15" spans="1:22">
      <c r="A15" s="17">
        <v>1</v>
      </c>
      <c r="B15" s="15" t="s">
        <v>90</v>
      </c>
      <c r="C15" s="47">
        <v>357814499</v>
      </c>
      <c r="D15" s="48">
        <v>94137279</v>
      </c>
      <c r="E15" s="47">
        <v>15720119</v>
      </c>
      <c r="F15" s="49">
        <f>IF(C15=0,0,ROUND(E15/C15,6))</f>
        <v>4.3934000000000001E-2</v>
      </c>
      <c r="G15" s="47">
        <f>G20-SUM(G16:G19)</f>
        <v>94321452</v>
      </c>
      <c r="H15" s="47">
        <f>D15-G15</f>
        <v>-184173</v>
      </c>
      <c r="I15" s="47">
        <f>0-SUM(I16:I19)</f>
        <v>-184173</v>
      </c>
      <c r="J15" s="47">
        <f>(ROUND(C15/C$20,10)*$J$20)</f>
        <v>17046874.451086108</v>
      </c>
      <c r="K15" s="47">
        <f>D15-I15+J15</f>
        <v>111368326.4510861</v>
      </c>
      <c r="L15" s="50">
        <f>IF(K15=0,0,ROUND((K15-D15)/D15,6))</f>
        <v>0.18304200000000001</v>
      </c>
      <c r="M15" s="51">
        <v>8.1977240000000007E-2</v>
      </c>
      <c r="N15" s="47">
        <f>J15-I15</f>
        <v>17231047.451086108</v>
      </c>
      <c r="P15" s="52">
        <f>H15-I15</f>
        <v>0</v>
      </c>
      <c r="Q15" s="53">
        <f t="shared" ref="Q15:V15" si="0">-SUM(Q16:Q18)</f>
        <v>0</v>
      </c>
      <c r="R15" s="53">
        <f t="shared" si="0"/>
        <v>0</v>
      </c>
      <c r="S15" s="53">
        <f t="shared" si="0"/>
        <v>0</v>
      </c>
      <c r="T15" s="54">
        <f t="shared" si="0"/>
        <v>0</v>
      </c>
      <c r="U15" s="55">
        <f t="shared" si="0"/>
        <v>0</v>
      </c>
      <c r="V15" s="56">
        <f t="shared" si="0"/>
        <v>0</v>
      </c>
    </row>
    <row r="16" spans="1:22">
      <c r="A16" s="17">
        <v>2</v>
      </c>
      <c r="B16" s="15" t="s">
        <v>91</v>
      </c>
      <c r="C16" s="57">
        <v>141969246</v>
      </c>
      <c r="D16" s="58">
        <v>40671741</v>
      </c>
      <c r="E16" s="57">
        <v>4246082</v>
      </c>
      <c r="F16" s="49">
        <f>IF(C16=0,0,ROUND(E16/C16,6))</f>
        <v>2.9908000000000001E-2</v>
      </c>
      <c r="G16" s="57">
        <v>43265263</v>
      </c>
      <c r="H16" s="57">
        <f>D16-G16</f>
        <v>-2593522</v>
      </c>
      <c r="I16" s="57">
        <f>ROUND(H16*$I$11,0)</f>
        <v>-2593522</v>
      </c>
      <c r="J16" s="57">
        <f>(ROUND(C16/C$20,10)*$J$20)</f>
        <v>6763649.6546180034</v>
      </c>
      <c r="K16" s="57">
        <f>D16-I16+J16</f>
        <v>50028912.654618002</v>
      </c>
      <c r="L16" s="50">
        <f>IF(K16=0,0,ROUND((K16-D16)/D16,6))</f>
        <v>0.23006599999999999</v>
      </c>
      <c r="M16" s="51">
        <v>8.1977240000000007E-2</v>
      </c>
      <c r="N16" s="57">
        <f>J16-I16</f>
        <v>9357171.6546180025</v>
      </c>
      <c r="P16" s="59">
        <f>H16-I16</f>
        <v>0</v>
      </c>
      <c r="Q16" s="60">
        <v>0</v>
      </c>
      <c r="R16" s="60">
        <v>0</v>
      </c>
      <c r="S16" s="61">
        <v>0</v>
      </c>
      <c r="T16" s="62">
        <v>0</v>
      </c>
      <c r="U16" s="62">
        <v>0</v>
      </c>
      <c r="V16" s="63">
        <v>0</v>
      </c>
    </row>
    <row r="17" spans="1:22">
      <c r="A17" s="17">
        <v>3</v>
      </c>
      <c r="B17" s="15" t="s">
        <v>92</v>
      </c>
      <c r="C17" s="64">
        <v>43563893</v>
      </c>
      <c r="D17" s="65">
        <v>7347846</v>
      </c>
      <c r="E17" s="64">
        <v>3488183</v>
      </c>
      <c r="F17" s="49">
        <f>IF(C17=0,0,ROUND(E17/C17,6))</f>
        <v>8.0071000000000003E-2</v>
      </c>
      <c r="G17" s="64">
        <v>5377535</v>
      </c>
      <c r="H17" s="64">
        <f>D17-G17</f>
        <v>1970311</v>
      </c>
      <c r="I17" s="64">
        <f>ROUND(H17*$I$11,0)</f>
        <v>1970311</v>
      </c>
      <c r="J17" s="64">
        <f>(ROUND(C17/C$20,10)*$J$20)</f>
        <v>2075455.9036987138</v>
      </c>
      <c r="K17" s="64">
        <f>D17-I17+J17</f>
        <v>7452990.9036987135</v>
      </c>
      <c r="L17" s="50">
        <f>IF(K17=0,0,ROUND((K17-D17)/D17,6))</f>
        <v>1.431E-2</v>
      </c>
      <c r="M17" s="51">
        <v>8.1977229999999998E-2</v>
      </c>
      <c r="N17" s="64">
        <f>J17-I17</f>
        <v>105144.90369871375</v>
      </c>
      <c r="P17" s="59">
        <f>H17-I17</f>
        <v>0</v>
      </c>
      <c r="Q17" s="60">
        <v>0</v>
      </c>
      <c r="R17" s="60">
        <v>0</v>
      </c>
      <c r="S17" s="61">
        <v>0</v>
      </c>
      <c r="T17" s="62">
        <v>0</v>
      </c>
      <c r="U17" s="62">
        <v>0</v>
      </c>
      <c r="V17" s="63">
        <v>0</v>
      </c>
    </row>
    <row r="18" spans="1:22">
      <c r="A18" s="17">
        <v>4</v>
      </c>
      <c r="B18" s="15" t="s">
        <v>93</v>
      </c>
      <c r="C18" s="64">
        <v>10483655</v>
      </c>
      <c r="D18" s="65">
        <v>1967238</v>
      </c>
      <c r="E18" s="64">
        <v>1102682</v>
      </c>
      <c r="F18" s="49">
        <f>IF(C18=0,0,ROUND(E18/C18,6))</f>
        <v>0.105181</v>
      </c>
      <c r="G18" s="64">
        <v>1159854</v>
      </c>
      <c r="H18" s="64">
        <f>D18-G18</f>
        <v>807384</v>
      </c>
      <c r="I18" s="64">
        <f>ROUND(H18*$I$11,0)</f>
        <v>807384</v>
      </c>
      <c r="J18" s="64">
        <f>(ROUND(C18/C$20,10)*$J$20)</f>
        <v>499458.659935401</v>
      </c>
      <c r="K18" s="64">
        <f>D18-I18+J18</f>
        <v>1659312.6599354011</v>
      </c>
      <c r="L18" s="50">
        <f>IF(K18=0,0,ROUND((K18-D18)/D18,6))</f>
        <v>-0.156527</v>
      </c>
      <c r="M18" s="51">
        <v>8.1977229999999998E-2</v>
      </c>
      <c r="N18" s="64">
        <f>J18-I18</f>
        <v>-307925.340064599</v>
      </c>
      <c r="P18" s="59">
        <f>H18-I18</f>
        <v>0</v>
      </c>
      <c r="Q18" s="60">
        <v>0</v>
      </c>
      <c r="R18" s="60">
        <v>0</v>
      </c>
      <c r="S18" s="61">
        <v>0</v>
      </c>
      <c r="T18" s="62">
        <v>0</v>
      </c>
      <c r="U18" s="62">
        <v>0</v>
      </c>
      <c r="V18" s="63">
        <v>0</v>
      </c>
    </row>
    <row r="19" spans="1:22">
      <c r="A19" s="17" t="s">
        <v>94</v>
      </c>
      <c r="B19" s="15" t="s">
        <v>94</v>
      </c>
      <c r="C19" s="66" t="s">
        <v>94</v>
      </c>
      <c r="D19" s="66" t="s">
        <v>94</v>
      </c>
      <c r="E19" s="66" t="s">
        <v>94</v>
      </c>
      <c r="F19" s="67" t="s">
        <v>94</v>
      </c>
      <c r="G19" s="68" t="s">
        <v>94</v>
      </c>
      <c r="H19" s="66" t="s">
        <v>94</v>
      </c>
      <c r="I19" s="66" t="s">
        <v>94</v>
      </c>
      <c r="J19" s="66" t="s">
        <v>94</v>
      </c>
      <c r="K19" s="69" t="s">
        <v>94</v>
      </c>
      <c r="L19" s="70" t="s">
        <v>94</v>
      </c>
      <c r="M19" s="51"/>
      <c r="P19" s="59" t="str">
        <f>I19</f>
        <v xml:space="preserve"> </v>
      </c>
      <c r="Q19" s="43"/>
      <c r="R19" s="43"/>
      <c r="S19" s="44"/>
      <c r="T19" s="62"/>
      <c r="U19" s="62"/>
      <c r="V19" s="63"/>
    </row>
    <row r="20" spans="1:22" ht="13.5" thickBot="1">
      <c r="A20" s="17">
        <v>5</v>
      </c>
      <c r="B20" s="15" t="s">
        <v>95</v>
      </c>
      <c r="C20" s="71">
        <f>SUM(C15:C19)</f>
        <v>553831293</v>
      </c>
      <c r="D20" s="72">
        <f>SUM(D15:D18)</f>
        <v>144124104</v>
      </c>
      <c r="E20" s="71">
        <f>SUM(E15:E19)</f>
        <v>24557066</v>
      </c>
      <c r="F20" s="73">
        <f>ROUND(E20/C20,9)</f>
        <v>4.4340337000000001E-2</v>
      </c>
      <c r="G20" s="71">
        <f>D20</f>
        <v>144124104</v>
      </c>
      <c r="H20" s="71">
        <f>SUM(H15:H19)</f>
        <v>0</v>
      </c>
      <c r="I20" s="71">
        <f>SUM(I15:I19)</f>
        <v>0</v>
      </c>
      <c r="J20" s="72">
        <v>26385438.669338226</v>
      </c>
      <c r="K20" s="71">
        <f>SUM(K15:K19)</f>
        <v>170509542.66933823</v>
      </c>
      <c r="L20" s="74">
        <f>ROUND((K20-D20)/D20,6)</f>
        <v>0.18307399999999999</v>
      </c>
      <c r="M20" s="75">
        <v>8.1977240000000007E-2</v>
      </c>
      <c r="N20" s="72">
        <f>SUM(N15:N19)</f>
        <v>26385438.669338223</v>
      </c>
      <c r="P20" s="76">
        <f t="shared" ref="P20:V20" si="1">SUM(P15:P19)</f>
        <v>0</v>
      </c>
      <c r="Q20" s="77">
        <f t="shared" si="1"/>
        <v>0</v>
      </c>
      <c r="R20" s="77">
        <f t="shared" si="1"/>
        <v>0</v>
      </c>
      <c r="S20" s="78">
        <f t="shared" si="1"/>
        <v>0</v>
      </c>
      <c r="T20" s="79">
        <f t="shared" si="1"/>
        <v>0</v>
      </c>
      <c r="U20" s="79">
        <f t="shared" si="1"/>
        <v>0</v>
      </c>
      <c r="V20" s="80">
        <f t="shared" si="1"/>
        <v>0</v>
      </c>
    </row>
    <row r="21" spans="1:22" ht="13.5" thickTop="1">
      <c r="C21" s="81"/>
      <c r="D21" s="81"/>
      <c r="E21" s="81"/>
      <c r="F21" s="81"/>
      <c r="G21" s="81"/>
      <c r="H21" s="81"/>
      <c r="I21" s="81"/>
      <c r="J21" s="81" t="s">
        <v>96</v>
      </c>
      <c r="K21" s="81"/>
      <c r="L21" s="81"/>
      <c r="M21" s="81"/>
      <c r="P21" s="27"/>
      <c r="Q21" s="43"/>
      <c r="R21" s="43"/>
      <c r="S21" s="44"/>
      <c r="T21" s="45"/>
      <c r="U21" s="45"/>
      <c r="V21" s="46"/>
    </row>
    <row r="22" spans="1:22">
      <c r="J22" s="15" t="s">
        <v>97</v>
      </c>
      <c r="K22" s="82"/>
      <c r="P22" s="27" t="s">
        <v>98</v>
      </c>
      <c r="Q22" s="83" t="s">
        <v>99</v>
      </c>
      <c r="R22" s="43"/>
      <c r="S22" s="44"/>
      <c r="T22" s="84"/>
      <c r="U22" s="84"/>
      <c r="V22" s="46"/>
    </row>
    <row r="23" spans="1:22" ht="13.5" thickBot="1">
      <c r="P23" s="85"/>
      <c r="Q23" s="86"/>
      <c r="R23" s="86"/>
      <c r="S23" s="87"/>
      <c r="T23" s="88"/>
      <c r="U23" s="88"/>
      <c r="V23" s="89"/>
    </row>
    <row r="24" spans="1:22">
      <c r="J24" s="15" t="s">
        <v>100</v>
      </c>
    </row>
    <row r="25" spans="1:22">
      <c r="J25" s="15" t="s">
        <v>101</v>
      </c>
    </row>
    <row r="26" spans="1:22">
      <c r="J26" s="82">
        <f>J20+K30-D30</f>
        <v>26387363.669338226</v>
      </c>
    </row>
    <row r="27" spans="1:22">
      <c r="B27" s="90" t="s">
        <v>102</v>
      </c>
    </row>
    <row r="28" spans="1:22">
      <c r="A28" s="17">
        <v>6</v>
      </c>
      <c r="B28" s="15" t="s">
        <v>103</v>
      </c>
      <c r="D28" s="91">
        <v>0</v>
      </c>
      <c r="I28" s="15" t="s">
        <v>103</v>
      </c>
      <c r="K28" s="66">
        <f>D28</f>
        <v>0</v>
      </c>
    </row>
    <row r="29" spans="1:22">
      <c r="A29" s="17">
        <v>7</v>
      </c>
      <c r="B29" s="15" t="s">
        <v>104</v>
      </c>
      <c r="D29" s="91">
        <v>21480</v>
      </c>
      <c r="I29" s="15" t="s">
        <v>104</v>
      </c>
      <c r="K29" s="66">
        <f t="shared" ref="K29:K33" si="2">D29</f>
        <v>21480</v>
      </c>
    </row>
    <row r="30" spans="1:22">
      <c r="A30" s="17">
        <v>8</v>
      </c>
      <c r="B30" s="15" t="s">
        <v>105</v>
      </c>
      <c r="D30" s="91">
        <v>8664</v>
      </c>
      <c r="I30" s="15" t="s">
        <v>105</v>
      </c>
      <c r="K30" s="91">
        <v>10589</v>
      </c>
      <c r="M30" s="92"/>
    </row>
    <row r="31" spans="1:22">
      <c r="A31" s="17">
        <v>9</v>
      </c>
      <c r="B31" s="15" t="s">
        <v>106</v>
      </c>
      <c r="D31" s="91">
        <v>358320</v>
      </c>
      <c r="I31" s="15" t="s">
        <v>106</v>
      </c>
      <c r="K31" s="66">
        <f t="shared" si="2"/>
        <v>358320</v>
      </c>
    </row>
    <row r="32" spans="1:22">
      <c r="A32" s="17">
        <v>10</v>
      </c>
      <c r="B32" s="15" t="s">
        <v>107</v>
      </c>
      <c r="D32" s="91">
        <v>677460</v>
      </c>
      <c r="H32" s="93"/>
      <c r="I32" s="15" t="s">
        <v>107</v>
      </c>
      <c r="K32" s="91">
        <f>D32</f>
        <v>677460</v>
      </c>
      <c r="L32" s="93" t="s">
        <v>108</v>
      </c>
    </row>
    <row r="33" spans="1:14">
      <c r="A33" s="17">
        <v>11</v>
      </c>
      <c r="B33" s="15" t="s">
        <v>109</v>
      </c>
      <c r="D33" s="91">
        <v>21852</v>
      </c>
      <c r="I33" s="15" t="s">
        <v>109</v>
      </c>
      <c r="K33" s="66">
        <f t="shared" si="2"/>
        <v>21852</v>
      </c>
      <c r="N33" s="15" t="s">
        <v>110</v>
      </c>
    </row>
    <row r="34" spans="1:14">
      <c r="A34" s="17">
        <v>12</v>
      </c>
      <c r="B34" s="15" t="s">
        <v>111</v>
      </c>
      <c r="D34" s="66"/>
      <c r="I34" s="15" t="s">
        <v>111</v>
      </c>
      <c r="K34" s="66">
        <f>D34</f>
        <v>0</v>
      </c>
    </row>
    <row r="35" spans="1:14">
      <c r="A35" s="17">
        <v>13</v>
      </c>
      <c r="B35" s="15" t="s">
        <v>112</v>
      </c>
      <c r="D35" s="94">
        <f>SUM(D28:D34)</f>
        <v>1087776</v>
      </c>
      <c r="I35" s="15" t="s">
        <v>112</v>
      </c>
      <c r="K35" s="94">
        <f>SUM(K28:K34)</f>
        <v>1089701</v>
      </c>
    </row>
    <row r="36" spans="1:14">
      <c r="A36" s="17"/>
      <c r="B36" s="15" t="s">
        <v>5</v>
      </c>
      <c r="I36" s="15" t="s">
        <v>5</v>
      </c>
    </row>
    <row r="37" spans="1:14" ht="13.5" thickBot="1">
      <c r="A37" s="17">
        <v>14</v>
      </c>
      <c r="B37" s="15" t="s">
        <v>113</v>
      </c>
      <c r="D37" s="95">
        <f>D20+D35</f>
        <v>145211880</v>
      </c>
      <c r="I37" s="15" t="s">
        <v>113</v>
      </c>
      <c r="K37" s="95">
        <f>K20+K35</f>
        <v>171599243.66933823</v>
      </c>
      <c r="L37" s="50"/>
    </row>
    <row r="38" spans="1:14" ht="13.5" thickTop="1">
      <c r="A38" s="17"/>
      <c r="D38" s="96"/>
    </row>
    <row r="39" spans="1:14">
      <c r="A39" s="17">
        <v>15</v>
      </c>
      <c r="D39" s="66"/>
      <c r="K39" s="97">
        <v>171599245</v>
      </c>
      <c r="L39" s="15" t="s">
        <v>114</v>
      </c>
    </row>
    <row r="40" spans="1:14">
      <c r="A40" s="17">
        <v>16</v>
      </c>
      <c r="D40" s="66"/>
      <c r="K40" s="66">
        <f>K37-K39</f>
        <v>-1.3306617736816406</v>
      </c>
      <c r="L40" s="15" t="s">
        <v>115</v>
      </c>
    </row>
    <row r="44" spans="1:14">
      <c r="L44" s="66"/>
    </row>
    <row r="63" spans="7:10">
      <c r="G63" s="17"/>
      <c r="H63" s="17"/>
      <c r="I63" s="17"/>
      <c r="J63" s="17"/>
    </row>
  </sheetData>
  <pageMargins left="1" right="1" top="1" bottom="1" header="0.5" footer="0.5"/>
  <pageSetup scale="54" orientation="landscape" blackAndWhite="1" r:id="rId1"/>
  <headerFooter alignWithMargins="0">
    <oddHeader>&amp;R&amp;"Times New Roman,Bold"&amp;10KyPSC Case No. 2025-00125
STAFF-DR-03-014 Attachment
Page &amp;P of 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i:0#.f|membership|douglas.heitkamp@duke-energy.com,#i:0#.f|membership|douglas.heitkamp@duke-energy.com,#Douglas.Heitkamp@duke-energy.com,#,#Heitkamp, Douglas J,#,#24066,#Mgr Rates&amp;Reg Strategy</DisplayName>
        <AccountId>24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34B00C26-883A-4871-9097-9169583CF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C2CB7A-9628-461E-A0BF-7AF010F61F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83E69F-B992-41D1-BA68-D211F505B74F}">
  <ds:schemaRefs>
    <ds:schemaRef ds:uri="http://purl.org/dc/dcmitype/"/>
    <ds:schemaRef ds:uri="6c836d23-bd62-4bc8-8279-d47645d2dce0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Customer Charge</vt:lpstr>
      <vt:lpstr>WP FR-16(7)(v)Rate Incr (100%)</vt:lpstr>
      <vt:lpstr>'WP FR-16(7)(v)Rate Incr (100%)'!Print_Area</vt:lpstr>
      <vt:lpstr>Sch_E3.1</vt:lpstr>
      <vt:lpstr>WPE_3.2l_P1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Rate Design with proposed increase</dc:subject>
  <dc:creator>Heitkamp, Douglas J</dc:creator>
  <cp:lastModifiedBy>Sunderman, Minna</cp:lastModifiedBy>
  <cp:lastPrinted>2025-08-14T12:34:08Z</cp:lastPrinted>
  <dcterms:created xsi:type="dcterms:W3CDTF">2025-08-11T18:30:33Z</dcterms:created>
  <dcterms:modified xsi:type="dcterms:W3CDTF">2025-08-15T17:16:35Z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