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ymsoffice-my.sharepoint.com/personal/angela_goad_ky_gov/Documents/Documents/Water Rate Cases/Kentucky-American Water Company/Case No. 2025-00122/To File Direct Testimony Defever/"/>
    </mc:Choice>
  </mc:AlternateContent>
  <xr:revisionPtr revIDLastSave="0" documentId="8_{AD96D101-0193-4760-A135-6E7E8488F141}" xr6:coauthVersionLast="47" xr6:coauthVersionMax="47" xr10:uidLastSave="{00000000-0000-0000-0000-000000000000}"/>
  <bookViews>
    <workbookView xWindow="1530" yWindow="1440" windowWidth="21600" windowHeight="11235" tabRatio="906" activeTab="2" xr2:uid="{52816F19-6833-4828-98AA-37046E1313F0}"/>
  </bookViews>
  <sheets>
    <sheet name="TOC" sheetId="1" r:id="rId1"/>
    <sheet name="A" sheetId="2" r:id="rId2"/>
    <sheet name="B" sheetId="4" r:id="rId3"/>
    <sheet name="CWC" sheetId="41" r:id="rId4"/>
    <sheet name="C" sheetId="8" r:id="rId5"/>
    <sheet name="C p 2" sheetId="12" r:id="rId6"/>
    <sheet name="Payroll" sheetId="19" r:id="rId7"/>
    <sheet name="Incentive Comp" sheetId="18" r:id="rId8"/>
    <sheet name="ESPP" sheetId="17" r:id="rId9"/>
    <sheet name="UFW" sheetId="33" r:id="rId10"/>
    <sheet name="Rate Case Exp" sheetId="13" r:id="rId11"/>
    <sheet name="Bus Dev" sheetId="14" r:id="rId12"/>
    <sheet name="401(k)" sheetId="16" r:id="rId13"/>
    <sheet name="Growth Factor" sheetId="36" r:id="rId14"/>
    <sheet name="Healthcare" sheetId="37" r:id="rId15"/>
    <sheet name="Dues" sheetId="29" r:id="rId16"/>
    <sheet name="Payroll Tax" sheetId="21" r:id="rId17"/>
    <sheet name="Benefits" sheetId="20" r:id="rId18"/>
    <sheet name="Inc Tax" sheetId="22" r:id="rId19"/>
    <sheet name="Int synch " sheetId="30" r:id="rId20"/>
    <sheet name="SummaryWP" sheetId="28" r:id="rId21"/>
    <sheet name="D" sheetId="24" r:id="rId22"/>
  </sheets>
  <externalReferences>
    <externalReference r:id="rId23"/>
  </externalReferences>
  <definedNames>
    <definedName name="_xlnm.Print_Area" localSheetId="4">'C'!$A$1:$E$29</definedName>
    <definedName name="_xlnm.Print_Area" localSheetId="5">'C p 2'!$A$1:$E$29</definedName>
    <definedName name="_xlnm.Print_Area" localSheetId="3">CWC!$A$1:$J$73</definedName>
    <definedName name="_xlnm.Print_Area" localSheetId="10">'Rate Case Exp'!$A$1:$H$33</definedName>
    <definedName name="_xlnm.Print_Area" localSheetId="20">SummaryWP!$A$1:$F$37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2" l="1"/>
  <c r="F31" i="28"/>
  <c r="E7" i="28"/>
  <c r="D13" i="29" l="1"/>
  <c r="D36" i="29"/>
  <c r="F40" i="33" l="1"/>
  <c r="E38" i="33"/>
  <c r="D38" i="33"/>
  <c r="E19" i="33"/>
  <c r="E20" i="33" s="1"/>
  <c r="E21" i="33" s="1"/>
  <c r="D22" i="2"/>
  <c r="E29" i="13"/>
  <c r="F38" i="33" l="1"/>
  <c r="E41" i="41"/>
  <c r="E42" i="41" s="1"/>
  <c r="E53" i="41" s="1"/>
  <c r="E59" i="41" s="1"/>
  <c r="E63" i="41" s="1"/>
  <c r="F43" i="41"/>
  <c r="E13" i="30"/>
  <c r="E9" i="30"/>
  <c r="D24" i="36" l="1"/>
  <c r="G60" i="41"/>
  <c r="D13" i="14"/>
  <c r="G21" i="13"/>
  <c r="D21" i="13" l="1"/>
  <c r="F20" i="13"/>
  <c r="H20" i="13" s="1"/>
  <c r="F19" i="13"/>
  <c r="H19" i="13" s="1"/>
  <c r="H21" i="13" s="1"/>
  <c r="E4" i="37"/>
  <c r="F21" i="13" l="1"/>
  <c r="D13" i="13" s="1"/>
  <c r="D21" i="12"/>
  <c r="F31" i="41" l="1"/>
  <c r="F30" i="18"/>
  <c r="F21" i="33"/>
  <c r="F30" i="41" s="1"/>
  <c r="F20" i="33"/>
  <c r="F28" i="41" s="1"/>
  <c r="F19" i="33"/>
  <c r="F27" i="41" s="1"/>
  <c r="F18" i="33"/>
  <c r="F29" i="41" s="1"/>
  <c r="F26" i="41"/>
  <c r="F40" i="41"/>
  <c r="F50" i="41"/>
  <c r="F38" i="41"/>
  <c r="F44" i="41"/>
  <c r="F47" i="41"/>
  <c r="F45" i="41"/>
  <c r="F32" i="41"/>
  <c r="D12" i="36"/>
  <c r="D20" i="12" s="1"/>
  <c r="A31" i="1"/>
  <c r="A15" i="1"/>
  <c r="F29" i="18"/>
  <c r="F28" i="18"/>
  <c r="E29" i="18"/>
  <c r="E28" i="18"/>
  <c r="D30" i="18"/>
  <c r="D29" i="19"/>
  <c r="D28" i="19"/>
  <c r="D30" i="19" s="1"/>
  <c r="B20" i="28" l="1"/>
  <c r="B19" i="28"/>
  <c r="H31" i="41"/>
  <c r="D22" i="33"/>
  <c r="F22" i="33"/>
  <c r="D11" i="19"/>
  <c r="D22" i="19"/>
  <c r="D12" i="33" l="1"/>
  <c r="B15" i="28" s="1"/>
  <c r="D17" i="20"/>
  <c r="D16" i="21"/>
  <c r="D17" i="21"/>
  <c r="D18" i="20" s="1"/>
  <c r="D19" i="12"/>
  <c r="D18" i="12"/>
  <c r="D15" i="12"/>
  <c r="D14" i="12"/>
  <c r="B18" i="28"/>
  <c r="B17" i="28"/>
  <c r="B14" i="28"/>
  <c r="B13" i="28"/>
  <c r="D16" i="12" l="1"/>
  <c r="C23" i="8"/>
  <c r="C25" i="8" s="1"/>
  <c r="D10" i="12" s="1"/>
  <c r="G62" i="41"/>
  <c r="J62" i="41" s="1"/>
  <c r="G61" i="41"/>
  <c r="J61" i="41" s="1"/>
  <c r="J60" i="41"/>
  <c r="G55" i="41"/>
  <c r="J55" i="41" s="1"/>
  <c r="G54" i="41"/>
  <c r="J54" i="41" s="1"/>
  <c r="D51" i="41"/>
  <c r="D65" i="41" s="1"/>
  <c r="G50" i="41"/>
  <c r="J50" i="41" s="1"/>
  <c r="G49" i="41"/>
  <c r="J49" i="41" s="1"/>
  <c r="G47" i="41"/>
  <c r="J47" i="41" s="1"/>
  <c r="G46" i="41"/>
  <c r="J46" i="41" s="1"/>
  <c r="G45" i="41"/>
  <c r="J45" i="41" s="1"/>
  <c r="G44" i="41"/>
  <c r="J44" i="41" s="1"/>
  <c r="G43" i="41"/>
  <c r="J43" i="41" s="1"/>
  <c r="G40" i="41"/>
  <c r="J40" i="41" s="1"/>
  <c r="G38" i="41"/>
  <c r="J38" i="41" s="1"/>
  <c r="G37" i="41"/>
  <c r="J37" i="41" s="1"/>
  <c r="G36" i="41"/>
  <c r="J36" i="41" s="1"/>
  <c r="G34" i="41"/>
  <c r="J34" i="41" s="1"/>
  <c r="G33" i="41"/>
  <c r="J33" i="41" s="1"/>
  <c r="G32" i="41"/>
  <c r="J32" i="41" s="1"/>
  <c r="G31" i="41"/>
  <c r="J31" i="41" s="1"/>
  <c r="G30" i="41"/>
  <c r="J30" i="41" s="1"/>
  <c r="G29" i="41"/>
  <c r="J29" i="41" s="1"/>
  <c r="G28" i="41"/>
  <c r="J28" i="41" s="1"/>
  <c r="G27" i="41"/>
  <c r="J27" i="41" s="1"/>
  <c r="G26" i="41"/>
  <c r="J26" i="41" s="1"/>
  <c r="J2" i="41"/>
  <c r="A2" i="41"/>
  <c r="J1" i="41"/>
  <c r="D15" i="17"/>
  <c r="D25" i="18"/>
  <c r="D11" i="18"/>
  <c r="D15" i="18" s="1"/>
  <c r="G10" i="41" l="1"/>
  <c r="G12" i="41" s="1"/>
  <c r="C20" i="4" l="1"/>
  <c r="C31" i="1"/>
  <c r="C30" i="1"/>
  <c r="C28" i="1"/>
  <c r="C29" i="1"/>
  <c r="A23" i="28"/>
  <c r="A22" i="28"/>
  <c r="A21" i="28"/>
  <c r="A20" i="28"/>
  <c r="A19" i="28"/>
  <c r="A18" i="28"/>
  <c r="A17" i="28"/>
  <c r="A16" i="28"/>
  <c r="A15" i="28"/>
  <c r="A14" i="28"/>
  <c r="A13" i="28"/>
  <c r="A12" i="28"/>
  <c r="E28" i="13"/>
  <c r="E27" i="13"/>
  <c r="E26" i="13"/>
  <c r="E30" i="13"/>
  <c r="E31" i="13" l="1"/>
  <c r="E24" i="12"/>
  <c r="E23" i="12"/>
  <c r="E22" i="12"/>
  <c r="E21" i="12"/>
  <c r="E20" i="12"/>
  <c r="E19" i="12"/>
  <c r="E17" i="12"/>
  <c r="E18" i="12"/>
  <c r="E16" i="12"/>
  <c r="E15" i="12"/>
  <c r="E14" i="12"/>
  <c r="E13" i="12"/>
  <c r="B21" i="12"/>
  <c r="A30" i="1"/>
  <c r="A29" i="1"/>
  <c r="A28" i="1"/>
  <c r="C27" i="1"/>
  <c r="C26" i="1"/>
  <c r="C25" i="1"/>
  <c r="C24" i="1"/>
  <c r="A27" i="1"/>
  <c r="A26" i="1"/>
  <c r="A25" i="1"/>
  <c r="A24" i="1"/>
  <c r="A23" i="1"/>
  <c r="I16" i="24" l="1"/>
  <c r="D20" i="24"/>
  <c r="E40" i="4" l="1"/>
  <c r="E38" i="4"/>
  <c r="E36" i="4"/>
  <c r="E34" i="4"/>
  <c r="E32" i="4"/>
  <c r="E30" i="4"/>
  <c r="E28" i="4"/>
  <c r="E22" i="4"/>
  <c r="E16" i="4"/>
  <c r="E14" i="4"/>
  <c r="E21" i="8"/>
  <c r="E17" i="8"/>
  <c r="E16" i="8"/>
  <c r="C42" i="4" l="1"/>
  <c r="A22" i="1"/>
  <c r="A21" i="1"/>
  <c r="A20" i="1"/>
  <c r="A19" i="1"/>
  <c r="A18" i="1"/>
  <c r="B24" i="12"/>
  <c r="B23" i="12"/>
  <c r="B22" i="12"/>
  <c r="B20" i="12"/>
  <c r="B19" i="12"/>
  <c r="C23" i="1"/>
  <c r="C22" i="1"/>
  <c r="C21" i="1"/>
  <c r="C20" i="1"/>
  <c r="C19" i="1"/>
  <c r="C18" i="1"/>
  <c r="I18" i="24"/>
  <c r="I14" i="24"/>
  <c r="I12" i="24"/>
  <c r="E2" i="37"/>
  <c r="A2" i="37"/>
  <c r="E4" i="36"/>
  <c r="E2" i="36"/>
  <c r="A2" i="36"/>
  <c r="B18" i="12"/>
  <c r="B17" i="12"/>
  <c r="B16" i="12"/>
  <c r="F4" i="33"/>
  <c r="F2" i="33"/>
  <c r="A2" i="33"/>
  <c r="B15" i="12"/>
  <c r="B14" i="12"/>
  <c r="B13" i="12"/>
  <c r="D12" i="28"/>
  <c r="F4" i="28" l="1"/>
  <c r="I20" i="24"/>
  <c r="D12" i="2"/>
  <c r="H1" i="2"/>
  <c r="A1" i="2"/>
  <c r="A1" i="41" s="1"/>
  <c r="A1" i="37" l="1"/>
  <c r="A1" i="33"/>
  <c r="A1" i="36"/>
  <c r="E1" i="37"/>
  <c r="F1" i="33"/>
  <c r="E1" i="36"/>
  <c r="B39" i="28"/>
  <c r="C19" i="28" l="1"/>
  <c r="C20" i="28"/>
  <c r="C17" i="28"/>
  <c r="C14" i="28"/>
  <c r="C15" i="28"/>
  <c r="C18" i="28"/>
  <c r="C13" i="28"/>
  <c r="D28" i="30"/>
  <c r="D30" i="30" s="1"/>
  <c r="D15" i="29" l="1"/>
  <c r="D22" i="12" s="1"/>
  <c r="E4" i="29"/>
  <c r="E2" i="29"/>
  <c r="A2" i="29"/>
  <c r="E1" i="29"/>
  <c r="A1" i="29"/>
  <c r="E20" i="28"/>
  <c r="E19" i="28"/>
  <c r="E18" i="28"/>
  <c r="E17" i="28"/>
  <c r="E15" i="28"/>
  <c r="E14" i="28"/>
  <c r="E13" i="28"/>
  <c r="F48" i="41" l="1"/>
  <c r="G48" i="41" s="1"/>
  <c r="J48" i="41" s="1"/>
  <c r="B21" i="28"/>
  <c r="C21" i="28" s="1"/>
  <c r="E21" i="28" s="1"/>
  <c r="F9" i="28"/>
  <c r="D25" i="19" l="1"/>
  <c r="D15" i="19" s="1"/>
  <c r="D9" i="21" l="1"/>
  <c r="B12" i="28"/>
  <c r="C12" i="28" s="1"/>
  <c r="E12" i="28" s="1"/>
  <c r="D13" i="19"/>
  <c r="D13" i="12"/>
  <c r="C33" i="1"/>
  <c r="A33" i="1"/>
  <c r="D18" i="21" l="1"/>
  <c r="B26" i="12" l="1"/>
  <c r="E36" i="24" l="1"/>
  <c r="I34" i="24"/>
  <c r="I32" i="24"/>
  <c r="I30" i="24"/>
  <c r="I28" i="24"/>
  <c r="I2" i="24"/>
  <c r="A2" i="24"/>
  <c r="I1" i="24"/>
  <c r="A1" i="24"/>
  <c r="D19" i="20"/>
  <c r="D11" i="20" s="1"/>
  <c r="D11" i="21"/>
  <c r="I36" i="24" l="1"/>
  <c r="F12" i="2" s="1"/>
  <c r="D9" i="20"/>
  <c r="G4" i="22" l="1"/>
  <c r="F4" i="30" s="1"/>
  <c r="G2" i="22"/>
  <c r="F2" i="30" s="1"/>
  <c r="A2" i="22"/>
  <c r="A2" i="30" s="1"/>
  <c r="G1" i="22"/>
  <c r="F1" i="30" s="1"/>
  <c r="A1" i="22"/>
  <c r="A1" i="30" s="1"/>
  <c r="D13" i="20"/>
  <c r="E4" i="20"/>
  <c r="E2" i="20"/>
  <c r="A2" i="20"/>
  <c r="E1" i="20"/>
  <c r="A1" i="20"/>
  <c r="D13" i="21"/>
  <c r="D23" i="12" s="1"/>
  <c r="E4" i="21"/>
  <c r="E2" i="21"/>
  <c r="A2" i="21"/>
  <c r="E1" i="21"/>
  <c r="A1" i="21"/>
  <c r="E4" i="18"/>
  <c r="E2" i="18"/>
  <c r="A2" i="18"/>
  <c r="E1" i="18"/>
  <c r="A1" i="18"/>
  <c r="E4" i="19"/>
  <c r="E2" i="19"/>
  <c r="A2" i="19"/>
  <c r="E1" i="19"/>
  <c r="A1" i="19"/>
  <c r="E4" i="16"/>
  <c r="E2" i="16"/>
  <c r="A2" i="16"/>
  <c r="E1" i="16"/>
  <c r="A1" i="16"/>
  <c r="E4" i="17"/>
  <c r="E2" i="17"/>
  <c r="A2" i="17"/>
  <c r="E1" i="17"/>
  <c r="A1" i="17"/>
  <c r="E4" i="14"/>
  <c r="E2" i="14"/>
  <c r="E1" i="14"/>
  <c r="A2" i="14"/>
  <c r="A1" i="14"/>
  <c r="H2" i="13"/>
  <c r="H1" i="13"/>
  <c r="A2" i="13"/>
  <c r="A1" i="13"/>
  <c r="D15" i="13"/>
  <c r="D24" i="12" l="1"/>
  <c r="D15" i="8" s="1"/>
  <c r="F35" i="41"/>
  <c r="D18" i="8"/>
  <c r="F56" i="41"/>
  <c r="G56" i="41" s="1"/>
  <c r="D22" i="8"/>
  <c r="B23" i="28"/>
  <c r="C23" i="28" s="1"/>
  <c r="E23" i="28" s="1"/>
  <c r="B22" i="28"/>
  <c r="C22" i="28" s="1"/>
  <c r="E22" i="28" s="1"/>
  <c r="B16" i="28"/>
  <c r="C16" i="28" s="1"/>
  <c r="E16" i="28" s="1"/>
  <c r="D17" i="12"/>
  <c r="E3" i="12"/>
  <c r="E2" i="12"/>
  <c r="E1" i="12"/>
  <c r="A4" i="12"/>
  <c r="A2" i="12"/>
  <c r="A1" i="12"/>
  <c r="A11" i="12"/>
  <c r="A12" i="12" s="1"/>
  <c r="A13" i="12" s="1"/>
  <c r="A14" i="12" s="1"/>
  <c r="A15" i="12" s="1"/>
  <c r="A16" i="12" s="1"/>
  <c r="A17" i="12" s="1"/>
  <c r="E22" i="8" l="1"/>
  <c r="E18" i="8"/>
  <c r="G35" i="41"/>
  <c r="J35" i="41" s="1"/>
  <c r="J51" i="41" s="1"/>
  <c r="E10" i="22"/>
  <c r="E20" i="22" s="1"/>
  <c r="E24" i="22" s="1"/>
  <c r="J56" i="41"/>
  <c r="C17" i="1"/>
  <c r="A17" i="1"/>
  <c r="E12" i="22" l="1"/>
  <c r="E13" i="22" l="1"/>
  <c r="F57" i="41"/>
  <c r="E17" i="22"/>
  <c r="F58" i="41" s="1"/>
  <c r="G58" i="41" s="1"/>
  <c r="J58" i="41" s="1"/>
  <c r="C14" i="1"/>
  <c r="A14" i="1"/>
  <c r="A12" i="1"/>
  <c r="C12" i="1"/>
  <c r="D10" i="2"/>
  <c r="D14" i="2" s="1"/>
  <c r="E26" i="22" l="1"/>
  <c r="E15" i="8" l="1"/>
  <c r="E12" i="8"/>
  <c r="A2" i="8"/>
  <c r="A1" i="8"/>
  <c r="E2" i="8"/>
  <c r="E1" i="8"/>
  <c r="D16" i="2" l="1"/>
  <c r="D18" i="2" s="1"/>
  <c r="E26" i="4" l="1"/>
  <c r="D20" i="4"/>
  <c r="E20" i="4" s="1"/>
  <c r="E18" i="4"/>
  <c r="E12" i="4"/>
  <c r="E4" i="4"/>
  <c r="E2" i="4"/>
  <c r="E1" i="4"/>
  <c r="A2" i="4"/>
  <c r="A1" i="4"/>
  <c r="E12" i="2" l="1"/>
  <c r="F1" i="28"/>
  <c r="F20" i="2" l="1"/>
  <c r="E20" i="2" l="1"/>
  <c r="F65" i="41"/>
  <c r="G57" i="41"/>
  <c r="J57" i="41" s="1"/>
  <c r="J65" i="41" s="1"/>
  <c r="J67" i="41" s="1"/>
  <c r="D18" i="41" s="1"/>
  <c r="D20" i="41" s="1"/>
  <c r="G20" i="41" s="1"/>
  <c r="E24" i="4" s="1"/>
  <c r="D24" i="4" l="1"/>
  <c r="D42" i="4" s="1"/>
  <c r="E42" i="4"/>
  <c r="G65" i="41"/>
  <c r="F10" i="2" l="1"/>
  <c r="E7" i="30"/>
  <c r="E11" i="30" s="1"/>
  <c r="E15" i="30" s="1"/>
  <c r="E21" i="30" l="1"/>
  <c r="D19" i="8" s="1"/>
  <c r="E19" i="30"/>
  <c r="B27" i="28" s="1"/>
  <c r="F14" i="2"/>
  <c r="E10" i="2"/>
  <c r="E22" i="30" l="1"/>
  <c r="E27" i="28"/>
  <c r="F28" i="28" s="1"/>
  <c r="E14" i="2"/>
  <c r="E23" i="30"/>
  <c r="D26" i="12" s="1"/>
  <c r="D20" i="8"/>
  <c r="E20" i="8" s="1"/>
  <c r="E19" i="8"/>
  <c r="D23" i="8" l="1"/>
  <c r="E23" i="8"/>
  <c r="E25" i="8" s="1"/>
  <c r="D25" i="8" s="1"/>
  <c r="F16" i="2" l="1"/>
  <c r="F18" i="2" s="1"/>
  <c r="F22" i="2" s="1"/>
  <c r="E16" i="2" l="1"/>
  <c r="E18" i="2" l="1"/>
  <c r="E22" i="2" l="1"/>
</calcChain>
</file>

<file path=xl/sharedStrings.xml><?xml version="1.0" encoding="utf-8"?>
<sst xmlns="http://schemas.openxmlformats.org/spreadsheetml/2006/main" count="588" uniqueCount="357">
  <si>
    <t>Schedule</t>
  </si>
  <si>
    <t>Title</t>
  </si>
  <si>
    <t>Table of Contents</t>
  </si>
  <si>
    <t>Accompanying the Direct Testimony of John Defever, CPA</t>
  </si>
  <si>
    <t>Schedule D</t>
  </si>
  <si>
    <t xml:space="preserve">Rate of Return </t>
  </si>
  <si>
    <t>Page 1 of 1</t>
  </si>
  <si>
    <t>Line</t>
  </si>
  <si>
    <t>Capital</t>
  </si>
  <si>
    <t>Cost</t>
  </si>
  <si>
    <t>Weighted</t>
  </si>
  <si>
    <t>No.</t>
  </si>
  <si>
    <t>Description</t>
  </si>
  <si>
    <t>Structure</t>
  </si>
  <si>
    <t>Rate</t>
  </si>
  <si>
    <t>Long Term Debt</t>
  </si>
  <si>
    <t>Short Term Debt</t>
  </si>
  <si>
    <t>Preferred Stock</t>
  </si>
  <si>
    <t>Source:</t>
  </si>
  <si>
    <t>Total</t>
  </si>
  <si>
    <t>Federal Income Tax</t>
  </si>
  <si>
    <t>Gross Revenue Conversion Factor</t>
  </si>
  <si>
    <t>Line No.</t>
  </si>
  <si>
    <t>Amount</t>
  </si>
  <si>
    <t>Reference</t>
  </si>
  <si>
    <t>(A)</t>
  </si>
  <si>
    <t>(B)</t>
  </si>
  <si>
    <t>(C)</t>
  </si>
  <si>
    <t>Schedule C</t>
  </si>
  <si>
    <t>Required Operating Income</t>
  </si>
  <si>
    <t xml:space="preserve">Source: </t>
  </si>
  <si>
    <t>Per Company</t>
  </si>
  <si>
    <t>Difference</t>
  </si>
  <si>
    <t>Rate Base</t>
  </si>
  <si>
    <t>Income Deficiency / (Sufficiency)</t>
  </si>
  <si>
    <t>Revenue Increase Requested</t>
  </si>
  <si>
    <t>Property Held For Future Use</t>
  </si>
  <si>
    <t>Test Period</t>
  </si>
  <si>
    <t>13 Month Average</t>
  </si>
  <si>
    <t xml:space="preserve"> Forecasted</t>
  </si>
  <si>
    <t>(D)</t>
  </si>
  <si>
    <t>Schedule A</t>
  </si>
  <si>
    <t>Schedule B</t>
  </si>
  <si>
    <t>Adjustments</t>
  </si>
  <si>
    <t>Cash Working Capital Allowance</t>
  </si>
  <si>
    <t>Subtotal</t>
  </si>
  <si>
    <t xml:space="preserve">Common Equity </t>
  </si>
  <si>
    <t>Requested Rate of Return</t>
  </si>
  <si>
    <t>Operating Income Before Income Taxes</t>
  </si>
  <si>
    <t>Operating Revenues</t>
  </si>
  <si>
    <t>Line 1 x Line 2</t>
  </si>
  <si>
    <t>Line 3 - Line 4</t>
  </si>
  <si>
    <t>Line 5 x Line 6</t>
  </si>
  <si>
    <t>Days</t>
  </si>
  <si>
    <t xml:space="preserve"> </t>
  </si>
  <si>
    <t>Page 1 of 2</t>
  </si>
  <si>
    <t>Page 2 of 2</t>
  </si>
  <si>
    <t>Cash Working Capital</t>
  </si>
  <si>
    <t>Schedule B-1</t>
  </si>
  <si>
    <t>Adjustment</t>
  </si>
  <si>
    <t>Company Amount</t>
  </si>
  <si>
    <t xml:space="preserve">Line </t>
  </si>
  <si>
    <t>Rate Case Expense</t>
  </si>
  <si>
    <t>Line 6</t>
  </si>
  <si>
    <t>Line 2 - Line 1</t>
  </si>
  <si>
    <t>Case No.</t>
  </si>
  <si>
    <t>Filing date</t>
  </si>
  <si>
    <t>Years between filings</t>
  </si>
  <si>
    <t>Average</t>
  </si>
  <si>
    <t>Schedule C-1</t>
  </si>
  <si>
    <t>Schedule C-2</t>
  </si>
  <si>
    <t>Schedule C-3</t>
  </si>
  <si>
    <t>401(k) Expense</t>
  </si>
  <si>
    <t>Schedule C-4</t>
  </si>
  <si>
    <t>Schedule C-5</t>
  </si>
  <si>
    <t>Payroll Expense</t>
  </si>
  <si>
    <t>Schedule C-6</t>
  </si>
  <si>
    <t xml:space="preserve">Incentive Compensation </t>
  </si>
  <si>
    <t>Payroll Tax</t>
  </si>
  <si>
    <t>Schedule C-7</t>
  </si>
  <si>
    <t>Schedule C-8</t>
  </si>
  <si>
    <t>Line 1 X Line 2</t>
  </si>
  <si>
    <t>Schedule C-9</t>
  </si>
  <si>
    <t>Schedule C-10</t>
  </si>
  <si>
    <t>Benefits Expense</t>
  </si>
  <si>
    <t>Benefit Expense Ratio</t>
  </si>
  <si>
    <t>Less State Income Tax</t>
  </si>
  <si>
    <t xml:space="preserve">Total </t>
  </si>
  <si>
    <t xml:space="preserve">Federal Income Tax Rate </t>
  </si>
  <si>
    <t>State Income Tax Rate</t>
  </si>
  <si>
    <t>Source</t>
  </si>
  <si>
    <t>Income Tax Expense</t>
  </si>
  <si>
    <t>Schedule C-11</t>
  </si>
  <si>
    <t>Testimony</t>
  </si>
  <si>
    <t>Payroll Tax Ratio</t>
  </si>
  <si>
    <t>Schedule C-12</t>
  </si>
  <si>
    <t>Payroll Taxes</t>
  </si>
  <si>
    <t>Line 4/Line 5</t>
  </si>
  <si>
    <t>Less: Adjusted Operating Income</t>
  </si>
  <si>
    <t>Total Operating Expenses</t>
  </si>
  <si>
    <t>Line 10</t>
  </si>
  <si>
    <t>Line 1 + Line 3</t>
  </si>
  <si>
    <t>Rate of Return Impact</t>
  </si>
  <si>
    <t>Rate Base Adjustments</t>
  </si>
  <si>
    <t>O&amp;M Adjustments</t>
  </si>
  <si>
    <t>Rev Req Impact</t>
  </si>
  <si>
    <t>Pre Tax Adj</t>
  </si>
  <si>
    <t>NOI After Tax</t>
  </si>
  <si>
    <t>GRCF</t>
  </si>
  <si>
    <t>Schedule C-13</t>
  </si>
  <si>
    <t>Rate base, as adjusted</t>
  </si>
  <si>
    <t>Weighted Cost of Debt</t>
  </si>
  <si>
    <t xml:space="preserve">Interest Deduction, per Company </t>
  </si>
  <si>
    <t xml:space="preserve"> Interest Deduction for Tax Purposes</t>
  </si>
  <si>
    <t>Increase/(Decrease) in Deductible Interest</t>
  </si>
  <si>
    <t>Consolidated Income Tax Rate</t>
  </si>
  <si>
    <t>Decrease(Increase) to Income Tax Expense</t>
  </si>
  <si>
    <t>State Income Tax Increase</t>
  </si>
  <si>
    <t>Federal Income Tax Increase</t>
  </si>
  <si>
    <t xml:space="preserve">Federal Tax Rate </t>
  </si>
  <si>
    <t xml:space="preserve">State Tax Rate </t>
  </si>
  <si>
    <t>Interest Synchronization</t>
  </si>
  <si>
    <t>Line No</t>
  </si>
  <si>
    <t>Line 15</t>
  </si>
  <si>
    <t>Line 5 X Line 6</t>
  </si>
  <si>
    <t>Case No. 2025-00122</t>
  </si>
  <si>
    <t>Forecasted Test Period Twelve Months Ended December 31, 2026</t>
  </si>
  <si>
    <t xml:space="preserve">Exhibit JD-1 </t>
  </si>
  <si>
    <t>Forecasted Test Period: Twelve Months Ended December 31, 2026</t>
  </si>
  <si>
    <t>Exhibit JD-1</t>
  </si>
  <si>
    <t>Consolidated tax rate</t>
  </si>
  <si>
    <t>Operating Income Per Kentucky American Water</t>
  </si>
  <si>
    <t>Unaccounted For Water</t>
  </si>
  <si>
    <t>Business Development Expense</t>
  </si>
  <si>
    <t>Growth Factor</t>
  </si>
  <si>
    <t>Healthcare Expense</t>
  </si>
  <si>
    <t>Membership Dues</t>
  </si>
  <si>
    <t>Less Deductions:</t>
  </si>
  <si>
    <t>Depreciation</t>
  </si>
  <si>
    <t>Amortization of UPAA</t>
  </si>
  <si>
    <t>Amortization Expense</t>
  </si>
  <si>
    <t>State Income Taxes</t>
  </si>
  <si>
    <t>Federal Income Taxes</t>
  </si>
  <si>
    <t>Investment Tax Credits</t>
  </si>
  <si>
    <t xml:space="preserve">Operating &amp; Maintenance </t>
  </si>
  <si>
    <t>General Taxes</t>
  </si>
  <si>
    <t>Utility Plant in Service</t>
  </si>
  <si>
    <t>Utility Plant Acquisition Adjustments</t>
  </si>
  <si>
    <t xml:space="preserve">Accumulated Depreciation </t>
  </si>
  <si>
    <t>Net Utility Plant in Service</t>
  </si>
  <si>
    <t>Construction Work In Progress</t>
  </si>
  <si>
    <t>Other Working Capital Allowance</t>
  </si>
  <si>
    <t>Contributions in Aid of Construction</t>
  </si>
  <si>
    <t>Customer Advances</t>
  </si>
  <si>
    <t>Deferred Income Taxes</t>
  </si>
  <si>
    <t>Deferred Income Tax Credits</t>
  </si>
  <si>
    <t>Deferred Maintenance</t>
  </si>
  <si>
    <t>Deferred Debits</t>
  </si>
  <si>
    <t>Other Rate Base Elements</t>
  </si>
  <si>
    <t>Jurisdictional Rate Base</t>
  </si>
  <si>
    <t>2023-00191</t>
  </si>
  <si>
    <t>2015-00418</t>
  </si>
  <si>
    <t>2018-00358</t>
  </si>
  <si>
    <t>2012-00520</t>
  </si>
  <si>
    <t>2010-00036</t>
  </si>
  <si>
    <t>2025-00122</t>
  </si>
  <si>
    <t>months</t>
  </si>
  <si>
    <t xml:space="preserve">Forecasted </t>
  </si>
  <si>
    <t>Annual Perfomance Plan (APP)</t>
  </si>
  <si>
    <t>Amount related to financial goals (50%)</t>
  </si>
  <si>
    <t xml:space="preserve">Attorney General’s First Request, Item 114 </t>
  </si>
  <si>
    <t>Long Term Performance Plan (LTPP)</t>
  </si>
  <si>
    <t>Amount related to financial goals (70%)</t>
  </si>
  <si>
    <t xml:space="preserve">Total incentive compensation related to financial goals. </t>
  </si>
  <si>
    <t>Attorney General’s First Request, Item 92</t>
  </si>
  <si>
    <t>Total Operating Funds</t>
  </si>
  <si>
    <t>Average Daily Operating Funds</t>
  </si>
  <si>
    <t>Composite Average Days Interval Between:</t>
  </si>
  <si>
    <t>(A) Date Service Furnished and Date Collections Deposited</t>
  </si>
  <si>
    <t>(B) Date Expenses Incurred and Date of Payment</t>
  </si>
  <si>
    <t>(C) Net Interval</t>
  </si>
  <si>
    <t>Post Payment</t>
  </si>
  <si>
    <t>or</t>
  </si>
  <si>
    <t xml:space="preserve">Description </t>
  </si>
  <si>
    <t>(Lead) Days</t>
  </si>
  <si>
    <t>Dollar Days</t>
  </si>
  <si>
    <t>Salaries &amp; Wages</t>
  </si>
  <si>
    <t>Fuel, Power and Electric</t>
  </si>
  <si>
    <t>Chemicals</t>
  </si>
  <si>
    <t>Purchased Water</t>
  </si>
  <si>
    <t>Waste Disposal</t>
  </si>
  <si>
    <t>Service Company Charges</t>
  </si>
  <si>
    <t>Contracted Services</t>
  </si>
  <si>
    <t>Group Insurance</t>
  </si>
  <si>
    <t>Other Benefits</t>
  </si>
  <si>
    <t>Pensions</t>
  </si>
  <si>
    <t>Rents</t>
  </si>
  <si>
    <t>Regulatory Expense</t>
  </si>
  <si>
    <t>Maintenance Service &amp; Supplies</t>
  </si>
  <si>
    <t>Amortization</t>
  </si>
  <si>
    <t>Uncollectibles</t>
  </si>
  <si>
    <t>Office Supplies &amp; Services</t>
  </si>
  <si>
    <t>Employee Related Exp, Travel &amp; Ent</t>
  </si>
  <si>
    <t>Building Maintenance &amp; Services</t>
  </si>
  <si>
    <t>Postage Printing &amp; Stationary</t>
  </si>
  <si>
    <t>Telecommunication</t>
  </si>
  <si>
    <t>Miscellaneous Expense</t>
  </si>
  <si>
    <t>Transportation</t>
  </si>
  <si>
    <t>Other Customer Accounting</t>
  </si>
  <si>
    <t>Total O &amp; M Expenses</t>
  </si>
  <si>
    <t>Depreciation and Amortization</t>
  </si>
  <si>
    <t>Property Taxes</t>
  </si>
  <si>
    <t>Utility Tax</t>
  </si>
  <si>
    <t>Income Taxes - Current - SIT</t>
  </si>
  <si>
    <t>Income Taxes - Current - FIT</t>
  </si>
  <si>
    <t>Interest  Expense - Long - Term Debt</t>
  </si>
  <si>
    <t>Interest  Expense - Short - Term Debt</t>
  </si>
  <si>
    <t>Preferred Dividends</t>
  </si>
  <si>
    <t>Net Income</t>
  </si>
  <si>
    <t>Net Operating Funds</t>
  </si>
  <si>
    <t>Average Days Interval between Date Expenses are Incurred and Date of Payment</t>
  </si>
  <si>
    <t>Schedule C, page 1 line 12</t>
  </si>
  <si>
    <t>W/P 3-6</t>
  </si>
  <si>
    <t>Company Annual Amount</t>
  </si>
  <si>
    <t>Attorney General’s First Request, Item 56</t>
  </si>
  <si>
    <t>Attorney General’s First Request, Item 89</t>
  </si>
  <si>
    <t>Schedule C-1 &amp; C-2</t>
  </si>
  <si>
    <t xml:space="preserve">Schedule C-1 </t>
  </si>
  <si>
    <t xml:space="preserve">Overall Financial Summary - Excluding QIP </t>
  </si>
  <si>
    <t>Rate Base - Excluding QIP</t>
  </si>
  <si>
    <t>Operating Income - Excluding QIP</t>
  </si>
  <si>
    <t>Attorney General’s Second Request, Item 37</t>
  </si>
  <si>
    <t>Total Payroll</t>
  </si>
  <si>
    <t>Kentucky American Payroll</t>
  </si>
  <si>
    <t>Service Company Payroll</t>
  </si>
  <si>
    <t>Fuel &amp; Power</t>
  </si>
  <si>
    <t>Reduction</t>
  </si>
  <si>
    <t>Attorney General’s Second Request, Item 47</t>
  </si>
  <si>
    <t>Attorney General’s Second Request, Item 50</t>
  </si>
  <si>
    <t>Reductions</t>
  </si>
  <si>
    <t>Support Services</t>
  </si>
  <si>
    <t>Building Maintenance and Services</t>
  </si>
  <si>
    <t>Telecommunications Expenses</t>
  </si>
  <si>
    <t>Office Supplies and services</t>
  </si>
  <si>
    <t>Employee Related Expense</t>
  </si>
  <si>
    <t>Miscellaneous Expenses</t>
  </si>
  <si>
    <t>Customer Accounting Other</t>
  </si>
  <si>
    <t>Maintenance Supplies and Services</t>
  </si>
  <si>
    <t>Ratio</t>
  </si>
  <si>
    <t>Insurance Other Than Group</t>
  </si>
  <si>
    <t>OPEB</t>
  </si>
  <si>
    <t>Schedule C-14</t>
  </si>
  <si>
    <t>.</t>
  </si>
  <si>
    <t xml:space="preserve">2023 Rate Case Expense </t>
  </si>
  <si>
    <t xml:space="preserve">2025 Rate Case Expense </t>
  </si>
  <si>
    <t>Annual Amount</t>
  </si>
  <si>
    <t>Amount Requested</t>
  </si>
  <si>
    <t>Company</t>
  </si>
  <si>
    <t>Line 7</t>
  </si>
  <si>
    <t>Per OAG/LFUCG</t>
  </si>
  <si>
    <t>OAG/LFUCG</t>
  </si>
  <si>
    <t>Forecasted</t>
  </si>
  <si>
    <t>Schedule E-1.1</t>
  </si>
  <si>
    <t>Schedule E-1.2</t>
  </si>
  <si>
    <t>Employee Stock Purchase Plan Discount</t>
  </si>
  <si>
    <t>Column A : Exhibit DD-3.</t>
  </si>
  <si>
    <t>Line 13 + Line 14</t>
  </si>
  <si>
    <t>Line 5 x Line 14</t>
  </si>
  <si>
    <t>(Line 5 - Line 8) X Line 11</t>
  </si>
  <si>
    <t>Schedule B Col A Line 16 X Line 2</t>
  </si>
  <si>
    <t>Schedule D (lines 6 + 7 + 8)</t>
  </si>
  <si>
    <t>Lines 1-5: Exhibit 37, Schedule J-1.</t>
  </si>
  <si>
    <t xml:space="preserve">Line 6-10: OAG/LIFUG Witness Richard Baudino. </t>
  </si>
  <si>
    <t>Exhibit DD-3.</t>
  </si>
  <si>
    <t>Without QIP</t>
  </si>
  <si>
    <t>OAG/LFUCG Adjustments:</t>
  </si>
  <si>
    <t>OAG/LFUCG Net Operating Income</t>
  </si>
  <si>
    <t>Schedules C-13 and C-14</t>
  </si>
  <si>
    <t>OAG/LFUCG  Amount</t>
  </si>
  <si>
    <t>OAG/LFUCG Adjustment</t>
  </si>
  <si>
    <t xml:space="preserve">OAG/LFUCG Amount </t>
  </si>
  <si>
    <t>OAG/LFUCG Amount</t>
  </si>
  <si>
    <t>Test Period Expense [A]</t>
  </si>
  <si>
    <t>Attorney General’s First Request, Item 96</t>
  </si>
  <si>
    <t>OAG/LFUCG Adjustments to Payroll, Incentive Compensation</t>
  </si>
  <si>
    <t xml:space="preserve">OAG/LFUCG Adjustment to Payroll </t>
  </si>
  <si>
    <t xml:space="preserve"> Operating Income Adjustments (Line 1)</t>
  </si>
  <si>
    <t>Schedule C, p. 2, lines 4-16</t>
  </si>
  <si>
    <t xml:space="preserve">OAG/LFUCG Operating Income Adjustments </t>
  </si>
  <si>
    <t>Line 1</t>
  </si>
  <si>
    <t>Line 8</t>
  </si>
  <si>
    <t>Line 1 + Line 2</t>
  </si>
  <si>
    <t>Line 3 X Line 4</t>
  </si>
  <si>
    <t>Line 6 X Line 7</t>
  </si>
  <si>
    <t>Line 5 + Line 8</t>
  </si>
  <si>
    <t>OAG/LFUCG Adjustment to Federal Income Expense</t>
  </si>
  <si>
    <t>OAG/LFUCG Adjustment to State Income Tax</t>
  </si>
  <si>
    <t>OAG/LFUCG Total Adjustments to Income Tax</t>
  </si>
  <si>
    <t>Line 12</t>
  </si>
  <si>
    <t>Annual</t>
  </si>
  <si>
    <t>Line 44</t>
  </si>
  <si>
    <t>Line 1/365</t>
  </si>
  <si>
    <t>[a]</t>
  </si>
  <si>
    <t>Line 4 + Line 5</t>
  </si>
  <si>
    <t>Line 45</t>
  </si>
  <si>
    <t>Line 2 X Line 6</t>
  </si>
  <si>
    <t>[b]</t>
  </si>
  <si>
    <t>Col. A, D: Exhibit 37, Schedule B-5.2 pages 4 and 5 of 6.</t>
  </si>
  <si>
    <t>Exhibit 37, Schedule B-5.2 line 10.</t>
  </si>
  <si>
    <t>(E)</t>
  </si>
  <si>
    <t>OAG/LFUCG Recommended Rate Increase</t>
  </si>
  <si>
    <t>[B] KAWC 2025 Rate Case - Exhibits (25, 26, 37) Link Out Tab</t>
  </si>
  <si>
    <t>Jan</t>
  </si>
  <si>
    <t>Feb</t>
  </si>
  <si>
    <t>Mar</t>
  </si>
  <si>
    <t>April</t>
  </si>
  <si>
    <t xml:space="preserve">May </t>
  </si>
  <si>
    <t>Jun</t>
  </si>
  <si>
    <t>Jul</t>
  </si>
  <si>
    <t>Aug</t>
  </si>
  <si>
    <t>Sep</t>
  </si>
  <si>
    <t>Oct</t>
  </si>
  <si>
    <t>Nov</t>
  </si>
  <si>
    <t>Dec</t>
  </si>
  <si>
    <t>Forecasted Test Period</t>
  </si>
  <si>
    <t>Non revenue Water</t>
  </si>
  <si>
    <t>System Delivery</t>
  </si>
  <si>
    <t>[B]</t>
  </si>
  <si>
    <t>% exceeding 15% [C]</t>
  </si>
  <si>
    <t>[C] Line 23</t>
  </si>
  <si>
    <t>Exhibit DD-3</t>
  </si>
  <si>
    <t>Company Requested Amount Related to Financial Goals</t>
  </si>
  <si>
    <t>Line 9 + Line 10</t>
  </si>
  <si>
    <t>[A] OAG First Request No. 173</t>
  </si>
  <si>
    <t>Organization</t>
  </si>
  <si>
    <t>2024 Amount</t>
  </si>
  <si>
    <t>American Water Works Association/AWWA Amortization</t>
  </si>
  <si>
    <t>Commerce Lexington</t>
  </si>
  <si>
    <t>Downtown Lexington Partnership</t>
  </si>
  <si>
    <t>Georgetown-Scott City Chamber of Commerce</t>
  </si>
  <si>
    <t>Kentucky Association for Economic Development</t>
  </si>
  <si>
    <t>Kentucky Association of Mapping Professionals</t>
  </si>
  <si>
    <t>Kentucky Chamber of Commerce</t>
  </si>
  <si>
    <t>Kentucky League of Cities</t>
  </si>
  <si>
    <t>Kentucky League of Cities Cornerstone Partnership</t>
  </si>
  <si>
    <t>Kentucky Rural Water Association</t>
  </si>
  <si>
    <t>KY Environment Protect</t>
  </si>
  <si>
    <t>Leadership LEX Alumni</t>
  </si>
  <si>
    <t>Paris-Bourbon County Chamber of Commerce</t>
  </si>
  <si>
    <t>Public Relations Society of American (PRSA)</t>
  </si>
  <si>
    <t>Rockcastle Co Chamber of Comm</t>
  </si>
  <si>
    <t>Winchester Clark County Chamber of Commerce</t>
  </si>
  <si>
    <t>Woodford County Chamber of Commerce</t>
  </si>
  <si>
    <t>Line 22</t>
  </si>
  <si>
    <t>(1- line 12) * Line 11</t>
  </si>
  <si>
    <t>Kentucky-American Water Company</t>
  </si>
  <si>
    <t>Kentucky-American Water Requested Rate Increase (excluding QIP)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</si>
</sst>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\$* #,##0_);_(\$* \(#,##0\);_(\$* \-_);_(@_)"/>
    <numFmt numFmtId="166" formatCode="_-&quot;$&quot;* #,##0_-;\-&quot;$&quot;* #,##0_-;_-&quot;$&quot;* &quot;-&quot;_-;_-@_-"/>
    <numFmt numFmtId="167" formatCode="0.000%"/>
    <numFmt numFmtId="168" formatCode="_(&quot;$&quot;* #,##0_);_(&quot;$&quot;* \(#,##0\);_(&quot;$&quot;* &quot;-&quot;??_);_(@_)"/>
    <numFmt numFmtId="169" formatCode="#,##0.0_);\(#,##0.0\)"/>
    <numFmt numFmtId="170" formatCode="0.0000"/>
    <numFmt numFmtId="171" formatCode="0.0"/>
    <numFmt numFmtId="172" formatCode="0.00_);\(0.00\)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10"/>
      <color theme="1"/>
      <name val="Arial"/>
      <family val="2"/>
    </font>
    <font>
      <sz val="8"/>
      <name val="Helv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sz val="8"/>
      <name val="Tms Rmn"/>
    </font>
    <font>
      <u/>
      <sz val="12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u/>
      <sz val="12"/>
      <name val="Arial"/>
      <family val="2"/>
    </font>
    <font>
      <sz val="12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41" fontId="2" fillId="0" borderId="0"/>
    <xf numFmtId="0" fontId="5" fillId="0" borderId="0"/>
    <xf numFmtId="0" fontId="5" fillId="0" borderId="0" applyFill="0" applyBorder="0"/>
    <xf numFmtId="0" fontId="7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4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3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</cellStyleXfs>
  <cellXfs count="201">
    <xf numFmtId="0" fontId="0" fillId="0" borderId="0" xfId="0"/>
    <xf numFmtId="0" fontId="1" fillId="0" borderId="0" xfId="0" applyFont="1"/>
    <xf numFmtId="41" fontId="3" fillId="0" borderId="0" xfId="1" applyFont="1"/>
    <xf numFmtId="41" fontId="3" fillId="0" borderId="0" xfId="1" applyFont="1" applyAlignment="1">
      <alignment horizontal="center"/>
    </xf>
    <xf numFmtId="0" fontId="3" fillId="0" borderId="4" xfId="1" applyNumberFormat="1" applyFont="1" applyBorder="1"/>
    <xf numFmtId="0" fontId="3" fillId="0" borderId="4" xfId="1" applyNumberFormat="1" applyFont="1" applyBorder="1" applyAlignment="1">
      <alignment horizontal="center"/>
    </xf>
    <xf numFmtId="10" fontId="3" fillId="0" borderId="0" xfId="1" applyNumberFormat="1" applyFont="1"/>
    <xf numFmtId="10" fontId="3" fillId="0" borderId="4" xfId="1" applyNumberFormat="1" applyFont="1" applyBorder="1"/>
    <xf numFmtId="41" fontId="3" fillId="0" borderId="4" xfId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quotePrefix="1" applyFont="1"/>
    <xf numFmtId="41" fontId="1" fillId="0" borderId="0" xfId="1" applyFont="1"/>
    <xf numFmtId="0" fontId="4" fillId="0" borderId="0" xfId="0" applyFont="1"/>
    <xf numFmtId="0" fontId="1" fillId="0" borderId="4" xfId="0" applyFont="1" applyBorder="1"/>
    <xf numFmtId="0" fontId="1" fillId="0" borderId="0" xfId="0" applyFont="1" applyAlignment="1">
      <alignment horizontal="center"/>
    </xf>
    <xf numFmtId="0" fontId="1" fillId="0" borderId="6" xfId="0" applyFont="1" applyBorder="1"/>
    <xf numFmtId="0" fontId="1" fillId="0" borderId="0" xfId="0" quotePrefix="1" applyFont="1" applyAlignment="1">
      <alignment horizontal="left"/>
    </xf>
    <xf numFmtId="0" fontId="1" fillId="0" borderId="4" xfId="0" applyFont="1" applyBorder="1" applyAlignment="1">
      <alignment horizontal="center"/>
    </xf>
    <xf numFmtId="42" fontId="1" fillId="0" borderId="0" xfId="0" applyNumberFormat="1" applyFont="1"/>
    <xf numFmtId="42" fontId="1" fillId="0" borderId="4" xfId="0" applyNumberFormat="1" applyFont="1" applyBorder="1"/>
    <xf numFmtId="42" fontId="1" fillId="0" borderId="7" xfId="0" applyNumberFormat="1" applyFont="1" applyBorder="1"/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42" fontId="1" fillId="0" borderId="5" xfId="0" applyNumberFormat="1" applyFont="1" applyBorder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0" xfId="0" applyFont="1"/>
    <xf numFmtId="10" fontId="1" fillId="0" borderId="4" xfId="0" applyNumberFormat="1" applyFont="1" applyBorder="1"/>
    <xf numFmtId="0" fontId="3" fillId="0" borderId="0" xfId="3" applyFont="1" applyFill="1" applyAlignment="1">
      <alignment horizontal="left" vertical="center"/>
    </xf>
    <xf numFmtId="41" fontId="3" fillId="0" borderId="0" xfId="1" applyFont="1" applyAlignment="1">
      <alignment horizontal="right"/>
    </xf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3" fillId="0" borderId="0" xfId="7" applyAlignment="1">
      <alignment horizontal="center"/>
    </xf>
    <xf numFmtId="165" fontId="11" fillId="0" borderId="0" xfId="0" applyNumberFormat="1" applyFont="1"/>
    <xf numFmtId="42" fontId="11" fillId="0" borderId="0" xfId="0" applyNumberFormat="1" applyFont="1"/>
    <xf numFmtId="0" fontId="11" fillId="0" borderId="0" xfId="0" applyFont="1"/>
    <xf numFmtId="0" fontId="3" fillId="0" borderId="0" xfId="10" applyFont="1"/>
    <xf numFmtId="0" fontId="8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3" fillId="0" borderId="0" xfId="10" applyFont="1" applyAlignment="1">
      <alignment horizontal="center"/>
    </xf>
    <xf numFmtId="166" fontId="3" fillId="0" borderId="0" xfId="10" applyNumberFormat="1" applyFont="1"/>
    <xf numFmtId="10" fontId="3" fillId="0" borderId="0" xfId="10" applyNumberFormat="1" applyFont="1"/>
    <xf numFmtId="0" fontId="11" fillId="0" borderId="6" xfId="0" applyFont="1" applyBorder="1"/>
    <xf numFmtId="0" fontId="12" fillId="0" borderId="0" xfId="0" applyFont="1"/>
    <xf numFmtId="165" fontId="11" fillId="0" borderId="0" xfId="0" applyNumberFormat="1" applyFont="1" applyAlignment="1">
      <alignment horizontal="right" vertical="top"/>
    </xf>
    <xf numFmtId="167" fontId="11" fillId="0" borderId="6" xfId="0" applyNumberFormat="1" applyFont="1" applyBorder="1" applyAlignment="1">
      <alignment horizontal="right"/>
    </xf>
    <xf numFmtId="165" fontId="11" fillId="0" borderId="6" xfId="0" applyNumberFormat="1" applyFont="1" applyBorder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10" fillId="0" borderId="0" xfId="0" applyFont="1"/>
    <xf numFmtId="168" fontId="3" fillId="0" borderId="0" xfId="8" applyNumberFormat="1" applyFont="1" applyFill="1" applyAlignment="1">
      <alignment vertical="center"/>
    </xf>
    <xf numFmtId="10" fontId="1" fillId="0" borderId="0" xfId="0" applyNumberFormat="1" applyFont="1"/>
    <xf numFmtId="165" fontId="11" fillId="0" borderId="4" xfId="0" applyNumberFormat="1" applyFont="1" applyBorder="1" applyAlignment="1">
      <alignment horizontal="right" vertical="top"/>
    </xf>
    <xf numFmtId="0" fontId="14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left" vertical="center"/>
      <protection locked="0"/>
    </xf>
    <xf numFmtId="42" fontId="11" fillId="0" borderId="0" xfId="8" applyNumberFormat="1" applyFont="1" applyFill="1" applyBorder="1" applyAlignment="1" applyProtection="1"/>
    <xf numFmtId="42" fontId="3" fillId="0" borderId="0" xfId="7" applyNumberFormat="1"/>
    <xf numFmtId="42" fontId="11" fillId="0" borderId="0" xfId="9" applyNumberFormat="1" applyFont="1" applyFill="1" applyBorder="1" applyAlignment="1" applyProtection="1"/>
    <xf numFmtId="0" fontId="3" fillId="0" borderId="0" xfId="7"/>
    <xf numFmtId="0" fontId="3" fillId="0" borderId="0" xfId="4" applyFont="1" applyAlignment="1">
      <alignment horizontal="left" vertical="center"/>
    </xf>
    <xf numFmtId="42" fontId="1" fillId="0" borderId="0" xfId="0" applyNumberFormat="1" applyFont="1" applyAlignment="1">
      <alignment wrapText="1"/>
    </xf>
    <xf numFmtId="165" fontId="11" fillId="0" borderId="5" xfId="0" applyNumberFormat="1" applyFont="1" applyBorder="1"/>
    <xf numFmtId="42" fontId="11" fillId="0" borderId="0" xfId="8" applyNumberFormat="1" applyFont="1" applyFill="1" applyBorder="1" applyAlignment="1" applyProtection="1">
      <alignment wrapText="1"/>
    </xf>
    <xf numFmtId="0" fontId="9" fillId="0" borderId="0" xfId="0" applyFont="1" applyAlignment="1">
      <alignment horizontal="center"/>
    </xf>
    <xf numFmtId="41" fontId="3" fillId="0" borderId="4" xfId="1" applyFont="1" applyBorder="1" applyAlignment="1">
      <alignment horizontal="left"/>
    </xf>
    <xf numFmtId="41" fontId="1" fillId="0" borderId="4" xfId="1" applyFont="1" applyBorder="1"/>
    <xf numFmtId="0" fontId="11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2" fontId="1" fillId="0" borderId="0" xfId="0" applyNumberFormat="1" applyFont="1" applyAlignment="1">
      <alignment horizontal="center"/>
    </xf>
    <xf numFmtId="42" fontId="0" fillId="0" borderId="0" xfId="0" applyNumberFormat="1"/>
    <xf numFmtId="41" fontId="0" fillId="0" borderId="0" xfId="0" applyNumberFormat="1"/>
    <xf numFmtId="0" fontId="3" fillId="0" borderId="0" xfId="2" applyFont="1" applyAlignment="1">
      <alignment horizontal="right" vertical="center"/>
    </xf>
    <xf numFmtId="0" fontId="3" fillId="0" borderId="4" xfId="2" applyFont="1" applyBorder="1" applyAlignment="1">
      <alignment horizontal="left" vertical="center"/>
    </xf>
    <xf numFmtId="42" fontId="3" fillId="0" borderId="4" xfId="7" applyNumberFormat="1" applyBorder="1"/>
    <xf numFmtId="164" fontId="1" fillId="0" borderId="0" xfId="0" applyNumberFormat="1" applyFont="1"/>
    <xf numFmtId="42" fontId="3" fillId="0" borderId="0" xfId="2" applyNumberFormat="1" applyFont="1" applyAlignment="1">
      <alignment horizontal="left" vertical="center"/>
    </xf>
    <xf numFmtId="42" fontId="3" fillId="0" borderId="0" xfId="2" applyNumberFormat="1" applyFont="1" applyAlignment="1" applyProtection="1">
      <alignment horizontal="left" vertical="center"/>
      <protection locked="0"/>
    </xf>
    <xf numFmtId="0" fontId="3" fillId="0" borderId="4" xfId="2" applyFont="1" applyBorder="1" applyAlignment="1">
      <alignment horizontal="center" vertical="center"/>
    </xf>
    <xf numFmtId="42" fontId="3" fillId="0" borderId="4" xfId="7" applyNumberFormat="1" applyBorder="1" applyAlignment="1">
      <alignment horizontal="center"/>
    </xf>
    <xf numFmtId="0" fontId="3" fillId="0" borderId="0" xfId="2" applyFont="1" applyAlignment="1" applyProtection="1">
      <alignment horizontal="right" vertical="center"/>
      <protection locked="0"/>
    </xf>
    <xf numFmtId="0" fontId="15" fillId="0" borderId="0" xfId="0" applyFont="1"/>
    <xf numFmtId="44" fontId="0" fillId="0" borderId="0" xfId="0" applyNumberFormat="1"/>
    <xf numFmtId="42" fontId="1" fillId="0" borderId="0" xfId="2" applyNumberFormat="1" applyFont="1" applyAlignment="1" applyProtection="1">
      <alignment horizontal="left" vertical="center"/>
      <protection locked="0"/>
    </xf>
    <xf numFmtId="42" fontId="1" fillId="0" borderId="0" xfId="9" applyNumberFormat="1" applyFont="1" applyFill="1" applyBorder="1" applyAlignment="1" applyProtection="1"/>
    <xf numFmtId="0" fontId="3" fillId="0" borderId="0" xfId="0" applyFont="1" applyAlignment="1">
      <alignment horizontal="right"/>
    </xf>
    <xf numFmtId="42" fontId="3" fillId="0" borderId="4" xfId="0" applyNumberFormat="1" applyFont="1" applyBorder="1"/>
    <xf numFmtId="42" fontId="3" fillId="0" borderId="5" xfId="0" applyNumberFormat="1" applyFont="1" applyBorder="1"/>
    <xf numFmtId="0" fontId="17" fillId="0" borderId="0" xfId="0" applyFont="1"/>
    <xf numFmtId="164" fontId="3" fillId="0" borderId="0" xfId="0" applyNumberFormat="1" applyFont="1"/>
    <xf numFmtId="42" fontId="3" fillId="0" borderId="7" xfId="0" applyNumberFormat="1" applyFont="1" applyBorder="1"/>
    <xf numFmtId="42" fontId="3" fillId="0" borderId="0" xfId="0" applyNumberFormat="1" applyFont="1"/>
    <xf numFmtId="0" fontId="18" fillId="0" borderId="0" xfId="2" applyFont="1" applyAlignment="1">
      <alignment horizontal="left" vertical="center"/>
    </xf>
    <xf numFmtId="42" fontId="3" fillId="0" borderId="0" xfId="9" applyNumberFormat="1" applyFont="1" applyFill="1" applyBorder="1" applyAlignment="1" applyProtection="1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10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5" fontId="3" fillId="0" borderId="0" xfId="0" applyNumberFormat="1" applyFont="1" applyAlignment="1">
      <alignment horizontal="right" vertical="top"/>
    </xf>
    <xf numFmtId="165" fontId="3" fillId="0" borderId="5" xfId="0" applyNumberFormat="1" applyFont="1" applyBorder="1"/>
    <xf numFmtId="165" fontId="3" fillId="0" borderId="0" xfId="0" applyNumberFormat="1" applyFont="1"/>
    <xf numFmtId="165" fontId="3" fillId="0" borderId="4" xfId="0" applyNumberFormat="1" applyFont="1" applyBorder="1"/>
    <xf numFmtId="165" fontId="3" fillId="0" borderId="7" xfId="0" applyNumberFormat="1" applyFont="1" applyBorder="1"/>
    <xf numFmtId="167" fontId="3" fillId="0" borderId="0" xfId="0" applyNumberFormat="1" applyFont="1"/>
    <xf numFmtId="0" fontId="16" fillId="0" borderId="0" xfId="0" applyFont="1"/>
    <xf numFmtId="0" fontId="19" fillId="0" borderId="0" xfId="0" applyFont="1"/>
    <xf numFmtId="170" fontId="3" fillId="0" borderId="5" xfId="13" applyNumberFormat="1" applyFont="1" applyFill="1" applyBorder="1"/>
    <xf numFmtId="170" fontId="1" fillId="0" borderId="4" xfId="0" applyNumberFormat="1" applyFont="1" applyBorder="1"/>
    <xf numFmtId="0" fontId="1" fillId="0" borderId="4" xfId="0" applyFont="1" applyBorder="1" applyAlignment="1">
      <alignment horizontal="center" wrapText="1"/>
    </xf>
    <xf numFmtId="42" fontId="1" fillId="0" borderId="4" xfId="0" applyNumberFormat="1" applyFont="1" applyBorder="1" applyAlignment="1">
      <alignment horizontal="center" wrapText="1"/>
    </xf>
    <xf numFmtId="37" fontId="16" fillId="0" borderId="0" xfId="0" applyNumberFormat="1" applyFont="1"/>
    <xf numFmtId="37" fontId="16" fillId="0" borderId="4" xfId="0" applyNumberFormat="1" applyFont="1" applyBorder="1"/>
    <xf numFmtId="37" fontId="16" fillId="0" borderId="4" xfId="0" applyNumberFormat="1" applyFont="1" applyBorder="1" applyAlignment="1">
      <alignment horizontal="center"/>
    </xf>
    <xf numFmtId="37" fontId="16" fillId="0" borderId="0" xfId="0" applyNumberFormat="1" applyFont="1" applyAlignment="1">
      <alignment horizontal="center"/>
    </xf>
    <xf numFmtId="5" fontId="16" fillId="0" borderId="0" xfId="0" applyNumberFormat="1" applyFont="1"/>
    <xf numFmtId="39" fontId="16" fillId="0" borderId="0" xfId="0" applyNumberFormat="1" applyFont="1"/>
    <xf numFmtId="39" fontId="16" fillId="0" borderId="4" xfId="0" applyNumberFormat="1" applyFont="1" applyBorder="1"/>
    <xf numFmtId="39" fontId="16" fillId="0" borderId="5" xfId="0" applyNumberFormat="1" applyFont="1" applyBorder="1"/>
    <xf numFmtId="0" fontId="8" fillId="0" borderId="0" xfId="0" applyFont="1" applyAlignment="1">
      <alignment horizontal="center"/>
    </xf>
    <xf numFmtId="5" fontId="16" fillId="0" borderId="0" xfId="0" applyNumberFormat="1" applyFont="1" applyProtection="1">
      <protection locked="0"/>
    </xf>
    <xf numFmtId="172" fontId="16" fillId="0" borderId="0" xfId="0" applyNumberFormat="1" applyFont="1" applyProtection="1">
      <protection locked="0"/>
    </xf>
    <xf numFmtId="37" fontId="16" fillId="0" borderId="0" xfId="0" applyNumberFormat="1" applyFont="1" applyProtection="1">
      <protection locked="0"/>
    </xf>
    <xf numFmtId="172" fontId="16" fillId="0" borderId="0" xfId="0" applyNumberFormat="1" applyFont="1"/>
    <xf numFmtId="37" fontId="16" fillId="0" borderId="8" xfId="0" applyNumberFormat="1" applyFont="1" applyBorder="1"/>
    <xf numFmtId="39" fontId="16" fillId="0" borderId="0" xfId="0" applyNumberFormat="1" applyFont="1" applyProtection="1">
      <protection locked="0"/>
    </xf>
    <xf numFmtId="5" fontId="16" fillId="0" borderId="5" xfId="0" applyNumberFormat="1" applyFont="1" applyBorder="1"/>
    <xf numFmtId="37" fontId="16" fillId="0" borderId="0" xfId="0" applyNumberFormat="1" applyFont="1" applyProtection="1">
      <protection hidden="1"/>
    </xf>
    <xf numFmtId="37" fontId="16" fillId="0" borderId="4" xfId="0" applyNumberFormat="1" applyFont="1" applyBorder="1" applyAlignment="1">
      <alignment horizontal="left"/>
    </xf>
    <xf numFmtId="37" fontId="16" fillId="0" borderId="0" xfId="0" applyNumberFormat="1" applyFont="1" applyAlignment="1">
      <alignment horizontal="left"/>
    </xf>
    <xf numFmtId="0" fontId="3" fillId="0" borderId="0" xfId="2" applyFont="1" applyAlignment="1">
      <alignment horizontal="left" vertical="center" wrapText="1"/>
    </xf>
    <xf numFmtId="168" fontId="3" fillId="0" borderId="4" xfId="8" applyNumberFormat="1" applyFont="1" applyFill="1" applyBorder="1" applyAlignment="1">
      <alignment vertical="center"/>
    </xf>
    <xf numFmtId="0" fontId="8" fillId="0" borderId="4" xfId="0" applyFont="1" applyBorder="1"/>
    <xf numFmtId="42" fontId="8" fillId="0" borderId="0" xfId="0" applyNumberFormat="1" applyFont="1"/>
    <xf numFmtId="37" fontId="8" fillId="0" borderId="0" xfId="0" applyNumberFormat="1" applyFont="1"/>
    <xf numFmtId="5" fontId="16" fillId="0" borderId="4" xfId="0" applyNumberFormat="1" applyFont="1" applyBorder="1"/>
    <xf numFmtId="0" fontId="3" fillId="0" borderId="0" xfId="0" applyFont="1" applyAlignment="1">
      <alignment wrapText="1"/>
    </xf>
    <xf numFmtId="41" fontId="3" fillId="0" borderId="9" xfId="1" applyFont="1" applyBorder="1" applyAlignment="1">
      <alignment horizontal="left"/>
    </xf>
    <xf numFmtId="41" fontId="3" fillId="0" borderId="10" xfId="1" applyFont="1" applyBorder="1"/>
    <xf numFmtId="0" fontId="3" fillId="0" borderId="9" xfId="1" applyNumberFormat="1" applyFont="1" applyBorder="1" applyAlignment="1">
      <alignment horizontal="center"/>
    </xf>
    <xf numFmtId="0" fontId="3" fillId="0" borderId="0" xfId="1" applyNumberFormat="1" applyFont="1" applyAlignment="1">
      <alignment horizontal="center"/>
    </xf>
    <xf numFmtId="41" fontId="3" fillId="0" borderId="10" xfId="1" applyFont="1" applyBorder="1" applyAlignment="1">
      <alignment horizontal="center"/>
    </xf>
    <xf numFmtId="0" fontId="1" fillId="0" borderId="11" xfId="1" applyNumberFormat="1" applyFont="1" applyBorder="1" applyAlignment="1">
      <alignment horizontal="center"/>
    </xf>
    <xf numFmtId="41" fontId="3" fillId="0" borderId="12" xfId="1" applyFont="1" applyBorder="1" applyAlignment="1">
      <alignment horizontal="center"/>
    </xf>
    <xf numFmtId="41" fontId="3" fillId="0" borderId="9" xfId="1" applyFont="1" applyBorder="1" applyAlignment="1">
      <alignment horizontal="center"/>
    </xf>
    <xf numFmtId="167" fontId="3" fillId="0" borderId="0" xfId="1" applyNumberFormat="1" applyFont="1"/>
    <xf numFmtId="167" fontId="3" fillId="0" borderId="10" xfId="1" applyNumberFormat="1" applyFont="1" applyBorder="1"/>
    <xf numFmtId="41" fontId="3" fillId="0" borderId="9" xfId="1" applyFont="1" applyBorder="1"/>
    <xf numFmtId="167" fontId="3" fillId="0" borderId="12" xfId="1" applyNumberFormat="1" applyFont="1" applyBorder="1"/>
    <xf numFmtId="167" fontId="3" fillId="0" borderId="13" xfId="1" applyNumberFormat="1" applyFont="1" applyBorder="1"/>
    <xf numFmtId="0" fontId="0" fillId="0" borderId="9" xfId="0" applyBorder="1"/>
    <xf numFmtId="0" fontId="0" fillId="0" borderId="10" xfId="0" applyBorder="1"/>
    <xf numFmtId="0" fontId="3" fillId="0" borderId="9" xfId="1" applyNumberFormat="1" applyFont="1" applyBorder="1"/>
    <xf numFmtId="0" fontId="3" fillId="0" borderId="0" xfId="1" applyNumberFormat="1" applyFont="1"/>
    <xf numFmtId="0" fontId="1" fillId="0" borderId="11" xfId="1" applyNumberFormat="1" applyFont="1" applyBorder="1"/>
    <xf numFmtId="10" fontId="3" fillId="0" borderId="12" xfId="1" applyNumberFormat="1" applyFont="1" applyBorder="1"/>
    <xf numFmtId="41" fontId="3" fillId="0" borderId="11" xfId="1" applyFont="1" applyBorder="1" applyAlignment="1">
      <alignment horizontal="center"/>
    </xf>
    <xf numFmtId="0" fontId="3" fillId="0" borderId="0" xfId="2" applyFont="1" applyAlignment="1">
      <alignment horizontal="center" vertical="center" wrapText="1"/>
    </xf>
    <xf numFmtId="37" fontId="11" fillId="0" borderId="0" xfId="0" applyNumberFormat="1" applyFont="1" applyAlignment="1">
      <alignment horizontal="center"/>
    </xf>
    <xf numFmtId="42" fontId="11" fillId="0" borderId="4" xfId="0" applyNumberFormat="1" applyFont="1" applyBorder="1"/>
    <xf numFmtId="165" fontId="11" fillId="0" borderId="4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5" fontId="3" fillId="0" borderId="6" xfId="0" applyNumberFormat="1" applyFont="1" applyBorder="1"/>
    <xf numFmtId="14" fontId="1" fillId="0" borderId="0" xfId="0" applyNumberFormat="1" applyFont="1" applyAlignment="1">
      <alignment horizontal="center"/>
    </xf>
    <xf numFmtId="171" fontId="1" fillId="0" borderId="0" xfId="0" applyNumberFormat="1" applyFont="1"/>
    <xf numFmtId="169" fontId="1" fillId="0" borderId="7" xfId="0" applyNumberFormat="1" applyFont="1" applyBorder="1"/>
    <xf numFmtId="167" fontId="3" fillId="0" borderId="4" xfId="0" applyNumberFormat="1" applyFont="1" applyBorder="1" applyAlignment="1">
      <alignment horizontal="right"/>
    </xf>
    <xf numFmtId="0" fontId="0" fillId="0" borderId="4" xfId="0" applyBorder="1"/>
    <xf numFmtId="0" fontId="3" fillId="0" borderId="0" xfId="0" applyFont="1" applyAlignment="1">
      <alignment horizontal="center" vertical="center"/>
    </xf>
    <xf numFmtId="167" fontId="11" fillId="0" borderId="4" xfId="0" applyNumberFormat="1" applyFont="1" applyBorder="1"/>
    <xf numFmtId="0" fontId="11" fillId="0" borderId="0" xfId="0" applyFont="1" applyAlignment="1">
      <alignment wrapText="1"/>
    </xf>
    <xf numFmtId="10" fontId="1" fillId="0" borderId="0" xfId="0" applyNumberFormat="1" applyFont="1" applyAlignment="1">
      <alignment horizontal="center"/>
    </xf>
    <xf numFmtId="0" fontId="9" fillId="0" borderId="4" xfId="0" applyFont="1" applyBorder="1" applyAlignment="1">
      <alignment horizontal="center"/>
    </xf>
    <xf numFmtId="37" fontId="3" fillId="0" borderId="4" xfId="0" applyNumberFormat="1" applyFont="1" applyBorder="1" applyAlignment="1">
      <alignment horizontal="center"/>
    </xf>
    <xf numFmtId="37" fontId="3" fillId="0" borderId="4" xfId="0" quotePrefix="1" applyNumberFormat="1" applyFont="1" applyBorder="1" applyAlignment="1">
      <alignment horizontal="center"/>
    </xf>
    <xf numFmtId="37" fontId="16" fillId="0" borderId="7" xfId="0" applyNumberFormat="1" applyFont="1" applyBorder="1"/>
    <xf numFmtId="37" fontId="16" fillId="0" borderId="5" xfId="0" applyNumberFormat="1" applyFont="1" applyBorder="1"/>
    <xf numFmtId="41" fontId="1" fillId="0" borderId="0" xfId="0" applyNumberFormat="1" applyFont="1"/>
    <xf numFmtId="44" fontId="1" fillId="0" borderId="0" xfId="0" applyNumberFormat="1" applyFont="1"/>
    <xf numFmtId="16" fontId="1" fillId="0" borderId="0" xfId="0" quotePrefix="1" applyNumberFormat="1" applyFont="1" applyAlignment="1">
      <alignment horizontal="right"/>
    </xf>
    <xf numFmtId="42" fontId="1" fillId="0" borderId="4" xfId="0" applyNumberFormat="1" applyFont="1" applyBorder="1" applyAlignment="1">
      <alignment horizontal="center"/>
    </xf>
    <xf numFmtId="37" fontId="1" fillId="0" borderId="0" xfId="0" applyNumberFormat="1" applyFont="1"/>
    <xf numFmtId="37" fontId="1" fillId="0" borderId="4" xfId="0" applyNumberFormat="1" applyFont="1" applyBorder="1"/>
    <xf numFmtId="9" fontId="1" fillId="0" borderId="4" xfId="0" applyNumberFormat="1" applyFont="1" applyBorder="1"/>
    <xf numFmtId="0" fontId="20" fillId="0" borderId="14" xfId="0" applyFont="1" applyBorder="1"/>
    <xf numFmtId="0" fontId="8" fillId="0" borderId="14" xfId="0" applyFont="1" applyBorder="1"/>
    <xf numFmtId="42" fontId="8" fillId="0" borderId="14" xfId="0" applyNumberFormat="1" applyFont="1" applyBorder="1"/>
    <xf numFmtId="0" fontId="8" fillId="0" borderId="14" xfId="0" applyFont="1" applyBorder="1" applyAlignment="1">
      <alignment horizontal="right"/>
    </xf>
    <xf numFmtId="37" fontId="16" fillId="0" borderId="0" xfId="0" applyNumberFormat="1" applyFont="1" applyFill="1"/>
    <xf numFmtId="0" fontId="0" fillId="0" borderId="0" xfId="0" applyFill="1"/>
    <xf numFmtId="0" fontId="8" fillId="0" borderId="0" xfId="0" applyFont="1" applyFill="1"/>
    <xf numFmtId="39" fontId="16" fillId="0" borderId="0" xfId="0" applyNumberFormat="1" applyFont="1" applyFill="1"/>
    <xf numFmtId="42" fontId="1" fillId="0" borderId="0" xfId="0" applyNumberFormat="1" applyFont="1" applyFill="1"/>
    <xf numFmtId="0" fontId="1" fillId="0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1" fontId="1" fillId="0" borderId="1" xfId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22">
    <cellStyle name="Comma 2 4" xfId="6" xr:uid="{8A40FDA6-25BE-4A64-8359-520382CBA00E}"/>
    <cellStyle name="Comma 3" xfId="9" xr:uid="{238571D7-F97C-4A23-9790-40F98AB64B97}"/>
    <cellStyle name="Comma 6" xfId="5" xr:uid="{16FE863B-199E-4707-BB49-E0CB128D6E4E}"/>
    <cellStyle name="Currency 2" xfId="8" xr:uid="{8DD08C81-4554-4930-8212-E133F6A96E83}"/>
    <cellStyle name="Currency 3" xfId="17" xr:uid="{E8C0607D-B41E-409D-87FC-4B3CD1F9890E}"/>
    <cellStyle name="Normal" xfId="0" builtinId="0"/>
    <cellStyle name="Normal 2" xfId="12" xr:uid="{411B3527-A96B-45D4-B2CE-E528745DDC8D}"/>
    <cellStyle name="Normal 2 2" xfId="14" xr:uid="{2F65D141-EA4C-4D6C-8196-661BF7A337FD}"/>
    <cellStyle name="Normal 2 3" xfId="4" xr:uid="{847A02A2-5431-402F-B16F-94825693DA62}"/>
    <cellStyle name="Normal 2 4" xfId="19" xr:uid="{3916612E-CAAD-4EB2-ABB8-860F7BA0FB81}"/>
    <cellStyle name="Normal 2 5" xfId="21" xr:uid="{97C871D9-DEB4-43FD-B876-3819A856C55E}"/>
    <cellStyle name="Normal 3" xfId="7" xr:uid="{A534426A-9C7B-4790-A910-14303DD2735F}"/>
    <cellStyle name="Normal 3 2" xfId="15" xr:uid="{090BDE69-6CFF-4787-B43A-F30DD543CD3F}"/>
    <cellStyle name="Normal 4" xfId="10" xr:uid="{9EDE1F7B-8874-4019-BFC0-C7768DA4402F}"/>
    <cellStyle name="Normal 4 2" xfId="16" xr:uid="{1F39D7D1-413F-4691-9467-2553AF164DBF}"/>
    <cellStyle name="Normal 5" xfId="18" xr:uid="{D3A1FA57-35F1-41BE-A4ED-13BFEDB1413E}"/>
    <cellStyle name="Normal 6" xfId="20" xr:uid="{8B8F6964-1A0C-457D-8C1A-0AD8689ABABC}"/>
    <cellStyle name="Normal 8" xfId="11" xr:uid="{011A3FEA-9D05-40B3-967E-B8D773C51325}"/>
    <cellStyle name="Normal_Schedule J" xfId="3" xr:uid="{8FC02B4E-0804-4A5A-AEFA-21D38DCACAA4}"/>
    <cellStyle name="Normal_Schedules A thru L Cost of Servive June 30, 2009" xfId="2" xr:uid="{4AC0BB92-C8F9-44A9-8A65-339FE35452CE}"/>
    <cellStyle name="Normal_SHEET" xfId="1" xr:uid="{EE3F81D6-2D24-4729-96AE-6C76C8BB5F0A}"/>
    <cellStyle name="Percent 2" xfId="13" xr:uid="{4260F9D6-6444-45DD-BC01-2B3E894852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TINAS%20FILES\Cases\Kentucky\KY%20American%20Water\Exhibit_JD-1%20KAWC.xlsx" TargetMode="External"/><Relationship Id="rId1" Type="http://schemas.openxmlformats.org/officeDocument/2006/relationships/externalLinkPath" Target="file:///C:\TINAS%20FILES\Cases\Kentucky\KY%20American%20Water\Exhibit_JD-1%20KAW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OC"/>
      <sheetName val="A"/>
      <sheetName val="B"/>
      <sheetName val="CWC"/>
      <sheetName val="plant"/>
      <sheetName val="C"/>
      <sheetName val="C p2"/>
      <sheetName val="Payroll"/>
      <sheetName val="Incentive Comp"/>
      <sheetName val="ESPP"/>
      <sheetName val="UFW"/>
      <sheetName val="Rate Case Exp"/>
      <sheetName val="Bus Dev"/>
      <sheetName val="Investor Rel"/>
      <sheetName val="401(k)"/>
      <sheetName val="FPP"/>
      <sheetName val="Growth Factor"/>
      <sheetName val="Healthcare"/>
      <sheetName val="Dues"/>
      <sheetName val="Payroll Tax"/>
      <sheetName val="Benefits"/>
      <sheetName val="Depreciation"/>
      <sheetName val="Prop Tax"/>
      <sheetName val="Inc Tax"/>
      <sheetName val="Int Sync"/>
      <sheetName val="D"/>
      <sheetName val="SummaryWP"/>
    </sheetNames>
    <sheetDataSet>
      <sheetData sheetId="0" refreshError="1"/>
      <sheetData sheetId="1">
        <row r="1">
          <cell r="H1" t="str">
            <v>Case No. 2025-00122</v>
          </cell>
        </row>
        <row r="2">
          <cell r="A2" t="str">
            <v>Forecasted Test Period: Twelve Months Ended December 31, 2026</v>
          </cell>
          <cell r="H2" t="str">
            <v>Exhibit JD-1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C5C47-90B7-4A95-8D4B-AFEB85D08560}">
  <dimension ref="A1:C33"/>
  <sheetViews>
    <sheetView workbookViewId="0">
      <selection activeCell="A2" sqref="A2:C2"/>
    </sheetView>
  </sheetViews>
  <sheetFormatPr defaultRowHeight="15" x14ac:dyDescent="0.25"/>
  <cols>
    <col min="1" max="1" width="20" customWidth="1"/>
    <col min="2" max="2" width="5.42578125" customWidth="1"/>
    <col min="3" max="3" width="56.42578125" customWidth="1"/>
  </cols>
  <sheetData>
    <row r="1" spans="1:3" ht="15.75" x14ac:dyDescent="0.25">
      <c r="A1" s="196" t="s">
        <v>355</v>
      </c>
      <c r="B1" s="196"/>
      <c r="C1" s="196"/>
    </row>
    <row r="2" spans="1:3" ht="15.75" x14ac:dyDescent="0.25">
      <c r="A2" s="196" t="s">
        <v>125</v>
      </c>
      <c r="B2" s="196"/>
      <c r="C2" s="196"/>
    </row>
    <row r="3" spans="1:3" ht="15.75" x14ac:dyDescent="0.25">
      <c r="A3" s="196" t="s">
        <v>126</v>
      </c>
      <c r="B3" s="196"/>
      <c r="C3" s="196"/>
    </row>
    <row r="4" spans="1:3" ht="15.75" x14ac:dyDescent="0.25">
      <c r="A4" s="15"/>
      <c r="B4" s="15"/>
      <c r="C4" s="15"/>
    </row>
    <row r="5" spans="1:3" ht="15.75" x14ac:dyDescent="0.25">
      <c r="A5" s="197" t="s">
        <v>127</v>
      </c>
      <c r="B5" s="197"/>
      <c r="C5" s="197"/>
    </row>
    <row r="6" spans="1:3" ht="15.75" x14ac:dyDescent="0.25">
      <c r="A6" s="196" t="s">
        <v>3</v>
      </c>
      <c r="B6" s="196"/>
      <c r="C6" s="196"/>
    </row>
    <row r="7" spans="1:3" ht="15.75" x14ac:dyDescent="0.25">
      <c r="A7" s="196"/>
      <c r="B7" s="196"/>
      <c r="C7" s="196"/>
    </row>
    <row r="8" spans="1:3" ht="15.75" x14ac:dyDescent="0.25">
      <c r="A8" s="196" t="s">
        <v>2</v>
      </c>
      <c r="B8" s="196"/>
      <c r="C8" s="196"/>
    </row>
    <row r="9" spans="1:3" ht="15.75" x14ac:dyDescent="0.25">
      <c r="A9" s="1"/>
      <c r="B9" s="1"/>
      <c r="C9" s="1"/>
    </row>
    <row r="10" spans="1:3" ht="15.75" x14ac:dyDescent="0.25">
      <c r="A10" s="14" t="s">
        <v>0</v>
      </c>
      <c r="B10" s="14"/>
      <c r="C10" s="14" t="s">
        <v>1</v>
      </c>
    </row>
    <row r="11" spans="1:3" ht="15.75" x14ac:dyDescent="0.25">
      <c r="A11" s="1"/>
      <c r="B11" s="1"/>
      <c r="C11" s="1"/>
    </row>
    <row r="12" spans="1:3" ht="15.75" x14ac:dyDescent="0.25">
      <c r="A12" s="1" t="str">
        <f>A!H3</f>
        <v>Schedule A</v>
      </c>
      <c r="B12" s="1"/>
      <c r="C12" s="1" t="str">
        <f>A!A4</f>
        <v xml:space="preserve">Overall Financial Summary - Excluding QIP </v>
      </c>
    </row>
    <row r="13" spans="1:3" ht="15.75" x14ac:dyDescent="0.25">
      <c r="A13" s="1"/>
      <c r="B13" s="1"/>
      <c r="C13" s="1"/>
    </row>
    <row r="14" spans="1:3" ht="15.75" x14ac:dyDescent="0.25">
      <c r="A14" s="1" t="str">
        <f>B!E3</f>
        <v>Schedule B</v>
      </c>
      <c r="B14" s="1"/>
      <c r="C14" s="1" t="str">
        <f>B!A4</f>
        <v>Rate Base - Excluding QIP</v>
      </c>
    </row>
    <row r="15" spans="1:3" ht="15.75" x14ac:dyDescent="0.25">
      <c r="A15" s="1" t="str">
        <f>CWC!J3</f>
        <v>Schedule B-1</v>
      </c>
      <c r="B15" s="1"/>
      <c r="C15" s="1" t="s">
        <v>57</v>
      </c>
    </row>
    <row r="16" spans="1:3" ht="15.75" x14ac:dyDescent="0.25">
      <c r="A16" s="1"/>
      <c r="B16" s="1"/>
      <c r="C16" s="1"/>
    </row>
    <row r="17" spans="1:3" ht="15.75" x14ac:dyDescent="0.25">
      <c r="A17" s="1" t="str">
        <f>'C'!E3</f>
        <v>Schedule C</v>
      </c>
      <c r="B17" s="1"/>
      <c r="C17" s="1" t="str">
        <f>'C'!A4</f>
        <v>Operating Income - Excluding QIP</v>
      </c>
    </row>
    <row r="18" spans="1:3" ht="15.75" x14ac:dyDescent="0.25">
      <c r="A18" s="1" t="str">
        <f>Payroll!E3</f>
        <v>Schedule C-1</v>
      </c>
      <c r="B18" s="1"/>
      <c r="C18" s="1" t="str">
        <f>Payroll!A4</f>
        <v>Payroll Expense</v>
      </c>
    </row>
    <row r="19" spans="1:3" ht="15.75" x14ac:dyDescent="0.25">
      <c r="A19" s="1" t="str">
        <f>'Incentive Comp'!E3</f>
        <v>Schedule C-2</v>
      </c>
      <c r="B19" s="1"/>
      <c r="C19" s="1" t="str">
        <f>'Incentive Comp'!A4</f>
        <v xml:space="preserve">Incentive Compensation </v>
      </c>
    </row>
    <row r="20" spans="1:3" ht="15.75" x14ac:dyDescent="0.25">
      <c r="A20" s="1" t="str">
        <f>ESPP!E3</f>
        <v>Schedule C-3</v>
      </c>
      <c r="B20" s="1"/>
      <c r="C20" s="1" t="str">
        <f>ESPP!A4</f>
        <v>Employee Stock Purchase Plan Discount</v>
      </c>
    </row>
    <row r="21" spans="1:3" ht="15.75" x14ac:dyDescent="0.25">
      <c r="A21" s="1" t="str">
        <f>UFW!F3</f>
        <v>Schedule C-4</v>
      </c>
      <c r="B21" s="1"/>
      <c r="C21" s="1" t="str">
        <f>UFW!A4</f>
        <v>Unaccounted For Water</v>
      </c>
    </row>
    <row r="22" spans="1:3" ht="15.75" x14ac:dyDescent="0.25">
      <c r="A22" s="1" t="str">
        <f>'Rate Case Exp'!H3</f>
        <v>Schedule C-5</v>
      </c>
      <c r="B22" s="1"/>
      <c r="C22" s="1" t="str">
        <f>'Rate Case Exp'!A4</f>
        <v>Rate Case Expense</v>
      </c>
    </row>
    <row r="23" spans="1:3" ht="15.75" x14ac:dyDescent="0.25">
      <c r="A23" s="1" t="str">
        <f>'Bus Dev'!E3</f>
        <v>Schedule C-6</v>
      </c>
      <c r="B23" s="1"/>
      <c r="C23" s="1" t="str">
        <f>'Bus Dev'!A4</f>
        <v>Business Development Expense</v>
      </c>
    </row>
    <row r="24" spans="1:3" ht="15.75" x14ac:dyDescent="0.25">
      <c r="A24" s="1" t="str">
        <f>'401(k)'!E3</f>
        <v>Schedule C-7</v>
      </c>
      <c r="B24" s="1"/>
      <c r="C24" s="1" t="str">
        <f>'401(k)'!A4</f>
        <v>401(k) Expense</v>
      </c>
    </row>
    <row r="25" spans="1:3" ht="15.75" x14ac:dyDescent="0.25">
      <c r="A25" s="1" t="str">
        <f>'Growth Factor'!E3</f>
        <v>Schedule C-8</v>
      </c>
      <c r="B25" s="1"/>
      <c r="C25" s="1" t="str">
        <f>'Growth Factor'!A4</f>
        <v>Growth Factor</v>
      </c>
    </row>
    <row r="26" spans="1:3" ht="15.75" x14ac:dyDescent="0.25">
      <c r="A26" s="1" t="str">
        <f>Healthcare!E3</f>
        <v>Schedule C-9</v>
      </c>
      <c r="B26" s="1"/>
      <c r="C26" s="1" t="str">
        <f>Healthcare!A4</f>
        <v>Healthcare Expense</v>
      </c>
    </row>
    <row r="27" spans="1:3" ht="15.75" x14ac:dyDescent="0.25">
      <c r="A27" s="1" t="str">
        <f>Dues!E3</f>
        <v>Schedule C-10</v>
      </c>
      <c r="B27" s="1"/>
      <c r="C27" s="1" t="str">
        <f>Dues!A4</f>
        <v>Membership Dues</v>
      </c>
    </row>
    <row r="28" spans="1:3" ht="15.75" x14ac:dyDescent="0.25">
      <c r="A28" s="1" t="str">
        <f>'Payroll Tax'!E3</f>
        <v>Schedule C-11</v>
      </c>
      <c r="B28" s="1"/>
      <c r="C28" s="1" t="str">
        <f>'Payroll Tax'!A4</f>
        <v>Payroll Tax</v>
      </c>
    </row>
    <row r="29" spans="1:3" ht="15.75" x14ac:dyDescent="0.25">
      <c r="A29" s="1" t="str">
        <f>Benefits!E3</f>
        <v>Schedule C-12</v>
      </c>
      <c r="B29" s="1"/>
      <c r="C29" s="1" t="str">
        <f>Benefits!A4</f>
        <v>Benefits Expense</v>
      </c>
    </row>
    <row r="30" spans="1:3" ht="15.75" x14ac:dyDescent="0.25">
      <c r="A30" s="1" t="str">
        <f>'Inc Tax'!G3</f>
        <v>Schedule C-13</v>
      </c>
      <c r="B30" s="1"/>
      <c r="C30" s="1" t="str">
        <f>'Inc Tax'!A4</f>
        <v>Income Tax Expense</v>
      </c>
    </row>
    <row r="31" spans="1:3" ht="15.75" x14ac:dyDescent="0.25">
      <c r="A31" s="1" t="str">
        <f>'Int synch '!F3</f>
        <v>Schedule C-14</v>
      </c>
      <c r="B31" s="1"/>
      <c r="C31" s="1" t="str">
        <f>'Int synch '!A4</f>
        <v>Interest Synchronization</v>
      </c>
    </row>
    <row r="32" spans="1:3" ht="15.75" x14ac:dyDescent="0.25">
      <c r="A32" s="32"/>
      <c r="B32" s="84"/>
      <c r="C32" s="32"/>
    </row>
    <row r="33" spans="1:3" ht="15.75" x14ac:dyDescent="0.25">
      <c r="A33" s="1" t="str">
        <f>D!I3</f>
        <v>Schedule D</v>
      </c>
      <c r="B33" s="1"/>
      <c r="C33" s="1" t="str">
        <f>D!A4</f>
        <v xml:space="preserve">Rate of Return </v>
      </c>
    </row>
  </sheetData>
  <mergeCells count="7">
    <mergeCell ref="A8:C8"/>
    <mergeCell ref="A1:C1"/>
    <mergeCell ref="A2:C2"/>
    <mergeCell ref="A3:C3"/>
    <mergeCell ref="A7:C7"/>
    <mergeCell ref="A6:C6"/>
    <mergeCell ref="A5:C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629FD-63B6-4E8B-A5E8-B39026C45821}">
  <sheetPr>
    <pageSetUpPr fitToPage="1"/>
  </sheetPr>
  <dimension ref="A1:F47"/>
  <sheetViews>
    <sheetView topLeftCell="A4" workbookViewId="0">
      <selection activeCell="F48" sqref="F48"/>
    </sheetView>
  </sheetViews>
  <sheetFormatPr defaultRowHeight="15" x14ac:dyDescent="0.25"/>
  <cols>
    <col min="2" max="2" width="3" customWidth="1"/>
    <col min="3" max="3" width="41.140625" customWidth="1"/>
    <col min="4" max="4" width="27" customWidth="1"/>
    <col min="5" max="5" width="24.85546875" customWidth="1"/>
    <col min="6" max="6" width="20.28515625" customWidth="1"/>
  </cols>
  <sheetData>
    <row r="1" spans="1:6" ht="15.75" x14ac:dyDescent="0.25">
      <c r="A1" s="1" t="str">
        <f>A!A1</f>
        <v>Kentucky-American Water Company</v>
      </c>
      <c r="B1" s="1"/>
      <c r="C1" s="1"/>
      <c r="D1" s="1"/>
      <c r="F1" s="9" t="str">
        <f>A!H1</f>
        <v>Case No. 2025-00122</v>
      </c>
    </row>
    <row r="2" spans="1:6" ht="15.75" x14ac:dyDescent="0.25">
      <c r="A2" s="1" t="str">
        <f>A!A2</f>
        <v>Forecasted Test Period: Twelve Months Ended December 31, 2026</v>
      </c>
      <c r="B2" s="1"/>
      <c r="C2" s="1"/>
      <c r="D2" s="1"/>
      <c r="F2" s="9" t="str">
        <f>A!H2</f>
        <v>Exhibit JD-1</v>
      </c>
    </row>
    <row r="3" spans="1:6" ht="15.75" x14ac:dyDescent="0.25">
      <c r="A3" s="1"/>
      <c r="B3" s="1"/>
      <c r="C3" s="1"/>
      <c r="D3" s="1"/>
      <c r="F3" s="9" t="s">
        <v>73</v>
      </c>
    </row>
    <row r="4" spans="1:6" ht="15.75" x14ac:dyDescent="0.25">
      <c r="A4" s="39" t="s">
        <v>132</v>
      </c>
      <c r="B4" s="1"/>
      <c r="C4" s="1"/>
      <c r="D4" s="1"/>
      <c r="F4" s="9" t="str">
        <f>A!H4</f>
        <v>Page 1 of 1</v>
      </c>
    </row>
    <row r="5" spans="1:6" ht="15.75" x14ac:dyDescent="0.25">
      <c r="A5" s="1"/>
      <c r="B5" s="1"/>
      <c r="C5" s="1"/>
      <c r="D5" s="1"/>
      <c r="E5" s="1"/>
    </row>
    <row r="6" spans="1:6" ht="15.75" x14ac:dyDescent="0.25">
      <c r="B6" s="39"/>
      <c r="C6" s="39"/>
      <c r="D6" s="39"/>
      <c r="E6" s="27"/>
    </row>
    <row r="7" spans="1:6" ht="15.75" x14ac:dyDescent="0.25">
      <c r="A7" s="40"/>
      <c r="B7" s="39"/>
      <c r="C7" s="39"/>
      <c r="D7" s="39"/>
      <c r="E7" s="39"/>
    </row>
    <row r="8" spans="1:6" ht="15.75" x14ac:dyDescent="0.25">
      <c r="A8" s="39"/>
      <c r="B8" s="39"/>
      <c r="C8" s="39"/>
      <c r="D8" s="34" t="s">
        <v>167</v>
      </c>
      <c r="E8" s="39"/>
    </row>
    <row r="9" spans="1:6" ht="15.75" x14ac:dyDescent="0.25">
      <c r="A9" s="14" t="s">
        <v>22</v>
      </c>
      <c r="B9" s="1"/>
      <c r="C9" s="14" t="s">
        <v>12</v>
      </c>
      <c r="D9" s="35" t="s">
        <v>37</v>
      </c>
      <c r="E9" s="18" t="s">
        <v>24</v>
      </c>
    </row>
    <row r="10" spans="1:6" ht="15.75" x14ac:dyDescent="0.25">
      <c r="A10" s="1"/>
      <c r="B10" s="1"/>
      <c r="C10" s="1"/>
      <c r="D10" s="15"/>
      <c r="E10" s="15"/>
    </row>
    <row r="11" spans="1:6" ht="15.75" x14ac:dyDescent="0.25">
      <c r="A11" s="15"/>
      <c r="B11" s="1"/>
      <c r="C11" s="1"/>
      <c r="D11" s="19"/>
      <c r="E11" s="19"/>
    </row>
    <row r="12" spans="1:6" ht="16.5" thickBot="1" x14ac:dyDescent="0.3">
      <c r="A12" s="15">
        <v>1</v>
      </c>
      <c r="B12" s="1"/>
      <c r="C12" s="1" t="s">
        <v>279</v>
      </c>
      <c r="D12" s="24">
        <f>+F22</f>
        <v>-394049.01800000004</v>
      </c>
      <c r="E12" s="19" t="s">
        <v>258</v>
      </c>
    </row>
    <row r="13" spans="1:6" ht="16.5" thickTop="1" x14ac:dyDescent="0.25">
      <c r="A13" s="15"/>
      <c r="B13" s="1"/>
      <c r="C13" s="1"/>
      <c r="D13" s="1"/>
      <c r="E13" s="1"/>
    </row>
    <row r="14" spans="1:6" ht="15.75" x14ac:dyDescent="0.25">
      <c r="A14" s="34"/>
      <c r="B14" s="39"/>
      <c r="C14" s="39"/>
      <c r="D14" s="39"/>
      <c r="E14" s="37"/>
    </row>
    <row r="15" spans="1:6" ht="15.75" x14ac:dyDescent="0.25">
      <c r="A15" s="34"/>
      <c r="B15" s="39"/>
      <c r="C15" s="39"/>
      <c r="D15" s="39"/>
      <c r="E15" s="37"/>
      <c r="F15" s="31"/>
    </row>
    <row r="16" spans="1:6" ht="15.75" x14ac:dyDescent="0.25">
      <c r="A16" s="1"/>
      <c r="B16" s="1"/>
      <c r="C16" s="1"/>
      <c r="D16" s="34" t="s">
        <v>167</v>
      </c>
      <c r="E16" s="1"/>
      <c r="F16" s="1"/>
    </row>
    <row r="17" spans="1:6" ht="15.75" x14ac:dyDescent="0.25">
      <c r="A17" s="15">
        <v>2</v>
      </c>
      <c r="B17" s="1"/>
      <c r="C17" s="1"/>
      <c r="D17" s="35" t="s">
        <v>282</v>
      </c>
      <c r="E17" s="18" t="s">
        <v>328</v>
      </c>
      <c r="F17" s="18" t="s">
        <v>236</v>
      </c>
    </row>
    <row r="18" spans="1:6" ht="15.75" x14ac:dyDescent="0.25">
      <c r="A18" s="15">
        <v>3</v>
      </c>
      <c r="B18" s="1"/>
      <c r="C18" s="1" t="s">
        <v>189</v>
      </c>
      <c r="D18" s="19">
        <v>201875</v>
      </c>
      <c r="E18" s="173">
        <v>3.4000000000000002E-2</v>
      </c>
      <c r="F18" s="19">
        <f>-D18*E18</f>
        <v>-6863.7500000000009</v>
      </c>
    </row>
    <row r="19" spans="1:6" ht="15.75" x14ac:dyDescent="0.25">
      <c r="A19" s="15">
        <v>4</v>
      </c>
      <c r="B19" s="1"/>
      <c r="C19" s="1" t="s">
        <v>235</v>
      </c>
      <c r="D19" s="19">
        <v>6040520</v>
      </c>
      <c r="E19" s="173">
        <f>+E18</f>
        <v>3.4000000000000002E-2</v>
      </c>
      <c r="F19" s="19">
        <f>-D19*E19</f>
        <v>-205377.68000000002</v>
      </c>
    </row>
    <row r="20" spans="1:6" ht="15.75" x14ac:dyDescent="0.25">
      <c r="A20" s="15">
        <v>5</v>
      </c>
      <c r="B20" s="1"/>
      <c r="C20" s="1" t="s">
        <v>188</v>
      </c>
      <c r="D20" s="19">
        <v>4632446</v>
      </c>
      <c r="E20" s="173">
        <f>+E19</f>
        <v>3.4000000000000002E-2</v>
      </c>
      <c r="F20" s="19">
        <f>-D20*E20</f>
        <v>-157503.16400000002</v>
      </c>
    </row>
    <row r="21" spans="1:6" ht="15.75" x14ac:dyDescent="0.25">
      <c r="A21" s="15">
        <v>6</v>
      </c>
      <c r="B21" s="1"/>
      <c r="C21" s="1" t="s">
        <v>190</v>
      </c>
      <c r="D21" s="20">
        <v>714836</v>
      </c>
      <c r="E21" s="173">
        <f>+E20</f>
        <v>3.4000000000000002E-2</v>
      </c>
      <c r="F21" s="20">
        <f>-D21*E21</f>
        <v>-24304.424000000003</v>
      </c>
    </row>
    <row r="22" spans="1:6" ht="15.75" x14ac:dyDescent="0.25">
      <c r="A22" s="15">
        <v>7</v>
      </c>
      <c r="B22" s="1"/>
      <c r="C22" s="9" t="s">
        <v>19</v>
      </c>
      <c r="D22" s="19">
        <f>SUM(D18:D21)</f>
        <v>11589677</v>
      </c>
      <c r="E22" s="1"/>
      <c r="F22" s="19">
        <f>SUM(F18:F21)</f>
        <v>-394049.01800000004</v>
      </c>
    </row>
    <row r="23" spans="1:6" ht="15.75" x14ac:dyDescent="0.25">
      <c r="A23" s="15"/>
      <c r="B23" s="1"/>
      <c r="C23" s="9"/>
      <c r="D23" s="19"/>
      <c r="E23" s="1"/>
      <c r="F23" s="19"/>
    </row>
    <row r="24" spans="1:6" ht="15.75" x14ac:dyDescent="0.25">
      <c r="A24" s="15"/>
      <c r="B24" s="1"/>
      <c r="C24" s="9"/>
      <c r="D24" s="19"/>
      <c r="E24" s="1"/>
      <c r="F24" s="19"/>
    </row>
    <row r="25" spans="1:6" ht="15.75" x14ac:dyDescent="0.25">
      <c r="A25" s="15">
        <v>8</v>
      </c>
      <c r="B25" s="1"/>
      <c r="C25" s="181" t="s">
        <v>324</v>
      </c>
      <c r="D25" s="182" t="s">
        <v>325</v>
      </c>
      <c r="E25" s="18" t="s">
        <v>326</v>
      </c>
      <c r="F25" s="19" t="s">
        <v>327</v>
      </c>
    </row>
    <row r="26" spans="1:6" ht="15.75" x14ac:dyDescent="0.25">
      <c r="A26" s="15">
        <v>9</v>
      </c>
      <c r="B26" s="1"/>
      <c r="C26" s="9" t="s">
        <v>312</v>
      </c>
      <c r="D26" s="183">
        <v>218351</v>
      </c>
      <c r="E26" s="183">
        <v>1186688</v>
      </c>
      <c r="F26" s="19"/>
    </row>
    <row r="27" spans="1:6" ht="15.75" x14ac:dyDescent="0.25">
      <c r="A27" s="15">
        <v>10</v>
      </c>
      <c r="B27" s="1"/>
      <c r="C27" s="9" t="s">
        <v>313</v>
      </c>
      <c r="D27" s="183">
        <v>197386</v>
      </c>
      <c r="E27" s="183">
        <v>1072750</v>
      </c>
      <c r="F27" s="19"/>
    </row>
    <row r="28" spans="1:6" ht="15.75" x14ac:dyDescent="0.25">
      <c r="A28" s="15">
        <v>11</v>
      </c>
      <c r="B28" s="1"/>
      <c r="C28" s="9" t="s">
        <v>314</v>
      </c>
      <c r="D28" s="183">
        <v>210356</v>
      </c>
      <c r="E28" s="183">
        <v>1143239</v>
      </c>
      <c r="F28" s="19"/>
    </row>
    <row r="29" spans="1:6" ht="15.75" x14ac:dyDescent="0.25">
      <c r="A29" s="15">
        <v>12</v>
      </c>
      <c r="B29" s="1"/>
      <c r="C29" s="9" t="s">
        <v>315</v>
      </c>
      <c r="D29" s="183">
        <v>213325</v>
      </c>
      <c r="E29" s="183">
        <v>1159374</v>
      </c>
      <c r="F29" s="19"/>
    </row>
    <row r="30" spans="1:6" ht="15.75" x14ac:dyDescent="0.25">
      <c r="A30" s="15">
        <v>13</v>
      </c>
      <c r="B30" s="1"/>
      <c r="C30" s="9" t="s">
        <v>316</v>
      </c>
      <c r="D30" s="183">
        <v>238653</v>
      </c>
      <c r="E30" s="183">
        <v>1297025</v>
      </c>
      <c r="F30" s="19"/>
    </row>
    <row r="31" spans="1:6" ht="15.75" x14ac:dyDescent="0.25">
      <c r="A31" s="15">
        <v>14</v>
      </c>
      <c r="B31" s="1"/>
      <c r="C31" s="9" t="s">
        <v>317</v>
      </c>
      <c r="D31" s="183">
        <v>264335</v>
      </c>
      <c r="E31" s="183">
        <v>1436603</v>
      </c>
      <c r="F31" s="19"/>
    </row>
    <row r="32" spans="1:6" ht="15.75" x14ac:dyDescent="0.25">
      <c r="A32" s="15">
        <v>15</v>
      </c>
      <c r="B32" s="1"/>
      <c r="C32" s="9" t="s">
        <v>318</v>
      </c>
      <c r="D32" s="183">
        <v>273093</v>
      </c>
      <c r="E32" s="183">
        <v>1484199</v>
      </c>
      <c r="F32" s="19"/>
    </row>
    <row r="33" spans="1:6" ht="15.75" x14ac:dyDescent="0.25">
      <c r="A33" s="15">
        <v>16</v>
      </c>
      <c r="B33" s="1"/>
      <c r="C33" s="9" t="s">
        <v>319</v>
      </c>
      <c r="D33" s="183">
        <v>266617</v>
      </c>
      <c r="E33" s="183">
        <v>1449007</v>
      </c>
      <c r="F33" s="19"/>
    </row>
    <row r="34" spans="1:6" ht="15.75" x14ac:dyDescent="0.25">
      <c r="A34" s="15">
        <v>17</v>
      </c>
      <c r="B34" s="1"/>
      <c r="C34" s="9" t="s">
        <v>320</v>
      </c>
      <c r="D34" s="183">
        <v>256660</v>
      </c>
      <c r="E34" s="183">
        <v>1394891</v>
      </c>
      <c r="F34" s="19"/>
    </row>
    <row r="35" spans="1:6" ht="15.75" x14ac:dyDescent="0.25">
      <c r="A35" s="15">
        <v>18</v>
      </c>
      <c r="B35" s="1"/>
      <c r="C35" s="9" t="s">
        <v>321</v>
      </c>
      <c r="D35" s="183">
        <v>245744</v>
      </c>
      <c r="E35" s="183">
        <v>1335563</v>
      </c>
      <c r="F35" s="19"/>
    </row>
    <row r="36" spans="1:6" ht="15.75" x14ac:dyDescent="0.25">
      <c r="A36" s="15">
        <v>19</v>
      </c>
      <c r="B36" s="1"/>
      <c r="C36" s="9" t="s">
        <v>322</v>
      </c>
      <c r="D36" s="183">
        <v>211418</v>
      </c>
      <c r="E36" s="183">
        <v>1149013</v>
      </c>
      <c r="F36" s="19"/>
    </row>
    <row r="37" spans="1:6" ht="15.75" x14ac:dyDescent="0.25">
      <c r="A37" s="15">
        <v>20</v>
      </c>
      <c r="B37" s="1"/>
      <c r="C37" s="9" t="s">
        <v>323</v>
      </c>
      <c r="D37" s="184">
        <v>219449</v>
      </c>
      <c r="E37" s="184">
        <v>1192658</v>
      </c>
      <c r="F37" s="19"/>
    </row>
    <row r="38" spans="1:6" ht="15.75" x14ac:dyDescent="0.25">
      <c r="A38" s="15">
        <v>21</v>
      </c>
      <c r="B38" s="1"/>
      <c r="C38" s="9" t="s">
        <v>19</v>
      </c>
      <c r="D38" s="183">
        <f>SUM(D26:D37)</f>
        <v>2815387</v>
      </c>
      <c r="E38" s="183">
        <f>SUM(E26:E37)</f>
        <v>15301010</v>
      </c>
      <c r="F38" s="55">
        <f>+D38/E38</f>
        <v>0.18400007581198888</v>
      </c>
    </row>
    <row r="39" spans="1:6" ht="15.75" x14ac:dyDescent="0.25">
      <c r="A39" s="15">
        <v>22</v>
      </c>
      <c r="B39" s="1"/>
      <c r="C39" s="9"/>
      <c r="D39" s="19"/>
      <c r="E39" s="1"/>
      <c r="F39" s="185">
        <v>0.15</v>
      </c>
    </row>
    <row r="40" spans="1:6" ht="15.75" x14ac:dyDescent="0.25">
      <c r="A40" s="15">
        <v>23</v>
      </c>
      <c r="B40" s="1"/>
      <c r="C40" s="9"/>
      <c r="D40" s="19"/>
      <c r="E40" s="1"/>
      <c r="F40" s="55">
        <f>+F38-F39</f>
        <v>3.4000075811988884E-2</v>
      </c>
    </row>
    <row r="41" spans="1:6" ht="15.75" x14ac:dyDescent="0.25">
      <c r="A41" s="15"/>
      <c r="B41" s="1"/>
      <c r="C41" s="9"/>
      <c r="D41" s="19"/>
      <c r="E41" s="1"/>
      <c r="F41" s="19"/>
    </row>
    <row r="42" spans="1:6" ht="15.75" x14ac:dyDescent="0.25">
      <c r="A42" s="15"/>
      <c r="B42" s="1"/>
      <c r="C42" s="1"/>
      <c r="D42" s="19"/>
      <c r="E42" s="1"/>
      <c r="F42" s="1"/>
    </row>
    <row r="43" spans="1:6" ht="15.75" x14ac:dyDescent="0.25">
      <c r="C43" s="1"/>
      <c r="D43" s="31"/>
      <c r="E43" s="31"/>
      <c r="F43" s="31"/>
    </row>
    <row r="44" spans="1:6" ht="15.75" x14ac:dyDescent="0.25">
      <c r="A44" s="14" t="s">
        <v>18</v>
      </c>
      <c r="B44" s="14"/>
      <c r="C44" s="14"/>
      <c r="D44" s="14"/>
      <c r="E44" s="14"/>
      <c r="F44" s="169"/>
    </row>
    <row r="45" spans="1:6" ht="15.75" x14ac:dyDescent="0.25">
      <c r="A45" s="1" t="s">
        <v>333</v>
      </c>
      <c r="B45" s="1"/>
      <c r="C45" s="1"/>
      <c r="D45" s="1"/>
      <c r="E45" s="1"/>
    </row>
    <row r="46" spans="1:6" ht="15.75" x14ac:dyDescent="0.25">
      <c r="A46" s="1" t="s">
        <v>311</v>
      </c>
      <c r="B46" s="1"/>
      <c r="C46" s="1"/>
      <c r="D46" s="1"/>
      <c r="E46" s="1"/>
    </row>
    <row r="47" spans="1:6" ht="15.75" x14ac:dyDescent="0.25">
      <c r="A47" s="1" t="s">
        <v>329</v>
      </c>
    </row>
  </sheetData>
  <pageMargins left="0.7" right="0.7" top="0.75" bottom="0.75" header="0.3" footer="0.3"/>
  <pageSetup scale="7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0D089-23EC-4D4A-988F-1EA180E5ADFE}">
  <sheetPr>
    <pageSetUpPr fitToPage="1"/>
  </sheetPr>
  <dimension ref="A1:J37"/>
  <sheetViews>
    <sheetView showGridLines="0" workbookViewId="0">
      <selection activeCell="H38" sqref="H38"/>
    </sheetView>
  </sheetViews>
  <sheetFormatPr defaultRowHeight="15" x14ac:dyDescent="0.25"/>
  <cols>
    <col min="2" max="2" width="4" customWidth="1"/>
    <col min="3" max="3" width="43.42578125" customWidth="1"/>
    <col min="4" max="4" width="19.7109375" customWidth="1"/>
    <col min="5" max="5" width="17" customWidth="1"/>
    <col min="6" max="6" width="16.42578125" customWidth="1"/>
    <col min="7" max="7" width="15.85546875" customWidth="1"/>
    <col min="8" max="8" width="15.28515625" customWidth="1"/>
  </cols>
  <sheetData>
    <row r="1" spans="1:8" ht="15.75" x14ac:dyDescent="0.25">
      <c r="A1" s="1" t="str">
        <f>A!A1</f>
        <v>Kentucky-American Water Company</v>
      </c>
      <c r="B1" s="1"/>
      <c r="C1" s="1"/>
      <c r="D1" s="1"/>
      <c r="H1" s="9" t="str">
        <f>A!H1</f>
        <v>Case No. 2025-00122</v>
      </c>
    </row>
    <row r="2" spans="1:8" ht="15.75" x14ac:dyDescent="0.25">
      <c r="A2" s="1" t="str">
        <f>A!A2</f>
        <v>Forecasted Test Period: Twelve Months Ended December 31, 2026</v>
      </c>
      <c r="B2" s="1"/>
      <c r="C2" s="1"/>
      <c r="D2" s="1"/>
      <c r="H2" s="9" t="str">
        <f>A!H2</f>
        <v>Exhibit JD-1</v>
      </c>
    </row>
    <row r="3" spans="1:8" ht="15.75" x14ac:dyDescent="0.25">
      <c r="A3" s="1"/>
      <c r="B3" s="1"/>
      <c r="C3" s="1"/>
      <c r="D3" s="1"/>
      <c r="H3" s="9" t="s">
        <v>74</v>
      </c>
    </row>
    <row r="4" spans="1:8" ht="15.75" x14ac:dyDescent="0.25">
      <c r="A4" s="39" t="s">
        <v>62</v>
      </c>
      <c r="B4" s="1"/>
      <c r="C4" s="1"/>
      <c r="D4" s="1"/>
      <c r="H4" s="9" t="s">
        <v>6</v>
      </c>
    </row>
    <row r="5" spans="1:8" ht="15.75" x14ac:dyDescent="0.25">
      <c r="A5" s="1"/>
      <c r="B5" s="1"/>
      <c r="C5" s="1"/>
      <c r="D5" s="1"/>
      <c r="E5" s="1"/>
      <c r="F5" s="27"/>
    </row>
    <row r="6" spans="1:8" ht="15.75" x14ac:dyDescent="0.25">
      <c r="A6" s="27"/>
      <c r="B6" s="39"/>
      <c r="C6" s="39"/>
      <c r="D6" s="39"/>
      <c r="E6" s="27"/>
      <c r="F6" s="27"/>
    </row>
    <row r="7" spans="1:8" ht="15.75" x14ac:dyDescent="0.25">
      <c r="A7" s="40"/>
      <c r="B7" s="39"/>
      <c r="C7" s="39"/>
      <c r="D7" s="39"/>
      <c r="E7" s="39"/>
      <c r="F7" s="27"/>
    </row>
    <row r="8" spans="1:8" ht="15.75" x14ac:dyDescent="0.25">
      <c r="A8" s="39"/>
      <c r="B8" s="39"/>
      <c r="C8" s="39"/>
      <c r="D8" s="34" t="s">
        <v>167</v>
      </c>
      <c r="E8" s="39"/>
      <c r="F8" s="27"/>
    </row>
    <row r="9" spans="1:8" ht="15.75" x14ac:dyDescent="0.25">
      <c r="A9" s="14" t="s">
        <v>22</v>
      </c>
      <c r="B9" s="1"/>
      <c r="C9" s="14" t="s">
        <v>12</v>
      </c>
      <c r="D9" s="35" t="s">
        <v>37</v>
      </c>
      <c r="E9" s="18" t="s">
        <v>24</v>
      </c>
      <c r="F9" s="27"/>
    </row>
    <row r="10" spans="1:8" ht="15.75" x14ac:dyDescent="0.25">
      <c r="A10" s="1"/>
      <c r="B10" s="1"/>
      <c r="C10" s="1"/>
      <c r="D10" s="15"/>
      <c r="E10" s="15"/>
      <c r="F10" s="27"/>
    </row>
    <row r="11" spans="1:8" ht="15.75" x14ac:dyDescent="0.25">
      <c r="A11" s="15">
        <v>1</v>
      </c>
      <c r="B11" s="1"/>
      <c r="C11" s="1" t="s">
        <v>223</v>
      </c>
      <c r="D11" s="19">
        <v>941449</v>
      </c>
      <c r="E11" s="132" t="s">
        <v>222</v>
      </c>
      <c r="F11" s="27"/>
    </row>
    <row r="12" spans="1:8" ht="15.75" x14ac:dyDescent="0.25">
      <c r="A12" s="15"/>
      <c r="B12" s="1"/>
      <c r="C12" s="1"/>
      <c r="D12" s="19"/>
      <c r="E12" s="19"/>
      <c r="F12" s="27"/>
    </row>
    <row r="13" spans="1:8" ht="15.75" x14ac:dyDescent="0.25">
      <c r="A13" s="15">
        <v>2</v>
      </c>
      <c r="B13" s="1"/>
      <c r="C13" s="1" t="s">
        <v>281</v>
      </c>
      <c r="D13" s="20">
        <f>+F21</f>
        <v>516883.33333333337</v>
      </c>
      <c r="E13" s="19" t="s">
        <v>258</v>
      </c>
      <c r="F13" s="27"/>
    </row>
    <row r="14" spans="1:8" ht="15.75" x14ac:dyDescent="0.25">
      <c r="A14" s="15"/>
      <c r="B14" s="1"/>
      <c r="C14" s="1"/>
      <c r="D14" s="19"/>
      <c r="E14" s="19"/>
      <c r="F14" s="27"/>
    </row>
    <row r="15" spans="1:8" ht="16.5" thickBot="1" x14ac:dyDescent="0.3">
      <c r="A15" s="15">
        <v>3</v>
      </c>
      <c r="B15" s="1"/>
      <c r="C15" s="1" t="s">
        <v>279</v>
      </c>
      <c r="D15" s="24">
        <f>D13-D11</f>
        <v>-424565.66666666663</v>
      </c>
      <c r="E15" s="19" t="s">
        <v>64</v>
      </c>
      <c r="F15" s="27"/>
    </row>
    <row r="16" spans="1:8" ht="16.5" thickTop="1" x14ac:dyDescent="0.25">
      <c r="A16" s="15"/>
      <c r="B16" s="1"/>
      <c r="C16" s="1"/>
      <c r="D16" s="1"/>
      <c r="E16" s="1"/>
      <c r="F16" s="27"/>
      <c r="G16" s="15" t="s">
        <v>299</v>
      </c>
    </row>
    <row r="17" spans="1:10" ht="15.75" x14ac:dyDescent="0.25">
      <c r="A17" s="34"/>
      <c r="B17" s="39"/>
      <c r="C17" s="39"/>
      <c r="D17" s="34" t="s">
        <v>19</v>
      </c>
      <c r="E17" s="37"/>
      <c r="F17" s="121" t="s">
        <v>260</v>
      </c>
      <c r="G17" s="15" t="s">
        <v>257</v>
      </c>
      <c r="H17" s="163"/>
    </row>
    <row r="18" spans="1:10" ht="15.75" x14ac:dyDescent="0.25">
      <c r="A18" s="34">
        <v>4</v>
      </c>
      <c r="B18" s="39"/>
      <c r="C18" s="39"/>
      <c r="D18" s="70" t="s">
        <v>256</v>
      </c>
      <c r="E18" s="162" t="s">
        <v>199</v>
      </c>
      <c r="F18" s="18" t="s">
        <v>255</v>
      </c>
      <c r="G18" s="18" t="s">
        <v>23</v>
      </c>
      <c r="H18" s="18" t="s">
        <v>32</v>
      </c>
    </row>
    <row r="19" spans="1:10" ht="15.75" x14ac:dyDescent="0.25">
      <c r="A19" s="34">
        <v>5</v>
      </c>
      <c r="B19" s="39"/>
      <c r="C19" s="39" t="s">
        <v>253</v>
      </c>
      <c r="D19" s="38">
        <v>332246</v>
      </c>
      <c r="E19" s="160">
        <v>3</v>
      </c>
      <c r="F19" s="19">
        <f>+D19/E19</f>
        <v>110748.66666666667</v>
      </c>
      <c r="G19" s="19">
        <v>332246</v>
      </c>
      <c r="H19" s="19">
        <f>+F19-G19</f>
        <v>-221497.33333333331</v>
      </c>
    </row>
    <row r="20" spans="1:10" ht="15.75" x14ac:dyDescent="0.25">
      <c r="A20" s="34">
        <v>6</v>
      </c>
      <c r="B20" s="39"/>
      <c r="C20" s="39" t="s">
        <v>254</v>
      </c>
      <c r="D20" s="161">
        <v>1218404</v>
      </c>
      <c r="E20" s="159">
        <v>3</v>
      </c>
      <c r="F20" s="20">
        <f>+D20/E20</f>
        <v>406134.66666666669</v>
      </c>
      <c r="G20" s="20">
        <v>609202</v>
      </c>
      <c r="H20" s="20">
        <f>+F20-G20</f>
        <v>-203067.33333333331</v>
      </c>
    </row>
    <row r="21" spans="1:10" ht="15.75" x14ac:dyDescent="0.25">
      <c r="A21" s="15">
        <v>7</v>
      </c>
      <c r="B21" s="27"/>
      <c r="C21" s="1" t="s">
        <v>19</v>
      </c>
      <c r="D21" s="19">
        <f>SUM(D19:D20)</f>
        <v>1550650</v>
      </c>
      <c r="E21" s="15"/>
      <c r="F21" s="19">
        <f>SUM(F19:F20)</f>
        <v>516883.33333333337</v>
      </c>
      <c r="G21" s="19">
        <f>SUM(G19:G20)+1</f>
        <v>941449</v>
      </c>
      <c r="H21" s="19">
        <f>SUM(H19:H20)-1</f>
        <v>-424565.66666666663</v>
      </c>
    </row>
    <row r="22" spans="1:10" ht="15.75" x14ac:dyDescent="0.25">
      <c r="A22" s="15"/>
      <c r="B22" s="27"/>
      <c r="C22" s="1"/>
      <c r="D22" s="19"/>
      <c r="E22" s="1"/>
      <c r="F22" s="1"/>
      <c r="G22" s="19"/>
    </row>
    <row r="23" spans="1:10" ht="15.75" x14ac:dyDescent="0.25">
      <c r="A23" s="15"/>
      <c r="B23" s="27"/>
      <c r="C23" s="27"/>
      <c r="D23" s="1"/>
      <c r="E23" s="1"/>
      <c r="F23" s="1"/>
      <c r="G23" s="1"/>
    </row>
    <row r="24" spans="1:10" ht="30.75" x14ac:dyDescent="0.25">
      <c r="A24" s="15">
        <v>8</v>
      </c>
      <c r="B24" s="27"/>
      <c r="C24" s="18" t="s">
        <v>65</v>
      </c>
      <c r="D24" s="18" t="s">
        <v>66</v>
      </c>
      <c r="E24" s="111" t="s">
        <v>67</v>
      </c>
      <c r="I24" s="134" t="s">
        <v>166</v>
      </c>
    </row>
    <row r="25" spans="1:10" ht="15.75" x14ac:dyDescent="0.25">
      <c r="A25" s="15">
        <v>9</v>
      </c>
      <c r="B25" s="27"/>
      <c r="C25" s="33" t="s">
        <v>164</v>
      </c>
      <c r="D25" s="165">
        <v>40235</v>
      </c>
      <c r="E25" s="166"/>
      <c r="I25" s="27"/>
    </row>
    <row r="26" spans="1:10" ht="15.75" x14ac:dyDescent="0.25">
      <c r="A26" s="15">
        <v>10</v>
      </c>
      <c r="B26" s="27"/>
      <c r="C26" s="33" t="s">
        <v>163</v>
      </c>
      <c r="D26" s="165">
        <v>41271</v>
      </c>
      <c r="E26" s="166">
        <f>+I26/J26</f>
        <v>2.8333333333333335</v>
      </c>
      <c r="I26" s="27">
        <v>34</v>
      </c>
      <c r="J26">
        <v>12</v>
      </c>
    </row>
    <row r="27" spans="1:10" ht="15.75" x14ac:dyDescent="0.25">
      <c r="A27" s="15">
        <v>11</v>
      </c>
      <c r="B27" s="27"/>
      <c r="C27" s="33" t="s">
        <v>161</v>
      </c>
      <c r="D27" s="165">
        <v>42398</v>
      </c>
      <c r="E27" s="166">
        <f>+I27/J27</f>
        <v>3.0833333333333335</v>
      </c>
      <c r="I27" s="27">
        <v>37</v>
      </c>
      <c r="J27">
        <v>12</v>
      </c>
    </row>
    <row r="28" spans="1:10" ht="15.75" x14ac:dyDescent="0.25">
      <c r="A28" s="15">
        <v>12</v>
      </c>
      <c r="B28" s="27"/>
      <c r="C28" s="33" t="s">
        <v>162</v>
      </c>
      <c r="D28" s="165">
        <v>43432</v>
      </c>
      <c r="E28" s="166">
        <f>+I28/J28</f>
        <v>2.8333333333333335</v>
      </c>
      <c r="I28" s="27">
        <v>34</v>
      </c>
      <c r="J28">
        <v>12</v>
      </c>
    </row>
    <row r="29" spans="1:10" ht="15.75" x14ac:dyDescent="0.25">
      <c r="A29" s="15">
        <v>13</v>
      </c>
      <c r="B29" s="27"/>
      <c r="C29" s="33" t="s">
        <v>160</v>
      </c>
      <c r="D29" s="165">
        <v>45107</v>
      </c>
      <c r="E29" s="166">
        <f>+I29/J29</f>
        <v>4.666666666666667</v>
      </c>
      <c r="I29" s="27">
        <v>56</v>
      </c>
      <c r="J29">
        <v>12</v>
      </c>
    </row>
    <row r="30" spans="1:10" ht="15.75" x14ac:dyDescent="0.25">
      <c r="A30" s="15">
        <v>14</v>
      </c>
      <c r="B30" s="27"/>
      <c r="C30" s="33" t="s">
        <v>165</v>
      </c>
      <c r="D30" s="165">
        <v>45793</v>
      </c>
      <c r="E30" s="166">
        <f>+I30/J30</f>
        <v>1.9166666666666667</v>
      </c>
      <c r="I30" s="27">
        <v>23</v>
      </c>
      <c r="J30">
        <v>12</v>
      </c>
    </row>
    <row r="31" spans="1:10" ht="16.5" thickBot="1" x14ac:dyDescent="0.3">
      <c r="A31" s="15">
        <v>15</v>
      </c>
      <c r="B31" s="27"/>
      <c r="C31" s="32"/>
      <c r="D31" s="9" t="s">
        <v>68</v>
      </c>
      <c r="E31" s="167">
        <f>AVERAGE(E25:E30)</f>
        <v>3.0666666666666669</v>
      </c>
      <c r="F31" s="27"/>
    </row>
    <row r="32" spans="1:10" ht="16.5" thickTop="1" x14ac:dyDescent="0.25">
      <c r="A32" s="15"/>
      <c r="B32" s="27"/>
      <c r="C32" s="1"/>
      <c r="D32" s="1"/>
      <c r="E32" s="1"/>
      <c r="F32" s="27"/>
    </row>
    <row r="33" spans="1:5" ht="15.75" x14ac:dyDescent="0.25">
      <c r="A33" s="15"/>
      <c r="C33" s="31"/>
      <c r="D33" s="31"/>
      <c r="E33" s="31"/>
    </row>
    <row r="34" spans="1:5" ht="15.75" x14ac:dyDescent="0.25">
      <c r="A34" s="10"/>
      <c r="C34" s="31"/>
      <c r="D34" s="31"/>
      <c r="E34" s="31"/>
    </row>
    <row r="35" spans="1:5" ht="15.75" x14ac:dyDescent="0.25">
      <c r="A35" s="10"/>
      <c r="C35" s="31"/>
      <c r="D35" s="31"/>
      <c r="E35" s="31"/>
    </row>
    <row r="37" spans="1:5" ht="15.75" x14ac:dyDescent="0.25">
      <c r="B37" s="1"/>
      <c r="C37" s="19"/>
    </row>
  </sheetData>
  <pageMargins left="0.7" right="0.7" top="0.75" bottom="0.75" header="0.3" footer="0.3"/>
  <pageSetup scale="64" fitToHeight="0" orientation="portrait" r:id="rId1"/>
  <ignoredErrors>
    <ignoredError sqref="G2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D8042-7C59-4373-9FB0-A7A366C67F51}">
  <sheetPr>
    <pageSetUpPr fitToPage="1"/>
  </sheetPr>
  <dimension ref="A1:E33"/>
  <sheetViews>
    <sheetView topLeftCell="A4" workbookViewId="0">
      <selection activeCell="Q17" sqref="Q17"/>
    </sheetView>
  </sheetViews>
  <sheetFormatPr defaultRowHeight="15" x14ac:dyDescent="0.25"/>
  <cols>
    <col min="2" max="2" width="3.28515625" customWidth="1"/>
    <col min="3" max="3" width="41.140625" customWidth="1"/>
    <col min="4" max="4" width="19.7109375" customWidth="1"/>
    <col min="5" max="5" width="23.85546875" customWidth="1"/>
  </cols>
  <sheetData>
    <row r="1" spans="1:5" ht="15.75" x14ac:dyDescent="0.25">
      <c r="A1" s="1" t="str">
        <f>A!A1</f>
        <v>Kentucky-American Water Company</v>
      </c>
      <c r="B1" s="1"/>
      <c r="C1" s="1"/>
      <c r="D1" s="1"/>
      <c r="E1" s="9" t="str">
        <f>A!H1</f>
        <v>Case No. 2025-00122</v>
      </c>
    </row>
    <row r="2" spans="1:5" ht="15.75" x14ac:dyDescent="0.25">
      <c r="A2" s="1" t="str">
        <f>A!A2</f>
        <v>Forecasted Test Period: Twelve Months Ended December 31, 2026</v>
      </c>
      <c r="B2" s="1"/>
      <c r="C2" s="1"/>
      <c r="D2" s="1"/>
      <c r="E2" s="9" t="str">
        <f>A!H2</f>
        <v>Exhibit JD-1</v>
      </c>
    </row>
    <row r="3" spans="1:5" ht="15.75" x14ac:dyDescent="0.25">
      <c r="A3" s="1"/>
      <c r="B3" s="1"/>
      <c r="C3" s="1"/>
      <c r="D3" s="1"/>
      <c r="E3" s="9" t="s">
        <v>76</v>
      </c>
    </row>
    <row r="4" spans="1:5" ht="15.75" x14ac:dyDescent="0.25">
      <c r="A4" s="39" t="s">
        <v>133</v>
      </c>
      <c r="B4" s="1"/>
      <c r="C4" s="1"/>
      <c r="D4" s="1"/>
      <c r="E4" s="9" t="str">
        <f>A!H4</f>
        <v>Page 1 of 1</v>
      </c>
    </row>
    <row r="5" spans="1:5" ht="15.75" x14ac:dyDescent="0.25">
      <c r="A5" s="1"/>
      <c r="B5" s="1"/>
      <c r="C5" s="1"/>
      <c r="D5" s="1"/>
      <c r="E5" s="1"/>
    </row>
    <row r="6" spans="1:5" ht="15.75" x14ac:dyDescent="0.25">
      <c r="B6" s="39"/>
      <c r="C6" s="39"/>
      <c r="D6" s="39"/>
      <c r="E6" s="27"/>
    </row>
    <row r="7" spans="1:5" ht="15.75" x14ac:dyDescent="0.25">
      <c r="A7" s="40"/>
      <c r="B7" s="39"/>
      <c r="C7" s="39"/>
      <c r="D7" s="39"/>
      <c r="E7" s="39"/>
    </row>
    <row r="8" spans="1:5" ht="15.75" x14ac:dyDescent="0.25">
      <c r="A8" s="39"/>
      <c r="B8" s="39"/>
      <c r="C8" s="39"/>
      <c r="D8" s="34" t="s">
        <v>167</v>
      </c>
      <c r="E8" s="39"/>
    </row>
    <row r="9" spans="1:5" ht="15.75" x14ac:dyDescent="0.25">
      <c r="A9" s="14" t="s">
        <v>22</v>
      </c>
      <c r="B9" s="1"/>
      <c r="C9" s="14" t="s">
        <v>12</v>
      </c>
      <c r="D9" s="35" t="s">
        <v>37</v>
      </c>
      <c r="E9" s="18" t="s">
        <v>24</v>
      </c>
    </row>
    <row r="10" spans="1:5" ht="15.75" x14ac:dyDescent="0.25">
      <c r="A10" s="1"/>
      <c r="B10" s="1"/>
      <c r="C10" s="1"/>
      <c r="D10" s="15"/>
      <c r="E10" s="15"/>
    </row>
    <row r="11" spans="1:5" ht="30.75" x14ac:dyDescent="0.25">
      <c r="A11" s="15">
        <v>1</v>
      </c>
      <c r="B11" s="1"/>
      <c r="C11" s="1" t="s">
        <v>60</v>
      </c>
      <c r="D11" s="19">
        <v>685734</v>
      </c>
      <c r="E11" s="42" t="s">
        <v>224</v>
      </c>
    </row>
    <row r="12" spans="1:5" ht="15.75" x14ac:dyDescent="0.25">
      <c r="A12" s="15"/>
      <c r="B12" s="1"/>
      <c r="C12" s="1"/>
      <c r="D12" s="19"/>
      <c r="E12" s="19"/>
    </row>
    <row r="13" spans="1:5" ht="15.75" x14ac:dyDescent="0.25">
      <c r="A13" s="15">
        <v>2</v>
      </c>
      <c r="B13" s="1"/>
      <c r="C13" s="1" t="s">
        <v>281</v>
      </c>
      <c r="D13" s="20">
        <f>+D11+D15</f>
        <v>472218</v>
      </c>
      <c r="E13" s="19" t="s">
        <v>101</v>
      </c>
    </row>
    <row r="14" spans="1:5" ht="15.75" x14ac:dyDescent="0.25">
      <c r="A14" s="15"/>
      <c r="B14" s="1"/>
      <c r="C14" s="1"/>
      <c r="D14" s="19"/>
      <c r="E14" s="19"/>
    </row>
    <row r="15" spans="1:5" ht="16.5" thickBot="1" x14ac:dyDescent="0.3">
      <c r="A15" s="15">
        <v>3</v>
      </c>
      <c r="B15" s="1"/>
      <c r="C15" s="1" t="s">
        <v>279</v>
      </c>
      <c r="D15" s="24">
        <v>-213516</v>
      </c>
      <c r="E15" s="19" t="s">
        <v>93</v>
      </c>
    </row>
    <row r="16" spans="1:5" ht="16.5" thickTop="1" x14ac:dyDescent="0.25">
      <c r="A16" s="15"/>
      <c r="B16" s="1"/>
      <c r="C16" s="1"/>
      <c r="D16" s="1"/>
      <c r="E16" s="1"/>
    </row>
    <row r="17" spans="1:5" ht="15.75" x14ac:dyDescent="0.25">
      <c r="A17" s="34"/>
      <c r="B17" s="39"/>
      <c r="C17" s="39"/>
      <c r="D17" s="39"/>
      <c r="E17" s="37"/>
    </row>
    <row r="18" spans="1:5" ht="15.75" x14ac:dyDescent="0.25">
      <c r="A18" s="34"/>
      <c r="B18" s="39"/>
      <c r="C18" s="39"/>
      <c r="D18" s="39"/>
      <c r="E18" s="37"/>
    </row>
    <row r="19" spans="1:5" ht="15.75" x14ac:dyDescent="0.25">
      <c r="A19" s="34"/>
      <c r="B19" s="39"/>
      <c r="C19" s="39"/>
      <c r="D19" s="39"/>
      <c r="E19" s="37"/>
    </row>
    <row r="27" spans="1:5" ht="15.75" x14ac:dyDescent="0.25">
      <c r="A27" s="1"/>
      <c r="B27" s="1"/>
      <c r="C27" s="1"/>
      <c r="D27" s="1"/>
      <c r="E27" s="1"/>
    </row>
    <row r="28" spans="1:5" ht="15.75" x14ac:dyDescent="0.25">
      <c r="A28" s="1"/>
      <c r="B28" s="1"/>
      <c r="C28" s="1"/>
      <c r="D28" s="1"/>
      <c r="E28" s="1"/>
    </row>
    <row r="29" spans="1:5" ht="15.75" x14ac:dyDescent="0.25">
      <c r="A29" s="1"/>
      <c r="B29" s="1"/>
      <c r="C29" s="19"/>
      <c r="D29" s="1"/>
      <c r="E29" s="1"/>
    </row>
    <row r="30" spans="1:5" ht="15.75" x14ac:dyDescent="0.25">
      <c r="A30" s="1"/>
      <c r="B30" s="1"/>
      <c r="C30" s="19"/>
      <c r="D30" s="1"/>
      <c r="E30" s="1"/>
    </row>
    <row r="31" spans="1:5" ht="15.75" x14ac:dyDescent="0.25">
      <c r="A31" s="1"/>
      <c r="B31" s="1"/>
      <c r="C31" s="1"/>
      <c r="D31" s="1"/>
      <c r="E31" s="1"/>
    </row>
    <row r="32" spans="1:5" ht="15.75" x14ac:dyDescent="0.25">
      <c r="A32" s="1"/>
      <c r="B32" s="1"/>
      <c r="C32" s="1"/>
      <c r="D32" s="1"/>
      <c r="E32" s="1"/>
    </row>
    <row r="33" spans="1:5" ht="15.75" x14ac:dyDescent="0.25">
      <c r="A33" s="1"/>
      <c r="B33" s="1"/>
      <c r="C33" s="1"/>
      <c r="D33" s="1"/>
      <c r="E33" s="1"/>
    </row>
  </sheetData>
  <pageMargins left="0.7" right="0.7" top="0.75" bottom="0.75" header="0.3" footer="0.3"/>
  <pageSetup scale="9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A54BB-4375-440B-ABEC-6B1DB9781528}">
  <sheetPr>
    <pageSetUpPr fitToPage="1"/>
  </sheetPr>
  <dimension ref="A1:E14"/>
  <sheetViews>
    <sheetView workbookViewId="0">
      <selection activeCell="J29" sqref="J29"/>
    </sheetView>
  </sheetViews>
  <sheetFormatPr defaultRowHeight="15" x14ac:dyDescent="0.25"/>
  <cols>
    <col min="2" max="2" width="3" customWidth="1"/>
    <col min="3" max="3" width="41.140625" customWidth="1"/>
    <col min="4" max="4" width="19.7109375" customWidth="1"/>
    <col min="5" max="5" width="20.7109375" customWidth="1"/>
  </cols>
  <sheetData>
    <row r="1" spans="1:5" ht="15.75" x14ac:dyDescent="0.25">
      <c r="A1" s="1" t="str">
        <f>A!A1</f>
        <v>Kentucky-American Water Company</v>
      </c>
      <c r="B1" s="1"/>
      <c r="C1" s="1"/>
      <c r="D1" s="1"/>
      <c r="E1" s="9" t="str">
        <f>A!H1</f>
        <v>Case No. 2025-00122</v>
      </c>
    </row>
    <row r="2" spans="1:5" ht="15.75" x14ac:dyDescent="0.25">
      <c r="A2" s="1" t="str">
        <f>A!A2</f>
        <v>Forecasted Test Period: Twelve Months Ended December 31, 2026</v>
      </c>
      <c r="B2" s="1"/>
      <c r="C2" s="1"/>
      <c r="D2" s="1"/>
      <c r="E2" s="9" t="str">
        <f>A!H2</f>
        <v>Exhibit JD-1</v>
      </c>
    </row>
    <row r="3" spans="1:5" ht="15.75" x14ac:dyDescent="0.25">
      <c r="A3" s="1"/>
      <c r="B3" s="1"/>
      <c r="C3" s="1"/>
      <c r="D3" s="1"/>
      <c r="E3" s="9" t="s">
        <v>79</v>
      </c>
    </row>
    <row r="4" spans="1:5" ht="15.75" x14ac:dyDescent="0.25">
      <c r="A4" s="39" t="s">
        <v>72</v>
      </c>
      <c r="B4" s="1"/>
      <c r="C4" s="1"/>
      <c r="D4" s="1"/>
      <c r="E4" s="9" t="str">
        <f>A!H4</f>
        <v>Page 1 of 1</v>
      </c>
    </row>
    <row r="5" spans="1:5" ht="15.75" x14ac:dyDescent="0.25">
      <c r="A5" s="1"/>
      <c r="B5" s="1"/>
      <c r="C5" s="1"/>
      <c r="D5" s="1"/>
      <c r="E5" s="1"/>
    </row>
    <row r="6" spans="1:5" ht="15.75" x14ac:dyDescent="0.25">
      <c r="B6" s="39"/>
      <c r="C6" s="39"/>
      <c r="D6" s="39"/>
      <c r="E6" s="27"/>
    </row>
    <row r="7" spans="1:5" ht="15.75" x14ac:dyDescent="0.25">
      <c r="A7" s="40"/>
      <c r="B7" s="39"/>
      <c r="C7" s="39"/>
      <c r="D7" s="39"/>
      <c r="E7" s="39"/>
    </row>
    <row r="8" spans="1:5" ht="15.75" x14ac:dyDescent="0.25">
      <c r="A8" s="39"/>
      <c r="B8" s="39"/>
      <c r="C8" s="39"/>
      <c r="D8" s="34" t="s">
        <v>167</v>
      </c>
      <c r="E8" s="39"/>
    </row>
    <row r="9" spans="1:5" ht="15.75" x14ac:dyDescent="0.25">
      <c r="A9" s="14" t="s">
        <v>22</v>
      </c>
      <c r="B9" s="1"/>
      <c r="C9" s="14" t="s">
        <v>12</v>
      </c>
      <c r="D9" s="35" t="s">
        <v>37</v>
      </c>
      <c r="E9" s="18" t="s">
        <v>24</v>
      </c>
    </row>
    <row r="10" spans="1:5" ht="15.75" x14ac:dyDescent="0.25">
      <c r="A10" s="1"/>
      <c r="B10" s="1"/>
      <c r="C10" s="1"/>
      <c r="D10" s="15"/>
      <c r="E10" s="15"/>
    </row>
    <row r="11" spans="1:5" ht="45.75" thickBot="1" x14ac:dyDescent="0.3">
      <c r="A11" s="15">
        <v>1</v>
      </c>
      <c r="B11" s="1"/>
      <c r="C11" s="1" t="s">
        <v>279</v>
      </c>
      <c r="D11" s="24">
        <v>-40950</v>
      </c>
      <c r="E11" s="51" t="s">
        <v>283</v>
      </c>
    </row>
    <row r="12" spans="1:5" ht="16.5" thickTop="1" x14ac:dyDescent="0.25">
      <c r="A12" s="15"/>
      <c r="B12" s="1"/>
      <c r="C12" s="1"/>
      <c r="D12" s="1"/>
      <c r="E12" s="1"/>
    </row>
    <row r="13" spans="1:5" ht="15.75" x14ac:dyDescent="0.25">
      <c r="A13" s="34"/>
      <c r="B13" s="39"/>
      <c r="C13" s="39"/>
      <c r="D13" s="39"/>
      <c r="E13" s="37"/>
    </row>
    <row r="14" spans="1:5" ht="15.75" x14ac:dyDescent="0.25">
      <c r="A14" s="34"/>
      <c r="B14" s="39"/>
      <c r="C14" s="39"/>
      <c r="D14" s="39"/>
      <c r="E14" s="37"/>
    </row>
  </sheetData>
  <pageMargins left="0.7" right="0.7" top="0.75" bottom="0.75" header="0.3" footer="0.3"/>
  <pageSetup scale="9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0FE47-5CF6-470E-B36F-7557817AF62E}">
  <sheetPr>
    <pageSetUpPr fitToPage="1"/>
  </sheetPr>
  <dimension ref="A1:E31"/>
  <sheetViews>
    <sheetView workbookViewId="0">
      <selection activeCell="D24" sqref="D24"/>
    </sheetView>
  </sheetViews>
  <sheetFormatPr defaultRowHeight="15" x14ac:dyDescent="0.25"/>
  <cols>
    <col min="2" max="2" width="3" customWidth="1"/>
    <col min="3" max="3" width="41.140625" customWidth="1"/>
    <col min="4" max="4" width="19.7109375" customWidth="1"/>
    <col min="5" max="5" width="25.28515625" customWidth="1"/>
  </cols>
  <sheetData>
    <row r="1" spans="1:5" ht="15.75" x14ac:dyDescent="0.25">
      <c r="A1" s="1" t="str">
        <f>A!A1</f>
        <v>Kentucky-American Water Company</v>
      </c>
      <c r="B1" s="1"/>
      <c r="C1" s="1"/>
      <c r="D1" s="1"/>
      <c r="E1" s="9" t="str">
        <f>A!H1</f>
        <v>Case No. 2025-00122</v>
      </c>
    </row>
    <row r="2" spans="1:5" ht="15.75" x14ac:dyDescent="0.25">
      <c r="A2" s="1" t="str">
        <f>A!A2</f>
        <v>Forecasted Test Period: Twelve Months Ended December 31, 2026</v>
      </c>
      <c r="B2" s="1"/>
      <c r="C2" s="1"/>
      <c r="D2" s="1"/>
      <c r="E2" s="9" t="str">
        <f>A!H2</f>
        <v>Exhibit JD-1</v>
      </c>
    </row>
    <row r="3" spans="1:5" ht="15.75" x14ac:dyDescent="0.25">
      <c r="A3" s="1"/>
      <c r="B3" s="1"/>
      <c r="C3" s="1"/>
      <c r="D3" s="1"/>
      <c r="E3" s="9" t="s">
        <v>80</v>
      </c>
    </row>
    <row r="4" spans="1:5" ht="15.75" x14ac:dyDescent="0.25">
      <c r="A4" s="39" t="s">
        <v>134</v>
      </c>
      <c r="B4" s="1"/>
      <c r="C4" s="1"/>
      <c r="D4" s="1"/>
      <c r="E4" s="9" t="str">
        <f>A!H4</f>
        <v>Page 1 of 1</v>
      </c>
    </row>
    <row r="5" spans="1:5" ht="15.75" x14ac:dyDescent="0.25">
      <c r="A5" s="1"/>
      <c r="B5" s="1"/>
      <c r="C5" s="1"/>
      <c r="D5" s="1"/>
      <c r="E5" s="1"/>
    </row>
    <row r="6" spans="1:5" ht="15.75" x14ac:dyDescent="0.25">
      <c r="B6" s="39"/>
      <c r="C6" s="39"/>
      <c r="D6" s="39"/>
      <c r="E6" s="27"/>
    </row>
    <row r="7" spans="1:5" ht="15.75" x14ac:dyDescent="0.25">
      <c r="A7" s="40"/>
      <c r="B7" s="39"/>
      <c r="C7" s="39"/>
      <c r="D7" s="39"/>
      <c r="E7" s="39"/>
    </row>
    <row r="8" spans="1:5" ht="15.75" x14ac:dyDescent="0.25">
      <c r="A8" s="39"/>
      <c r="B8" s="39"/>
      <c r="C8" s="39"/>
      <c r="D8" s="34" t="s">
        <v>167</v>
      </c>
      <c r="E8" s="39"/>
    </row>
    <row r="9" spans="1:5" ht="15.75" x14ac:dyDescent="0.25">
      <c r="A9" s="14" t="s">
        <v>22</v>
      </c>
      <c r="B9" s="1"/>
      <c r="C9" s="14" t="s">
        <v>12</v>
      </c>
      <c r="D9" s="35" t="s">
        <v>37</v>
      </c>
      <c r="E9" s="18" t="s">
        <v>24</v>
      </c>
    </row>
    <row r="10" spans="1:5" ht="15.75" x14ac:dyDescent="0.25">
      <c r="A10" s="1"/>
      <c r="B10" s="1"/>
      <c r="C10" s="1"/>
      <c r="D10" s="15"/>
      <c r="E10" s="15"/>
    </row>
    <row r="11" spans="1:5" ht="15.75" x14ac:dyDescent="0.25">
      <c r="A11" s="15"/>
      <c r="B11" s="1"/>
      <c r="C11" s="1"/>
      <c r="D11" s="19"/>
      <c r="E11" s="19"/>
    </row>
    <row r="12" spans="1:5" ht="45.75" thickBot="1" x14ac:dyDescent="0.3">
      <c r="A12" s="15">
        <v>1</v>
      </c>
      <c r="B12" s="1"/>
      <c r="C12" s="1" t="s">
        <v>279</v>
      </c>
      <c r="D12" s="24">
        <f>D24</f>
        <v>-698109</v>
      </c>
      <c r="E12" s="51" t="s">
        <v>237</v>
      </c>
    </row>
    <row r="13" spans="1:5" ht="16.5" thickTop="1" x14ac:dyDescent="0.25">
      <c r="A13" s="15"/>
      <c r="B13" s="1"/>
      <c r="C13" s="1"/>
      <c r="D13" s="1"/>
      <c r="E13" s="1"/>
    </row>
    <row r="14" spans="1:5" ht="15.75" x14ac:dyDescent="0.25">
      <c r="A14" s="15">
        <v>2</v>
      </c>
      <c r="C14" s="1" t="s">
        <v>240</v>
      </c>
      <c r="D14" s="19">
        <v>-244429</v>
      </c>
    </row>
    <row r="15" spans="1:5" ht="15.75" x14ac:dyDescent="0.25">
      <c r="A15" s="15">
        <v>3</v>
      </c>
      <c r="C15" s="1" t="s">
        <v>192</v>
      </c>
      <c r="D15" s="19">
        <v>-111262</v>
      </c>
    </row>
    <row r="16" spans="1:5" ht="15.75" x14ac:dyDescent="0.25">
      <c r="A16" s="15">
        <v>4</v>
      </c>
      <c r="C16" s="1" t="s">
        <v>241</v>
      </c>
      <c r="D16" s="19">
        <v>-104830</v>
      </c>
    </row>
    <row r="17" spans="1:4" ht="15.75" x14ac:dyDescent="0.25">
      <c r="A17" s="15">
        <v>5</v>
      </c>
      <c r="C17" s="1" t="s">
        <v>242</v>
      </c>
      <c r="D17" s="19">
        <v>-20982</v>
      </c>
    </row>
    <row r="18" spans="1:4" ht="15.75" x14ac:dyDescent="0.25">
      <c r="A18" s="15">
        <v>6</v>
      </c>
      <c r="C18" s="1" t="s">
        <v>243</v>
      </c>
      <c r="D18" s="19">
        <v>-24212</v>
      </c>
    </row>
    <row r="19" spans="1:4" ht="15.75" x14ac:dyDescent="0.25">
      <c r="A19" s="15">
        <v>7</v>
      </c>
      <c r="C19" s="1" t="s">
        <v>244</v>
      </c>
      <c r="D19" s="19">
        <v>-15218</v>
      </c>
    </row>
    <row r="20" spans="1:4" ht="15.75" x14ac:dyDescent="0.25">
      <c r="A20" s="15">
        <v>8</v>
      </c>
      <c r="C20" s="1" t="s">
        <v>245</v>
      </c>
      <c r="D20" s="19">
        <v>-74786</v>
      </c>
    </row>
    <row r="21" spans="1:4" ht="15.75" x14ac:dyDescent="0.25">
      <c r="A21" s="15">
        <v>9</v>
      </c>
      <c r="C21" s="1" t="s">
        <v>196</v>
      </c>
      <c r="D21" s="19">
        <v>-4282</v>
      </c>
    </row>
    <row r="22" spans="1:4" ht="15.75" x14ac:dyDescent="0.25">
      <c r="A22" s="15">
        <v>10</v>
      </c>
      <c r="C22" s="1" t="s">
        <v>246</v>
      </c>
      <c r="D22" s="19">
        <v>-7734</v>
      </c>
    </row>
    <row r="23" spans="1:4" ht="15.75" x14ac:dyDescent="0.25">
      <c r="A23" s="15">
        <v>11</v>
      </c>
      <c r="C23" s="1" t="s">
        <v>247</v>
      </c>
      <c r="D23" s="20">
        <v>-90373</v>
      </c>
    </row>
    <row r="24" spans="1:4" ht="15.75" x14ac:dyDescent="0.25">
      <c r="A24" s="15">
        <v>12</v>
      </c>
      <c r="C24" s="1" t="s">
        <v>19</v>
      </c>
      <c r="D24" s="19">
        <f>SUM(D14:D23)-1</f>
        <v>-698109</v>
      </c>
    </row>
    <row r="25" spans="1:4" ht="15.75" x14ac:dyDescent="0.25">
      <c r="A25" s="15"/>
      <c r="C25" s="1"/>
      <c r="D25" s="19"/>
    </row>
    <row r="26" spans="1:4" ht="15.75" x14ac:dyDescent="0.25">
      <c r="A26" s="1"/>
      <c r="C26" s="27"/>
    </row>
    <row r="27" spans="1:4" ht="15.75" x14ac:dyDescent="0.25">
      <c r="A27" s="1"/>
      <c r="C27" s="27"/>
    </row>
    <row r="28" spans="1:4" ht="15.75" x14ac:dyDescent="0.25">
      <c r="A28" s="1"/>
      <c r="C28" s="27"/>
    </row>
    <row r="29" spans="1:4" ht="15.75" x14ac:dyDescent="0.25">
      <c r="A29" s="1"/>
    </row>
    <row r="30" spans="1:4" ht="15.75" x14ac:dyDescent="0.25">
      <c r="A30" s="1"/>
    </row>
    <row r="31" spans="1:4" x14ac:dyDescent="0.25">
      <c r="A31" s="27"/>
    </row>
  </sheetData>
  <pageMargins left="0.7" right="0.7" top="0.75" bottom="0.75" header="0.3" footer="0.3"/>
  <pageSetup scale="9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760DE-33F4-4F39-BC94-5D3BA8890119}">
  <sheetPr>
    <pageSetUpPr fitToPage="1"/>
  </sheetPr>
  <dimension ref="A1:E17"/>
  <sheetViews>
    <sheetView workbookViewId="0">
      <selection activeCell="K19" sqref="K19"/>
    </sheetView>
  </sheetViews>
  <sheetFormatPr defaultRowHeight="15" x14ac:dyDescent="0.25"/>
  <cols>
    <col min="2" max="2" width="3" customWidth="1"/>
    <col min="3" max="3" width="41.140625" customWidth="1"/>
    <col min="4" max="4" width="19.7109375" customWidth="1"/>
    <col min="5" max="5" width="25.28515625" customWidth="1"/>
  </cols>
  <sheetData>
    <row r="1" spans="1:5" ht="15.75" x14ac:dyDescent="0.25">
      <c r="A1" s="1" t="str">
        <f>A!A1</f>
        <v>Kentucky-American Water Company</v>
      </c>
      <c r="B1" s="1"/>
      <c r="C1" s="1"/>
      <c r="D1" s="1"/>
      <c r="E1" s="9" t="str">
        <f>A!H1</f>
        <v>Case No. 2025-00122</v>
      </c>
    </row>
    <row r="2" spans="1:5" ht="15.75" x14ac:dyDescent="0.25">
      <c r="A2" s="1" t="str">
        <f>A!A2</f>
        <v>Forecasted Test Period: Twelve Months Ended December 31, 2026</v>
      </c>
      <c r="B2" s="1"/>
      <c r="C2" s="1"/>
      <c r="D2" s="1"/>
      <c r="E2" s="9" t="str">
        <f>A!H2</f>
        <v>Exhibit JD-1</v>
      </c>
    </row>
    <row r="3" spans="1:5" ht="15.75" x14ac:dyDescent="0.25">
      <c r="A3" s="1"/>
      <c r="B3" s="1"/>
      <c r="C3" s="1"/>
      <c r="D3" s="1"/>
      <c r="E3" s="9" t="s">
        <v>82</v>
      </c>
    </row>
    <row r="4" spans="1:5" ht="15.75" x14ac:dyDescent="0.25">
      <c r="A4" s="39" t="s">
        <v>135</v>
      </c>
      <c r="B4" s="1"/>
      <c r="C4" s="1"/>
      <c r="D4" s="1"/>
      <c r="E4" s="9" t="str">
        <f>A!H4</f>
        <v>Page 1 of 1</v>
      </c>
    </row>
    <row r="5" spans="1:5" ht="15.75" x14ac:dyDescent="0.25">
      <c r="A5" s="1"/>
      <c r="B5" s="1"/>
      <c r="C5" s="1"/>
      <c r="D5" s="1"/>
      <c r="E5" s="1"/>
    </row>
    <row r="6" spans="1:5" ht="15.75" x14ac:dyDescent="0.25">
      <c r="D6" s="39"/>
      <c r="E6" s="27"/>
    </row>
    <row r="7" spans="1:5" ht="15.75" x14ac:dyDescent="0.25">
      <c r="A7" s="40"/>
      <c r="B7" s="39"/>
      <c r="C7" s="39"/>
      <c r="D7" s="39"/>
      <c r="E7" s="39"/>
    </row>
    <row r="8" spans="1:5" ht="15.75" x14ac:dyDescent="0.25">
      <c r="A8" s="39"/>
      <c r="B8" s="39"/>
      <c r="C8" s="39"/>
      <c r="D8" s="34" t="s">
        <v>167</v>
      </c>
      <c r="E8" s="39"/>
    </row>
    <row r="9" spans="1:5" ht="15.75" x14ac:dyDescent="0.25">
      <c r="A9" s="14" t="s">
        <v>22</v>
      </c>
      <c r="B9" s="1"/>
      <c r="C9" s="14" t="s">
        <v>12</v>
      </c>
      <c r="D9" s="35" t="s">
        <v>37</v>
      </c>
      <c r="E9" s="18" t="s">
        <v>24</v>
      </c>
    </row>
    <row r="10" spans="1:5" ht="15.75" x14ac:dyDescent="0.25">
      <c r="A10" s="1"/>
      <c r="B10" s="1"/>
      <c r="C10" s="1"/>
      <c r="D10" s="15"/>
      <c r="E10" s="15"/>
    </row>
    <row r="11" spans="1:5" ht="15.75" x14ac:dyDescent="0.25">
      <c r="A11" s="15"/>
      <c r="B11" s="1"/>
      <c r="C11" s="1"/>
      <c r="D11" s="19"/>
      <c r="E11" s="19"/>
    </row>
    <row r="12" spans="1:5" ht="45.75" thickBot="1" x14ac:dyDescent="0.3">
      <c r="A12" s="15">
        <v>1</v>
      </c>
      <c r="B12" s="1"/>
      <c r="C12" s="1" t="s">
        <v>279</v>
      </c>
      <c r="D12" s="24">
        <v>-315000</v>
      </c>
      <c r="E12" s="51" t="s">
        <v>238</v>
      </c>
    </row>
    <row r="13" spans="1:5" ht="16.5" thickTop="1" x14ac:dyDescent="0.25">
      <c r="A13" s="15"/>
      <c r="B13" s="1"/>
      <c r="C13" s="1"/>
      <c r="D13" s="1"/>
      <c r="E13" s="1"/>
    </row>
    <row r="17" spans="1:5" ht="15.75" x14ac:dyDescent="0.25">
      <c r="A17" s="27"/>
      <c r="B17" s="39"/>
      <c r="C17" s="39"/>
      <c r="D17" s="27"/>
      <c r="E17" s="1"/>
    </row>
  </sheetData>
  <pageMargins left="0.7" right="0.7" top="0.75" bottom="0.75" header="0.3" footer="0.3"/>
  <pageSetup scale="9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04C16-69C9-4833-AC92-EC6A41D53E8D}">
  <sheetPr>
    <pageSetUpPr fitToPage="1"/>
  </sheetPr>
  <dimension ref="A1:E38"/>
  <sheetViews>
    <sheetView workbookViewId="0">
      <selection activeCell="D14" sqref="D14"/>
    </sheetView>
  </sheetViews>
  <sheetFormatPr defaultRowHeight="15" x14ac:dyDescent="0.25"/>
  <cols>
    <col min="2" max="2" width="3" customWidth="1"/>
    <col min="3" max="3" width="55" customWidth="1"/>
    <col min="4" max="4" width="19.7109375" customWidth="1"/>
    <col min="5" max="5" width="20.7109375" customWidth="1"/>
  </cols>
  <sheetData>
    <row r="1" spans="1:5" ht="15.75" x14ac:dyDescent="0.25">
      <c r="A1" s="1" t="str">
        <f>A!A1</f>
        <v>Kentucky-American Water Company</v>
      </c>
      <c r="B1" s="1"/>
      <c r="C1" s="1"/>
      <c r="D1" s="1"/>
      <c r="E1" s="9" t="str">
        <f>A!H1</f>
        <v>Case No. 2025-00122</v>
      </c>
    </row>
    <row r="2" spans="1:5" ht="15.75" x14ac:dyDescent="0.25">
      <c r="A2" s="1" t="str">
        <f>A!A2</f>
        <v>Forecasted Test Period: Twelve Months Ended December 31, 2026</v>
      </c>
      <c r="B2" s="1"/>
      <c r="C2" s="1"/>
      <c r="D2" s="1"/>
      <c r="E2" s="9" t="str">
        <f>A!H2</f>
        <v>Exhibit JD-1</v>
      </c>
    </row>
    <row r="3" spans="1:5" ht="15.75" x14ac:dyDescent="0.25">
      <c r="A3" s="1"/>
      <c r="B3" s="1"/>
      <c r="C3" s="1"/>
      <c r="D3" s="1"/>
      <c r="E3" s="9" t="s">
        <v>83</v>
      </c>
    </row>
    <row r="4" spans="1:5" ht="15.75" x14ac:dyDescent="0.25">
      <c r="A4" s="39" t="s">
        <v>136</v>
      </c>
      <c r="B4" s="1"/>
      <c r="C4" s="1"/>
      <c r="D4" s="1"/>
      <c r="E4" s="9" t="str">
        <f>A!H4</f>
        <v>Page 1 of 1</v>
      </c>
    </row>
    <row r="5" spans="1:5" ht="15.75" x14ac:dyDescent="0.25">
      <c r="A5" s="1"/>
      <c r="B5" s="1"/>
      <c r="C5" s="1"/>
      <c r="D5" s="1"/>
      <c r="E5" s="1"/>
    </row>
    <row r="6" spans="1:5" ht="15.75" x14ac:dyDescent="0.25">
      <c r="B6" s="39"/>
      <c r="C6" s="39"/>
      <c r="D6" s="39"/>
      <c r="E6" s="27"/>
    </row>
    <row r="7" spans="1:5" ht="15.75" x14ac:dyDescent="0.25">
      <c r="A7" s="40"/>
      <c r="B7" s="39"/>
      <c r="C7" s="39"/>
      <c r="D7" s="39"/>
      <c r="E7" s="39"/>
    </row>
    <row r="8" spans="1:5" ht="15.75" x14ac:dyDescent="0.25">
      <c r="A8" s="39"/>
      <c r="B8" s="39"/>
      <c r="C8" s="39"/>
      <c r="D8" s="34" t="s">
        <v>167</v>
      </c>
      <c r="E8" s="39"/>
    </row>
    <row r="9" spans="1:5" ht="15.75" x14ac:dyDescent="0.25">
      <c r="A9" s="14" t="s">
        <v>22</v>
      </c>
      <c r="B9" s="1"/>
      <c r="C9" s="14" t="s">
        <v>12</v>
      </c>
      <c r="D9" s="35" t="s">
        <v>37</v>
      </c>
      <c r="E9" s="18" t="s">
        <v>24</v>
      </c>
    </row>
    <row r="10" spans="1:5" ht="15.75" x14ac:dyDescent="0.25">
      <c r="A10" s="1"/>
      <c r="B10" s="1"/>
      <c r="C10" s="1"/>
      <c r="D10" s="15"/>
      <c r="E10" s="15"/>
    </row>
    <row r="11" spans="1:5" ht="45" x14ac:dyDescent="0.25">
      <c r="A11" s="15">
        <v>1</v>
      </c>
      <c r="B11" s="1"/>
      <c r="C11" s="1" t="s">
        <v>60</v>
      </c>
      <c r="D11" s="19">
        <v>55209</v>
      </c>
      <c r="E11" s="51" t="s">
        <v>225</v>
      </c>
    </row>
    <row r="12" spans="1:5" ht="15.75" x14ac:dyDescent="0.25">
      <c r="A12" s="15"/>
      <c r="B12" s="1"/>
      <c r="C12" s="1"/>
      <c r="D12" s="19"/>
      <c r="E12" s="19"/>
    </row>
    <row r="13" spans="1:5" ht="15.75" x14ac:dyDescent="0.25">
      <c r="A13" s="15">
        <v>2</v>
      </c>
      <c r="B13" s="1"/>
      <c r="C13" s="1" t="s">
        <v>280</v>
      </c>
      <c r="D13" s="20">
        <f>D36</f>
        <v>14031</v>
      </c>
      <c r="E13" s="51" t="s">
        <v>353</v>
      </c>
    </row>
    <row r="14" spans="1:5" ht="15.75" x14ac:dyDescent="0.25">
      <c r="A14" s="15"/>
      <c r="B14" s="1"/>
      <c r="C14" s="1"/>
      <c r="D14" s="19"/>
      <c r="E14" s="19"/>
    </row>
    <row r="15" spans="1:5" ht="16.5" thickBot="1" x14ac:dyDescent="0.3">
      <c r="A15" s="15">
        <v>3</v>
      </c>
      <c r="B15" s="1"/>
      <c r="C15" s="1" t="s">
        <v>279</v>
      </c>
      <c r="D15" s="24">
        <f>+D13-D11</f>
        <v>-41178</v>
      </c>
      <c r="E15" s="19" t="s">
        <v>64</v>
      </c>
    </row>
    <row r="16" spans="1:5" ht="16.5" thickTop="1" x14ac:dyDescent="0.25">
      <c r="A16" s="15"/>
      <c r="B16" s="1"/>
      <c r="C16" s="1"/>
      <c r="D16" s="1"/>
      <c r="E16" s="1"/>
    </row>
    <row r="17" spans="1:4" x14ac:dyDescent="0.25">
      <c r="A17" s="121"/>
    </row>
    <row r="18" spans="1:4" x14ac:dyDescent="0.25">
      <c r="A18" s="121">
        <v>4</v>
      </c>
      <c r="C18" s="186" t="s">
        <v>334</v>
      </c>
      <c r="D18" s="186" t="s">
        <v>335</v>
      </c>
    </row>
    <row r="19" spans="1:4" x14ac:dyDescent="0.25">
      <c r="A19" s="121">
        <v>5</v>
      </c>
      <c r="C19" s="187" t="s">
        <v>336</v>
      </c>
      <c r="D19" s="188"/>
    </row>
    <row r="20" spans="1:4" x14ac:dyDescent="0.25">
      <c r="A20" s="121">
        <v>6</v>
      </c>
      <c r="C20" s="187" t="s">
        <v>337</v>
      </c>
      <c r="D20" s="188"/>
    </row>
    <row r="21" spans="1:4" x14ac:dyDescent="0.25">
      <c r="A21" s="121">
        <v>7</v>
      </c>
      <c r="C21" s="187" t="s">
        <v>338</v>
      </c>
      <c r="D21" s="188"/>
    </row>
    <row r="22" spans="1:4" x14ac:dyDescent="0.25">
      <c r="A22" s="121">
        <v>8</v>
      </c>
      <c r="C22" s="187" t="s">
        <v>339</v>
      </c>
      <c r="D22" s="188"/>
    </row>
    <row r="23" spans="1:4" x14ac:dyDescent="0.25">
      <c r="A23" s="121">
        <v>9</v>
      </c>
      <c r="C23" s="187" t="s">
        <v>340</v>
      </c>
      <c r="D23" s="188"/>
    </row>
    <row r="24" spans="1:4" x14ac:dyDescent="0.25">
      <c r="A24" s="121">
        <v>10</v>
      </c>
      <c r="C24" s="187" t="s">
        <v>341</v>
      </c>
      <c r="D24" s="188">
        <v>50</v>
      </c>
    </row>
    <row r="25" spans="1:4" x14ac:dyDescent="0.25">
      <c r="A25" s="121">
        <v>11</v>
      </c>
      <c r="C25" s="187" t="s">
        <v>342</v>
      </c>
      <c r="D25" s="188"/>
    </row>
    <row r="26" spans="1:4" x14ac:dyDescent="0.25">
      <c r="A26" s="121">
        <v>12</v>
      </c>
      <c r="C26" s="187" t="s">
        <v>343</v>
      </c>
      <c r="D26" s="188"/>
    </row>
    <row r="27" spans="1:4" x14ac:dyDescent="0.25">
      <c r="A27" s="121">
        <v>13</v>
      </c>
      <c r="C27" s="187" t="s">
        <v>344</v>
      </c>
      <c r="D27" s="188"/>
    </row>
    <row r="28" spans="1:4" x14ac:dyDescent="0.25">
      <c r="A28" s="121">
        <v>14</v>
      </c>
      <c r="C28" s="187" t="s">
        <v>345</v>
      </c>
      <c r="D28" s="188"/>
    </row>
    <row r="29" spans="1:4" x14ac:dyDescent="0.25">
      <c r="A29" s="121">
        <v>15</v>
      </c>
      <c r="C29" s="187" t="s">
        <v>346</v>
      </c>
      <c r="D29" s="188">
        <v>13946</v>
      </c>
    </row>
    <row r="30" spans="1:4" x14ac:dyDescent="0.25">
      <c r="A30" s="121">
        <v>16</v>
      </c>
      <c r="C30" s="187" t="s">
        <v>347</v>
      </c>
      <c r="D30" s="188">
        <v>35</v>
      </c>
    </row>
    <row r="31" spans="1:4" x14ac:dyDescent="0.25">
      <c r="A31" s="121">
        <v>17</v>
      </c>
      <c r="C31" s="187" t="s">
        <v>348</v>
      </c>
      <c r="D31" s="188"/>
    </row>
    <row r="32" spans="1:4" x14ac:dyDescent="0.25">
      <c r="A32" s="121">
        <v>18</v>
      </c>
      <c r="C32" s="187" t="s">
        <v>349</v>
      </c>
      <c r="D32" s="188"/>
    </row>
    <row r="33" spans="1:4" x14ac:dyDescent="0.25">
      <c r="A33" s="121">
        <v>19</v>
      </c>
      <c r="C33" s="187" t="s">
        <v>350</v>
      </c>
      <c r="D33" s="188"/>
    </row>
    <row r="34" spans="1:4" x14ac:dyDescent="0.25">
      <c r="A34" s="121">
        <v>20</v>
      </c>
      <c r="C34" s="187" t="s">
        <v>351</v>
      </c>
      <c r="D34" s="188"/>
    </row>
    <row r="35" spans="1:4" x14ac:dyDescent="0.25">
      <c r="A35" s="121">
        <v>21</v>
      </c>
      <c r="C35" s="187" t="s">
        <v>352</v>
      </c>
      <c r="D35" s="188"/>
    </row>
    <row r="36" spans="1:4" x14ac:dyDescent="0.25">
      <c r="A36" s="121">
        <v>22</v>
      </c>
      <c r="C36" s="189" t="s">
        <v>19</v>
      </c>
      <c r="D36" s="188">
        <f>SUM(D19:D35)</f>
        <v>14031</v>
      </c>
    </row>
    <row r="37" spans="1:4" x14ac:dyDescent="0.25">
      <c r="A37" s="121"/>
    </row>
    <row r="38" spans="1:4" x14ac:dyDescent="0.25">
      <c r="A38" s="121"/>
    </row>
  </sheetData>
  <pageMargins left="0.7" right="0.7" top="0.75" bottom="0.75" header="0.3" footer="0.3"/>
  <pageSetup scale="8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31CDB-EF39-476B-BDCD-9EDE575DA76F}">
  <sheetPr>
    <pageSetUpPr fitToPage="1"/>
  </sheetPr>
  <dimension ref="A1:E27"/>
  <sheetViews>
    <sheetView workbookViewId="0">
      <selection activeCell="H27" sqref="H27"/>
    </sheetView>
  </sheetViews>
  <sheetFormatPr defaultRowHeight="15" x14ac:dyDescent="0.25"/>
  <cols>
    <col min="1" max="1" width="9" customWidth="1"/>
    <col min="2" max="2" width="2.28515625" customWidth="1"/>
    <col min="3" max="3" width="61.42578125" customWidth="1"/>
    <col min="4" max="4" width="20.7109375" customWidth="1"/>
    <col min="5" max="5" width="31" customWidth="1"/>
  </cols>
  <sheetData>
    <row r="1" spans="1:5" ht="15.75" x14ac:dyDescent="0.25">
      <c r="A1" s="1" t="str">
        <f>A!A1</f>
        <v>Kentucky-American Water Company</v>
      </c>
      <c r="B1" s="1"/>
      <c r="C1" s="1"/>
      <c r="D1" s="1"/>
      <c r="E1" s="9" t="str">
        <f>A!H1</f>
        <v>Case No. 2025-00122</v>
      </c>
    </row>
    <row r="2" spans="1:5" ht="15.75" x14ac:dyDescent="0.25">
      <c r="A2" s="1" t="str">
        <f>A!A2</f>
        <v>Forecasted Test Period: Twelve Months Ended December 31, 2026</v>
      </c>
      <c r="B2" s="1"/>
      <c r="C2" s="1"/>
      <c r="D2" s="1"/>
      <c r="E2" s="9" t="str">
        <f>A!H2</f>
        <v>Exhibit JD-1</v>
      </c>
    </row>
    <row r="3" spans="1:5" ht="15.75" x14ac:dyDescent="0.25">
      <c r="A3" s="1"/>
      <c r="B3" s="1"/>
      <c r="C3" s="1"/>
      <c r="D3" s="1"/>
      <c r="E3" s="9" t="s">
        <v>92</v>
      </c>
    </row>
    <row r="4" spans="1:5" ht="15.75" x14ac:dyDescent="0.25">
      <c r="A4" s="39" t="s">
        <v>78</v>
      </c>
      <c r="B4" s="1"/>
      <c r="C4" s="1"/>
      <c r="D4" s="1"/>
      <c r="E4" s="9" t="str">
        <f>A!H4</f>
        <v>Page 1 of 1</v>
      </c>
    </row>
    <row r="5" spans="1:5" ht="15.75" x14ac:dyDescent="0.25">
      <c r="A5" s="1"/>
      <c r="B5" s="1"/>
      <c r="C5" s="1"/>
      <c r="D5" s="1"/>
      <c r="E5" s="1"/>
    </row>
    <row r="6" spans="1:5" ht="15.75" x14ac:dyDescent="0.25">
      <c r="D6" s="34" t="s">
        <v>167</v>
      </c>
    </row>
    <row r="7" spans="1:5" ht="15.75" x14ac:dyDescent="0.25">
      <c r="A7" s="14" t="s">
        <v>22</v>
      </c>
      <c r="B7" s="32"/>
      <c r="C7" s="14" t="s">
        <v>12</v>
      </c>
      <c r="D7" s="35" t="s">
        <v>37</v>
      </c>
      <c r="E7" s="18" t="s">
        <v>24</v>
      </c>
    </row>
    <row r="8" spans="1:5" ht="15.75" x14ac:dyDescent="0.25">
      <c r="A8" s="1"/>
      <c r="B8" s="32"/>
      <c r="C8" s="1"/>
      <c r="D8" s="15"/>
      <c r="E8" s="15"/>
    </row>
    <row r="9" spans="1:5" ht="30.75" x14ac:dyDescent="0.25">
      <c r="A9" s="33">
        <v>1</v>
      </c>
      <c r="B9" s="32"/>
      <c r="C9" s="42" t="s">
        <v>284</v>
      </c>
      <c r="D9" s="19">
        <f>+Payroll!D15+'Incentive Comp'!D15</f>
        <v>-2457084.3679999998</v>
      </c>
      <c r="E9" s="19" t="s">
        <v>226</v>
      </c>
    </row>
    <row r="10" spans="1:5" ht="15.75" x14ac:dyDescent="0.25">
      <c r="A10" s="33"/>
      <c r="B10" s="32"/>
      <c r="C10" s="1"/>
      <c r="D10" s="19"/>
      <c r="E10" s="19"/>
    </row>
    <row r="11" spans="1:5" ht="15.75" x14ac:dyDescent="0.25">
      <c r="A11" s="33">
        <v>2</v>
      </c>
      <c r="B11" s="32"/>
      <c r="C11" s="1" t="s">
        <v>94</v>
      </c>
      <c r="D11" s="28">
        <f>D18</f>
        <v>7.3076788787073396E-2</v>
      </c>
      <c r="E11" s="1" t="s">
        <v>63</v>
      </c>
    </row>
    <row r="12" spans="1:5" ht="15.75" x14ac:dyDescent="0.25">
      <c r="A12" s="33"/>
      <c r="B12" s="32"/>
      <c r="C12" s="1"/>
      <c r="D12" s="19"/>
      <c r="E12" s="19"/>
    </row>
    <row r="13" spans="1:5" ht="16.5" thickBot="1" x14ac:dyDescent="0.3">
      <c r="A13" s="33">
        <v>3</v>
      </c>
      <c r="B13" s="32"/>
      <c r="C13" s="1" t="s">
        <v>279</v>
      </c>
      <c r="D13" s="24">
        <f>D9*D11</f>
        <v>-179555.83539235572</v>
      </c>
      <c r="E13" s="19" t="s">
        <v>81</v>
      </c>
    </row>
    <row r="14" spans="1:5" ht="16.5" thickTop="1" x14ac:dyDescent="0.25">
      <c r="A14" s="33"/>
      <c r="B14" s="32"/>
      <c r="C14" s="1"/>
      <c r="D14" s="19"/>
      <c r="E14" s="19"/>
    </row>
    <row r="15" spans="1:5" ht="15.75" x14ac:dyDescent="0.25">
      <c r="A15" s="15"/>
      <c r="B15" s="1"/>
      <c r="C15" s="1"/>
      <c r="D15" s="54"/>
      <c r="E15" s="1"/>
    </row>
    <row r="16" spans="1:5" ht="30" x14ac:dyDescent="0.25">
      <c r="A16" s="15">
        <v>4</v>
      </c>
      <c r="B16" s="1"/>
      <c r="C16" s="1" t="s">
        <v>96</v>
      </c>
      <c r="D16" s="19">
        <f>708794+530244</f>
        <v>1239038</v>
      </c>
      <c r="E16" s="51" t="s">
        <v>231</v>
      </c>
    </row>
    <row r="17" spans="1:5" ht="30" x14ac:dyDescent="0.25">
      <c r="A17" s="15">
        <v>5</v>
      </c>
      <c r="B17" s="1"/>
      <c r="C17" s="1" t="s">
        <v>75</v>
      </c>
      <c r="D17" s="20">
        <f>9528061+7427227</f>
        <v>16955288</v>
      </c>
      <c r="E17" s="51" t="s">
        <v>231</v>
      </c>
    </row>
    <row r="18" spans="1:5" ht="15.75" x14ac:dyDescent="0.25">
      <c r="A18" s="15">
        <v>6</v>
      </c>
      <c r="B18" s="1"/>
      <c r="C18" s="1" t="s">
        <v>94</v>
      </c>
      <c r="D18" s="55">
        <f>+D16/D17</f>
        <v>7.3076788787073396E-2</v>
      </c>
      <c r="E18" s="1" t="s">
        <v>97</v>
      </c>
    </row>
    <row r="19" spans="1:5" ht="15.75" x14ac:dyDescent="0.25">
      <c r="A19" s="15"/>
      <c r="B19" s="1"/>
      <c r="C19" s="1"/>
      <c r="D19" s="1"/>
      <c r="E19" s="1"/>
    </row>
    <row r="20" spans="1:5" ht="15.75" x14ac:dyDescent="0.25">
      <c r="A20" s="15"/>
      <c r="B20" s="1"/>
      <c r="C20" s="1"/>
      <c r="D20" s="1"/>
      <c r="E20" s="1"/>
    </row>
    <row r="21" spans="1:5" ht="15.75" x14ac:dyDescent="0.25">
      <c r="A21" s="1"/>
      <c r="B21" s="1"/>
      <c r="C21" s="1"/>
      <c r="D21" s="1"/>
      <c r="E21" s="1"/>
    </row>
    <row r="22" spans="1:5" ht="15.75" x14ac:dyDescent="0.25">
      <c r="A22" s="1"/>
      <c r="B22" s="1"/>
      <c r="C22" s="1"/>
      <c r="D22" s="1"/>
      <c r="E22" s="1"/>
    </row>
    <row r="23" spans="1:5" ht="15.75" x14ac:dyDescent="0.25">
      <c r="A23" s="1"/>
      <c r="B23" s="1"/>
      <c r="C23" s="1"/>
      <c r="D23" s="1"/>
      <c r="E23" s="1"/>
    </row>
    <row r="24" spans="1:5" ht="15.75" x14ac:dyDescent="0.25">
      <c r="A24" s="1"/>
      <c r="B24" s="1"/>
      <c r="C24" s="1"/>
      <c r="D24" s="1"/>
      <c r="E24" s="1"/>
    </row>
    <row r="25" spans="1:5" ht="15.75" x14ac:dyDescent="0.25">
      <c r="A25" s="1"/>
      <c r="B25" s="1"/>
      <c r="C25" s="19"/>
      <c r="D25" s="1"/>
    </row>
    <row r="26" spans="1:5" x14ac:dyDescent="0.25">
      <c r="A26" s="63"/>
    </row>
    <row r="27" spans="1:5" ht="15.75" x14ac:dyDescent="0.25">
      <c r="C27" s="1"/>
    </row>
  </sheetData>
  <pageMargins left="0.7" right="0.7" top="0.75" bottom="0.75" header="0.3" footer="0.3"/>
  <pageSetup scale="72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EB8F4-BB78-4858-9150-09ED26A29801}">
  <sheetPr>
    <pageSetUpPr fitToPage="1"/>
  </sheetPr>
  <dimension ref="A1:G26"/>
  <sheetViews>
    <sheetView workbookViewId="0">
      <selection activeCell="D18" sqref="D18"/>
    </sheetView>
  </sheetViews>
  <sheetFormatPr defaultRowHeight="15" x14ac:dyDescent="0.25"/>
  <cols>
    <col min="1" max="1" width="9" customWidth="1"/>
    <col min="2" max="2" width="2.28515625" customWidth="1"/>
    <col min="3" max="3" width="61.42578125" customWidth="1"/>
    <col min="4" max="4" width="20.7109375" customWidth="1"/>
    <col min="5" max="5" width="31" customWidth="1"/>
  </cols>
  <sheetData>
    <row r="1" spans="1:5" ht="15.75" x14ac:dyDescent="0.25">
      <c r="A1" s="1" t="str">
        <f>A!A1</f>
        <v>Kentucky-American Water Company</v>
      </c>
      <c r="B1" s="1"/>
      <c r="C1" s="1"/>
      <c r="D1" s="1"/>
      <c r="E1" s="9" t="str">
        <f>A!H1</f>
        <v>Case No. 2025-00122</v>
      </c>
    </row>
    <row r="2" spans="1:5" ht="15.75" x14ac:dyDescent="0.25">
      <c r="A2" s="1" t="str">
        <f>A!A2</f>
        <v>Forecasted Test Period: Twelve Months Ended December 31, 2026</v>
      </c>
      <c r="B2" s="1"/>
      <c r="C2" s="1"/>
      <c r="D2" s="1"/>
      <c r="E2" s="9" t="str">
        <f>A!H2</f>
        <v>Exhibit JD-1</v>
      </c>
    </row>
    <row r="3" spans="1:5" ht="15.75" x14ac:dyDescent="0.25">
      <c r="A3" s="1"/>
      <c r="B3" s="1"/>
      <c r="C3" s="1"/>
      <c r="D3" s="1"/>
      <c r="E3" s="9" t="s">
        <v>95</v>
      </c>
    </row>
    <row r="4" spans="1:5" ht="15.75" x14ac:dyDescent="0.25">
      <c r="A4" s="39" t="s">
        <v>84</v>
      </c>
      <c r="B4" s="1"/>
      <c r="C4" s="1"/>
      <c r="D4" s="1"/>
      <c r="E4" s="9" t="str">
        <f>A!H4</f>
        <v>Page 1 of 1</v>
      </c>
    </row>
    <row r="5" spans="1:5" ht="15.75" x14ac:dyDescent="0.25">
      <c r="A5" s="1"/>
      <c r="B5" s="1"/>
      <c r="C5" s="1"/>
      <c r="D5" s="1"/>
      <c r="E5" s="1"/>
    </row>
    <row r="6" spans="1:5" ht="15.75" x14ac:dyDescent="0.25">
      <c r="D6" s="34" t="s">
        <v>167</v>
      </c>
    </row>
    <row r="7" spans="1:5" ht="15.75" x14ac:dyDescent="0.25">
      <c r="A7" s="14" t="s">
        <v>22</v>
      </c>
      <c r="B7" s="32"/>
      <c r="C7" s="14" t="s">
        <v>12</v>
      </c>
      <c r="D7" s="35" t="s">
        <v>37</v>
      </c>
      <c r="E7" s="18" t="s">
        <v>24</v>
      </c>
    </row>
    <row r="8" spans="1:5" ht="15.75" x14ac:dyDescent="0.25">
      <c r="A8" s="1"/>
      <c r="B8" s="32"/>
      <c r="C8" s="1"/>
      <c r="D8" s="15"/>
      <c r="E8" s="15"/>
    </row>
    <row r="9" spans="1:5" ht="15.75" x14ac:dyDescent="0.25">
      <c r="A9" s="33">
        <v>1</v>
      </c>
      <c r="B9" s="32"/>
      <c r="C9" s="42" t="s">
        <v>285</v>
      </c>
      <c r="D9" s="19">
        <f>Payroll!D15</f>
        <v>-610390.3679999999</v>
      </c>
      <c r="E9" s="19" t="s">
        <v>227</v>
      </c>
    </row>
    <row r="10" spans="1:5" ht="15.75" x14ac:dyDescent="0.25">
      <c r="A10" s="33"/>
      <c r="B10" s="32"/>
      <c r="C10" s="1"/>
      <c r="D10" s="19"/>
      <c r="E10" s="19"/>
    </row>
    <row r="11" spans="1:5" ht="15.75" x14ac:dyDescent="0.25">
      <c r="A11" s="33">
        <v>2</v>
      </c>
      <c r="B11" s="32"/>
      <c r="C11" s="40" t="s">
        <v>85</v>
      </c>
      <c r="D11" s="28">
        <f>D19</f>
        <v>0.20940552587487751</v>
      </c>
      <c r="E11" s="1" t="s">
        <v>63</v>
      </c>
    </row>
    <row r="12" spans="1:5" ht="15.75" x14ac:dyDescent="0.25">
      <c r="A12" s="33"/>
      <c r="B12" s="32"/>
      <c r="C12" s="1"/>
      <c r="D12" s="19"/>
      <c r="E12" s="19"/>
    </row>
    <row r="13" spans="1:5" ht="16.5" thickBot="1" x14ac:dyDescent="0.3">
      <c r="A13" s="33">
        <v>3</v>
      </c>
      <c r="B13" s="32"/>
      <c r="C13" s="1" t="s">
        <v>279</v>
      </c>
      <c r="D13" s="24">
        <f>D9*D11</f>
        <v>-127819.11599999998</v>
      </c>
      <c r="E13" s="19" t="s">
        <v>81</v>
      </c>
    </row>
    <row r="14" spans="1:5" ht="16.5" thickTop="1" x14ac:dyDescent="0.25">
      <c r="A14" s="33"/>
      <c r="B14" s="32"/>
      <c r="C14" s="1"/>
      <c r="D14" s="19"/>
      <c r="E14" s="19"/>
    </row>
    <row r="15" spans="1:5" ht="15.75" x14ac:dyDescent="0.25">
      <c r="A15" s="15"/>
      <c r="B15" s="1"/>
      <c r="C15" s="1"/>
      <c r="D15" s="19"/>
      <c r="E15" s="19"/>
    </row>
    <row r="16" spans="1:5" ht="15.75" x14ac:dyDescent="0.25">
      <c r="A16" s="15"/>
      <c r="B16" s="19"/>
      <c r="C16" s="1"/>
      <c r="D16" s="19"/>
      <c r="E16" s="19"/>
    </row>
    <row r="17" spans="1:7" ht="30" x14ac:dyDescent="0.25">
      <c r="A17" s="43">
        <v>4</v>
      </c>
      <c r="B17" s="40"/>
      <c r="C17" s="40" t="s">
        <v>84</v>
      </c>
      <c r="D17" s="44">
        <f>2205924+1344607</f>
        <v>3550531</v>
      </c>
      <c r="E17" s="51" t="s">
        <v>231</v>
      </c>
      <c r="F17" s="44"/>
      <c r="G17" s="40"/>
    </row>
    <row r="18" spans="1:7" ht="30" x14ac:dyDescent="0.25">
      <c r="A18" s="43">
        <v>5</v>
      </c>
      <c r="B18" s="40"/>
      <c r="C18" s="40" t="s">
        <v>75</v>
      </c>
      <c r="D18" s="133">
        <f>+'Payroll Tax'!D17</f>
        <v>16955288</v>
      </c>
      <c r="E18" s="51" t="s">
        <v>231</v>
      </c>
      <c r="F18" s="44"/>
      <c r="G18" s="19"/>
    </row>
    <row r="19" spans="1:7" ht="15.75" x14ac:dyDescent="0.25">
      <c r="A19" s="43">
        <v>6</v>
      </c>
      <c r="B19" s="40"/>
      <c r="C19" s="40" t="s">
        <v>85</v>
      </c>
      <c r="D19" s="45">
        <f>+D17/D18</f>
        <v>0.20940552587487751</v>
      </c>
      <c r="E19" s="1" t="s">
        <v>97</v>
      </c>
      <c r="F19" s="45"/>
      <c r="G19" s="40"/>
    </row>
    <row r="20" spans="1:7" ht="15.75" x14ac:dyDescent="0.25">
      <c r="A20" s="43"/>
      <c r="B20" s="40"/>
      <c r="C20" s="40"/>
      <c r="D20" s="40"/>
      <c r="E20" s="40"/>
      <c r="F20" s="40"/>
      <c r="G20" s="40"/>
    </row>
    <row r="21" spans="1:7" ht="15.75" x14ac:dyDescent="0.25">
      <c r="A21" s="31"/>
      <c r="B21" s="31"/>
      <c r="C21" s="31"/>
      <c r="D21" s="31"/>
    </row>
    <row r="22" spans="1:7" ht="15.75" x14ac:dyDescent="0.25">
      <c r="A22" s="31"/>
      <c r="B22" s="31"/>
      <c r="C22" s="1" t="s">
        <v>54</v>
      </c>
      <c r="D22" s="31"/>
    </row>
    <row r="23" spans="1:7" ht="15.75" x14ac:dyDescent="0.25">
      <c r="C23" s="1"/>
    </row>
    <row r="25" spans="1:7" ht="15.75" x14ac:dyDescent="0.25">
      <c r="A25" s="1"/>
      <c r="B25" s="1"/>
      <c r="C25" s="19"/>
      <c r="D25" s="1"/>
    </row>
    <row r="26" spans="1:7" x14ac:dyDescent="0.25">
      <c r="A26" s="63"/>
    </row>
  </sheetData>
  <pageMargins left="0.7" right="0.7" top="0.75" bottom="0.75" header="0.3" footer="0.3"/>
  <pageSetup scale="72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400C5-F407-4C94-8264-24D9533639BC}">
  <sheetPr>
    <pageSetUpPr fitToPage="1"/>
  </sheetPr>
  <dimension ref="A1:G32"/>
  <sheetViews>
    <sheetView topLeftCell="A13" workbookViewId="0">
      <selection activeCell="E12" sqref="E12"/>
    </sheetView>
  </sheetViews>
  <sheetFormatPr defaultRowHeight="15" x14ac:dyDescent="0.25"/>
  <cols>
    <col min="1" max="1" width="7.85546875"/>
    <col min="2" max="2" width="3" customWidth="1"/>
    <col min="3" max="3" width="62.28515625" customWidth="1"/>
    <col min="4" max="4" width="15.42578125" customWidth="1"/>
    <col min="5" max="5" width="17.7109375" customWidth="1"/>
    <col min="6" max="6" width="2.42578125" customWidth="1"/>
    <col min="7" max="7" width="19" customWidth="1"/>
  </cols>
  <sheetData>
    <row r="1" spans="1:7" ht="15.75" x14ac:dyDescent="0.25">
      <c r="A1" s="1" t="str">
        <f>A!A1</f>
        <v>Kentucky-American Water Company</v>
      </c>
      <c r="B1" s="1"/>
      <c r="C1" s="1"/>
      <c r="D1" s="1"/>
      <c r="G1" s="9" t="str">
        <f>A!H1</f>
        <v>Case No. 2025-00122</v>
      </c>
    </row>
    <row r="2" spans="1:7" ht="15.75" x14ac:dyDescent="0.25">
      <c r="A2" s="1" t="str">
        <f>A!A2</f>
        <v>Forecasted Test Period: Twelve Months Ended December 31, 2026</v>
      </c>
      <c r="B2" s="1"/>
      <c r="C2" s="1"/>
      <c r="D2" s="1"/>
      <c r="G2" s="9" t="str">
        <f>A!H2</f>
        <v>Exhibit JD-1</v>
      </c>
    </row>
    <row r="3" spans="1:7" ht="15.75" x14ac:dyDescent="0.25">
      <c r="A3" s="1"/>
      <c r="B3" s="1"/>
      <c r="C3" s="1"/>
      <c r="D3" s="1"/>
      <c r="G3" s="9" t="s">
        <v>109</v>
      </c>
    </row>
    <row r="4" spans="1:7" ht="15.75" x14ac:dyDescent="0.25">
      <c r="A4" s="39" t="s">
        <v>91</v>
      </c>
      <c r="B4" s="1"/>
      <c r="C4" s="1"/>
      <c r="D4" s="1"/>
      <c r="G4" s="9" t="str">
        <f>A!H4</f>
        <v>Page 1 of 1</v>
      </c>
    </row>
    <row r="6" spans="1:7" ht="15.75" x14ac:dyDescent="0.25">
      <c r="A6" s="34" t="s">
        <v>7</v>
      </c>
      <c r="B6" s="39"/>
      <c r="C6" s="39"/>
      <c r="D6" s="39"/>
      <c r="E6" s="34" t="s">
        <v>167</v>
      </c>
      <c r="F6" s="39"/>
      <c r="G6" s="53"/>
    </row>
    <row r="7" spans="1:7" ht="15.75" x14ac:dyDescent="0.25">
      <c r="A7" s="35" t="s">
        <v>11</v>
      </c>
      <c r="B7" s="39"/>
      <c r="C7" s="46" t="s">
        <v>12</v>
      </c>
      <c r="D7" s="39"/>
      <c r="E7" s="35" t="s">
        <v>37</v>
      </c>
      <c r="F7" s="39"/>
      <c r="G7" s="70" t="s">
        <v>24</v>
      </c>
    </row>
    <row r="8" spans="1:7" ht="15.75" x14ac:dyDescent="0.25">
      <c r="A8" s="34"/>
      <c r="B8" s="39"/>
      <c r="C8" s="39"/>
      <c r="D8" s="39"/>
      <c r="E8" s="39"/>
      <c r="F8" s="39"/>
      <c r="G8" s="53"/>
    </row>
    <row r="9" spans="1:7" ht="15.75" x14ac:dyDescent="0.25">
      <c r="A9" s="34"/>
      <c r="B9" s="39"/>
      <c r="C9" s="47" t="s">
        <v>20</v>
      </c>
      <c r="D9" s="39"/>
      <c r="E9" s="39"/>
      <c r="F9" s="39"/>
      <c r="G9" s="39"/>
    </row>
    <row r="10" spans="1:7" ht="45.75" x14ac:dyDescent="0.25">
      <c r="A10" s="34">
        <v>1</v>
      </c>
      <c r="B10" s="39"/>
      <c r="C10" s="39" t="s">
        <v>288</v>
      </c>
      <c r="D10" s="39"/>
      <c r="E10" s="48">
        <f>-SUM('C p 2'!D13:D25)</f>
        <v>-4953788.0040590223</v>
      </c>
      <c r="F10" s="39"/>
      <c r="G10" s="172" t="s">
        <v>287</v>
      </c>
    </row>
    <row r="11" spans="1:7" ht="15.75" x14ac:dyDescent="0.25">
      <c r="A11" s="34"/>
      <c r="B11" s="39"/>
      <c r="C11" s="39"/>
      <c r="D11" s="39"/>
      <c r="E11" s="48"/>
      <c r="F11" s="39"/>
      <c r="G11" s="39"/>
    </row>
    <row r="12" spans="1:7" ht="15.75" x14ac:dyDescent="0.25">
      <c r="A12" s="34">
        <v>2</v>
      </c>
      <c r="B12" s="39"/>
      <c r="C12" s="39" t="s">
        <v>86</v>
      </c>
      <c r="D12" s="39"/>
      <c r="E12" s="56">
        <f>+E24</f>
        <v>247689.40020295113</v>
      </c>
      <c r="F12" s="39"/>
      <c r="G12" s="39" t="s">
        <v>290</v>
      </c>
    </row>
    <row r="13" spans="1:7" ht="15.75" x14ac:dyDescent="0.25">
      <c r="A13" s="34">
        <v>3</v>
      </c>
      <c r="B13" s="39"/>
      <c r="C13" s="39" t="s">
        <v>87</v>
      </c>
      <c r="D13" s="39"/>
      <c r="E13" s="48">
        <f>SUM(E10:E12)</f>
        <v>-4706098.6038560709</v>
      </c>
      <c r="F13" s="39"/>
      <c r="G13" s="39" t="s">
        <v>291</v>
      </c>
    </row>
    <row r="14" spans="1:7" ht="15.75" x14ac:dyDescent="0.25">
      <c r="A14" s="34"/>
      <c r="B14" s="39"/>
      <c r="C14" s="39"/>
      <c r="D14" s="39"/>
      <c r="E14" s="39"/>
      <c r="F14" s="39"/>
      <c r="G14" s="39"/>
    </row>
    <row r="15" spans="1:7" ht="15.75" x14ac:dyDescent="0.25">
      <c r="A15" s="34">
        <v>4</v>
      </c>
      <c r="B15" s="39"/>
      <c r="C15" s="39" t="s">
        <v>88</v>
      </c>
      <c r="D15" s="39"/>
      <c r="E15" s="49">
        <v>0.21</v>
      </c>
      <c r="F15" s="39"/>
      <c r="G15" s="39" t="s">
        <v>262</v>
      </c>
    </row>
    <row r="16" spans="1:7" ht="15.75" x14ac:dyDescent="0.25">
      <c r="A16" s="34"/>
      <c r="B16" s="39"/>
      <c r="C16" s="39"/>
      <c r="D16" s="39"/>
      <c r="E16" s="39"/>
      <c r="F16" s="39"/>
      <c r="G16" s="39"/>
    </row>
    <row r="17" spans="1:7" ht="15.75" x14ac:dyDescent="0.25">
      <c r="A17" s="34">
        <v>5</v>
      </c>
      <c r="B17" s="39"/>
      <c r="C17" s="39" t="s">
        <v>295</v>
      </c>
      <c r="D17" s="39"/>
      <c r="E17" s="50">
        <f>-E13*E15</f>
        <v>988280.70680977486</v>
      </c>
      <c r="F17" s="39"/>
      <c r="G17" s="39" t="s">
        <v>292</v>
      </c>
    </row>
    <row r="18" spans="1:7" ht="15.75" x14ac:dyDescent="0.25">
      <c r="A18" s="34"/>
      <c r="B18" s="39"/>
      <c r="C18" s="39"/>
      <c r="D18" s="39"/>
      <c r="E18" s="39"/>
      <c r="F18" s="39"/>
      <c r="G18" s="1"/>
    </row>
    <row r="19" spans="1:7" ht="15.75" x14ac:dyDescent="0.25">
      <c r="A19" s="34"/>
      <c r="B19" s="39"/>
      <c r="C19" s="47" t="s">
        <v>89</v>
      </c>
      <c r="D19" s="39"/>
      <c r="E19" s="39"/>
      <c r="F19" s="39"/>
      <c r="G19" s="1"/>
    </row>
    <row r="20" spans="1:7" ht="15.75" x14ac:dyDescent="0.25">
      <c r="A20" s="34">
        <v>6</v>
      </c>
      <c r="B20" s="39"/>
      <c r="C20" s="39" t="s">
        <v>286</v>
      </c>
      <c r="D20" s="39"/>
      <c r="E20" s="37">
        <f>E10</f>
        <v>-4953788.0040590223</v>
      </c>
      <c r="F20" s="39"/>
      <c r="G20" s="1" t="s">
        <v>289</v>
      </c>
    </row>
    <row r="21" spans="1:7" ht="15.75" x14ac:dyDescent="0.25">
      <c r="A21" s="34"/>
      <c r="B21" s="39"/>
      <c r="C21" s="39"/>
      <c r="D21" s="39"/>
      <c r="E21" s="39"/>
      <c r="F21" s="39"/>
      <c r="G21" s="1"/>
    </row>
    <row r="22" spans="1:7" ht="15.75" x14ac:dyDescent="0.25">
      <c r="A22" s="34">
        <v>7</v>
      </c>
      <c r="B22" s="39"/>
      <c r="C22" s="39" t="s">
        <v>89</v>
      </c>
      <c r="D22" s="39"/>
      <c r="E22" s="171">
        <v>0.05</v>
      </c>
      <c r="F22" s="39"/>
      <c r="G22" s="39" t="s">
        <v>263</v>
      </c>
    </row>
    <row r="23" spans="1:7" ht="15.75" x14ac:dyDescent="0.25">
      <c r="A23" s="39"/>
      <c r="B23" s="39"/>
      <c r="C23" s="39"/>
      <c r="D23" s="39"/>
      <c r="E23" s="39"/>
      <c r="F23" s="39"/>
      <c r="G23" s="1"/>
    </row>
    <row r="24" spans="1:7" ht="15.75" x14ac:dyDescent="0.25">
      <c r="A24" s="34">
        <v>8</v>
      </c>
      <c r="B24" s="39"/>
      <c r="C24" s="39" t="s">
        <v>296</v>
      </c>
      <c r="D24" s="39"/>
      <c r="E24" s="50">
        <f>-E22*E20</f>
        <v>247689.40020295113</v>
      </c>
      <c r="F24" s="39"/>
      <c r="G24" s="1" t="s">
        <v>293</v>
      </c>
    </row>
    <row r="25" spans="1:7" ht="15.75" x14ac:dyDescent="0.25">
      <c r="A25" s="39"/>
      <c r="B25" s="39"/>
      <c r="C25" s="39"/>
      <c r="D25" s="39"/>
      <c r="E25" s="39"/>
      <c r="F25" s="39"/>
      <c r="G25" s="1"/>
    </row>
    <row r="26" spans="1:7" ht="16.5" thickBot="1" x14ac:dyDescent="0.3">
      <c r="A26" s="34">
        <v>9</v>
      </c>
      <c r="B26" s="39"/>
      <c r="C26" s="39" t="s">
        <v>297</v>
      </c>
      <c r="D26" s="39"/>
      <c r="E26" s="65">
        <f>+E17+E24</f>
        <v>1235970.1070127259</v>
      </c>
      <c r="F26" s="39"/>
      <c r="G26" s="1" t="s">
        <v>294</v>
      </c>
    </row>
    <row r="27" spans="1:7" ht="16.5" thickTop="1" x14ac:dyDescent="0.25">
      <c r="A27" s="39"/>
      <c r="B27" s="39"/>
      <c r="C27" s="39"/>
      <c r="D27" s="39"/>
      <c r="E27" s="39"/>
      <c r="F27" s="39"/>
      <c r="G27" s="1"/>
    </row>
    <row r="28" spans="1:7" ht="15.75" x14ac:dyDescent="0.25">
      <c r="A28" s="34"/>
      <c r="B28" s="34"/>
      <c r="C28" s="34"/>
      <c r="D28" s="15"/>
      <c r="E28" s="15"/>
      <c r="F28" s="39"/>
      <c r="G28" s="27"/>
    </row>
    <row r="29" spans="1:7" ht="15.75" x14ac:dyDescent="0.25">
      <c r="A29" s="170"/>
      <c r="B29" s="34"/>
      <c r="C29" s="15"/>
      <c r="D29" s="34"/>
      <c r="E29" s="34"/>
      <c r="F29" s="39"/>
      <c r="G29" s="27"/>
    </row>
    <row r="30" spans="1:7" ht="15.75" x14ac:dyDescent="0.25">
      <c r="A30" s="34"/>
      <c r="B30" s="34"/>
      <c r="C30" s="15"/>
      <c r="D30" s="34"/>
      <c r="E30" s="34"/>
      <c r="F30" s="39"/>
      <c r="G30" s="27"/>
    </row>
    <row r="31" spans="1:7" ht="15.75" x14ac:dyDescent="0.25">
      <c r="A31" s="34"/>
      <c r="B31" s="34"/>
      <c r="C31" s="121"/>
      <c r="D31" s="34"/>
      <c r="E31" s="34"/>
      <c r="F31" s="39"/>
      <c r="G31" s="27"/>
    </row>
    <row r="32" spans="1:7" ht="15.75" x14ac:dyDescent="0.25">
      <c r="A32" s="39"/>
      <c r="B32" s="39"/>
      <c r="C32" s="39"/>
      <c r="D32" s="39"/>
      <c r="E32" s="39"/>
      <c r="F32" s="39"/>
      <c r="G32" s="27"/>
    </row>
  </sheetData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6C4A3-6635-4AD3-B8F4-4C87E3EE349C}">
  <sheetPr>
    <pageSetUpPr fitToPage="1"/>
  </sheetPr>
  <dimension ref="A1:K29"/>
  <sheetViews>
    <sheetView workbookViewId="0">
      <selection activeCell="F22" sqref="F22"/>
    </sheetView>
  </sheetViews>
  <sheetFormatPr defaultRowHeight="15" x14ac:dyDescent="0.25"/>
  <cols>
    <col min="1" max="1" width="9.85546875" customWidth="1"/>
    <col min="2" max="2" width="2" customWidth="1"/>
    <col min="3" max="3" width="51.85546875" customWidth="1"/>
    <col min="4" max="6" width="18.7109375" customWidth="1"/>
    <col min="7" max="7" width="1.7109375" customWidth="1"/>
    <col min="8" max="8" width="16.42578125" customWidth="1"/>
    <col min="10" max="10" width="15" customWidth="1"/>
  </cols>
  <sheetData>
    <row r="1" spans="1:11" ht="15.75" x14ac:dyDescent="0.25">
      <c r="A1" s="1" t="str">
        <f>TOC!A1</f>
        <v>Kentucky-American Water Company</v>
      </c>
      <c r="B1" s="1"/>
      <c r="C1" s="1"/>
      <c r="H1" s="9" t="str">
        <f>TOC!A2</f>
        <v>Case No. 2025-00122</v>
      </c>
    </row>
    <row r="2" spans="1:11" ht="15.75" x14ac:dyDescent="0.25">
      <c r="A2" s="1" t="s">
        <v>128</v>
      </c>
      <c r="H2" s="88" t="s">
        <v>129</v>
      </c>
    </row>
    <row r="3" spans="1:11" ht="15.75" x14ac:dyDescent="0.25">
      <c r="A3" s="1"/>
      <c r="D3" s="1"/>
      <c r="E3" s="1"/>
      <c r="F3" s="1"/>
      <c r="G3" s="1"/>
      <c r="H3" s="9" t="s">
        <v>41</v>
      </c>
      <c r="I3" s="1"/>
      <c r="J3" s="1"/>
      <c r="K3" s="1"/>
    </row>
    <row r="4" spans="1:11" ht="15.75" x14ac:dyDescent="0.25">
      <c r="A4" s="1" t="s">
        <v>228</v>
      </c>
      <c r="D4" s="1"/>
      <c r="E4" s="1"/>
      <c r="F4" s="1"/>
      <c r="G4" s="1"/>
      <c r="H4" s="9" t="s">
        <v>6</v>
      </c>
      <c r="I4" s="1"/>
      <c r="J4" s="1"/>
      <c r="K4" s="1"/>
    </row>
    <row r="5" spans="1:11" ht="15.75" x14ac:dyDescent="0.25">
      <c r="A5" s="1"/>
      <c r="D5" s="1"/>
      <c r="E5" s="1"/>
      <c r="F5" s="1"/>
      <c r="G5" s="1"/>
      <c r="H5" s="9"/>
      <c r="I5" s="1"/>
      <c r="J5" s="1"/>
      <c r="K5" s="1"/>
    </row>
    <row r="6" spans="1:11" ht="15.75" x14ac:dyDescent="0.25">
      <c r="C6" s="1"/>
      <c r="D6" s="1"/>
      <c r="E6" s="1"/>
      <c r="F6" s="1"/>
      <c r="G6" s="1"/>
      <c r="H6" s="1"/>
      <c r="I6" s="1"/>
      <c r="J6" s="1"/>
      <c r="K6" s="1"/>
    </row>
    <row r="7" spans="1:11" ht="15.75" x14ac:dyDescent="0.25">
      <c r="A7" s="14" t="s">
        <v>22</v>
      </c>
      <c r="C7" s="16" t="s">
        <v>12</v>
      </c>
      <c r="D7" s="18" t="s">
        <v>31</v>
      </c>
      <c r="E7" s="18" t="s">
        <v>32</v>
      </c>
      <c r="F7" s="18" t="s">
        <v>259</v>
      </c>
      <c r="G7" s="15"/>
      <c r="H7" s="18" t="s">
        <v>24</v>
      </c>
      <c r="I7" s="1"/>
      <c r="J7" s="1"/>
      <c r="K7" s="1"/>
    </row>
    <row r="8" spans="1:11" ht="15.75" x14ac:dyDescent="0.25">
      <c r="C8" s="1"/>
      <c r="D8" s="15" t="s">
        <v>25</v>
      </c>
      <c r="E8" s="15" t="s">
        <v>26</v>
      </c>
      <c r="F8" s="15" t="s">
        <v>27</v>
      </c>
      <c r="G8" s="15"/>
      <c r="H8" s="15" t="s">
        <v>40</v>
      </c>
      <c r="I8" s="1"/>
      <c r="J8" s="1"/>
      <c r="K8" s="1"/>
    </row>
    <row r="9" spans="1:11" ht="15.75" x14ac:dyDescent="0.25">
      <c r="C9" s="1"/>
      <c r="D9" s="15"/>
      <c r="E9" s="15"/>
      <c r="F9" s="15"/>
      <c r="G9" s="15"/>
      <c r="H9" s="15"/>
      <c r="I9" s="1"/>
      <c r="J9" s="1"/>
      <c r="K9" s="1"/>
    </row>
    <row r="10" spans="1:11" ht="15.75" x14ac:dyDescent="0.25">
      <c r="A10" s="15">
        <v>1</v>
      </c>
      <c r="C10" s="17" t="s">
        <v>33</v>
      </c>
      <c r="D10" s="19">
        <f>B!C42</f>
        <v>592145088.95745099</v>
      </c>
      <c r="E10" s="19">
        <f>+F10-D10</f>
        <v>-11011081.899999976</v>
      </c>
      <c r="F10" s="19">
        <f>B!E42</f>
        <v>581134007.05745101</v>
      </c>
      <c r="G10" s="1"/>
      <c r="H10" s="1" t="s">
        <v>42</v>
      </c>
      <c r="I10" s="1"/>
      <c r="J10" s="1"/>
      <c r="K10" s="1"/>
    </row>
    <row r="11" spans="1:11" ht="15.75" x14ac:dyDescent="0.25">
      <c r="A11" s="15"/>
      <c r="C11" s="1"/>
      <c r="D11" s="1"/>
      <c r="E11" s="1"/>
      <c r="F11" s="1"/>
      <c r="G11" s="1"/>
      <c r="H11" s="1"/>
      <c r="I11" s="1"/>
      <c r="J11" s="1"/>
      <c r="K11" s="1"/>
    </row>
    <row r="12" spans="1:11" ht="15.75" x14ac:dyDescent="0.25">
      <c r="A12" s="15">
        <v>2</v>
      </c>
      <c r="C12" s="17" t="s">
        <v>47</v>
      </c>
      <c r="D12" s="28">
        <f>D!I20</f>
        <v>7.8600000000000003E-2</v>
      </c>
      <c r="E12" s="28">
        <f>+F12-D12</f>
        <v>-6.5999999999999948E-3</v>
      </c>
      <c r="F12" s="28">
        <f>D!I36</f>
        <v>7.2000000000000008E-2</v>
      </c>
      <c r="G12" s="1"/>
      <c r="H12" s="1" t="s">
        <v>4</v>
      </c>
      <c r="I12" s="1"/>
      <c r="J12" s="1"/>
      <c r="K12" s="1"/>
    </row>
    <row r="13" spans="1:11" ht="15.75" x14ac:dyDescent="0.25">
      <c r="A13" s="15"/>
      <c r="C13" s="1"/>
      <c r="D13" s="1"/>
      <c r="E13" s="1"/>
      <c r="F13" s="1"/>
      <c r="G13" s="1"/>
      <c r="H13" s="1"/>
      <c r="I13" s="1"/>
      <c r="J13" s="1"/>
      <c r="K13" s="1"/>
    </row>
    <row r="14" spans="1:11" ht="15.75" x14ac:dyDescent="0.25">
      <c r="A14" s="15">
        <v>3</v>
      </c>
      <c r="C14" s="17" t="s">
        <v>29</v>
      </c>
      <c r="D14" s="19">
        <f>+D10*D12</f>
        <v>46542603.992055647</v>
      </c>
      <c r="E14" s="19">
        <f>+F14-D14</f>
        <v>-4700955.483919166</v>
      </c>
      <c r="F14" s="19">
        <f>+F10*F12</f>
        <v>41841648.508136481</v>
      </c>
      <c r="G14" s="1"/>
      <c r="H14" s="1" t="s">
        <v>50</v>
      </c>
      <c r="I14" s="1"/>
      <c r="J14" s="1"/>
      <c r="K14" s="1"/>
    </row>
    <row r="15" spans="1:11" ht="15.75" x14ac:dyDescent="0.25">
      <c r="A15" s="15"/>
      <c r="C15" s="1"/>
      <c r="D15" s="19"/>
      <c r="E15" s="19"/>
      <c r="F15" s="19"/>
      <c r="G15" s="1"/>
      <c r="H15" s="1"/>
      <c r="I15" s="1"/>
      <c r="J15" s="1"/>
      <c r="K15" s="1"/>
    </row>
    <row r="16" spans="1:11" ht="15.75" x14ac:dyDescent="0.25">
      <c r="A16" s="15">
        <v>4</v>
      </c>
      <c r="C16" s="17" t="s">
        <v>98</v>
      </c>
      <c r="D16" s="20">
        <f>'C'!C25</f>
        <v>26927493.07047534</v>
      </c>
      <c r="E16" s="20">
        <f>+F16-D16</f>
        <v>3656277.222880885</v>
      </c>
      <c r="F16" s="89">
        <f>'C'!E25</f>
        <v>30583770.293356225</v>
      </c>
      <c r="G16" s="1"/>
      <c r="H16" s="1" t="s">
        <v>28</v>
      </c>
      <c r="I16" s="1"/>
      <c r="J16" s="1"/>
      <c r="K16" s="1"/>
    </row>
    <row r="17" spans="1:11" ht="15.75" x14ac:dyDescent="0.25">
      <c r="A17" s="15"/>
      <c r="C17" s="1"/>
      <c r="D17" s="19"/>
      <c r="E17" s="19"/>
      <c r="F17" s="19"/>
      <c r="G17" s="1"/>
      <c r="H17" s="1"/>
      <c r="I17" s="1"/>
      <c r="J17" s="1"/>
      <c r="K17" s="1"/>
    </row>
    <row r="18" spans="1:11" ht="15.75" x14ac:dyDescent="0.25">
      <c r="A18" s="15">
        <v>5</v>
      </c>
      <c r="C18" s="17" t="s">
        <v>34</v>
      </c>
      <c r="D18" s="19">
        <f>+D14-D16</f>
        <v>19615110.921580307</v>
      </c>
      <c r="E18" s="19">
        <f>+F18-D18</f>
        <v>-8357232.706800051</v>
      </c>
      <c r="F18" s="19">
        <f>+F14-F16</f>
        <v>11257878.214780256</v>
      </c>
      <c r="G18" s="1"/>
      <c r="H18" s="1" t="s">
        <v>51</v>
      </c>
      <c r="I18" s="1"/>
      <c r="J18" s="19"/>
      <c r="K18" s="1"/>
    </row>
    <row r="19" spans="1:11" ht="15.75" x14ac:dyDescent="0.25">
      <c r="A19" s="15"/>
      <c r="C19" s="1"/>
      <c r="D19" s="1"/>
      <c r="E19" s="1"/>
      <c r="F19" s="1"/>
      <c r="G19" s="1"/>
      <c r="H19" s="1"/>
      <c r="I19" s="1"/>
      <c r="J19" s="1"/>
      <c r="K19" s="1"/>
    </row>
    <row r="20" spans="1:11" ht="16.5" thickBot="1" x14ac:dyDescent="0.3">
      <c r="A20" s="15">
        <v>6</v>
      </c>
      <c r="C20" s="17" t="s">
        <v>21</v>
      </c>
      <c r="D20" s="109">
        <v>1.3407852392455599</v>
      </c>
      <c r="E20" s="20">
        <f t="shared" ref="E20:E22" si="0">+F20-D20</f>
        <v>0</v>
      </c>
      <c r="F20" s="110">
        <f>+D20</f>
        <v>1.3407852392455599</v>
      </c>
      <c r="G20" s="1"/>
      <c r="H20" s="1" t="s">
        <v>330</v>
      </c>
      <c r="I20" s="1"/>
      <c r="J20" s="1"/>
      <c r="K20" s="1"/>
    </row>
    <row r="21" spans="1:11" ht="16.5" thickTop="1" x14ac:dyDescent="0.25">
      <c r="A21" s="15"/>
      <c r="C21" s="1"/>
      <c r="D21" s="1"/>
      <c r="E21" s="19"/>
      <c r="F21" s="1"/>
      <c r="G21" s="1"/>
      <c r="H21" s="1"/>
      <c r="I21" s="1"/>
      <c r="J21" s="1"/>
      <c r="K21" s="1"/>
    </row>
    <row r="22" spans="1:11" ht="16.5" thickBot="1" x14ac:dyDescent="0.3">
      <c r="A22" s="15">
        <v>7</v>
      </c>
      <c r="C22" s="10" t="s">
        <v>35</v>
      </c>
      <c r="D22" s="24">
        <f>(+D18*D20)+3</f>
        <v>26299654.189819247</v>
      </c>
      <c r="E22" s="24">
        <f t="shared" si="0"/>
        <v>-11205257.254217723</v>
      </c>
      <c r="F22" s="90">
        <f>+F18*F20</f>
        <v>15094396.935601523</v>
      </c>
      <c r="G22" s="1"/>
      <c r="H22" s="1" t="s">
        <v>52</v>
      </c>
      <c r="I22" s="1"/>
      <c r="J22" s="1"/>
      <c r="K22" s="1"/>
    </row>
    <row r="23" spans="1:11" ht="16.5" thickTop="1" x14ac:dyDescent="0.25">
      <c r="A23" s="15"/>
      <c r="C23" s="1"/>
      <c r="D23" s="1"/>
      <c r="E23" s="1"/>
      <c r="F23" s="1"/>
      <c r="G23" s="1"/>
      <c r="H23" s="1"/>
      <c r="I23" s="1"/>
      <c r="J23" s="1"/>
      <c r="K23" s="1"/>
    </row>
    <row r="24" spans="1:11" ht="15.75" x14ac:dyDescent="0.25">
      <c r="A24" s="15"/>
      <c r="C24" s="10"/>
      <c r="D24" s="1"/>
      <c r="E24" s="1"/>
      <c r="F24" s="19"/>
      <c r="G24" s="1"/>
      <c r="H24" s="1"/>
      <c r="I24" s="1"/>
      <c r="J24" s="1"/>
      <c r="K24" s="1"/>
    </row>
    <row r="25" spans="1:11" ht="15.75" x14ac:dyDescent="0.25">
      <c r="A25" s="15"/>
      <c r="D25" s="1"/>
      <c r="E25" s="1"/>
      <c r="F25" s="1"/>
      <c r="G25" s="1"/>
      <c r="H25" s="1"/>
      <c r="I25" s="1"/>
      <c r="J25" s="1"/>
      <c r="K25" s="1"/>
    </row>
    <row r="26" spans="1:11" ht="15.75" x14ac:dyDescent="0.25">
      <c r="A26" s="15"/>
      <c r="D26" s="1"/>
      <c r="E26" s="1"/>
      <c r="F26" s="1"/>
      <c r="G26" s="1"/>
      <c r="H26" s="1"/>
      <c r="I26" s="1"/>
      <c r="J26" s="1"/>
      <c r="K26" s="1"/>
    </row>
    <row r="27" spans="1:11" ht="15.75" x14ac:dyDescent="0.25">
      <c r="D27" s="1"/>
      <c r="E27" s="1"/>
      <c r="F27" s="1"/>
      <c r="G27" s="1"/>
      <c r="H27" s="1"/>
      <c r="I27" s="1"/>
      <c r="J27" s="1"/>
      <c r="K27" s="1"/>
    </row>
    <row r="28" spans="1:11" ht="15.75" x14ac:dyDescent="0.25">
      <c r="A28" s="14" t="s">
        <v>18</v>
      </c>
      <c r="B28" s="14"/>
      <c r="C28" s="14"/>
      <c r="D28" s="14"/>
      <c r="E28" s="14"/>
      <c r="F28" s="14"/>
      <c r="G28" s="14"/>
      <c r="H28" s="14"/>
    </row>
    <row r="29" spans="1:11" ht="15.75" x14ac:dyDescent="0.25">
      <c r="A29" s="1" t="s">
        <v>265</v>
      </c>
      <c r="B29" s="1"/>
      <c r="C29" s="1"/>
      <c r="D29" s="1"/>
      <c r="E29" s="1"/>
      <c r="F29" s="1"/>
      <c r="G29" s="1"/>
      <c r="H29" s="1"/>
    </row>
  </sheetData>
  <pageMargins left="0.7" right="0.7" top="0.75" bottom="0.75" header="0.3" footer="0.3"/>
  <pageSetup scale="65" orientation="portrait" r:id="rId1"/>
  <ignoredErrors>
    <ignoredError sqref="E14 E18 E2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883CB-BCE5-46A0-BF07-7AAB56A59F72}">
  <sheetPr>
    <pageSetUpPr fitToPage="1"/>
  </sheetPr>
  <dimension ref="A1:F31"/>
  <sheetViews>
    <sheetView topLeftCell="A4" workbookViewId="0">
      <selection activeCell="L21" sqref="L21"/>
    </sheetView>
  </sheetViews>
  <sheetFormatPr defaultRowHeight="15" x14ac:dyDescent="0.25"/>
  <cols>
    <col min="1" max="1" width="9.140625" customWidth="1"/>
    <col min="2" max="2" width="3.42578125" customWidth="1"/>
    <col min="3" max="3" width="64.42578125" customWidth="1"/>
    <col min="4" max="4" width="11.85546875" customWidth="1"/>
    <col min="5" max="5" width="17.140625" customWidth="1"/>
    <col min="6" max="6" width="33.85546875" customWidth="1"/>
  </cols>
  <sheetData>
    <row r="1" spans="1:6" ht="15.75" x14ac:dyDescent="0.25">
      <c r="A1" s="32" t="str">
        <f>'Inc Tax'!A1</f>
        <v>Kentucky-American Water Company</v>
      </c>
      <c r="B1" s="32"/>
      <c r="C1" s="32"/>
      <c r="D1" s="32"/>
      <c r="E1" s="91"/>
      <c r="F1" s="88" t="str">
        <f>'Inc Tax'!G1</f>
        <v>Case No. 2025-00122</v>
      </c>
    </row>
    <row r="2" spans="1:6" ht="15.75" x14ac:dyDescent="0.25">
      <c r="A2" s="32" t="str">
        <f>'Inc Tax'!A2</f>
        <v>Forecasted Test Period: Twelve Months Ended December 31, 2026</v>
      </c>
      <c r="B2" s="32"/>
      <c r="C2" s="32"/>
      <c r="D2" s="32"/>
      <c r="E2" s="91"/>
      <c r="F2" s="88" t="str">
        <f>'Inc Tax'!G2</f>
        <v>Exhibit JD-1</v>
      </c>
    </row>
    <row r="3" spans="1:6" ht="15.75" x14ac:dyDescent="0.25">
      <c r="A3" s="32"/>
      <c r="B3" s="32"/>
      <c r="C3" s="32"/>
      <c r="D3" s="32"/>
      <c r="E3" s="91"/>
      <c r="F3" s="88" t="s">
        <v>251</v>
      </c>
    </row>
    <row r="4" spans="1:6" ht="15.75" x14ac:dyDescent="0.25">
      <c r="A4" s="32" t="s">
        <v>121</v>
      </c>
      <c r="B4" s="32"/>
      <c r="C4" s="32"/>
      <c r="D4" s="32"/>
      <c r="E4" s="91"/>
      <c r="F4" s="88" t="str">
        <f>'Inc Tax'!G4</f>
        <v>Page 1 of 1</v>
      </c>
    </row>
    <row r="5" spans="1:6" ht="15.75" x14ac:dyDescent="0.25">
      <c r="A5" s="32"/>
      <c r="B5" s="32"/>
      <c r="C5" s="32"/>
      <c r="D5" s="32"/>
      <c r="E5" s="34" t="s">
        <v>167</v>
      </c>
      <c r="F5" s="91"/>
    </row>
    <row r="6" spans="1:6" ht="15.75" x14ac:dyDescent="0.25">
      <c r="A6" s="97" t="s">
        <v>122</v>
      </c>
      <c r="B6" s="32"/>
      <c r="C6" s="97" t="s">
        <v>12</v>
      </c>
      <c r="D6" s="32"/>
      <c r="E6" s="35" t="s">
        <v>37</v>
      </c>
      <c r="F6" s="98" t="s">
        <v>24</v>
      </c>
    </row>
    <row r="7" spans="1:6" ht="15.75" x14ac:dyDescent="0.25">
      <c r="A7" s="33">
        <v>1</v>
      </c>
      <c r="B7" s="32"/>
      <c r="C7" s="32" t="s">
        <v>110</v>
      </c>
      <c r="D7" s="32"/>
      <c r="E7" s="94">
        <f>B!E42</f>
        <v>581134007.05745101</v>
      </c>
      <c r="F7" s="32" t="s">
        <v>42</v>
      </c>
    </row>
    <row r="8" spans="1:6" ht="15.75" x14ac:dyDescent="0.25">
      <c r="A8" s="33"/>
      <c r="B8" s="32"/>
      <c r="C8" s="32"/>
      <c r="D8" s="32"/>
      <c r="E8" s="32"/>
      <c r="F8" s="32"/>
    </row>
    <row r="9" spans="1:6" ht="15.75" x14ac:dyDescent="0.25">
      <c r="A9" s="33">
        <v>2</v>
      </c>
      <c r="B9" s="32"/>
      <c r="C9" s="32" t="s">
        <v>111</v>
      </c>
      <c r="D9" s="32"/>
      <c r="E9" s="99">
        <f>+D!I28+D!I30+D!I32</f>
        <v>2.2400000000000003E-2</v>
      </c>
      <c r="F9" s="32" t="s">
        <v>270</v>
      </c>
    </row>
    <row r="10" spans="1:6" ht="15.75" x14ac:dyDescent="0.25">
      <c r="A10" s="33"/>
      <c r="B10" s="32"/>
      <c r="C10" s="32"/>
      <c r="D10" s="32"/>
      <c r="E10" s="32"/>
      <c r="F10" s="32"/>
    </row>
    <row r="11" spans="1:6" ht="15.75" x14ac:dyDescent="0.25">
      <c r="A11" s="33">
        <v>3</v>
      </c>
      <c r="B11" s="32"/>
      <c r="C11" s="32" t="s">
        <v>113</v>
      </c>
      <c r="D11" s="32"/>
      <c r="E11" s="94">
        <f>ROUND(E7*E9,0)</f>
        <v>13017402</v>
      </c>
      <c r="F11" s="32" t="s">
        <v>81</v>
      </c>
    </row>
    <row r="12" spans="1:6" ht="15.75" x14ac:dyDescent="0.25">
      <c r="A12" s="33"/>
      <c r="B12" s="32"/>
      <c r="C12" s="32"/>
      <c r="D12" s="32"/>
      <c r="E12" s="94"/>
      <c r="F12" s="32"/>
    </row>
    <row r="13" spans="1:6" ht="30.75" x14ac:dyDescent="0.25">
      <c r="A13" s="33">
        <v>4</v>
      </c>
      <c r="B13" s="32"/>
      <c r="C13" s="100" t="s">
        <v>112</v>
      </c>
      <c r="D13" s="32"/>
      <c r="E13" s="164">
        <f>+B!C42*'Int synch '!E9</f>
        <v>13264049.992646905</v>
      </c>
      <c r="F13" s="138" t="s">
        <v>269</v>
      </c>
    </row>
    <row r="14" spans="1:6" ht="15.75" x14ac:dyDescent="0.25">
      <c r="A14" s="33"/>
      <c r="B14" s="32"/>
      <c r="C14" s="32"/>
      <c r="D14" s="32"/>
      <c r="E14" s="94"/>
      <c r="F14" s="32"/>
    </row>
    <row r="15" spans="1:6" ht="15.75" x14ac:dyDescent="0.25">
      <c r="A15" s="33">
        <v>5</v>
      </c>
      <c r="B15" s="32"/>
      <c r="C15" s="32" t="s">
        <v>114</v>
      </c>
      <c r="D15" s="32"/>
      <c r="E15" s="101">
        <f>+E11-E13</f>
        <v>-246647.99264690466</v>
      </c>
      <c r="F15" s="32" t="s">
        <v>51</v>
      </c>
    </row>
    <row r="16" spans="1:6" ht="15.75" x14ac:dyDescent="0.25">
      <c r="A16" s="33"/>
      <c r="B16" s="32"/>
      <c r="C16" s="32"/>
      <c r="D16" s="32"/>
      <c r="E16" s="101"/>
      <c r="F16" s="32"/>
    </row>
    <row r="17" spans="1:6" ht="15.75" x14ac:dyDescent="0.25">
      <c r="A17" s="33">
        <v>6</v>
      </c>
      <c r="B17" s="32"/>
      <c r="C17" s="32" t="s">
        <v>115</v>
      </c>
      <c r="D17" s="32"/>
      <c r="E17" s="168">
        <v>0.2495</v>
      </c>
      <c r="F17" s="32" t="s">
        <v>123</v>
      </c>
    </row>
    <row r="18" spans="1:6" ht="15.75" x14ac:dyDescent="0.25">
      <c r="A18" s="33"/>
      <c r="B18" s="32"/>
      <c r="C18" s="32"/>
      <c r="D18" s="32"/>
      <c r="E18" s="32"/>
      <c r="F18" s="32"/>
    </row>
    <row r="19" spans="1:6" ht="16.5" thickBot="1" x14ac:dyDescent="0.3">
      <c r="A19" s="33">
        <v>7</v>
      </c>
      <c r="B19" s="32"/>
      <c r="C19" s="32" t="s">
        <v>116</v>
      </c>
      <c r="D19" s="32"/>
      <c r="E19" s="102">
        <f>E15*E17</f>
        <v>-61538.674165402714</v>
      </c>
      <c r="F19" s="32" t="s">
        <v>124</v>
      </c>
    </row>
    <row r="20" spans="1:6" ht="16.5" thickTop="1" x14ac:dyDescent="0.25">
      <c r="A20" s="33"/>
      <c r="B20" s="32"/>
      <c r="C20" s="32"/>
      <c r="D20" s="32"/>
      <c r="E20" s="103"/>
      <c r="F20" s="32"/>
    </row>
    <row r="21" spans="1:6" ht="15.75" x14ac:dyDescent="0.25">
      <c r="A21" s="33">
        <v>8</v>
      </c>
      <c r="B21" s="32"/>
      <c r="C21" s="32" t="s">
        <v>117</v>
      </c>
      <c r="D21" s="32"/>
      <c r="E21" s="103">
        <f>+E15*0.05</f>
        <v>-12332.399632345234</v>
      </c>
      <c r="F21" s="32" t="s">
        <v>267</v>
      </c>
    </row>
    <row r="22" spans="1:6" ht="15.75" x14ac:dyDescent="0.25">
      <c r="A22" s="33">
        <v>9</v>
      </c>
      <c r="B22" s="32"/>
      <c r="C22" s="32" t="s">
        <v>118</v>
      </c>
      <c r="D22" s="32"/>
      <c r="E22" s="104">
        <f>(+E15-E21)*0.21</f>
        <v>-49206.274533057476</v>
      </c>
      <c r="F22" s="32" t="s">
        <v>268</v>
      </c>
    </row>
    <row r="23" spans="1:6" ht="16.5" thickBot="1" x14ac:dyDescent="0.3">
      <c r="A23" s="33">
        <v>10</v>
      </c>
      <c r="B23" s="32"/>
      <c r="C23" s="32" t="s">
        <v>116</v>
      </c>
      <c r="D23" s="32"/>
      <c r="E23" s="105">
        <f>+E22+E21</f>
        <v>-61538.674165402714</v>
      </c>
      <c r="F23" s="32"/>
    </row>
    <row r="24" spans="1:6" ht="16.5" thickTop="1" x14ac:dyDescent="0.25">
      <c r="A24" s="33"/>
      <c r="B24" s="32"/>
      <c r="C24" s="32"/>
      <c r="D24" s="32"/>
      <c r="E24" s="32"/>
      <c r="F24" s="32"/>
    </row>
    <row r="25" spans="1:6" ht="15.75" x14ac:dyDescent="0.25">
      <c r="A25" s="33"/>
      <c r="B25" s="32"/>
      <c r="C25" s="32"/>
      <c r="D25" s="32"/>
      <c r="E25" s="106"/>
      <c r="F25" s="32"/>
    </row>
    <row r="26" spans="1:6" ht="15.75" x14ac:dyDescent="0.25">
      <c r="A26" s="33">
        <v>11</v>
      </c>
      <c r="B26" s="32"/>
      <c r="C26" s="32" t="s">
        <v>119</v>
      </c>
      <c r="D26" s="32">
        <v>0.21</v>
      </c>
      <c r="E26" s="32" t="s">
        <v>262</v>
      </c>
      <c r="F26" s="32"/>
    </row>
    <row r="27" spans="1:6" ht="15.75" x14ac:dyDescent="0.25">
      <c r="A27" s="33">
        <v>12</v>
      </c>
      <c r="B27" s="32"/>
      <c r="C27" s="32" t="s">
        <v>120</v>
      </c>
      <c r="D27" s="97">
        <v>0.05</v>
      </c>
      <c r="E27" s="32" t="s">
        <v>263</v>
      </c>
      <c r="F27" s="32"/>
    </row>
    <row r="28" spans="1:6" ht="15.75" x14ac:dyDescent="0.25">
      <c r="A28" s="33">
        <v>13</v>
      </c>
      <c r="B28" s="32"/>
      <c r="C28" s="32"/>
      <c r="D28" s="32">
        <f>(1-0.05)*0.21</f>
        <v>0.19949999999999998</v>
      </c>
      <c r="E28" s="32" t="s">
        <v>354</v>
      </c>
      <c r="F28" s="32"/>
    </row>
    <row r="29" spans="1:6" ht="15.75" x14ac:dyDescent="0.25">
      <c r="A29" s="33">
        <v>14</v>
      </c>
      <c r="B29" s="91"/>
      <c r="C29" s="32" t="s">
        <v>120</v>
      </c>
      <c r="D29" s="97">
        <v>0.05</v>
      </c>
      <c r="E29" s="32" t="s">
        <v>298</v>
      </c>
      <c r="F29" s="32"/>
    </row>
    <row r="30" spans="1:6" ht="15.75" x14ac:dyDescent="0.25">
      <c r="A30" s="33">
        <v>15</v>
      </c>
      <c r="B30" s="91"/>
      <c r="C30" s="32" t="s">
        <v>115</v>
      </c>
      <c r="D30" s="32">
        <f>SUM(D28:D29)</f>
        <v>0.2495</v>
      </c>
      <c r="E30" s="107" t="s">
        <v>266</v>
      </c>
      <c r="F30" s="32"/>
    </row>
    <row r="31" spans="1:6" ht="15.75" x14ac:dyDescent="0.25">
      <c r="A31" s="91"/>
      <c r="B31" s="91"/>
      <c r="C31" s="91"/>
      <c r="D31" s="108"/>
      <c r="E31" s="91"/>
      <c r="F31" s="32"/>
    </row>
  </sheetData>
  <pageMargins left="0.7" right="0.7" top="0.75" bottom="0.75" header="0.3" footer="0.3"/>
  <pageSetup scale="64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6BF7E-807E-4C73-8060-2A80D9EB105A}">
  <sheetPr>
    <pageSetUpPr fitToPage="1"/>
  </sheetPr>
  <dimension ref="A1:H40"/>
  <sheetViews>
    <sheetView showGridLines="0" workbookViewId="0">
      <selection sqref="A1:F31"/>
    </sheetView>
  </sheetViews>
  <sheetFormatPr defaultRowHeight="15" x14ac:dyDescent="0.25"/>
  <cols>
    <col min="1" max="1" width="42.140625" customWidth="1"/>
    <col min="2" max="4" width="17.42578125" customWidth="1"/>
    <col min="5" max="6" width="20.85546875" customWidth="1"/>
    <col min="7" max="7" width="16.5703125" customWidth="1"/>
    <col min="8" max="8" width="14.85546875" customWidth="1"/>
  </cols>
  <sheetData>
    <row r="1" spans="1:8" ht="15.75" x14ac:dyDescent="0.25">
      <c r="A1" s="23" t="s">
        <v>356</v>
      </c>
      <c r="B1" s="23"/>
      <c r="C1" s="23"/>
      <c r="D1" s="23"/>
      <c r="E1" s="60"/>
      <c r="F1" s="60">
        <f>A!D22</f>
        <v>26299654.189819247</v>
      </c>
      <c r="G1" s="60"/>
    </row>
    <row r="2" spans="1:8" ht="15.75" x14ac:dyDescent="0.25">
      <c r="A2" s="57"/>
      <c r="B2" s="57"/>
      <c r="C2" s="57"/>
      <c r="D2" s="57"/>
      <c r="E2" s="60"/>
      <c r="F2" s="60"/>
      <c r="G2" s="60"/>
    </row>
    <row r="3" spans="1:8" ht="15.75" x14ac:dyDescent="0.25">
      <c r="A3" s="23" t="s">
        <v>275</v>
      </c>
      <c r="B3" s="23"/>
      <c r="C3" s="23"/>
      <c r="D3" s="23"/>
      <c r="E3" s="19"/>
      <c r="F3" s="59"/>
      <c r="G3" s="59"/>
    </row>
    <row r="4" spans="1:8" ht="15.75" x14ac:dyDescent="0.25">
      <c r="A4" s="23" t="s">
        <v>102</v>
      </c>
      <c r="B4" s="23"/>
      <c r="C4" s="23"/>
      <c r="D4" s="23"/>
      <c r="E4" s="60"/>
      <c r="F4" s="60">
        <f>-((0.0786-0.072)*B!C42*1.340785)</f>
        <v>-5239999.0704455916</v>
      </c>
      <c r="G4" s="60"/>
    </row>
    <row r="5" spans="1:8" ht="15.75" x14ac:dyDescent="0.25">
      <c r="A5" s="23"/>
      <c r="B5" s="23"/>
      <c r="C5" s="23"/>
      <c r="D5" s="23"/>
      <c r="E5" s="60"/>
      <c r="F5" s="60"/>
      <c r="G5" s="60"/>
    </row>
    <row r="6" spans="1:8" ht="15.75" x14ac:dyDescent="0.25">
      <c r="A6" s="76" t="s">
        <v>103</v>
      </c>
      <c r="B6" s="23"/>
      <c r="C6" s="23"/>
      <c r="D6" s="23"/>
      <c r="E6" s="60"/>
      <c r="F6" s="60"/>
      <c r="G6" s="60"/>
      <c r="H6" s="73"/>
    </row>
    <row r="7" spans="1:8" ht="15.75" x14ac:dyDescent="0.25">
      <c r="A7" s="23" t="s">
        <v>57</v>
      </c>
      <c r="B7" s="23"/>
      <c r="C7" s="23"/>
      <c r="D7" s="23"/>
      <c r="E7" s="60">
        <f>(-11011082*0.072)*1.340785</f>
        <v>-1062971.5377146399</v>
      </c>
      <c r="F7" s="19"/>
      <c r="G7" s="60"/>
    </row>
    <row r="8" spans="1:8" ht="15.75" x14ac:dyDescent="0.25">
      <c r="A8" s="23"/>
      <c r="B8" s="23"/>
      <c r="C8" s="23"/>
      <c r="D8" s="23"/>
      <c r="E8" s="77"/>
      <c r="F8" s="19"/>
      <c r="G8" s="60"/>
    </row>
    <row r="9" spans="1:8" ht="15.75" x14ac:dyDescent="0.25">
      <c r="A9" s="75" t="s">
        <v>45</v>
      </c>
      <c r="B9" s="75"/>
      <c r="C9" s="75"/>
      <c r="D9" s="75"/>
      <c r="E9" s="60"/>
      <c r="F9" s="19">
        <f>SUM(E7:E8)</f>
        <v>-1062971.5377146399</v>
      </c>
    </row>
    <row r="10" spans="1:8" ht="15.75" x14ac:dyDescent="0.25">
      <c r="A10" s="75"/>
      <c r="B10" s="75"/>
      <c r="C10" s="75"/>
      <c r="D10" s="75"/>
      <c r="E10" s="60"/>
      <c r="F10" s="19"/>
    </row>
    <row r="11" spans="1:8" ht="15.75" x14ac:dyDescent="0.25">
      <c r="A11" s="76" t="s">
        <v>104</v>
      </c>
      <c r="B11" s="81" t="s">
        <v>106</v>
      </c>
      <c r="C11" s="81" t="s">
        <v>107</v>
      </c>
      <c r="D11" s="81" t="s">
        <v>108</v>
      </c>
      <c r="E11" s="82" t="s">
        <v>105</v>
      </c>
      <c r="F11" s="19"/>
    </row>
    <row r="12" spans="1:8" ht="15.75" x14ac:dyDescent="0.25">
      <c r="A12" s="23" t="str">
        <f>Payroll!A4</f>
        <v>Payroll Expense</v>
      </c>
      <c r="B12" s="79">
        <f>Payroll!D15</f>
        <v>-610390.3679999999</v>
      </c>
      <c r="C12" s="79">
        <f>-B12+(B12*B39)</f>
        <v>458097.97118399991</v>
      </c>
      <c r="D12" s="78">
        <f>A!D20</f>
        <v>1.3407852392455599</v>
      </c>
      <c r="E12" s="61">
        <f>+C12*-D12</f>
        <v>-614210.99789184495</v>
      </c>
      <c r="G12" s="74"/>
    </row>
    <row r="13" spans="1:8" ht="15.75" x14ac:dyDescent="0.25">
      <c r="A13" s="23" t="str">
        <f>'Incentive Comp'!A4</f>
        <v xml:space="preserve">Incentive Compensation </v>
      </c>
      <c r="B13" s="79">
        <f>'Incentive Comp'!D15</f>
        <v>-1846694</v>
      </c>
      <c r="C13" s="79">
        <f>-B13+(B13*B39)</f>
        <v>1385943.8470000001</v>
      </c>
      <c r="D13" s="78">
        <v>1.3407852392455599</v>
      </c>
      <c r="E13" s="61">
        <f t="shared" ref="E13:E23" si="0">+C13*-D13</f>
        <v>-1858253.0524808068</v>
      </c>
      <c r="G13" s="74"/>
    </row>
    <row r="14" spans="1:8" ht="15.75" x14ac:dyDescent="0.25">
      <c r="A14" s="23" t="str">
        <f>ESPP!A4</f>
        <v>Employee Stock Purchase Plan Discount</v>
      </c>
      <c r="B14" s="79">
        <f>ESPP!D15</f>
        <v>-61961</v>
      </c>
      <c r="C14" s="79">
        <f>-B14+(B14*B39)</f>
        <v>46501.730499999998</v>
      </c>
      <c r="D14" s="78">
        <v>1.3407852392455599</v>
      </c>
      <c r="E14" s="61">
        <f t="shared" si="0"/>
        <v>-62348.833853775046</v>
      </c>
      <c r="G14" s="74"/>
    </row>
    <row r="15" spans="1:8" ht="15.75" x14ac:dyDescent="0.25">
      <c r="A15" s="58" t="str">
        <f>UFW!A4</f>
        <v>Unaccounted For Water</v>
      </c>
      <c r="B15" s="86">
        <f>UFW!D12</f>
        <v>-394049.01800000004</v>
      </c>
      <c r="C15" s="79">
        <f>-B15+(B15*B39)</f>
        <v>295733.78800900001</v>
      </c>
      <c r="D15" s="78">
        <v>1.3407852392455599</v>
      </c>
      <c r="E15" s="87">
        <f t="shared" si="0"/>
        <v>-396515.4977086428</v>
      </c>
      <c r="G15" s="74"/>
    </row>
    <row r="16" spans="1:8" ht="15.75" x14ac:dyDescent="0.25">
      <c r="A16" s="58" t="str">
        <f>'Rate Case Exp'!A4</f>
        <v>Rate Case Expense</v>
      </c>
      <c r="B16" s="80">
        <f>'Rate Case Exp'!D15</f>
        <v>-424565.66666666663</v>
      </c>
      <c r="C16" s="79">
        <f>-B16+(B16*B39)</f>
        <v>318636.5328333333</v>
      </c>
      <c r="D16" s="78">
        <v>1.3407852392455599</v>
      </c>
      <c r="E16" s="61">
        <f t="shared" si="0"/>
        <v>-427223.1599073165</v>
      </c>
      <c r="G16" s="74"/>
    </row>
    <row r="17" spans="1:8" ht="15.75" x14ac:dyDescent="0.25">
      <c r="A17" s="23" t="str">
        <f>'Bus Dev'!A4</f>
        <v>Business Development Expense</v>
      </c>
      <c r="B17" s="79">
        <f>'Bus Dev'!D15</f>
        <v>-213516</v>
      </c>
      <c r="C17" s="79">
        <f>-B17+(B17*B39)</f>
        <v>160243.758</v>
      </c>
      <c r="D17" s="78">
        <v>1.3407852392455599</v>
      </c>
      <c r="E17" s="61">
        <f t="shared" si="0"/>
        <v>-214852.46540763762</v>
      </c>
      <c r="G17" s="74"/>
    </row>
    <row r="18" spans="1:8" ht="15.75" x14ac:dyDescent="0.25">
      <c r="A18" s="58" t="str">
        <f>'401(k)'!A4</f>
        <v>401(k) Expense</v>
      </c>
      <c r="B18" s="80">
        <f>'401(k)'!D11</f>
        <v>-40950</v>
      </c>
      <c r="C18" s="79">
        <f>-B18+(B18*B39)</f>
        <v>30732.974999999999</v>
      </c>
      <c r="D18" s="78">
        <v>1.3407852392455599</v>
      </c>
      <c r="E18" s="61">
        <f t="shared" si="0"/>
        <v>-41206.319238102813</v>
      </c>
      <c r="G18" s="74"/>
    </row>
    <row r="19" spans="1:8" ht="15.75" x14ac:dyDescent="0.25">
      <c r="A19" s="58" t="str">
        <f>'Growth Factor'!A4</f>
        <v>Growth Factor</v>
      </c>
      <c r="B19" s="80">
        <f>'Growth Factor'!D12</f>
        <v>-698109</v>
      </c>
      <c r="C19" s="79">
        <f>-B19+(B19*B39)</f>
        <v>523930.80449999997</v>
      </c>
      <c r="D19" s="78">
        <v>1.3407852392455599</v>
      </c>
      <c r="E19" s="61">
        <f t="shared" si="0"/>
        <v>-702478.68905965111</v>
      </c>
      <c r="G19" s="74"/>
    </row>
    <row r="20" spans="1:8" ht="15.75" x14ac:dyDescent="0.25">
      <c r="A20" s="58" t="str">
        <f>Healthcare!A4</f>
        <v>Healthcare Expense</v>
      </c>
      <c r="B20" s="80">
        <f>Healthcare!D12</f>
        <v>-315000</v>
      </c>
      <c r="C20" s="79">
        <f>-B20+(B20*B39)</f>
        <v>236407.5</v>
      </c>
      <c r="D20" s="78">
        <v>1.3407852392455599</v>
      </c>
      <c r="E20" s="61">
        <f t="shared" si="0"/>
        <v>-316971.68644694472</v>
      </c>
      <c r="G20" s="74"/>
    </row>
    <row r="21" spans="1:8" ht="15.75" x14ac:dyDescent="0.25">
      <c r="A21" s="58" t="str">
        <f>Dues!A4</f>
        <v>Membership Dues</v>
      </c>
      <c r="B21" s="80">
        <f>Dues!D15</f>
        <v>-41178</v>
      </c>
      <c r="C21" s="79">
        <f>-B21+(B21*B39)</f>
        <v>30904.089</v>
      </c>
      <c r="D21" s="78">
        <v>1.3407852392455599</v>
      </c>
      <c r="E21" s="61">
        <f t="shared" si="0"/>
        <v>-41435.746363531078</v>
      </c>
      <c r="G21" s="74"/>
    </row>
    <row r="22" spans="1:8" ht="15.75" x14ac:dyDescent="0.25">
      <c r="A22" s="58" t="str">
        <f>'Payroll Tax'!A4</f>
        <v>Payroll Tax</v>
      </c>
      <c r="B22" s="80">
        <f>'Payroll Tax'!D13</f>
        <v>-179555.83539235572</v>
      </c>
      <c r="C22" s="79">
        <f>-B22+(B22*B39)</f>
        <v>134756.65446196296</v>
      </c>
      <c r="D22" s="78">
        <v>1.3407852392455599</v>
      </c>
      <c r="E22" s="61">
        <f t="shared" si="0"/>
        <v>-180679.73319271425</v>
      </c>
      <c r="G22" s="74"/>
    </row>
    <row r="23" spans="1:8" ht="15.75" x14ac:dyDescent="0.25">
      <c r="A23" s="58" t="str">
        <f>Benefits!A4</f>
        <v>Benefits Expense</v>
      </c>
      <c r="B23" s="80">
        <f>Benefits!D13</f>
        <v>-127819.11599999998</v>
      </c>
      <c r="C23" s="79">
        <f>-B23+(B23*B39)</f>
        <v>95928.246557999984</v>
      </c>
      <c r="D23" s="78">
        <v>1.3407852392455599</v>
      </c>
      <c r="E23" s="61">
        <f t="shared" si="0"/>
        <v>-128619.17701167507</v>
      </c>
      <c r="F23" s="73"/>
      <c r="G23" s="74"/>
    </row>
    <row r="24" spans="1:8" ht="15.75" x14ac:dyDescent="0.25">
      <c r="A24" s="58"/>
      <c r="B24" s="80"/>
      <c r="C24" s="79"/>
      <c r="D24" s="78"/>
      <c r="E24" s="61"/>
      <c r="G24" s="74"/>
      <c r="H24" s="73"/>
    </row>
    <row r="25" spans="1:8" ht="15.75" x14ac:dyDescent="0.25">
      <c r="A25" s="58"/>
      <c r="B25" s="80"/>
      <c r="C25" s="79"/>
      <c r="D25" s="78"/>
      <c r="E25" s="61"/>
      <c r="G25" s="74"/>
    </row>
    <row r="26" spans="1:8" ht="15.75" x14ac:dyDescent="0.25">
      <c r="A26" s="58"/>
      <c r="B26" s="80"/>
      <c r="C26" s="80"/>
      <c r="D26" s="78"/>
      <c r="E26" s="61"/>
      <c r="G26" s="74"/>
    </row>
    <row r="27" spans="1:8" ht="15.75" x14ac:dyDescent="0.25">
      <c r="A27" s="58" t="s">
        <v>121</v>
      </c>
      <c r="B27" s="80">
        <f>-'Int synch '!E19</f>
        <v>61538.674165402714</v>
      </c>
      <c r="C27" s="80"/>
      <c r="D27" s="92">
        <v>1.3407852392455599</v>
      </c>
      <c r="E27" s="96">
        <f>B27*D27</f>
        <v>82510.145963714036</v>
      </c>
      <c r="F27" s="91"/>
      <c r="G27" s="19"/>
    </row>
    <row r="28" spans="1:8" ht="15.75" x14ac:dyDescent="0.25">
      <c r="A28" s="83" t="s">
        <v>45</v>
      </c>
      <c r="B28" s="83"/>
      <c r="C28" s="83"/>
      <c r="D28" s="83"/>
      <c r="E28" s="94"/>
      <c r="F28" s="89">
        <f>SUM(E12:E27)</f>
        <v>-4902285.2125989283</v>
      </c>
      <c r="G28" s="74"/>
    </row>
    <row r="29" spans="1:8" ht="15.75" x14ac:dyDescent="0.25">
      <c r="A29" s="58"/>
      <c r="B29" s="58"/>
      <c r="C29" s="58"/>
      <c r="D29" s="58"/>
      <c r="E29" s="94"/>
      <c r="F29" s="94"/>
      <c r="G29" s="74"/>
    </row>
    <row r="30" spans="1:8" ht="15.75" x14ac:dyDescent="0.25">
      <c r="A30" s="22"/>
      <c r="B30" s="22"/>
      <c r="C30" s="22"/>
      <c r="D30" s="22"/>
      <c r="E30" s="19"/>
      <c r="F30" s="20"/>
      <c r="G30" s="74"/>
    </row>
    <row r="31" spans="1:8" ht="16.5" thickBot="1" x14ac:dyDescent="0.3">
      <c r="A31" s="23" t="s">
        <v>310</v>
      </c>
      <c r="B31" s="23"/>
      <c r="C31" s="23"/>
      <c r="D31" s="23"/>
      <c r="E31" s="19"/>
      <c r="F31" s="93">
        <f>SUM(F1:F28)-1</f>
        <v>15094397.369060088</v>
      </c>
      <c r="G31" s="179"/>
    </row>
    <row r="32" spans="1:8" ht="16.5" thickTop="1" x14ac:dyDescent="0.25">
      <c r="A32" s="22"/>
      <c r="B32" s="22"/>
      <c r="C32" s="22"/>
      <c r="D32" s="22"/>
      <c r="E32" s="19"/>
      <c r="F32" s="19"/>
      <c r="G32" s="74"/>
    </row>
    <row r="33" spans="1:7" ht="15.75" x14ac:dyDescent="0.25">
      <c r="E33" s="19"/>
      <c r="F33" s="19"/>
      <c r="G33" s="74"/>
    </row>
    <row r="34" spans="1:7" ht="15.75" x14ac:dyDescent="0.25">
      <c r="E34" s="1"/>
      <c r="F34" s="19"/>
      <c r="G34" s="74"/>
    </row>
    <row r="35" spans="1:7" ht="15.75" x14ac:dyDescent="0.25">
      <c r="D35" s="78"/>
      <c r="E35" s="61"/>
      <c r="F35" s="19"/>
      <c r="G35" s="74"/>
    </row>
    <row r="38" spans="1:7" x14ac:dyDescent="0.25">
      <c r="C38" s="85"/>
    </row>
    <row r="39" spans="1:7" x14ac:dyDescent="0.25">
      <c r="A39" t="s">
        <v>130</v>
      </c>
      <c r="B39" s="191">
        <f>(0.05+(0.21*(1-0.05)))</f>
        <v>0.2495</v>
      </c>
      <c r="C39" s="191"/>
    </row>
    <row r="40" spans="1:7" x14ac:dyDescent="0.25">
      <c r="B40" s="191"/>
      <c r="C40" s="191"/>
    </row>
  </sheetData>
  <pageMargins left="0.7" right="0.7" top="0.75" bottom="0.75" header="0.3" footer="0.3"/>
  <pageSetup scale="66" orientation="portrait" r:id="rId1"/>
  <ignoredErrors>
    <ignoredError sqref="A15:A17 B16 B15 B17 A18 B18 A19:A23 B19:B24 B27" unlockedFormula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36B95-9DF5-4042-ACA9-662C64D12540}">
  <sheetPr>
    <pageSetUpPr fitToPage="1"/>
  </sheetPr>
  <dimension ref="A1:I44"/>
  <sheetViews>
    <sheetView showGridLines="0" topLeftCell="A25" workbookViewId="0">
      <selection activeCell="M27" sqref="M27"/>
    </sheetView>
  </sheetViews>
  <sheetFormatPr defaultRowHeight="15" x14ac:dyDescent="0.25"/>
  <cols>
    <col min="1" max="1" width="6.42578125" customWidth="1"/>
    <col min="2" max="2" width="1.5703125" customWidth="1"/>
    <col min="3" max="3" width="26.42578125" customWidth="1"/>
    <col min="4" max="4" width="21.5703125" customWidth="1"/>
    <col min="5" max="5" width="12.140625" customWidth="1"/>
    <col min="6" max="6" width="1.140625" customWidth="1"/>
    <col min="7" max="7" width="12.140625" customWidth="1"/>
    <col min="8" max="8" width="0.85546875" customWidth="1"/>
    <col min="9" max="9" width="12.140625" customWidth="1"/>
  </cols>
  <sheetData>
    <row r="1" spans="1:9" ht="15.75" x14ac:dyDescent="0.25">
      <c r="A1" s="1" t="str">
        <f>A!A1</f>
        <v>Kentucky-American Water Company</v>
      </c>
      <c r="B1" s="1"/>
      <c r="C1" s="1"/>
      <c r="D1" s="1"/>
      <c r="E1" s="1"/>
      <c r="F1" s="1"/>
      <c r="G1" s="2"/>
      <c r="H1" s="2"/>
      <c r="I1" s="9" t="str">
        <f>A!H1</f>
        <v>Case No. 2025-00122</v>
      </c>
    </row>
    <row r="2" spans="1:9" ht="15.75" x14ac:dyDescent="0.25">
      <c r="A2" s="1" t="str">
        <f>A!A2</f>
        <v>Forecasted Test Period: Twelve Months Ended December 31, 2026</v>
      </c>
      <c r="B2" s="1"/>
      <c r="C2" s="1"/>
      <c r="D2" s="1"/>
      <c r="E2" s="1"/>
      <c r="F2" s="1"/>
      <c r="G2" s="2"/>
      <c r="H2" s="2"/>
      <c r="I2" s="9" t="str">
        <f>A!H2</f>
        <v>Exhibit JD-1</v>
      </c>
    </row>
    <row r="3" spans="1:9" ht="15.75" x14ac:dyDescent="0.25">
      <c r="A3" s="1"/>
      <c r="B3" s="1"/>
      <c r="C3" s="1"/>
      <c r="D3" s="1"/>
      <c r="E3" s="1"/>
      <c r="F3" s="1"/>
      <c r="G3" s="2"/>
      <c r="H3" s="2"/>
      <c r="I3" s="9" t="s">
        <v>4</v>
      </c>
    </row>
    <row r="4" spans="1:9" ht="15.75" x14ac:dyDescent="0.25">
      <c r="A4" s="10" t="s">
        <v>5</v>
      </c>
      <c r="B4" s="1"/>
      <c r="C4" s="1"/>
      <c r="D4" s="1"/>
      <c r="E4" s="1"/>
      <c r="F4" s="1"/>
      <c r="G4" s="1"/>
      <c r="H4" s="1"/>
      <c r="I4" s="9" t="s">
        <v>6</v>
      </c>
    </row>
    <row r="5" spans="1:9" ht="15.75" x14ac:dyDescent="0.25">
      <c r="A5" s="11"/>
      <c r="B5" s="1"/>
      <c r="C5" s="1"/>
      <c r="D5" s="1"/>
      <c r="E5" s="1"/>
      <c r="F5" s="1"/>
      <c r="G5" s="1"/>
      <c r="H5" s="1"/>
      <c r="I5" s="30"/>
    </row>
    <row r="7" spans="1:9" ht="15.75" x14ac:dyDescent="0.25">
      <c r="A7" s="198" t="s">
        <v>355</v>
      </c>
      <c r="B7" s="199"/>
      <c r="C7" s="199"/>
      <c r="D7" s="199"/>
      <c r="E7" s="199"/>
      <c r="F7" s="199"/>
      <c r="G7" s="199"/>
      <c r="H7" s="199"/>
      <c r="I7" s="200"/>
    </row>
    <row r="8" spans="1:9" ht="15.75" x14ac:dyDescent="0.25">
      <c r="A8" s="139"/>
      <c r="B8" s="2"/>
      <c r="C8" s="2"/>
      <c r="D8" s="2"/>
      <c r="E8" s="2"/>
      <c r="F8" s="2"/>
      <c r="G8" s="2"/>
      <c r="H8" s="2"/>
      <c r="I8" s="140"/>
    </row>
    <row r="9" spans="1:9" ht="15.75" x14ac:dyDescent="0.25">
      <c r="A9" s="141" t="s">
        <v>7</v>
      </c>
      <c r="B9" s="142"/>
      <c r="C9" s="142"/>
      <c r="D9" s="142"/>
      <c r="E9" s="142" t="s">
        <v>8</v>
      </c>
      <c r="F9" s="142"/>
      <c r="G9" s="142" t="s">
        <v>9</v>
      </c>
      <c r="H9" s="142"/>
      <c r="I9" s="143" t="s">
        <v>10</v>
      </c>
    </row>
    <row r="10" spans="1:9" ht="15.75" x14ac:dyDescent="0.25">
      <c r="A10" s="144" t="s">
        <v>11</v>
      </c>
      <c r="B10" s="142"/>
      <c r="C10" s="5" t="s">
        <v>12</v>
      </c>
      <c r="D10" s="5" t="s">
        <v>23</v>
      </c>
      <c r="E10" s="5" t="s">
        <v>13</v>
      </c>
      <c r="F10" s="142"/>
      <c r="G10" s="5" t="s">
        <v>14</v>
      </c>
      <c r="H10" s="142"/>
      <c r="I10" s="145" t="s">
        <v>9</v>
      </c>
    </row>
    <row r="11" spans="1:9" ht="15.75" x14ac:dyDescent="0.25">
      <c r="A11" s="139"/>
      <c r="B11" s="2"/>
      <c r="C11" s="2"/>
      <c r="D11" s="2"/>
      <c r="E11" s="2"/>
      <c r="F11" s="2"/>
      <c r="G11" s="2"/>
      <c r="H11" s="2"/>
      <c r="I11" s="140"/>
    </row>
    <row r="12" spans="1:9" ht="15.75" x14ac:dyDescent="0.25">
      <c r="A12" s="146">
        <v>1</v>
      </c>
      <c r="B12" s="2"/>
      <c r="C12" s="12" t="s">
        <v>16</v>
      </c>
      <c r="D12" s="2">
        <v>8914663.3874661457</v>
      </c>
      <c r="E12" s="6">
        <v>1.306E-2</v>
      </c>
      <c r="F12" s="6"/>
      <c r="G12" s="147">
        <v>4.1583538461538463E-2</v>
      </c>
      <c r="H12" s="147"/>
      <c r="I12" s="148">
        <f>ROUND(E12*G12,4)</f>
        <v>5.0000000000000001E-4</v>
      </c>
    </row>
    <row r="13" spans="1:9" ht="15.75" x14ac:dyDescent="0.25">
      <c r="A13" s="149"/>
      <c r="B13" s="2"/>
      <c r="C13" s="2"/>
      <c r="D13" s="2"/>
      <c r="E13" s="6"/>
      <c r="F13" s="6"/>
      <c r="G13" s="147"/>
      <c r="H13" s="147"/>
      <c r="I13" s="148"/>
    </row>
    <row r="14" spans="1:9" ht="15.75" x14ac:dyDescent="0.25">
      <c r="A14" s="149">
        <v>2</v>
      </c>
      <c r="B14" s="2"/>
      <c r="C14" s="2" t="s">
        <v>15</v>
      </c>
      <c r="D14" s="2">
        <v>314752544.53280926</v>
      </c>
      <c r="E14" s="6">
        <v>0.46101999999999999</v>
      </c>
      <c r="F14" s="6"/>
      <c r="G14" s="147">
        <v>4.6956586278888462E-2</v>
      </c>
      <c r="H14" s="147"/>
      <c r="I14" s="148">
        <f>ROUND(E14*G14,4)</f>
        <v>2.1600000000000001E-2</v>
      </c>
    </row>
    <row r="15" spans="1:9" ht="15.75" x14ac:dyDescent="0.25">
      <c r="A15" s="149"/>
      <c r="B15" s="2"/>
      <c r="C15" s="2"/>
      <c r="D15" s="2"/>
      <c r="E15" s="6"/>
      <c r="F15" s="6"/>
      <c r="G15" s="147"/>
      <c r="H15" s="147"/>
      <c r="I15" s="148"/>
    </row>
    <row r="16" spans="1:9" ht="15.75" x14ac:dyDescent="0.25">
      <c r="A16" s="149">
        <v>3</v>
      </c>
      <c r="B16" s="2"/>
      <c r="C16" s="12" t="s">
        <v>17</v>
      </c>
      <c r="D16" s="2">
        <v>2245973.7759561539</v>
      </c>
      <c r="E16" s="6">
        <v>3.29E-3</v>
      </c>
      <c r="F16" s="6"/>
      <c r="G16" s="147">
        <v>8.5000000000000006E-2</v>
      </c>
      <c r="H16" s="147"/>
      <c r="I16" s="148">
        <f>ROUND(E16*G16,4)</f>
        <v>2.9999999999999997E-4</v>
      </c>
    </row>
    <row r="17" spans="1:9" ht="15.75" x14ac:dyDescent="0.25">
      <c r="A17" s="149"/>
      <c r="B17" s="2"/>
      <c r="C17" s="2"/>
      <c r="D17" s="2"/>
      <c r="E17" s="6"/>
      <c r="F17" s="6"/>
      <c r="G17" s="147"/>
      <c r="H17" s="147"/>
      <c r="I17" s="148"/>
    </row>
    <row r="18" spans="1:9" ht="15.75" x14ac:dyDescent="0.25">
      <c r="A18" s="149">
        <v>4</v>
      </c>
      <c r="B18" s="2"/>
      <c r="C18" s="12" t="s">
        <v>46</v>
      </c>
      <c r="D18" s="8">
        <v>356818465.279746</v>
      </c>
      <c r="E18" s="7">
        <v>0.52262999999999993</v>
      </c>
      <c r="F18" s="6"/>
      <c r="G18" s="147">
        <v>0.1075</v>
      </c>
      <c r="H18" s="147"/>
      <c r="I18" s="150">
        <f>ROUND(E18*G18,4)</f>
        <v>5.62E-2</v>
      </c>
    </row>
    <row r="19" spans="1:9" ht="15.75" x14ac:dyDescent="0.25">
      <c r="A19" s="149"/>
      <c r="B19" s="2"/>
      <c r="C19" s="2"/>
      <c r="D19" s="2"/>
      <c r="E19" s="6"/>
      <c r="F19" s="6"/>
      <c r="G19" s="147"/>
      <c r="H19" s="147"/>
      <c r="I19" s="148"/>
    </row>
    <row r="20" spans="1:9" ht="16.5" thickBot="1" x14ac:dyDescent="0.3">
      <c r="A20" s="149">
        <v>5</v>
      </c>
      <c r="B20" s="2"/>
      <c r="C20" s="12" t="s">
        <v>19</v>
      </c>
      <c r="D20" s="2">
        <f>SUM(D12:D18)</f>
        <v>682731646.97597754</v>
      </c>
      <c r="E20" s="6"/>
      <c r="F20" s="6"/>
      <c r="G20" s="147"/>
      <c r="H20" s="147"/>
      <c r="I20" s="151">
        <f>SUM(I12:I18)</f>
        <v>7.8600000000000003E-2</v>
      </c>
    </row>
    <row r="21" spans="1:9" ht="15.75" thickTop="1" x14ac:dyDescent="0.25">
      <c r="A21" s="152"/>
      <c r="I21" s="153"/>
    </row>
    <row r="22" spans="1:9" x14ac:dyDescent="0.25">
      <c r="A22" s="152"/>
      <c r="I22" s="153"/>
    </row>
    <row r="23" spans="1:9" ht="15.75" x14ac:dyDescent="0.25">
      <c r="A23" s="198" t="s">
        <v>260</v>
      </c>
      <c r="B23" s="199"/>
      <c r="C23" s="199"/>
      <c r="D23" s="199"/>
      <c r="E23" s="199"/>
      <c r="F23" s="199"/>
      <c r="G23" s="199"/>
      <c r="H23" s="199"/>
      <c r="I23" s="200"/>
    </row>
    <row r="24" spans="1:9" ht="15.75" x14ac:dyDescent="0.25">
      <c r="A24" s="149"/>
      <c r="B24" s="2"/>
      <c r="C24" s="2"/>
      <c r="D24" s="2"/>
      <c r="E24" s="2"/>
      <c r="F24" s="2"/>
      <c r="G24" s="2"/>
      <c r="H24" s="2"/>
      <c r="I24" s="140"/>
    </row>
    <row r="25" spans="1:9" ht="15.75" x14ac:dyDescent="0.25">
      <c r="A25" s="154" t="s">
        <v>7</v>
      </c>
      <c r="B25" s="155"/>
      <c r="C25" s="155"/>
      <c r="D25" s="155"/>
      <c r="E25" s="142" t="s">
        <v>8</v>
      </c>
      <c r="F25" s="155"/>
      <c r="G25" s="142" t="s">
        <v>9</v>
      </c>
      <c r="H25" s="155"/>
      <c r="I25" s="143" t="s">
        <v>10</v>
      </c>
    </row>
    <row r="26" spans="1:9" ht="15.75" x14ac:dyDescent="0.25">
      <c r="A26" s="156" t="s">
        <v>11</v>
      </c>
      <c r="B26" s="155"/>
      <c r="C26" s="4" t="s">
        <v>12</v>
      </c>
      <c r="D26" s="5"/>
      <c r="E26" s="5" t="s">
        <v>13</v>
      </c>
      <c r="F26" s="155"/>
      <c r="G26" s="5" t="s">
        <v>14</v>
      </c>
      <c r="H26" s="155"/>
      <c r="I26" s="145" t="s">
        <v>9</v>
      </c>
    </row>
    <row r="27" spans="1:9" ht="15.75" x14ac:dyDescent="0.25">
      <c r="A27" s="149"/>
      <c r="B27" s="2"/>
      <c r="C27" s="2"/>
      <c r="D27" s="2"/>
      <c r="E27" s="2"/>
      <c r="F27" s="2"/>
      <c r="G27" s="2"/>
      <c r="H27" s="2"/>
      <c r="I27" s="140"/>
    </row>
    <row r="28" spans="1:9" ht="15.75" x14ac:dyDescent="0.25">
      <c r="A28" s="149">
        <v>6</v>
      </c>
      <c r="B28" s="2"/>
      <c r="C28" s="12" t="s">
        <v>16</v>
      </c>
      <c r="D28" s="2"/>
      <c r="E28" s="6">
        <v>1.306E-2</v>
      </c>
      <c r="F28" s="6"/>
      <c r="G28" s="147">
        <v>4.1583538461538463E-2</v>
      </c>
      <c r="H28" s="6"/>
      <c r="I28" s="148">
        <f>ROUND(E28*G28,4)</f>
        <v>5.0000000000000001E-4</v>
      </c>
    </row>
    <row r="29" spans="1:9" ht="15.75" x14ac:dyDescent="0.25">
      <c r="A29" s="146"/>
      <c r="B29" s="2"/>
      <c r="C29" s="2"/>
      <c r="D29" s="2"/>
      <c r="E29" s="6"/>
      <c r="F29" s="6"/>
      <c r="G29" s="147"/>
      <c r="H29" s="6"/>
      <c r="I29" s="148"/>
    </row>
    <row r="30" spans="1:9" ht="15.75" x14ac:dyDescent="0.25">
      <c r="A30" s="146">
        <v>7</v>
      </c>
      <c r="B30" s="2"/>
      <c r="C30" s="2" t="s">
        <v>15</v>
      </c>
      <c r="D30" s="2"/>
      <c r="E30" s="6">
        <v>0.46101999999999999</v>
      </c>
      <c r="F30" s="6"/>
      <c r="G30" s="147">
        <v>4.6956586278888462E-2</v>
      </c>
      <c r="H30" s="6"/>
      <c r="I30" s="148">
        <f>ROUND(E30*G30,4)</f>
        <v>2.1600000000000001E-2</v>
      </c>
    </row>
    <row r="31" spans="1:9" ht="15.75" x14ac:dyDescent="0.25">
      <c r="A31" s="146"/>
      <c r="B31" s="2"/>
      <c r="C31" s="2"/>
      <c r="D31" s="2"/>
      <c r="E31" s="6"/>
      <c r="F31" s="6"/>
      <c r="G31" s="147"/>
      <c r="H31" s="6"/>
      <c r="I31" s="148"/>
    </row>
    <row r="32" spans="1:9" ht="15.75" x14ac:dyDescent="0.25">
      <c r="A32" s="146">
        <v>8</v>
      </c>
      <c r="B32" s="2"/>
      <c r="C32" s="12" t="s">
        <v>17</v>
      </c>
      <c r="D32" s="2"/>
      <c r="E32" s="6">
        <v>3.29E-3</v>
      </c>
      <c r="F32" s="6"/>
      <c r="G32" s="147">
        <v>8.5000000000000006E-2</v>
      </c>
      <c r="H32" s="6"/>
      <c r="I32" s="148">
        <f>ROUND(E32*G32,4)</f>
        <v>2.9999999999999997E-4</v>
      </c>
    </row>
    <row r="33" spans="1:9" ht="15.75" x14ac:dyDescent="0.25">
      <c r="A33" s="146"/>
      <c r="B33" s="2"/>
      <c r="C33" s="2"/>
      <c r="D33" s="2"/>
      <c r="E33" s="6"/>
      <c r="F33" s="6"/>
      <c r="G33" s="147"/>
      <c r="H33" s="6"/>
      <c r="I33" s="148"/>
    </row>
    <row r="34" spans="1:9" ht="15.75" x14ac:dyDescent="0.25">
      <c r="A34" s="146">
        <v>9</v>
      </c>
      <c r="B34" s="2"/>
      <c r="C34" s="12" t="s">
        <v>46</v>
      </c>
      <c r="D34" s="8"/>
      <c r="E34" s="7">
        <v>0.52262999999999993</v>
      </c>
      <c r="F34" s="6"/>
      <c r="G34" s="147">
        <v>9.5000000000000001E-2</v>
      </c>
      <c r="H34" s="6"/>
      <c r="I34" s="150">
        <f>ROUND(E34*G34,4)</f>
        <v>4.9599999999999998E-2</v>
      </c>
    </row>
    <row r="35" spans="1:9" ht="15.75" x14ac:dyDescent="0.25">
      <c r="A35" s="146"/>
      <c r="B35" s="2"/>
      <c r="C35" s="2"/>
      <c r="D35" s="2"/>
      <c r="E35" s="6"/>
      <c r="F35" s="6"/>
      <c r="G35" s="6"/>
      <c r="H35" s="6"/>
      <c r="I35" s="148"/>
    </row>
    <row r="36" spans="1:9" ht="16.5" thickBot="1" x14ac:dyDescent="0.3">
      <c r="A36" s="146">
        <v>10</v>
      </c>
      <c r="B36" s="2"/>
      <c r="C36" s="12" t="s">
        <v>19</v>
      </c>
      <c r="D36" s="2"/>
      <c r="E36" s="6">
        <f>SUM(E27:E35)</f>
        <v>1</v>
      </c>
      <c r="F36" s="6"/>
      <c r="G36" s="6"/>
      <c r="H36" s="6"/>
      <c r="I36" s="151">
        <f>SUM(I28:I34)</f>
        <v>7.2000000000000008E-2</v>
      </c>
    </row>
    <row r="37" spans="1:9" ht="16.5" thickTop="1" x14ac:dyDescent="0.25">
      <c r="A37" s="158"/>
      <c r="B37" s="8"/>
      <c r="C37" s="69"/>
      <c r="D37" s="8"/>
      <c r="E37" s="7"/>
      <c r="F37" s="7"/>
      <c r="G37" s="7"/>
      <c r="H37" s="7"/>
      <c r="I37" s="157"/>
    </row>
    <row r="38" spans="1:9" ht="15.75" x14ac:dyDescent="0.25">
      <c r="A38" s="3"/>
      <c r="B38" s="2"/>
      <c r="C38" s="12"/>
      <c r="D38" s="2"/>
      <c r="E38" s="6"/>
      <c r="F38" s="6"/>
      <c r="G38" s="6"/>
      <c r="H38" s="6"/>
      <c r="I38" s="6"/>
    </row>
    <row r="39" spans="1:9" ht="15.75" x14ac:dyDescent="0.25">
      <c r="A39" s="3"/>
      <c r="B39" s="2"/>
      <c r="C39" s="12"/>
      <c r="D39" s="2"/>
      <c r="E39" s="6"/>
      <c r="F39" s="6"/>
      <c r="G39" s="6"/>
      <c r="H39" s="6"/>
      <c r="I39" s="6"/>
    </row>
    <row r="40" spans="1:9" ht="15.75" x14ac:dyDescent="0.25">
      <c r="A40" s="3"/>
      <c r="B40" s="2"/>
      <c r="C40" s="12"/>
      <c r="D40" s="2"/>
      <c r="E40" s="6"/>
      <c r="F40" s="6"/>
      <c r="G40" s="6"/>
      <c r="H40" s="6"/>
      <c r="I40" s="6"/>
    </row>
    <row r="41" spans="1:9" ht="15.75" x14ac:dyDescent="0.25">
      <c r="A41" s="68" t="s">
        <v>18</v>
      </c>
      <c r="B41" s="8"/>
      <c r="C41" s="69"/>
      <c r="D41" s="8"/>
      <c r="E41" s="7"/>
      <c r="F41" s="7"/>
      <c r="G41" s="7"/>
      <c r="H41" s="7"/>
      <c r="I41" s="7"/>
    </row>
    <row r="42" spans="1:9" ht="15.75" x14ac:dyDescent="0.25">
      <c r="A42" s="29" t="s">
        <v>271</v>
      </c>
      <c r="B42" s="1"/>
      <c r="C42" s="1"/>
      <c r="D42" s="1"/>
      <c r="E42" s="1"/>
      <c r="F42" s="1"/>
      <c r="G42" s="1"/>
    </row>
    <row r="43" spans="1:9" ht="15.75" x14ac:dyDescent="0.25">
      <c r="A43" s="1" t="s">
        <v>272</v>
      </c>
      <c r="B43" s="1"/>
      <c r="C43" s="1"/>
      <c r="D43" s="1"/>
      <c r="E43" s="1"/>
      <c r="F43" s="1"/>
      <c r="G43" s="1"/>
    </row>
    <row r="44" spans="1:9" ht="15.75" x14ac:dyDescent="0.25">
      <c r="A44" s="31"/>
      <c r="B44" s="31"/>
      <c r="C44" s="31"/>
      <c r="D44" s="31"/>
    </row>
  </sheetData>
  <mergeCells count="2">
    <mergeCell ref="A7:I7"/>
    <mergeCell ref="A23:I23"/>
  </mergeCells>
  <pageMargins left="0.7" right="0.7" top="0.75" bottom="0.75" header="0.3" footer="0.3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55FE5-AE15-4606-A447-124F5A628E0F}">
  <sheetPr>
    <pageSetUpPr fitToPage="1"/>
  </sheetPr>
  <dimension ref="A1:K50"/>
  <sheetViews>
    <sheetView tabSelected="1" topLeftCell="A22" workbookViewId="0">
      <selection activeCell="C16" sqref="C16"/>
    </sheetView>
  </sheetViews>
  <sheetFormatPr defaultRowHeight="15" x14ac:dyDescent="0.25"/>
  <cols>
    <col min="2" max="2" width="44.28515625" customWidth="1"/>
    <col min="3" max="5" width="20.7109375" customWidth="1"/>
    <col min="7" max="7" width="12.85546875" bestFit="1" customWidth="1"/>
  </cols>
  <sheetData>
    <row r="1" spans="1:11" ht="15.75" x14ac:dyDescent="0.25">
      <c r="A1" s="1" t="str">
        <f>A!A1</f>
        <v>Kentucky-American Water Company</v>
      </c>
      <c r="B1" s="1"/>
      <c r="C1" s="1"/>
      <c r="D1" s="1"/>
      <c r="E1" s="9" t="str">
        <f>A!H1</f>
        <v>Case No. 2025-00122</v>
      </c>
    </row>
    <row r="2" spans="1:11" ht="15.75" x14ac:dyDescent="0.25">
      <c r="A2" s="1" t="str">
        <f>A!A2</f>
        <v>Forecasted Test Period: Twelve Months Ended December 31, 2026</v>
      </c>
      <c r="B2" s="1"/>
      <c r="C2" s="1"/>
      <c r="D2" s="1"/>
      <c r="E2" s="9" t="str">
        <f>A!H2</f>
        <v>Exhibit JD-1</v>
      </c>
    </row>
    <row r="3" spans="1:11" ht="15.75" x14ac:dyDescent="0.25">
      <c r="A3" s="1"/>
      <c r="B3" s="1"/>
      <c r="C3" s="1"/>
      <c r="D3" s="1"/>
      <c r="E3" s="9" t="s">
        <v>42</v>
      </c>
    </row>
    <row r="4" spans="1:11" ht="15.75" x14ac:dyDescent="0.25">
      <c r="A4" s="1" t="s">
        <v>229</v>
      </c>
      <c r="B4" s="1"/>
      <c r="C4" s="1"/>
      <c r="D4" s="1"/>
      <c r="E4" s="9" t="str">
        <f>A!H4</f>
        <v>Page 1 of 1</v>
      </c>
    </row>
    <row r="5" spans="1:11" ht="15.75" x14ac:dyDescent="0.25">
      <c r="A5" s="1"/>
      <c r="B5" s="1"/>
      <c r="C5" s="1"/>
      <c r="D5" s="1"/>
      <c r="E5" s="1"/>
    </row>
    <row r="6" spans="1:11" ht="15.75" x14ac:dyDescent="0.25">
      <c r="B6" s="1"/>
      <c r="C6" s="15" t="s">
        <v>38</v>
      </c>
      <c r="D6" s="15"/>
      <c r="E6" s="15" t="s">
        <v>38</v>
      </c>
    </row>
    <row r="7" spans="1:11" ht="15.75" x14ac:dyDescent="0.25">
      <c r="A7" s="1"/>
      <c r="B7" s="1"/>
      <c r="C7" s="15" t="s">
        <v>39</v>
      </c>
      <c r="D7" s="15"/>
      <c r="E7" s="15" t="s">
        <v>39</v>
      </c>
      <c r="F7" s="1"/>
      <c r="G7" s="1"/>
      <c r="H7" s="1"/>
      <c r="I7" s="1"/>
      <c r="J7" s="1"/>
      <c r="K7" s="1"/>
    </row>
    <row r="8" spans="1:11" ht="15.75" x14ac:dyDescent="0.25">
      <c r="A8" s="1"/>
      <c r="B8" s="1"/>
      <c r="C8" s="15" t="s">
        <v>37</v>
      </c>
      <c r="D8" s="15" t="s">
        <v>260</v>
      </c>
      <c r="E8" s="15" t="s">
        <v>37</v>
      </c>
      <c r="F8" s="1"/>
      <c r="G8" s="1"/>
      <c r="H8" s="1"/>
      <c r="I8" s="1"/>
      <c r="J8" s="1"/>
      <c r="K8" s="1"/>
    </row>
    <row r="9" spans="1:11" ht="15.75" x14ac:dyDescent="0.25">
      <c r="A9" s="14" t="s">
        <v>22</v>
      </c>
      <c r="B9" s="14" t="s">
        <v>12</v>
      </c>
      <c r="C9" s="18" t="s">
        <v>31</v>
      </c>
      <c r="D9" s="18" t="s">
        <v>43</v>
      </c>
      <c r="E9" s="18" t="s">
        <v>260</v>
      </c>
      <c r="F9" s="1"/>
      <c r="G9" s="1"/>
      <c r="H9" s="1"/>
      <c r="I9" s="1"/>
      <c r="J9" s="1"/>
      <c r="K9" s="1"/>
    </row>
    <row r="10" spans="1:11" ht="15.75" x14ac:dyDescent="0.25">
      <c r="B10" s="1"/>
      <c r="C10" s="15" t="s">
        <v>25</v>
      </c>
      <c r="D10" s="15" t="s">
        <v>26</v>
      </c>
      <c r="E10" s="15" t="s">
        <v>27</v>
      </c>
      <c r="F10" s="15"/>
      <c r="G10" s="15"/>
      <c r="H10" s="1"/>
      <c r="I10" s="1"/>
      <c r="J10" s="1"/>
      <c r="K10" s="1"/>
    </row>
    <row r="11" spans="1:11" ht="15.75" x14ac:dyDescent="0.25">
      <c r="B11" s="1"/>
      <c r="C11" s="15"/>
      <c r="D11" s="15"/>
      <c r="E11" s="15"/>
      <c r="F11" s="15"/>
      <c r="G11" s="15"/>
      <c r="H11" s="1"/>
      <c r="I11" s="1"/>
      <c r="J11" s="1"/>
      <c r="K11" s="1"/>
    </row>
    <row r="12" spans="1:11" ht="15.75" x14ac:dyDescent="0.25">
      <c r="A12" s="15">
        <v>1</v>
      </c>
      <c r="B12" s="1" t="s">
        <v>146</v>
      </c>
      <c r="C12" s="19">
        <v>1051681899.1323118</v>
      </c>
      <c r="D12" s="19"/>
      <c r="E12" s="19">
        <f>+D12+C12</f>
        <v>1051681899.1323118</v>
      </c>
      <c r="F12" s="1"/>
      <c r="G12" s="1"/>
      <c r="H12" s="1"/>
      <c r="I12" s="1"/>
      <c r="J12" s="1"/>
      <c r="K12" s="1"/>
    </row>
    <row r="13" spans="1:11" ht="15.75" x14ac:dyDescent="0.25">
      <c r="A13" s="15"/>
      <c r="B13" s="1"/>
      <c r="C13" s="19"/>
      <c r="D13" s="19"/>
      <c r="E13" s="19"/>
      <c r="F13" s="1"/>
      <c r="G13" s="1"/>
      <c r="H13" s="1"/>
      <c r="I13" s="1"/>
      <c r="J13" s="1"/>
      <c r="K13" s="1"/>
    </row>
    <row r="14" spans="1:11" ht="15.75" x14ac:dyDescent="0.25">
      <c r="A14" s="15">
        <v>2</v>
      </c>
      <c r="B14" s="1" t="s">
        <v>36</v>
      </c>
      <c r="C14" s="19">
        <v>0</v>
      </c>
      <c r="D14" s="19"/>
      <c r="E14" s="19">
        <f>+D14+C14</f>
        <v>0</v>
      </c>
      <c r="F14" s="1"/>
      <c r="G14" s="1"/>
      <c r="H14" s="1"/>
      <c r="I14" s="1"/>
      <c r="J14" s="1"/>
      <c r="K14" s="1"/>
    </row>
    <row r="15" spans="1:11" ht="15.75" x14ac:dyDescent="0.25">
      <c r="A15" s="15"/>
      <c r="B15" s="1"/>
      <c r="C15" s="19"/>
      <c r="D15" s="19"/>
      <c r="E15" s="19"/>
      <c r="F15" s="1"/>
      <c r="G15" s="1"/>
      <c r="H15" s="1"/>
      <c r="I15" s="1"/>
      <c r="J15" s="1"/>
      <c r="K15" s="1"/>
    </row>
    <row r="16" spans="1:11" ht="15.75" x14ac:dyDescent="0.25">
      <c r="A16" s="15">
        <v>3</v>
      </c>
      <c r="B16" s="1" t="s">
        <v>147</v>
      </c>
      <c r="C16" s="19">
        <v>44168.4516666665</v>
      </c>
      <c r="D16" s="19"/>
      <c r="E16" s="19">
        <f>+D16+C16</f>
        <v>44168.4516666665</v>
      </c>
      <c r="F16" s="1"/>
      <c r="G16" s="1"/>
      <c r="H16" s="1"/>
      <c r="I16" s="1"/>
      <c r="J16" s="1"/>
      <c r="K16" s="1"/>
    </row>
    <row r="17" spans="1:11" ht="15.75" x14ac:dyDescent="0.25">
      <c r="A17" s="15"/>
      <c r="B17" s="1"/>
      <c r="C17" s="19"/>
      <c r="D17" s="19"/>
      <c r="E17" s="19"/>
      <c r="F17" s="1"/>
      <c r="G17" s="1"/>
      <c r="H17" s="1"/>
      <c r="I17" s="1"/>
      <c r="J17" s="1"/>
      <c r="K17" s="1"/>
    </row>
    <row r="18" spans="1:11" ht="15.75" x14ac:dyDescent="0.25">
      <c r="A18" s="15">
        <v>4</v>
      </c>
      <c r="B18" s="1" t="s">
        <v>148</v>
      </c>
      <c r="C18" s="20">
        <v>-270055685.83785725</v>
      </c>
      <c r="D18" s="20"/>
      <c r="E18" s="20">
        <f>+C18+D18</f>
        <v>-270055685.83785725</v>
      </c>
      <c r="F18" s="1"/>
      <c r="G18" s="1"/>
      <c r="H18" s="1"/>
      <c r="I18" s="1"/>
      <c r="J18" s="1"/>
      <c r="K18" s="1"/>
    </row>
    <row r="19" spans="1:11" ht="15.75" x14ac:dyDescent="0.25">
      <c r="A19" s="15"/>
      <c r="B19" s="1"/>
      <c r="C19" s="19"/>
      <c r="D19" s="19"/>
      <c r="E19" s="19"/>
      <c r="F19" s="1"/>
      <c r="G19" s="1"/>
      <c r="H19" s="1"/>
      <c r="I19" s="1"/>
      <c r="J19" s="1"/>
      <c r="K19" s="1"/>
    </row>
    <row r="20" spans="1:11" ht="15.75" x14ac:dyDescent="0.25">
      <c r="A20" s="15">
        <v>5</v>
      </c>
      <c r="B20" s="1" t="s">
        <v>149</v>
      </c>
      <c r="C20" s="19">
        <f>SUM(C12:C18)+1</f>
        <v>781670382.74612129</v>
      </c>
      <c r="D20" s="19">
        <f>SUM(D12:D18)</f>
        <v>0</v>
      </c>
      <c r="E20" s="19">
        <f>+C20+D20</f>
        <v>781670382.74612129</v>
      </c>
      <c r="F20" s="1"/>
      <c r="G20" s="1"/>
      <c r="H20" s="1"/>
      <c r="I20" s="1"/>
      <c r="J20" s="1"/>
      <c r="K20" s="1"/>
    </row>
    <row r="21" spans="1:11" ht="15.75" x14ac:dyDescent="0.25">
      <c r="A21" s="15"/>
      <c r="B21" s="1"/>
      <c r="C21" s="19"/>
      <c r="D21" s="19"/>
      <c r="E21" s="19"/>
      <c r="F21" s="1"/>
      <c r="G21" s="1"/>
      <c r="H21" s="1"/>
      <c r="I21" s="1"/>
      <c r="J21" s="1"/>
      <c r="K21" s="1"/>
    </row>
    <row r="22" spans="1:11" ht="15.75" x14ac:dyDescent="0.25">
      <c r="A22" s="15">
        <v>6</v>
      </c>
      <c r="B22" s="1" t="s">
        <v>150</v>
      </c>
      <c r="C22" s="19">
        <v>0</v>
      </c>
      <c r="D22" s="19"/>
      <c r="E22" s="19">
        <f>+D22+C22</f>
        <v>0</v>
      </c>
      <c r="F22" s="1"/>
      <c r="G22" s="1"/>
      <c r="H22" s="1"/>
      <c r="I22" s="1"/>
      <c r="J22" s="1"/>
      <c r="K22" s="1"/>
    </row>
    <row r="23" spans="1:11" ht="15.75" x14ac:dyDescent="0.25">
      <c r="A23" s="15"/>
      <c r="B23" s="1"/>
      <c r="C23" s="19"/>
      <c r="D23" s="19"/>
      <c r="E23" s="19"/>
      <c r="F23" s="1"/>
      <c r="G23" s="1"/>
      <c r="H23" s="1"/>
      <c r="I23" s="1"/>
      <c r="J23" s="1"/>
      <c r="K23" s="1"/>
    </row>
    <row r="24" spans="1:11" ht="15.75" x14ac:dyDescent="0.25">
      <c r="A24" s="15">
        <v>7</v>
      </c>
      <c r="B24" s="1" t="s">
        <v>44</v>
      </c>
      <c r="C24" s="19">
        <v>2788000</v>
      </c>
      <c r="D24" s="19">
        <f>+E24-C24</f>
        <v>-11011081.899999999</v>
      </c>
      <c r="E24" s="19">
        <f>CWC!G20</f>
        <v>-8223081.8999999994</v>
      </c>
      <c r="F24" s="1"/>
      <c r="G24" s="1"/>
      <c r="H24" s="1"/>
      <c r="I24" s="1"/>
      <c r="J24" s="1"/>
      <c r="K24" s="1"/>
    </row>
    <row r="25" spans="1:11" ht="15.75" x14ac:dyDescent="0.25">
      <c r="A25" s="15"/>
      <c r="B25" s="1"/>
      <c r="C25" s="19"/>
      <c r="D25" s="19"/>
      <c r="E25" s="19"/>
      <c r="F25" s="1"/>
      <c r="G25" s="1"/>
      <c r="H25" s="1"/>
      <c r="I25" s="1"/>
      <c r="J25" s="1"/>
      <c r="K25" s="1"/>
    </row>
    <row r="26" spans="1:11" ht="15.75" x14ac:dyDescent="0.25">
      <c r="A26" s="15">
        <v>8</v>
      </c>
      <c r="B26" s="1" t="s">
        <v>151</v>
      </c>
      <c r="C26" s="19">
        <v>4498367</v>
      </c>
      <c r="D26" s="19"/>
      <c r="E26" s="19">
        <f>+C26+D26</f>
        <v>4498367</v>
      </c>
      <c r="F26" s="1"/>
      <c r="G26" s="1"/>
      <c r="H26" s="1"/>
      <c r="I26" s="1"/>
      <c r="J26" s="1"/>
      <c r="K26" s="1"/>
    </row>
    <row r="27" spans="1:11" ht="15.75" x14ac:dyDescent="0.25">
      <c r="A27" s="15"/>
      <c r="B27" s="1"/>
      <c r="C27" s="19"/>
      <c r="D27" s="19"/>
      <c r="E27" s="19"/>
      <c r="F27" s="1"/>
      <c r="G27" s="1"/>
      <c r="H27" s="1"/>
      <c r="I27" s="1"/>
      <c r="J27" s="1"/>
      <c r="K27" s="1"/>
    </row>
    <row r="28" spans="1:11" ht="15.75" x14ac:dyDescent="0.25">
      <c r="A28" s="15">
        <v>9</v>
      </c>
      <c r="B28" s="1" t="s">
        <v>152</v>
      </c>
      <c r="C28" s="19">
        <v>-76426172.347803518</v>
      </c>
      <c r="D28" s="19"/>
      <c r="E28" s="19">
        <f t="shared" ref="E28:E40" si="0">+D28+C28</f>
        <v>-76426172.347803518</v>
      </c>
      <c r="F28" s="1"/>
      <c r="G28" s="1"/>
      <c r="H28" s="1"/>
      <c r="I28" s="1"/>
      <c r="J28" s="1"/>
      <c r="K28" s="1"/>
    </row>
    <row r="29" spans="1:11" ht="15.75" x14ac:dyDescent="0.25">
      <c r="A29" s="15"/>
      <c r="B29" s="1"/>
      <c r="C29" s="19"/>
      <c r="D29" s="19"/>
      <c r="E29" s="19"/>
      <c r="F29" s="1"/>
      <c r="G29" s="1"/>
      <c r="H29" s="1"/>
      <c r="I29" s="1"/>
      <c r="J29" s="1"/>
      <c r="K29" s="1"/>
    </row>
    <row r="30" spans="1:11" ht="15.75" x14ac:dyDescent="0.25">
      <c r="A30" s="15">
        <v>10</v>
      </c>
      <c r="B30" s="1" t="s">
        <v>153</v>
      </c>
      <c r="C30" s="19">
        <v>-22711253.320886072</v>
      </c>
      <c r="D30" s="19"/>
      <c r="E30" s="19">
        <f t="shared" si="0"/>
        <v>-22711253.320886072</v>
      </c>
      <c r="F30" s="1"/>
      <c r="G30" s="1"/>
      <c r="H30" s="1"/>
      <c r="I30" s="1"/>
      <c r="J30" s="1"/>
      <c r="K30" s="1"/>
    </row>
    <row r="31" spans="1:11" ht="15.75" x14ac:dyDescent="0.25">
      <c r="A31" s="15"/>
      <c r="B31" s="1"/>
      <c r="C31" s="19"/>
      <c r="D31" s="19"/>
      <c r="E31" s="19"/>
      <c r="F31" s="1"/>
      <c r="G31" s="1"/>
      <c r="H31" s="1"/>
      <c r="I31" s="1"/>
      <c r="J31" s="1"/>
      <c r="K31" s="1"/>
    </row>
    <row r="32" spans="1:11" ht="15.75" x14ac:dyDescent="0.25">
      <c r="A32" s="15">
        <v>11</v>
      </c>
      <c r="B32" s="1" t="s">
        <v>154</v>
      </c>
      <c r="C32" s="19">
        <v>-108519534.50459626</v>
      </c>
      <c r="D32" s="19"/>
      <c r="E32" s="19">
        <f t="shared" si="0"/>
        <v>-108519534.50459626</v>
      </c>
      <c r="F32" s="1"/>
      <c r="G32" s="1"/>
      <c r="H32" s="1"/>
      <c r="I32" s="1"/>
      <c r="J32" s="1"/>
      <c r="K32" s="1"/>
    </row>
    <row r="33" spans="1:11" ht="15.75" x14ac:dyDescent="0.25">
      <c r="A33" s="15"/>
      <c r="B33" s="1"/>
      <c r="C33" s="19"/>
      <c r="D33" s="19"/>
      <c r="E33" s="19"/>
      <c r="F33" s="1"/>
      <c r="G33" s="1"/>
      <c r="H33" s="1"/>
      <c r="I33" s="1"/>
      <c r="J33" s="1"/>
      <c r="K33" s="1"/>
    </row>
    <row r="34" spans="1:11" ht="15.75" x14ac:dyDescent="0.25">
      <c r="A34" s="15">
        <v>12</v>
      </c>
      <c r="B34" s="1" t="s">
        <v>155</v>
      </c>
      <c r="C34" s="19">
        <v>-2</v>
      </c>
      <c r="D34" s="19"/>
      <c r="E34" s="19">
        <f t="shared" si="0"/>
        <v>-2</v>
      </c>
      <c r="F34" s="1"/>
      <c r="G34" s="1"/>
      <c r="H34" s="1"/>
      <c r="I34" s="1"/>
      <c r="J34" s="1"/>
      <c r="K34" s="1"/>
    </row>
    <row r="35" spans="1:11" ht="15.75" x14ac:dyDescent="0.25">
      <c r="A35" s="15"/>
      <c r="B35" s="1"/>
      <c r="C35" s="19"/>
      <c r="D35" s="19"/>
      <c r="E35" s="19"/>
      <c r="F35" s="1"/>
      <c r="G35" s="1"/>
      <c r="H35" s="1"/>
      <c r="I35" s="1"/>
      <c r="J35" s="1"/>
      <c r="K35" s="1"/>
    </row>
    <row r="36" spans="1:11" ht="15.75" x14ac:dyDescent="0.25">
      <c r="A36" s="15">
        <v>13</v>
      </c>
      <c r="B36" s="1" t="s">
        <v>156</v>
      </c>
      <c r="C36" s="19">
        <v>10069899</v>
      </c>
      <c r="D36" s="19"/>
      <c r="E36" s="19">
        <f t="shared" si="0"/>
        <v>10069899</v>
      </c>
      <c r="F36" s="1"/>
      <c r="G36" s="1"/>
      <c r="H36" s="1"/>
      <c r="I36" s="1"/>
      <c r="J36" s="1"/>
      <c r="K36" s="1"/>
    </row>
    <row r="37" spans="1:11" ht="15.75" x14ac:dyDescent="0.25">
      <c r="A37" s="15"/>
      <c r="B37" s="1"/>
      <c r="C37" s="19"/>
      <c r="D37" s="19"/>
      <c r="E37" s="19"/>
      <c r="F37" s="1"/>
      <c r="G37" s="1"/>
      <c r="H37" s="1"/>
      <c r="I37" s="1"/>
      <c r="J37" s="1"/>
      <c r="K37" s="1"/>
    </row>
    <row r="38" spans="1:11" ht="15.75" x14ac:dyDescent="0.25">
      <c r="A38" s="15">
        <v>14</v>
      </c>
      <c r="B38" s="1" t="s">
        <v>157</v>
      </c>
      <c r="C38" s="19">
        <v>827661</v>
      </c>
      <c r="D38" s="19"/>
      <c r="E38" s="19">
        <f t="shared" si="0"/>
        <v>827661</v>
      </c>
      <c r="F38" s="1"/>
      <c r="G38" s="1"/>
      <c r="H38" s="1"/>
      <c r="I38" s="1"/>
      <c r="J38" s="1"/>
      <c r="K38" s="1"/>
    </row>
    <row r="39" spans="1:11" ht="15.75" x14ac:dyDescent="0.25">
      <c r="A39" s="15"/>
      <c r="B39" s="1"/>
      <c r="C39" s="19"/>
      <c r="D39" s="19"/>
      <c r="E39" s="19"/>
      <c r="F39" s="1"/>
      <c r="G39" s="1"/>
      <c r="H39" s="1"/>
      <c r="I39" s="1"/>
      <c r="J39" s="1"/>
      <c r="K39" s="1"/>
    </row>
    <row r="40" spans="1:11" ht="15.75" x14ac:dyDescent="0.25">
      <c r="A40" s="15">
        <v>15</v>
      </c>
      <c r="B40" s="1" t="s">
        <v>158</v>
      </c>
      <c r="C40" s="19">
        <v>-52258.615384615397</v>
      </c>
      <c r="D40" s="19"/>
      <c r="E40" s="19">
        <f t="shared" si="0"/>
        <v>-52258.615384615397</v>
      </c>
      <c r="F40" s="1"/>
      <c r="G40" s="1"/>
      <c r="H40" s="1"/>
      <c r="I40" s="1"/>
      <c r="J40" s="1"/>
      <c r="K40" s="1"/>
    </row>
    <row r="41" spans="1:11" ht="15.75" x14ac:dyDescent="0.25">
      <c r="A41" s="15"/>
      <c r="B41" s="1"/>
      <c r="C41" s="19"/>
      <c r="D41" s="19"/>
      <c r="E41" s="19"/>
      <c r="F41" s="1"/>
      <c r="G41" s="1"/>
      <c r="H41" s="1"/>
      <c r="I41" s="1"/>
      <c r="J41" s="1"/>
      <c r="K41" s="1"/>
    </row>
    <row r="42" spans="1:11" ht="16.5" thickBot="1" x14ac:dyDescent="0.3">
      <c r="A42" s="15">
        <v>16</v>
      </c>
      <c r="B42" s="1" t="s">
        <v>159</v>
      </c>
      <c r="C42" s="21">
        <f>SUM(C20:C41)</f>
        <v>592145088.95745099</v>
      </c>
      <c r="D42" s="21">
        <f>SUM(D20:D41)</f>
        <v>-11011081.899999999</v>
      </c>
      <c r="E42" s="21">
        <f>SUM(E20:E41)</f>
        <v>581134007.05745101</v>
      </c>
    </row>
    <row r="43" spans="1:11" ht="16.5" thickTop="1" x14ac:dyDescent="0.25">
      <c r="C43" s="19"/>
      <c r="D43" s="19"/>
      <c r="E43" s="19"/>
    </row>
    <row r="44" spans="1:11" ht="15.75" x14ac:dyDescent="0.25">
      <c r="C44" s="19"/>
      <c r="D44" s="19"/>
      <c r="E44" s="19"/>
    </row>
    <row r="45" spans="1:11" ht="15.75" x14ac:dyDescent="0.25">
      <c r="C45" s="19"/>
      <c r="D45" s="19"/>
      <c r="E45" s="19"/>
    </row>
    <row r="46" spans="1:11" ht="15.75" x14ac:dyDescent="0.25">
      <c r="C46" s="19"/>
      <c r="D46" s="19"/>
      <c r="E46" s="19"/>
    </row>
    <row r="47" spans="1:11" ht="15.75" x14ac:dyDescent="0.25">
      <c r="C47" s="19"/>
      <c r="D47" s="19"/>
      <c r="E47" s="19"/>
    </row>
    <row r="48" spans="1:11" ht="15.75" x14ac:dyDescent="0.25">
      <c r="A48" s="14" t="s">
        <v>30</v>
      </c>
      <c r="B48" s="14"/>
      <c r="C48" s="14"/>
      <c r="D48" s="20"/>
      <c r="E48" s="20"/>
    </row>
    <row r="49" spans="1:1" x14ac:dyDescent="0.25">
      <c r="A49" s="26" t="s">
        <v>273</v>
      </c>
    </row>
    <row r="50" spans="1:1" x14ac:dyDescent="0.25">
      <c r="A50" s="25"/>
    </row>
  </sheetData>
  <pageMargins left="0.7" right="0.7" top="0.75" bottom="0.75" header="0.3" footer="0.3"/>
  <pageSetup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BA76B-BB96-4BD5-AC8F-72AB23A332A5}">
  <sheetPr>
    <pageSetUpPr fitToPage="1"/>
  </sheetPr>
  <dimension ref="A1:N105"/>
  <sheetViews>
    <sheetView topLeftCell="A10" workbookViewId="0">
      <selection activeCell="M26" sqref="M26"/>
    </sheetView>
  </sheetViews>
  <sheetFormatPr defaultRowHeight="15" x14ac:dyDescent="0.25"/>
  <cols>
    <col min="1" max="1" width="6.28515625" customWidth="1"/>
    <col min="2" max="2" width="56.7109375" customWidth="1"/>
    <col min="3" max="3" width="7.28515625" customWidth="1"/>
    <col min="4" max="4" width="15.5703125" customWidth="1"/>
    <col min="5" max="5" width="3.42578125" customWidth="1"/>
    <col min="6" max="6" width="15.5703125" customWidth="1"/>
    <col min="7" max="7" width="20.7109375" customWidth="1"/>
    <col min="8" max="8" width="15.85546875" customWidth="1"/>
    <col min="9" max="9" width="4.7109375" customWidth="1"/>
    <col min="10" max="10" width="18.28515625" customWidth="1"/>
    <col min="11" max="11" width="13" bestFit="1" customWidth="1"/>
    <col min="12" max="12" width="16.42578125" customWidth="1"/>
    <col min="13" max="13" width="15.42578125" bestFit="1" customWidth="1"/>
    <col min="14" max="14" width="15.5703125" customWidth="1"/>
  </cols>
  <sheetData>
    <row r="1" spans="1:14" x14ac:dyDescent="0.25">
      <c r="A1" s="27" t="str">
        <f>A!A1</f>
        <v>Kentucky-American Water Company</v>
      </c>
      <c r="B1" s="27"/>
      <c r="C1" s="27"/>
      <c r="D1" s="27"/>
      <c r="E1" s="27"/>
      <c r="F1" s="27"/>
      <c r="G1" s="27"/>
      <c r="H1" s="27"/>
      <c r="I1" s="27"/>
      <c r="J1" s="41" t="str">
        <f>[1]A!H1</f>
        <v>Case No. 2025-00122</v>
      </c>
      <c r="K1" s="13"/>
      <c r="L1" s="13"/>
      <c r="M1" s="13"/>
    </row>
    <row r="2" spans="1:14" x14ac:dyDescent="0.25">
      <c r="A2" s="27" t="str">
        <f>[1]A!A2</f>
        <v>Forecasted Test Period: Twelve Months Ended December 31, 2026</v>
      </c>
      <c r="B2" s="27"/>
      <c r="C2" s="27"/>
      <c r="D2" s="27"/>
      <c r="E2" s="27"/>
      <c r="F2" s="27"/>
      <c r="G2" s="27"/>
      <c r="H2" s="27"/>
      <c r="I2" s="27"/>
      <c r="J2" s="41" t="str">
        <f>[1]A!H2</f>
        <v>Exhibit JD-1</v>
      </c>
      <c r="K2" s="13"/>
      <c r="L2" s="13"/>
      <c r="M2" s="13"/>
    </row>
    <row r="3" spans="1:14" x14ac:dyDescent="0.25">
      <c r="A3" s="27"/>
      <c r="B3" s="27"/>
      <c r="C3" s="27"/>
      <c r="D3" s="27"/>
      <c r="E3" s="27"/>
      <c r="F3" s="27"/>
      <c r="G3" s="27"/>
      <c r="H3" s="27"/>
      <c r="I3" s="27"/>
      <c r="J3" s="41" t="s">
        <v>58</v>
      </c>
      <c r="K3" s="13"/>
      <c r="L3" s="13"/>
      <c r="M3" s="13"/>
    </row>
    <row r="4" spans="1:14" x14ac:dyDescent="0.25">
      <c r="A4" s="27" t="s">
        <v>57</v>
      </c>
      <c r="B4" s="27"/>
      <c r="C4" s="27"/>
      <c r="D4" s="27"/>
      <c r="E4" s="27"/>
      <c r="F4" s="27"/>
      <c r="G4" s="27"/>
      <c r="H4" s="27"/>
      <c r="I4" s="27"/>
      <c r="J4" s="41" t="s">
        <v>6</v>
      </c>
      <c r="K4" s="13"/>
      <c r="L4" s="13"/>
      <c r="M4" s="13"/>
    </row>
    <row r="6" spans="1:14" x14ac:dyDescent="0.25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</row>
    <row r="7" spans="1:14" x14ac:dyDescent="0.25">
      <c r="A7" s="116" t="s">
        <v>61</v>
      </c>
      <c r="B7" s="113"/>
      <c r="C7" s="113"/>
      <c r="D7" s="113"/>
      <c r="E7" s="113"/>
      <c r="F7" s="113"/>
      <c r="G7" s="121" t="s">
        <v>39</v>
      </c>
      <c r="H7" s="113"/>
      <c r="I7" s="113"/>
      <c r="J7" s="113"/>
      <c r="K7" s="113"/>
      <c r="L7" s="113"/>
      <c r="M7" s="113"/>
      <c r="N7" s="113"/>
    </row>
    <row r="8" spans="1:14" x14ac:dyDescent="0.25">
      <c r="A8" s="115" t="s">
        <v>11</v>
      </c>
      <c r="B8" s="115" t="s">
        <v>12</v>
      </c>
      <c r="C8" s="27"/>
      <c r="D8" s="115" t="s">
        <v>53</v>
      </c>
      <c r="E8" s="116"/>
      <c r="F8" s="113"/>
      <c r="G8" s="71" t="s">
        <v>37</v>
      </c>
      <c r="H8" s="113"/>
      <c r="I8" s="113"/>
      <c r="J8" s="27"/>
      <c r="K8" s="27"/>
      <c r="L8" s="27"/>
      <c r="M8" s="113"/>
      <c r="N8" s="113"/>
    </row>
    <row r="9" spans="1:14" x14ac:dyDescent="0.25">
      <c r="A9" s="113"/>
      <c r="B9" s="113"/>
      <c r="C9" s="113"/>
      <c r="D9" s="113"/>
      <c r="E9" s="113"/>
      <c r="F9" s="113"/>
      <c r="G9" s="113"/>
      <c r="H9" s="113"/>
      <c r="I9" s="113"/>
      <c r="J9" s="27"/>
      <c r="K9" s="27"/>
      <c r="L9" s="27"/>
      <c r="M9" s="113"/>
      <c r="N9" s="113"/>
    </row>
    <row r="10" spans="1:14" x14ac:dyDescent="0.25">
      <c r="A10" s="116">
        <v>1</v>
      </c>
      <c r="B10" s="113" t="s">
        <v>175</v>
      </c>
      <c r="C10" s="113"/>
      <c r="D10" s="113"/>
      <c r="E10" s="113"/>
      <c r="F10" s="113"/>
      <c r="G10" s="117">
        <f>D65</f>
        <v>79088898.617011815</v>
      </c>
      <c r="H10" s="113" t="s">
        <v>300</v>
      </c>
      <c r="I10" s="113"/>
      <c r="J10" s="27"/>
      <c r="K10" s="27"/>
      <c r="L10" s="27"/>
      <c r="M10" s="117"/>
      <c r="N10" s="117"/>
    </row>
    <row r="11" spans="1:14" x14ac:dyDescent="0.25">
      <c r="A11" s="116"/>
      <c r="B11" s="113"/>
      <c r="C11" s="113"/>
      <c r="D11" s="113"/>
      <c r="E11" s="113"/>
      <c r="F11" s="113"/>
      <c r="G11" s="113"/>
      <c r="H11" s="113"/>
      <c r="I11" s="113"/>
      <c r="J11" s="27"/>
      <c r="K11" s="27"/>
      <c r="L11" s="27"/>
      <c r="M11" s="113"/>
      <c r="N11" s="113"/>
    </row>
    <row r="12" spans="1:14" x14ac:dyDescent="0.25">
      <c r="A12" s="116">
        <v>2</v>
      </c>
      <c r="B12" s="113" t="s">
        <v>176</v>
      </c>
      <c r="C12" s="113"/>
      <c r="D12" s="113"/>
      <c r="E12" s="113"/>
      <c r="F12" s="113"/>
      <c r="G12" s="113">
        <f>ROUND(G10/365,0)</f>
        <v>216682</v>
      </c>
      <c r="H12" s="113" t="s">
        <v>301</v>
      </c>
      <c r="I12" s="113"/>
      <c r="J12" s="27"/>
      <c r="K12" s="27"/>
      <c r="L12" s="27"/>
      <c r="M12" s="113"/>
      <c r="N12" s="113"/>
    </row>
    <row r="13" spans="1:14" x14ac:dyDescent="0.25">
      <c r="A13" s="116"/>
      <c r="B13" s="113"/>
      <c r="C13" s="113"/>
      <c r="D13" s="113"/>
      <c r="E13" s="113"/>
      <c r="F13" s="113"/>
      <c r="G13" s="113"/>
      <c r="H13" s="113"/>
      <c r="I13" s="113"/>
      <c r="J13" s="27"/>
      <c r="K13" s="27"/>
      <c r="L13" s="27"/>
      <c r="M13" s="113"/>
      <c r="N13" s="113"/>
    </row>
    <row r="14" spans="1:14" x14ac:dyDescent="0.25">
      <c r="A14" s="116">
        <v>3</v>
      </c>
      <c r="B14" s="113" t="s">
        <v>177</v>
      </c>
      <c r="C14" s="113"/>
      <c r="D14" s="113"/>
      <c r="E14" s="113"/>
      <c r="F14" s="113"/>
      <c r="G14" s="113"/>
      <c r="H14" s="113"/>
      <c r="I14" s="113"/>
      <c r="J14" s="27"/>
      <c r="K14" s="27"/>
      <c r="L14" s="27"/>
      <c r="M14" s="113"/>
      <c r="N14" s="113"/>
    </row>
    <row r="15" spans="1:14" x14ac:dyDescent="0.25">
      <c r="A15" s="116"/>
      <c r="B15" s="113"/>
      <c r="C15" s="113"/>
      <c r="D15" s="113"/>
      <c r="E15" s="113"/>
      <c r="F15" s="113"/>
      <c r="G15" s="113"/>
      <c r="H15" s="113"/>
      <c r="I15" s="113"/>
      <c r="J15" s="27"/>
      <c r="K15" s="27"/>
      <c r="L15" s="27"/>
      <c r="M15" s="113"/>
      <c r="N15" s="113"/>
    </row>
    <row r="16" spans="1:14" x14ac:dyDescent="0.25">
      <c r="A16" s="116">
        <v>4</v>
      </c>
      <c r="B16" s="113" t="s">
        <v>178</v>
      </c>
      <c r="C16" s="113"/>
      <c r="D16" s="118">
        <v>39.1</v>
      </c>
      <c r="E16" s="118"/>
      <c r="F16" s="118" t="s">
        <v>302</v>
      </c>
      <c r="G16" s="118"/>
      <c r="H16" s="113"/>
      <c r="I16" s="113"/>
      <c r="J16" s="27"/>
      <c r="K16" s="27"/>
      <c r="L16" s="27"/>
      <c r="M16" s="118"/>
      <c r="N16" s="118"/>
    </row>
    <row r="17" spans="1:14" x14ac:dyDescent="0.25">
      <c r="A17" s="116"/>
      <c r="B17" s="113"/>
      <c r="C17" s="113"/>
      <c r="D17" s="118"/>
      <c r="E17" s="118"/>
      <c r="F17" s="113"/>
      <c r="G17" s="113"/>
      <c r="H17" s="113"/>
      <c r="I17" s="113"/>
      <c r="J17" s="27"/>
      <c r="K17" s="192" t="s">
        <v>54</v>
      </c>
      <c r="L17" s="192"/>
      <c r="M17" s="190"/>
      <c r="N17" s="190"/>
    </row>
    <row r="18" spans="1:14" x14ac:dyDescent="0.25">
      <c r="A18" s="116">
        <v>5</v>
      </c>
      <c r="B18" s="113" t="s">
        <v>179</v>
      </c>
      <c r="C18" s="113"/>
      <c r="D18" s="119">
        <f>J67</f>
        <v>77.05</v>
      </c>
      <c r="E18" s="118"/>
      <c r="F18" s="113" t="s">
        <v>304</v>
      </c>
      <c r="G18" s="113"/>
      <c r="H18" s="113"/>
      <c r="I18" s="113"/>
      <c r="J18" s="27"/>
      <c r="K18" s="192"/>
      <c r="L18" s="192"/>
      <c r="M18" s="193"/>
      <c r="N18" s="193"/>
    </row>
    <row r="19" spans="1:14" x14ac:dyDescent="0.25">
      <c r="A19" s="116"/>
      <c r="B19" s="113"/>
      <c r="C19" s="113"/>
      <c r="D19" s="118"/>
      <c r="E19" s="118"/>
      <c r="F19" s="113"/>
      <c r="G19" s="113"/>
      <c r="H19" s="113"/>
      <c r="I19" s="113"/>
      <c r="J19" s="27"/>
      <c r="K19" s="27"/>
      <c r="L19" s="27"/>
      <c r="M19" s="113"/>
      <c r="N19" s="113"/>
    </row>
    <row r="20" spans="1:14" ht="15.75" thickBot="1" x14ac:dyDescent="0.3">
      <c r="A20" s="116">
        <v>6</v>
      </c>
      <c r="B20" s="113" t="s">
        <v>180</v>
      </c>
      <c r="C20" s="113"/>
      <c r="D20" s="120">
        <f>+D16-D18</f>
        <v>-37.949999999999996</v>
      </c>
      <c r="E20" s="118"/>
      <c r="F20" s="113" t="s">
        <v>303</v>
      </c>
      <c r="G20" s="177">
        <f>+D20*G12</f>
        <v>-8223081.8999999994</v>
      </c>
      <c r="H20" s="113" t="s">
        <v>305</v>
      </c>
      <c r="I20" s="113"/>
      <c r="J20" s="27"/>
      <c r="K20" s="27"/>
      <c r="L20" s="27"/>
      <c r="M20" s="118"/>
      <c r="N20" s="118"/>
    </row>
    <row r="21" spans="1:14" ht="15.75" thickTop="1" x14ac:dyDescent="0.25">
      <c r="A21" s="116"/>
      <c r="B21" s="113"/>
      <c r="C21" s="113"/>
      <c r="D21" s="113"/>
      <c r="E21" s="113"/>
      <c r="F21" s="113"/>
      <c r="G21" s="113"/>
      <c r="H21" s="113"/>
      <c r="I21" s="113"/>
      <c r="J21" s="27"/>
      <c r="K21" s="27"/>
      <c r="L21" s="27"/>
      <c r="M21" s="113"/>
      <c r="N21" s="113"/>
    </row>
    <row r="22" spans="1:14" x14ac:dyDescent="0.25">
      <c r="A22" s="116"/>
      <c r="B22" s="113"/>
      <c r="C22" s="113"/>
      <c r="D22" s="116"/>
      <c r="E22" s="116"/>
      <c r="F22" s="116"/>
      <c r="G22" s="121"/>
      <c r="H22" s="116" t="s">
        <v>181</v>
      </c>
      <c r="I22" s="116"/>
      <c r="J22" s="116"/>
      <c r="K22" s="113"/>
      <c r="L22" s="113"/>
      <c r="M22" s="113"/>
      <c r="N22" s="113"/>
    </row>
    <row r="23" spans="1:14" x14ac:dyDescent="0.25">
      <c r="A23" s="116"/>
      <c r="B23" s="113"/>
      <c r="C23" s="113"/>
      <c r="D23" s="116"/>
      <c r="E23" s="116"/>
      <c r="F23" s="116" t="s">
        <v>260</v>
      </c>
      <c r="G23" s="116" t="s">
        <v>260</v>
      </c>
      <c r="H23" s="116" t="s">
        <v>182</v>
      </c>
      <c r="I23" s="116"/>
      <c r="J23" s="116"/>
      <c r="K23" s="113"/>
      <c r="L23" s="113"/>
      <c r="M23" s="113"/>
      <c r="N23" s="113"/>
    </row>
    <row r="24" spans="1:14" x14ac:dyDescent="0.25">
      <c r="A24" s="116" t="s">
        <v>61</v>
      </c>
      <c r="B24" s="113"/>
      <c r="C24" s="113"/>
      <c r="D24" s="116" t="s">
        <v>23</v>
      </c>
      <c r="E24" s="116"/>
      <c r="F24" s="116" t="s">
        <v>59</v>
      </c>
      <c r="G24" s="121" t="s">
        <v>23</v>
      </c>
      <c r="H24" s="116" t="s">
        <v>184</v>
      </c>
      <c r="I24" s="116"/>
      <c r="J24" s="116" t="s">
        <v>185</v>
      </c>
      <c r="K24" s="113"/>
      <c r="L24" s="113"/>
      <c r="M24" s="113"/>
      <c r="N24" s="113"/>
    </row>
    <row r="25" spans="1:14" ht="15.75" x14ac:dyDescent="0.25">
      <c r="A25" s="115" t="s">
        <v>11</v>
      </c>
      <c r="B25" s="115" t="s">
        <v>183</v>
      </c>
      <c r="C25" s="27"/>
      <c r="D25" s="174" t="s">
        <v>25</v>
      </c>
      <c r="E25" s="174"/>
      <c r="F25" s="175" t="s">
        <v>26</v>
      </c>
      <c r="G25" s="175" t="s">
        <v>27</v>
      </c>
      <c r="H25" s="175" t="s">
        <v>40</v>
      </c>
      <c r="I25" s="174"/>
      <c r="J25" s="176" t="s">
        <v>309</v>
      </c>
      <c r="K25" s="116"/>
      <c r="L25" s="27"/>
      <c r="M25" s="113"/>
      <c r="N25" s="113"/>
    </row>
    <row r="26" spans="1:14" x14ac:dyDescent="0.25">
      <c r="A26" s="116">
        <v>7</v>
      </c>
      <c r="B26" s="113" t="s">
        <v>186</v>
      </c>
      <c r="C26" s="113"/>
      <c r="D26" s="113">
        <v>9528061.0000000056</v>
      </c>
      <c r="E26" s="113"/>
      <c r="F26" s="190">
        <f>+Payroll!D28+'Incentive Comp'!F28</f>
        <v>-1380763.9091975582</v>
      </c>
      <c r="G26" s="122">
        <f>+D26+F26</f>
        <v>8147297.0908024479</v>
      </c>
      <c r="H26" s="123">
        <v>9.5</v>
      </c>
      <c r="I26" s="123"/>
      <c r="J26" s="117">
        <f>ROUND(G26*$H26,0)</f>
        <v>77399322</v>
      </c>
      <c r="K26" s="122"/>
      <c r="L26" s="27"/>
      <c r="M26" s="113"/>
      <c r="N26" s="113"/>
    </row>
    <row r="27" spans="1:14" x14ac:dyDescent="0.25">
      <c r="A27" s="116">
        <v>8</v>
      </c>
      <c r="B27" s="113" t="s">
        <v>187</v>
      </c>
      <c r="C27" s="113"/>
      <c r="D27" s="113">
        <v>6040519.9932829766</v>
      </c>
      <c r="E27" s="113"/>
      <c r="F27" s="113">
        <f>+UFW!F19</f>
        <v>-205377.68000000002</v>
      </c>
      <c r="G27" s="122">
        <f t="shared" ref="G27:G50" si="0">+D27+F27</f>
        <v>5835142.3132829769</v>
      </c>
      <c r="H27" s="123">
        <v>24.2</v>
      </c>
      <c r="I27" s="123"/>
      <c r="J27" s="117">
        <f t="shared" ref="J27:J50" si="1">ROUND(G27*$H27,0)</f>
        <v>141210444</v>
      </c>
      <c r="K27" s="124"/>
      <c r="L27" s="136"/>
      <c r="M27" s="113"/>
      <c r="N27" s="113"/>
    </row>
    <row r="28" spans="1:14" x14ac:dyDescent="0.25">
      <c r="A28" s="116">
        <v>9</v>
      </c>
      <c r="B28" s="113" t="s">
        <v>188</v>
      </c>
      <c r="C28" s="113"/>
      <c r="D28" s="113">
        <v>4632445.5045753438</v>
      </c>
      <c r="E28" s="113"/>
      <c r="F28" s="113">
        <f>UFW!F20</f>
        <v>-157503.16400000002</v>
      </c>
      <c r="G28" s="122">
        <f t="shared" si="0"/>
        <v>4474942.3405753439</v>
      </c>
      <c r="H28" s="125">
        <v>33.200000000000003</v>
      </c>
      <c r="I28" s="125"/>
      <c r="J28" s="117">
        <f t="shared" si="1"/>
        <v>148568086</v>
      </c>
      <c r="K28" s="113"/>
      <c r="L28" s="27"/>
      <c r="M28" s="113"/>
      <c r="N28" s="113"/>
    </row>
    <row r="29" spans="1:14" x14ac:dyDescent="0.25">
      <c r="A29" s="116">
        <v>10</v>
      </c>
      <c r="B29" s="113" t="s">
        <v>189</v>
      </c>
      <c r="C29" s="113"/>
      <c r="D29" s="113">
        <v>201875.33156333328</v>
      </c>
      <c r="E29" s="113"/>
      <c r="F29" s="113">
        <f>UFW!F18</f>
        <v>-6863.7500000000009</v>
      </c>
      <c r="G29" s="122">
        <f t="shared" si="0"/>
        <v>195011.58156333328</v>
      </c>
      <c r="H29" s="125">
        <v>38.799999999999997</v>
      </c>
      <c r="I29" s="125"/>
      <c r="J29" s="117">
        <f t="shared" si="1"/>
        <v>7566449</v>
      </c>
      <c r="K29" s="113"/>
      <c r="L29" s="136"/>
      <c r="M29" s="113"/>
      <c r="N29" s="113"/>
    </row>
    <row r="30" spans="1:14" x14ac:dyDescent="0.25">
      <c r="A30" s="116">
        <v>11</v>
      </c>
      <c r="B30" s="113" t="s">
        <v>190</v>
      </c>
      <c r="C30" s="113"/>
      <c r="D30" s="113">
        <v>714836.08411764703</v>
      </c>
      <c r="E30" s="113"/>
      <c r="F30" s="113">
        <f>UFW!F21</f>
        <v>-24304.424000000003</v>
      </c>
      <c r="G30" s="122">
        <f t="shared" si="0"/>
        <v>690531.66011764703</v>
      </c>
      <c r="H30" s="125">
        <v>51.5</v>
      </c>
      <c r="I30" s="125"/>
      <c r="J30" s="117">
        <f t="shared" si="1"/>
        <v>35562380</v>
      </c>
      <c r="K30" s="27"/>
      <c r="L30" s="27"/>
      <c r="M30" s="113"/>
      <c r="N30" s="113"/>
    </row>
    <row r="31" spans="1:14" x14ac:dyDescent="0.25">
      <c r="A31" s="116">
        <v>12</v>
      </c>
      <c r="B31" s="113" t="s">
        <v>191</v>
      </c>
      <c r="C31" s="113"/>
      <c r="D31" s="113">
        <v>14821707.589000786</v>
      </c>
      <c r="E31" s="113"/>
      <c r="F31" s="113">
        <f>+Payroll!D29+'Incentive Comp'!F29+'Growth Factor'!D14</f>
        <v>-1320749.4588024418</v>
      </c>
      <c r="G31" s="122">
        <f t="shared" si="0"/>
        <v>13500958.130198345</v>
      </c>
      <c r="H31" s="125">
        <f>+H32</f>
        <v>50.7</v>
      </c>
      <c r="I31" s="125" t="s">
        <v>306</v>
      </c>
      <c r="J31" s="117">
        <f t="shared" si="1"/>
        <v>684498577</v>
      </c>
      <c r="K31" s="113"/>
      <c r="L31" s="27"/>
      <c r="M31" s="113"/>
      <c r="N31" s="113"/>
    </row>
    <row r="32" spans="1:14" x14ac:dyDescent="0.25">
      <c r="A32" s="116">
        <v>13</v>
      </c>
      <c r="B32" s="113" t="s">
        <v>192</v>
      </c>
      <c r="C32" s="113"/>
      <c r="D32" s="113">
        <v>1728443.8036502465</v>
      </c>
      <c r="E32" s="113"/>
      <c r="F32" s="113">
        <f>+'Growth Factor'!D15</f>
        <v>-111262</v>
      </c>
      <c r="G32" s="122">
        <f t="shared" si="0"/>
        <v>1617181.8036502465</v>
      </c>
      <c r="H32" s="125">
        <v>50.7</v>
      </c>
      <c r="I32" s="125"/>
      <c r="J32" s="117">
        <f t="shared" si="1"/>
        <v>81991117</v>
      </c>
      <c r="K32" s="113"/>
      <c r="L32" s="27"/>
      <c r="M32" s="113"/>
      <c r="N32" s="113"/>
    </row>
    <row r="33" spans="1:14" x14ac:dyDescent="0.25">
      <c r="A33" s="116">
        <v>14</v>
      </c>
      <c r="B33" s="113" t="s">
        <v>193</v>
      </c>
      <c r="C33" s="113"/>
      <c r="D33" s="113">
        <v>1923170.9999999995</v>
      </c>
      <c r="E33" s="113"/>
      <c r="F33" s="113"/>
      <c r="G33" s="122">
        <f t="shared" si="0"/>
        <v>1923170.9999999995</v>
      </c>
      <c r="H33" s="125">
        <v>10.5</v>
      </c>
      <c r="I33" s="125"/>
      <c r="J33" s="117">
        <f t="shared" si="1"/>
        <v>20193296</v>
      </c>
      <c r="K33" s="113"/>
      <c r="L33" s="135"/>
      <c r="M33" s="113"/>
      <c r="N33" s="113"/>
    </row>
    <row r="34" spans="1:14" x14ac:dyDescent="0.25">
      <c r="A34" s="116">
        <v>15</v>
      </c>
      <c r="B34" s="113" t="s">
        <v>250</v>
      </c>
      <c r="C34" s="113"/>
      <c r="D34" s="113">
        <v>-727095</v>
      </c>
      <c r="E34" s="113"/>
      <c r="F34" s="113"/>
      <c r="G34" s="122">
        <f t="shared" si="0"/>
        <v>-727095</v>
      </c>
      <c r="H34" s="125">
        <v>64.5</v>
      </c>
      <c r="I34" s="125"/>
      <c r="J34" s="117">
        <f t="shared" si="1"/>
        <v>-46897628</v>
      </c>
      <c r="K34" s="113"/>
      <c r="L34" s="27"/>
      <c r="M34" s="113"/>
      <c r="N34" s="113"/>
    </row>
    <row r="35" spans="1:14" x14ac:dyDescent="0.25">
      <c r="A35" s="116">
        <v>16</v>
      </c>
      <c r="B35" s="113" t="s">
        <v>194</v>
      </c>
      <c r="C35" s="113"/>
      <c r="D35" s="113">
        <v>811569.44316953071</v>
      </c>
      <c r="E35" s="113"/>
      <c r="F35" s="113">
        <f>ESPP!D15+'401(k)'!D11+Healthcare!D12+Benefits!D13</f>
        <v>-545730.11599999992</v>
      </c>
      <c r="G35" s="122">
        <f t="shared" si="0"/>
        <v>265839.32716953079</v>
      </c>
      <c r="H35" s="125">
        <v>16.100000000000001</v>
      </c>
      <c r="I35" s="125"/>
      <c r="J35" s="117">
        <f t="shared" si="1"/>
        <v>4280013</v>
      </c>
      <c r="K35" s="113"/>
      <c r="L35" s="27"/>
      <c r="M35" s="113"/>
      <c r="N35" s="113"/>
    </row>
    <row r="36" spans="1:14" x14ac:dyDescent="0.25">
      <c r="A36" s="116">
        <v>17</v>
      </c>
      <c r="B36" s="113" t="s">
        <v>195</v>
      </c>
      <c r="C36" s="113"/>
      <c r="D36" s="113">
        <v>198278.8602</v>
      </c>
      <c r="E36" s="113"/>
      <c r="F36" s="113"/>
      <c r="G36" s="122">
        <f t="shared" si="0"/>
        <v>198278.8602</v>
      </c>
      <c r="H36" s="125">
        <v>-10.8</v>
      </c>
      <c r="I36" s="125"/>
      <c r="J36" s="117">
        <f t="shared" si="1"/>
        <v>-2141412</v>
      </c>
      <c r="K36" s="113"/>
      <c r="L36" s="27"/>
      <c r="M36" s="113"/>
      <c r="N36" s="113"/>
    </row>
    <row r="37" spans="1:14" x14ac:dyDescent="0.25">
      <c r="A37" s="116">
        <v>18</v>
      </c>
      <c r="B37" s="113" t="s">
        <v>249</v>
      </c>
      <c r="C37" s="113"/>
      <c r="D37" s="113">
        <v>2063676.1700000002</v>
      </c>
      <c r="E37" s="113"/>
      <c r="F37" s="113"/>
      <c r="G37" s="122">
        <f t="shared" si="0"/>
        <v>2063676.1700000002</v>
      </c>
      <c r="H37" s="125">
        <v>-96.7</v>
      </c>
      <c r="I37" s="125"/>
      <c r="J37" s="117">
        <f t="shared" si="1"/>
        <v>-199557486</v>
      </c>
      <c r="K37" s="113"/>
      <c r="L37" s="27"/>
      <c r="M37" s="113"/>
      <c r="N37" s="113"/>
    </row>
    <row r="38" spans="1:14" x14ac:dyDescent="0.25">
      <c r="A38" s="116">
        <v>19</v>
      </c>
      <c r="B38" s="113" t="s">
        <v>196</v>
      </c>
      <c r="C38" s="113"/>
      <c r="D38" s="113">
        <v>66516.000318999984</v>
      </c>
      <c r="E38" s="113"/>
      <c r="F38" s="113">
        <f>+'Growth Factor'!D21</f>
        <v>-4282</v>
      </c>
      <c r="G38" s="122">
        <f t="shared" si="0"/>
        <v>62234.000318999984</v>
      </c>
      <c r="H38" s="123">
        <v>-23.7</v>
      </c>
      <c r="I38" s="123"/>
      <c r="J38" s="117">
        <f t="shared" si="1"/>
        <v>-1474946</v>
      </c>
      <c r="K38" s="113"/>
      <c r="L38" s="27"/>
      <c r="M38" s="113"/>
      <c r="N38" s="113"/>
    </row>
    <row r="39" spans="1:14" x14ac:dyDescent="0.25">
      <c r="A39" s="116">
        <v>20</v>
      </c>
      <c r="B39" s="113" t="s">
        <v>197</v>
      </c>
      <c r="C39" s="113"/>
      <c r="D39" s="113"/>
      <c r="E39" s="113" t="s">
        <v>306</v>
      </c>
      <c r="F39" s="113"/>
      <c r="G39" s="122"/>
      <c r="H39" s="123"/>
      <c r="I39" s="123"/>
      <c r="J39" s="117"/>
      <c r="K39" s="113"/>
      <c r="L39" s="27"/>
      <c r="M39" s="113"/>
      <c r="N39" s="113"/>
    </row>
    <row r="40" spans="1:14" x14ac:dyDescent="0.25">
      <c r="A40" s="116">
        <v>21</v>
      </c>
      <c r="B40" s="113" t="s">
        <v>198</v>
      </c>
      <c r="C40" s="113"/>
      <c r="D40" s="113">
        <v>1628939.3200714896</v>
      </c>
      <c r="E40" s="113"/>
      <c r="F40" s="113">
        <f>+'Growth Factor'!D23</f>
        <v>-90373</v>
      </c>
      <c r="G40" s="122">
        <f t="shared" si="0"/>
        <v>1538566.3200714896</v>
      </c>
      <c r="H40" s="125">
        <v>15.7</v>
      </c>
      <c r="I40" s="125"/>
      <c r="J40" s="117">
        <f t="shared" si="1"/>
        <v>24155491</v>
      </c>
      <c r="K40" s="113"/>
      <c r="L40" s="27"/>
      <c r="M40" s="113"/>
      <c r="N40" s="113"/>
    </row>
    <row r="41" spans="1:14" x14ac:dyDescent="0.25">
      <c r="A41" s="116">
        <v>22</v>
      </c>
      <c r="B41" s="113" t="s">
        <v>199</v>
      </c>
      <c r="C41" s="113"/>
      <c r="D41" s="113"/>
      <c r="E41" s="113" t="str">
        <f>+E39</f>
        <v>[b]</v>
      </c>
      <c r="F41" s="113"/>
      <c r="G41" s="122"/>
      <c r="H41" s="125"/>
      <c r="I41" s="125"/>
      <c r="J41" s="117"/>
      <c r="K41" s="113"/>
      <c r="L41" s="27"/>
      <c r="M41" s="113"/>
      <c r="N41" s="113"/>
    </row>
    <row r="42" spans="1:14" x14ac:dyDescent="0.25">
      <c r="A42" s="116">
        <v>23</v>
      </c>
      <c r="B42" s="113" t="s">
        <v>200</v>
      </c>
      <c r="C42" s="113"/>
      <c r="D42" s="113"/>
      <c r="E42" s="113" t="str">
        <f>+E41</f>
        <v>[b]</v>
      </c>
      <c r="F42" s="113"/>
      <c r="G42" s="122"/>
      <c r="H42" s="125"/>
      <c r="I42" s="125"/>
      <c r="J42" s="117"/>
      <c r="K42" s="113"/>
      <c r="L42" s="27"/>
      <c r="M42" s="113"/>
      <c r="N42" s="113"/>
    </row>
    <row r="43" spans="1:14" x14ac:dyDescent="0.25">
      <c r="A43" s="116">
        <v>24</v>
      </c>
      <c r="B43" s="113" t="s">
        <v>201</v>
      </c>
      <c r="C43" s="113"/>
      <c r="D43" s="113">
        <v>342626.25473333342</v>
      </c>
      <c r="E43" s="113"/>
      <c r="F43" s="113">
        <f>+'Growth Factor'!D18</f>
        <v>-24212</v>
      </c>
      <c r="G43" s="122">
        <f t="shared" si="0"/>
        <v>318414.25473333342</v>
      </c>
      <c r="H43" s="125">
        <v>32.6</v>
      </c>
      <c r="I43" s="125"/>
      <c r="J43" s="117">
        <f t="shared" si="1"/>
        <v>10380305</v>
      </c>
      <c r="K43" s="113"/>
      <c r="L43" s="27"/>
      <c r="M43" s="113"/>
      <c r="N43" s="113"/>
    </row>
    <row r="44" spans="1:14" x14ac:dyDescent="0.25">
      <c r="A44" s="116">
        <v>25</v>
      </c>
      <c r="B44" s="113" t="s">
        <v>202</v>
      </c>
      <c r="C44" s="113"/>
      <c r="D44" s="113">
        <v>236418.0028856</v>
      </c>
      <c r="E44" s="113"/>
      <c r="F44" s="113">
        <f>+'Growth Factor'!D19</f>
        <v>-15218</v>
      </c>
      <c r="G44" s="122">
        <f t="shared" si="0"/>
        <v>221200.0028856</v>
      </c>
      <c r="H44" s="125">
        <v>35.5</v>
      </c>
      <c r="I44" s="125"/>
      <c r="J44" s="117">
        <f t="shared" si="1"/>
        <v>7852600</v>
      </c>
      <c r="K44" s="113"/>
      <c r="L44" s="27"/>
      <c r="M44" s="113"/>
      <c r="N44" s="113"/>
    </row>
    <row r="45" spans="1:14" x14ac:dyDescent="0.25">
      <c r="A45" s="116">
        <v>26</v>
      </c>
      <c r="B45" s="113" t="s">
        <v>203</v>
      </c>
      <c r="C45" s="113"/>
      <c r="D45" s="113">
        <v>1628523.9921040004</v>
      </c>
      <c r="E45" s="113"/>
      <c r="F45" s="113">
        <f>+'Growth Factor'!D16</f>
        <v>-104830</v>
      </c>
      <c r="G45" s="122">
        <f t="shared" si="0"/>
        <v>1523693.9921040004</v>
      </c>
      <c r="H45" s="125">
        <v>23.9</v>
      </c>
      <c r="I45" s="125"/>
      <c r="J45" s="117">
        <f t="shared" si="1"/>
        <v>36416286</v>
      </c>
      <c r="K45" s="113"/>
      <c r="L45" s="27"/>
      <c r="M45" s="113"/>
      <c r="N45" s="113"/>
    </row>
    <row r="46" spans="1:14" x14ac:dyDescent="0.25">
      <c r="A46" s="116">
        <v>27</v>
      </c>
      <c r="B46" s="113" t="s">
        <v>204</v>
      </c>
      <c r="C46" s="113"/>
      <c r="D46" s="113">
        <v>46859.32</v>
      </c>
      <c r="E46" s="113"/>
      <c r="F46" s="113"/>
      <c r="G46" s="122">
        <f t="shared" si="0"/>
        <v>46859.32</v>
      </c>
      <c r="H46" s="125">
        <v>12.7</v>
      </c>
      <c r="I46" s="125"/>
      <c r="J46" s="117">
        <f t="shared" si="1"/>
        <v>595113</v>
      </c>
      <c r="K46" s="113"/>
      <c r="L46" s="27"/>
      <c r="M46" s="113"/>
      <c r="N46" s="113"/>
    </row>
    <row r="47" spans="1:14" x14ac:dyDescent="0.25">
      <c r="A47" s="116">
        <v>28</v>
      </c>
      <c r="B47" s="113" t="s">
        <v>205</v>
      </c>
      <c r="C47" s="113"/>
      <c r="D47" s="113">
        <v>325955.00964800006</v>
      </c>
      <c r="E47" s="113"/>
      <c r="F47" s="113">
        <f>+'Growth Factor'!D17</f>
        <v>-20982</v>
      </c>
      <c r="G47" s="122">
        <f t="shared" si="0"/>
        <v>304973.00964800006</v>
      </c>
      <c r="H47" s="125">
        <v>41.1</v>
      </c>
      <c r="I47" s="125"/>
      <c r="J47" s="117">
        <f t="shared" si="1"/>
        <v>12534391</v>
      </c>
      <c r="K47" s="113"/>
      <c r="L47" s="27"/>
      <c r="M47" s="113"/>
      <c r="N47" s="113"/>
    </row>
    <row r="48" spans="1:14" x14ac:dyDescent="0.25">
      <c r="A48" s="116">
        <v>29</v>
      </c>
      <c r="B48" s="113" t="s">
        <v>206</v>
      </c>
      <c r="C48" s="113"/>
      <c r="D48" s="113">
        <v>1161823.28</v>
      </c>
      <c r="E48" s="113"/>
      <c r="F48" s="113">
        <f>+'Bus Dev'!D15+Dues!D15+'Growth Factor'!D20</f>
        <v>-329480</v>
      </c>
      <c r="G48" s="122">
        <f t="shared" si="0"/>
        <v>832343.28</v>
      </c>
      <c r="H48" s="125">
        <v>34.6</v>
      </c>
      <c r="I48" s="125"/>
      <c r="J48" s="117">
        <f t="shared" si="1"/>
        <v>28799077</v>
      </c>
      <c r="K48" s="113"/>
      <c r="L48" s="27"/>
      <c r="M48" s="113"/>
      <c r="N48" s="113"/>
    </row>
    <row r="49" spans="1:14" x14ac:dyDescent="0.25">
      <c r="A49" s="116">
        <v>30</v>
      </c>
      <c r="B49" s="113" t="s">
        <v>207</v>
      </c>
      <c r="C49" s="113"/>
      <c r="D49" s="113">
        <v>600762.65999999992</v>
      </c>
      <c r="E49" s="113"/>
      <c r="F49" s="113"/>
      <c r="G49" s="122">
        <f t="shared" si="0"/>
        <v>600762.65999999992</v>
      </c>
      <c r="H49" s="125">
        <v>53.3</v>
      </c>
      <c r="I49" s="125"/>
      <c r="J49" s="117">
        <f t="shared" si="1"/>
        <v>32020650</v>
      </c>
      <c r="K49" s="113"/>
      <c r="L49" s="27"/>
      <c r="M49" s="113"/>
      <c r="N49" s="113"/>
    </row>
    <row r="50" spans="1:14" x14ac:dyDescent="0.25">
      <c r="A50" s="116">
        <v>31</v>
      </c>
      <c r="B50" s="113" t="s">
        <v>208</v>
      </c>
      <c r="C50" s="113"/>
      <c r="D50" s="114">
        <v>120150.005922</v>
      </c>
      <c r="E50" s="114"/>
      <c r="F50" s="114">
        <f>+'Growth Factor'!D22</f>
        <v>-7734</v>
      </c>
      <c r="G50" s="122">
        <f t="shared" si="0"/>
        <v>112416.005922</v>
      </c>
      <c r="H50" s="125">
        <v>56.2</v>
      </c>
      <c r="I50" s="125"/>
      <c r="J50" s="117">
        <f t="shared" si="1"/>
        <v>6317780</v>
      </c>
      <c r="K50" s="113"/>
      <c r="L50" s="27"/>
      <c r="M50" s="113"/>
      <c r="N50" s="113"/>
    </row>
    <row r="51" spans="1:14" x14ac:dyDescent="0.25">
      <c r="A51" s="116">
        <v>32</v>
      </c>
      <c r="B51" s="113" t="s">
        <v>209</v>
      </c>
      <c r="C51" s="27"/>
      <c r="D51" s="113">
        <f>SUM(D26:D50)</f>
        <v>48096063.625243291</v>
      </c>
      <c r="E51" s="113"/>
      <c r="F51" s="113"/>
      <c r="G51" s="126"/>
      <c r="H51" s="125"/>
      <c r="I51" s="125"/>
      <c r="J51" s="126">
        <f>SUM(J26:J50)</f>
        <v>1110269905</v>
      </c>
      <c r="K51" s="113"/>
      <c r="L51" s="27"/>
      <c r="M51" s="113"/>
      <c r="N51" s="113"/>
    </row>
    <row r="52" spans="1:14" x14ac:dyDescent="0.25">
      <c r="A52" s="116"/>
      <c r="B52" s="113"/>
      <c r="C52" s="113"/>
      <c r="D52" s="113"/>
      <c r="E52" s="113"/>
      <c r="F52" s="113"/>
      <c r="G52" s="113"/>
      <c r="H52" s="113"/>
      <c r="I52" s="113"/>
      <c r="J52" s="127"/>
      <c r="K52" s="113"/>
      <c r="L52" s="113"/>
      <c r="M52" s="113"/>
      <c r="N52" s="113"/>
    </row>
    <row r="53" spans="1:14" x14ac:dyDescent="0.25">
      <c r="A53" s="116">
        <v>33</v>
      </c>
      <c r="B53" s="113" t="s">
        <v>210</v>
      </c>
      <c r="C53" s="113"/>
      <c r="D53" s="113"/>
      <c r="E53" s="113" t="str">
        <f>+E42</f>
        <v>[b]</v>
      </c>
      <c r="F53" s="113"/>
      <c r="G53" s="122"/>
      <c r="H53" s="118"/>
      <c r="I53" s="118"/>
      <c r="J53" s="117"/>
      <c r="K53" s="113"/>
      <c r="L53" s="113"/>
      <c r="M53" s="113"/>
      <c r="N53" s="113"/>
    </row>
    <row r="54" spans="1:14" x14ac:dyDescent="0.25">
      <c r="A54" s="116">
        <v>34</v>
      </c>
      <c r="B54" s="113" t="s">
        <v>211</v>
      </c>
      <c r="C54" s="113"/>
      <c r="D54" s="113">
        <v>11940916</v>
      </c>
      <c r="E54" s="113" t="s">
        <v>252</v>
      </c>
      <c r="F54" s="113"/>
      <c r="G54" s="122">
        <f t="shared" ref="G54:G62" si="2">+D54+F54</f>
        <v>11940916</v>
      </c>
      <c r="H54" s="118">
        <v>299.8</v>
      </c>
      <c r="I54" s="118"/>
      <c r="J54" s="117">
        <f t="shared" ref="J54:J62" si="3">ROUND(G54*$H54,0)</f>
        <v>3579886617</v>
      </c>
      <c r="K54" s="113"/>
      <c r="L54" s="113"/>
      <c r="M54" s="113"/>
      <c r="N54" s="113"/>
    </row>
    <row r="55" spans="1:14" x14ac:dyDescent="0.25">
      <c r="A55" s="116">
        <v>35</v>
      </c>
      <c r="B55" s="113" t="s">
        <v>212</v>
      </c>
      <c r="C55" s="113"/>
      <c r="D55" s="113">
        <v>212214</v>
      </c>
      <c r="E55" s="113"/>
      <c r="F55" s="113"/>
      <c r="G55" s="122">
        <f t="shared" si="2"/>
        <v>212214</v>
      </c>
      <c r="H55" s="118">
        <v>-186</v>
      </c>
      <c r="I55" s="118"/>
      <c r="J55" s="117">
        <f t="shared" si="3"/>
        <v>-39471804</v>
      </c>
      <c r="K55" s="113"/>
      <c r="L55" s="113"/>
      <c r="M55" s="113"/>
      <c r="N55" s="113"/>
    </row>
    <row r="56" spans="1:14" x14ac:dyDescent="0.25">
      <c r="A56" s="116">
        <v>36</v>
      </c>
      <c r="B56" s="113" t="s">
        <v>96</v>
      </c>
      <c r="C56" s="113"/>
      <c r="D56" s="113">
        <v>708794</v>
      </c>
      <c r="E56" s="113"/>
      <c r="F56" s="113">
        <f>+'Payroll Tax'!D13</f>
        <v>-179555.83539235572</v>
      </c>
      <c r="G56" s="122">
        <f t="shared" si="2"/>
        <v>529238.16460764431</v>
      </c>
      <c r="H56" s="118">
        <v>9.5</v>
      </c>
      <c r="I56" s="118"/>
      <c r="J56" s="117">
        <f t="shared" si="3"/>
        <v>5027763</v>
      </c>
      <c r="K56" s="113"/>
      <c r="L56" s="113"/>
      <c r="M56" s="113"/>
      <c r="N56" s="113"/>
    </row>
    <row r="57" spans="1:14" x14ac:dyDescent="0.25">
      <c r="A57" s="116">
        <v>37</v>
      </c>
      <c r="B57" s="113" t="s">
        <v>213</v>
      </c>
      <c r="C57" s="113"/>
      <c r="D57" s="113">
        <v>478684.91111357755</v>
      </c>
      <c r="E57" s="113"/>
      <c r="F57" s="113">
        <f>+'Inc Tax'!E12</f>
        <v>247689.40020295113</v>
      </c>
      <c r="G57" s="122">
        <f t="shared" si="2"/>
        <v>726374.31131652871</v>
      </c>
      <c r="H57" s="118">
        <v>30.3</v>
      </c>
      <c r="I57" s="118"/>
      <c r="J57" s="117">
        <f t="shared" si="3"/>
        <v>22009142</v>
      </c>
      <c r="K57" s="113"/>
      <c r="L57" s="113"/>
      <c r="M57" s="113"/>
      <c r="N57" s="113"/>
    </row>
    <row r="58" spans="1:14" x14ac:dyDescent="0.25">
      <c r="A58" s="116">
        <v>38</v>
      </c>
      <c r="B58" s="113" t="s">
        <v>214</v>
      </c>
      <c r="C58" s="113"/>
      <c r="D58" s="113">
        <v>2545779.0806549531</v>
      </c>
      <c r="E58" s="113"/>
      <c r="F58" s="113">
        <f>+'Inc Tax'!E17</f>
        <v>988280.70680977486</v>
      </c>
      <c r="G58" s="122">
        <f t="shared" si="2"/>
        <v>3534059.7874647281</v>
      </c>
      <c r="H58" s="118">
        <v>30.3</v>
      </c>
      <c r="I58" s="118"/>
      <c r="J58" s="117">
        <f t="shared" si="3"/>
        <v>107082012</v>
      </c>
      <c r="K58" s="113"/>
      <c r="L58" s="113"/>
      <c r="M58" s="113"/>
      <c r="N58" s="113"/>
    </row>
    <row r="59" spans="1:14" x14ac:dyDescent="0.25">
      <c r="A59" s="116">
        <v>39</v>
      </c>
      <c r="B59" s="113" t="s">
        <v>154</v>
      </c>
      <c r="C59" s="113"/>
      <c r="D59" s="113"/>
      <c r="E59" s="113" t="str">
        <f>+E53</f>
        <v>[b]</v>
      </c>
      <c r="F59" s="113"/>
      <c r="G59" s="122"/>
      <c r="H59" s="118"/>
      <c r="I59" s="118"/>
      <c r="J59" s="117"/>
      <c r="K59" s="113"/>
      <c r="L59" s="113"/>
      <c r="M59" s="113"/>
      <c r="N59" s="113"/>
    </row>
    <row r="60" spans="1:14" x14ac:dyDescent="0.25">
      <c r="A60" s="116">
        <v>40</v>
      </c>
      <c r="B60" s="113" t="s">
        <v>215</v>
      </c>
      <c r="C60" s="113"/>
      <c r="D60" s="113">
        <v>14566932</v>
      </c>
      <c r="E60" s="113"/>
      <c r="F60" s="113"/>
      <c r="G60" s="122">
        <f>+D60+F60</f>
        <v>14566932</v>
      </c>
      <c r="H60" s="118">
        <v>89.4</v>
      </c>
      <c r="I60" s="118"/>
      <c r="J60" s="117">
        <f t="shared" si="3"/>
        <v>1302283721</v>
      </c>
      <c r="K60" s="113"/>
      <c r="M60" s="113"/>
      <c r="N60" s="113"/>
    </row>
    <row r="61" spans="1:14" x14ac:dyDescent="0.25">
      <c r="A61" s="116">
        <v>41</v>
      </c>
      <c r="B61" s="113" t="s">
        <v>216</v>
      </c>
      <c r="C61" s="113"/>
      <c r="D61" s="113">
        <v>337197</v>
      </c>
      <c r="E61" s="113"/>
      <c r="F61" s="113"/>
      <c r="G61" s="122">
        <f t="shared" si="2"/>
        <v>337197</v>
      </c>
      <c r="H61" s="118">
        <v>10.3</v>
      </c>
      <c r="I61" s="118"/>
      <c r="J61" s="117">
        <f t="shared" si="3"/>
        <v>3473129</v>
      </c>
      <c r="K61" s="113"/>
      <c r="L61" s="113"/>
      <c r="M61" s="113"/>
      <c r="N61" s="113"/>
    </row>
    <row r="62" spans="1:14" x14ac:dyDescent="0.25">
      <c r="A62" s="116">
        <v>42</v>
      </c>
      <c r="B62" s="113" t="s">
        <v>217</v>
      </c>
      <c r="C62" s="113"/>
      <c r="D62" s="113">
        <v>202318</v>
      </c>
      <c r="E62" s="113"/>
      <c r="F62" s="113"/>
      <c r="G62" s="122">
        <f t="shared" si="2"/>
        <v>202318</v>
      </c>
      <c r="H62" s="118">
        <v>15.8</v>
      </c>
      <c r="I62" s="118"/>
      <c r="J62" s="117">
        <f t="shared" si="3"/>
        <v>3196624</v>
      </c>
      <c r="K62" s="113"/>
      <c r="L62" s="113"/>
      <c r="M62" s="113"/>
      <c r="N62" s="113"/>
    </row>
    <row r="63" spans="1:14" x14ac:dyDescent="0.25">
      <c r="A63" s="116">
        <v>43</v>
      </c>
      <c r="B63" s="113" t="s">
        <v>218</v>
      </c>
      <c r="C63" s="113"/>
      <c r="D63" s="114"/>
      <c r="E63" s="114" t="str">
        <f>+E59</f>
        <v>[b]</v>
      </c>
      <c r="F63" s="114"/>
      <c r="G63" s="122"/>
      <c r="H63" s="118"/>
      <c r="I63" s="118"/>
      <c r="J63" s="137"/>
      <c r="K63" s="113"/>
      <c r="L63" s="113"/>
      <c r="M63" s="113"/>
      <c r="N63" s="113"/>
    </row>
    <row r="64" spans="1:14" x14ac:dyDescent="0.25">
      <c r="A64" s="116"/>
      <c r="B64" s="113"/>
      <c r="C64" s="113"/>
      <c r="D64" s="113"/>
      <c r="E64" s="113"/>
      <c r="F64" s="113"/>
      <c r="G64" s="126"/>
      <c r="H64" s="113"/>
      <c r="I64" s="113"/>
      <c r="J64" s="118"/>
      <c r="K64" s="113"/>
      <c r="L64" s="113"/>
      <c r="M64" s="117"/>
      <c r="N64" s="117"/>
    </row>
    <row r="65" spans="1:14" ht="15.75" thickBot="1" x14ac:dyDescent="0.3">
      <c r="A65" s="116">
        <v>44</v>
      </c>
      <c r="B65" s="113" t="s">
        <v>219</v>
      </c>
      <c r="C65" s="113"/>
      <c r="D65" s="178">
        <f>SUM(D51:D63)</f>
        <v>79088898.617011815</v>
      </c>
      <c r="E65" s="178"/>
      <c r="F65" s="178">
        <f>SUM(F26:F60)</f>
        <v>-3293251.2303796299</v>
      </c>
      <c r="G65" s="128">
        <f>SUM(G51:G63)</f>
        <v>32049249.263388902</v>
      </c>
      <c r="H65" s="117"/>
      <c r="I65" s="117"/>
      <c r="J65" s="128">
        <f>SUM(J51:J63)</f>
        <v>6093757109</v>
      </c>
      <c r="K65" s="117"/>
      <c r="L65" s="113"/>
      <c r="M65" s="113"/>
      <c r="N65" s="113"/>
    </row>
    <row r="66" spans="1:14" ht="15.75" thickTop="1" x14ac:dyDescent="0.25">
      <c r="A66" s="116"/>
      <c r="B66" s="113"/>
      <c r="C66" s="113"/>
      <c r="D66" s="113"/>
      <c r="E66" s="113"/>
      <c r="G66" s="129"/>
      <c r="H66" s="113"/>
      <c r="I66" s="113"/>
      <c r="J66" s="113"/>
      <c r="K66" s="113"/>
      <c r="L66" s="113"/>
      <c r="M66" s="113"/>
      <c r="N66" s="113"/>
    </row>
    <row r="67" spans="1:14" ht="15.75" thickBot="1" x14ac:dyDescent="0.3">
      <c r="A67" s="116">
        <v>45</v>
      </c>
      <c r="B67" s="113" t="s">
        <v>220</v>
      </c>
      <c r="C67" s="113"/>
      <c r="D67" s="113"/>
      <c r="E67" s="113"/>
      <c r="G67" s="113"/>
      <c r="H67" s="113"/>
      <c r="I67" s="113"/>
      <c r="J67" s="120">
        <f>IF(D65=0,0,ROUND(J65/D65,2))</f>
        <v>77.05</v>
      </c>
      <c r="K67" s="113"/>
      <c r="L67" s="118"/>
      <c r="M67" s="118"/>
      <c r="N67" s="118"/>
    </row>
    <row r="68" spans="1:14" ht="15.75" thickTop="1" x14ac:dyDescent="0.25">
      <c r="A68" s="116"/>
      <c r="F68" s="113"/>
      <c r="G68" s="113"/>
      <c r="H68" s="113"/>
      <c r="I68" s="113"/>
      <c r="J68" s="113"/>
      <c r="K68" s="113"/>
      <c r="L68" s="118"/>
      <c r="M68" s="118"/>
      <c r="N68" s="113"/>
    </row>
    <row r="69" spans="1:14" x14ac:dyDescent="0.25">
      <c r="A69" s="116"/>
      <c r="B69" s="113"/>
      <c r="C69" s="113"/>
      <c r="D69" s="113"/>
      <c r="E69" s="113"/>
      <c r="F69" s="113"/>
      <c r="G69" s="113"/>
      <c r="H69" s="113"/>
      <c r="I69" s="113"/>
      <c r="J69" s="113"/>
      <c r="K69" s="118"/>
      <c r="L69" s="113"/>
      <c r="M69" s="113"/>
      <c r="N69" s="113"/>
    </row>
    <row r="70" spans="1:14" x14ac:dyDescent="0.25">
      <c r="A70" s="116"/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</row>
    <row r="71" spans="1:14" x14ac:dyDescent="0.25">
      <c r="A71" s="130" t="s">
        <v>18</v>
      </c>
      <c r="B71" s="114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</row>
    <row r="72" spans="1:14" x14ac:dyDescent="0.25">
      <c r="A72" s="131" t="s">
        <v>307</v>
      </c>
      <c r="B72" s="113"/>
      <c r="C72" s="113"/>
      <c r="D72" s="113"/>
      <c r="E72" s="113"/>
      <c r="G72" s="113"/>
      <c r="H72" s="113"/>
      <c r="I72" s="113"/>
      <c r="J72" s="113"/>
      <c r="K72" s="113"/>
      <c r="L72" s="113"/>
      <c r="M72" s="113"/>
      <c r="N72" s="113"/>
    </row>
    <row r="73" spans="1:14" x14ac:dyDescent="0.25">
      <c r="A73" s="116" t="s">
        <v>302</v>
      </c>
      <c r="B73" s="113" t="s">
        <v>308</v>
      </c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</row>
    <row r="74" spans="1:14" x14ac:dyDescent="0.25">
      <c r="A74" s="116" t="s">
        <v>306</v>
      </c>
      <c r="B74" s="113" t="s">
        <v>93</v>
      </c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</row>
    <row r="75" spans="1:14" x14ac:dyDescent="0.25">
      <c r="A75" s="116"/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</row>
    <row r="76" spans="1:14" x14ac:dyDescent="0.25">
      <c r="A76" s="116"/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</row>
    <row r="77" spans="1:14" x14ac:dyDescent="0.25">
      <c r="A77" s="116"/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</row>
    <row r="78" spans="1:14" x14ac:dyDescent="0.25">
      <c r="A78" s="121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</row>
    <row r="79" spans="1:14" x14ac:dyDescent="0.25">
      <c r="A79" s="121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</row>
    <row r="80" spans="1:14" x14ac:dyDescent="0.25">
      <c r="A80" s="121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</row>
    <row r="81" spans="1:14" x14ac:dyDescent="0.25">
      <c r="A81" s="121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</row>
    <row r="82" spans="1:14" x14ac:dyDescent="0.25">
      <c r="A82" s="121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</row>
    <row r="83" spans="1:14" x14ac:dyDescent="0.25">
      <c r="A83" s="121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</row>
    <row r="84" spans="1:14" x14ac:dyDescent="0.25">
      <c r="A84" s="121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</row>
    <row r="85" spans="1:14" x14ac:dyDescent="0.25">
      <c r="A85" s="121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</row>
    <row r="86" spans="1:14" x14ac:dyDescent="0.25">
      <c r="A86" s="121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</row>
    <row r="87" spans="1:14" x14ac:dyDescent="0.25">
      <c r="A87" s="121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</row>
    <row r="88" spans="1:14" x14ac:dyDescent="0.25">
      <c r="A88" s="121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</row>
    <row r="89" spans="1:14" x14ac:dyDescent="0.25">
      <c r="A89" s="121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</row>
    <row r="90" spans="1:14" x14ac:dyDescent="0.25">
      <c r="A90" s="121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</row>
    <row r="91" spans="1:14" x14ac:dyDescent="0.25">
      <c r="A91" s="121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</row>
    <row r="92" spans="1:14" x14ac:dyDescent="0.25">
      <c r="A92" s="121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</row>
    <row r="93" spans="1:14" x14ac:dyDescent="0.25">
      <c r="A93" s="121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</row>
    <row r="94" spans="1:14" x14ac:dyDescent="0.25">
      <c r="A94" s="121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</row>
    <row r="95" spans="1:14" x14ac:dyDescent="0.25">
      <c r="A95" s="121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</row>
    <row r="96" spans="1:14" x14ac:dyDescent="0.25">
      <c r="A96" s="121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</row>
    <row r="97" spans="1:14" x14ac:dyDescent="0.25">
      <c r="A97" s="121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</row>
    <row r="98" spans="1:14" x14ac:dyDescent="0.25">
      <c r="A98" s="121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</row>
    <row r="99" spans="1:14" x14ac:dyDescent="0.25">
      <c r="A99" s="121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</row>
    <row r="100" spans="1:14" x14ac:dyDescent="0.25">
      <c r="A100" s="121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</row>
    <row r="101" spans="1:14" x14ac:dyDescent="0.25">
      <c r="A101" s="121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</row>
    <row r="102" spans="1:14" x14ac:dyDescent="0.25">
      <c r="A102" s="121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</row>
    <row r="103" spans="1:14" x14ac:dyDescent="0.25">
      <c r="A103" s="121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</row>
    <row r="104" spans="1:14" x14ac:dyDescent="0.25">
      <c r="A104" s="121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</row>
    <row r="105" spans="1:14" x14ac:dyDescent="0.25">
      <c r="A105" s="121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</row>
  </sheetData>
  <pageMargins left="0.7" right="0.7" top="0.75" bottom="0.75" header="0.3" footer="0.3"/>
  <pageSetup scale="55" orientation="portrait" r:id="rId1"/>
  <ignoredErrors>
    <ignoredError sqref="G26:G38 G40 G43:G52 G54:G58 G60:G62" unlockedFormula="1"/>
    <ignoredError sqref="F65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5AB44-334F-45D2-8C66-817767501F29}">
  <sheetPr>
    <pageSetUpPr fitToPage="1"/>
  </sheetPr>
  <dimension ref="A1:H30"/>
  <sheetViews>
    <sheetView workbookViewId="0">
      <selection activeCell="E25" sqref="E25"/>
    </sheetView>
  </sheetViews>
  <sheetFormatPr defaultRowHeight="15" x14ac:dyDescent="0.25"/>
  <cols>
    <col min="2" max="2" width="44.28515625" customWidth="1"/>
    <col min="3" max="4" width="16.7109375" customWidth="1"/>
    <col min="5" max="5" width="20.140625" customWidth="1"/>
    <col min="7" max="7" width="15" bestFit="1" customWidth="1"/>
  </cols>
  <sheetData>
    <row r="1" spans="1:8" ht="15.75" x14ac:dyDescent="0.25">
      <c r="A1" s="1" t="str">
        <f>A!A1</f>
        <v>Kentucky-American Water Company</v>
      </c>
      <c r="B1" s="1"/>
      <c r="C1" s="1"/>
      <c r="D1" s="1"/>
      <c r="E1" s="9" t="str">
        <f>A!H1</f>
        <v>Case No. 2025-00122</v>
      </c>
    </row>
    <row r="2" spans="1:8" ht="15.75" x14ac:dyDescent="0.25">
      <c r="A2" s="1" t="str">
        <f>A!A2</f>
        <v>Forecasted Test Period: Twelve Months Ended December 31, 2026</v>
      </c>
      <c r="B2" s="1"/>
      <c r="C2" s="1"/>
      <c r="D2" s="1"/>
      <c r="E2" s="9" t="str">
        <f>A!H2</f>
        <v>Exhibit JD-1</v>
      </c>
    </row>
    <row r="3" spans="1:8" ht="15.75" x14ac:dyDescent="0.25">
      <c r="A3" s="1"/>
      <c r="B3" s="1"/>
      <c r="C3" s="1"/>
      <c r="D3" s="1"/>
      <c r="E3" s="9" t="s">
        <v>28</v>
      </c>
    </row>
    <row r="4" spans="1:8" ht="15.75" x14ac:dyDescent="0.25">
      <c r="A4" s="1" t="s">
        <v>230</v>
      </c>
      <c r="B4" s="1"/>
      <c r="C4" s="1"/>
      <c r="D4" s="1"/>
      <c r="E4" s="9" t="s">
        <v>55</v>
      </c>
    </row>
    <row r="5" spans="1:8" ht="15.75" x14ac:dyDescent="0.25">
      <c r="A5" s="1"/>
      <c r="B5" s="1"/>
      <c r="C5" s="1"/>
      <c r="D5" s="1"/>
      <c r="E5" s="9"/>
    </row>
    <row r="6" spans="1:8" ht="15.75" x14ac:dyDescent="0.25">
      <c r="C6" s="15" t="s">
        <v>39</v>
      </c>
      <c r="E6" s="15" t="s">
        <v>39</v>
      </c>
    </row>
    <row r="7" spans="1:8" ht="15.75" x14ac:dyDescent="0.25">
      <c r="B7" s="1"/>
      <c r="C7" s="15" t="s">
        <v>37</v>
      </c>
      <c r="D7" s="15"/>
      <c r="E7" s="15" t="s">
        <v>37</v>
      </c>
      <c r="F7" s="1"/>
      <c r="G7" s="1"/>
      <c r="H7" s="1"/>
    </row>
    <row r="8" spans="1:8" ht="15.75" x14ac:dyDescent="0.25">
      <c r="B8" s="1"/>
      <c r="C8" s="15" t="s">
        <v>274</v>
      </c>
      <c r="D8" s="15" t="s">
        <v>260</v>
      </c>
      <c r="E8" s="15" t="s">
        <v>274</v>
      </c>
      <c r="F8" s="1"/>
      <c r="G8" s="1"/>
      <c r="H8" s="1"/>
    </row>
    <row r="9" spans="1:8" ht="15.75" x14ac:dyDescent="0.25">
      <c r="A9" s="14" t="s">
        <v>22</v>
      </c>
      <c r="B9" s="14" t="s">
        <v>12</v>
      </c>
      <c r="C9" s="18" t="s">
        <v>31</v>
      </c>
      <c r="D9" s="18" t="s">
        <v>43</v>
      </c>
      <c r="E9" s="18" t="s">
        <v>259</v>
      </c>
      <c r="F9" s="1"/>
      <c r="G9" s="1"/>
      <c r="H9" s="1"/>
    </row>
    <row r="10" spans="1:8" ht="15.75" x14ac:dyDescent="0.25">
      <c r="B10" s="1"/>
      <c r="C10" s="15" t="s">
        <v>25</v>
      </c>
      <c r="D10" s="15" t="s">
        <v>26</v>
      </c>
      <c r="E10" s="15" t="s">
        <v>27</v>
      </c>
      <c r="F10" s="1"/>
      <c r="G10" s="1"/>
      <c r="H10" s="1"/>
    </row>
    <row r="11" spans="1:8" ht="15.75" x14ac:dyDescent="0.25">
      <c r="B11" s="1"/>
      <c r="C11" s="1"/>
      <c r="D11" s="1"/>
      <c r="E11" s="1"/>
      <c r="F11" s="1"/>
      <c r="G11" s="1"/>
      <c r="H11" s="1"/>
    </row>
    <row r="12" spans="1:8" ht="15.75" x14ac:dyDescent="0.25">
      <c r="A12" s="15">
        <v>1</v>
      </c>
      <c r="B12" s="1" t="s">
        <v>49</v>
      </c>
      <c r="C12" s="20">
        <v>126609982.88074991</v>
      </c>
      <c r="D12" s="20"/>
      <c r="E12" s="20">
        <f>+C12+D12</f>
        <v>126609982.88074991</v>
      </c>
      <c r="F12" s="1"/>
      <c r="G12" s="1"/>
      <c r="H12" s="1"/>
    </row>
    <row r="13" spans="1:8" ht="15.75" x14ac:dyDescent="0.25">
      <c r="A13" s="15"/>
      <c r="B13" s="22"/>
      <c r="C13" s="19"/>
      <c r="D13" s="19"/>
      <c r="E13" s="19"/>
      <c r="F13" s="1"/>
      <c r="G13" s="1"/>
      <c r="H13" s="1"/>
    </row>
    <row r="14" spans="1:8" ht="15.75" x14ac:dyDescent="0.25">
      <c r="A14" s="15">
        <v>2</v>
      </c>
      <c r="B14" s="23" t="s">
        <v>137</v>
      </c>
      <c r="C14" s="19"/>
      <c r="D14" s="19"/>
      <c r="E14" s="19"/>
      <c r="F14" s="1"/>
      <c r="G14" s="1"/>
      <c r="H14" s="1"/>
    </row>
    <row r="15" spans="1:8" ht="15.75" x14ac:dyDescent="0.25">
      <c r="A15" s="15">
        <v>3</v>
      </c>
      <c r="B15" s="23" t="s">
        <v>144</v>
      </c>
      <c r="C15" s="194">
        <v>50980498.510431372</v>
      </c>
      <c r="D15" s="194">
        <f>-'C p 2'!D13-'C p 2'!D14-'C p 2'!D15-'C p 2'!D16-'C p 2'!D18-'C p 2'!D19-'C p 2'!D20-'C p 2'!D21-'C p 2'!D22-'C p 2'!D24</f>
        <v>-4349666.5020000003</v>
      </c>
      <c r="E15" s="194">
        <f t="shared" ref="E15:E22" si="0">+C15+D15</f>
        <v>46630832.008431375</v>
      </c>
      <c r="F15" s="1"/>
      <c r="G15" s="195"/>
      <c r="H15" s="195"/>
    </row>
    <row r="16" spans="1:8" ht="15.75" x14ac:dyDescent="0.25">
      <c r="A16" s="15">
        <v>4</v>
      </c>
      <c r="B16" s="23" t="s">
        <v>138</v>
      </c>
      <c r="C16" s="19">
        <v>33721594.554611675</v>
      </c>
      <c r="D16" s="19"/>
      <c r="E16" s="19">
        <f t="shared" si="0"/>
        <v>33721594.554611675</v>
      </c>
      <c r="F16" s="1"/>
      <c r="G16" s="1"/>
      <c r="H16" s="1"/>
    </row>
    <row r="17" spans="1:8" ht="15.75" x14ac:dyDescent="0.25">
      <c r="A17" s="15">
        <v>5</v>
      </c>
      <c r="B17" s="23" t="s">
        <v>139</v>
      </c>
      <c r="C17" s="19">
        <v>14722.92</v>
      </c>
      <c r="D17" s="19"/>
      <c r="E17" s="19">
        <f t="shared" si="0"/>
        <v>14722.92</v>
      </c>
      <c r="F17" s="1"/>
      <c r="G17" s="1"/>
      <c r="H17" s="1"/>
    </row>
    <row r="18" spans="1:8" ht="15.75" x14ac:dyDescent="0.25">
      <c r="A18" s="15">
        <v>6</v>
      </c>
      <c r="B18" s="23" t="s">
        <v>140</v>
      </c>
      <c r="C18" s="19">
        <v>57080.039999999994</v>
      </c>
      <c r="D18" s="19">
        <f>'Rate Case Exp'!D15</f>
        <v>-424565.66666666663</v>
      </c>
      <c r="E18" s="19">
        <f t="shared" si="0"/>
        <v>-367485.62666666665</v>
      </c>
      <c r="F18" s="1"/>
      <c r="G18" s="1"/>
      <c r="H18" s="1"/>
    </row>
    <row r="19" spans="1:8" ht="15.75" x14ac:dyDescent="0.25">
      <c r="A19" s="15">
        <v>7</v>
      </c>
      <c r="B19" s="23" t="s">
        <v>141</v>
      </c>
      <c r="C19" s="19">
        <v>858468.65411315928</v>
      </c>
      <c r="D19" s="19">
        <f>'Inc Tax'!E24-'Int synch '!E21</f>
        <v>260021.79983529638</v>
      </c>
      <c r="E19" s="19">
        <f t="shared" si="0"/>
        <v>1118490.4539484556</v>
      </c>
      <c r="F19" s="1"/>
      <c r="G19" s="1"/>
      <c r="H19" s="1"/>
    </row>
    <row r="20" spans="1:8" ht="15.75" x14ac:dyDescent="0.25">
      <c r="A20" s="15">
        <v>8</v>
      </c>
      <c r="B20" s="23" t="s">
        <v>142</v>
      </c>
      <c r="C20" s="19">
        <v>2440321.5301045645</v>
      </c>
      <c r="D20" s="19">
        <f>'Inc Tax'!E17-'Int synch '!E22</f>
        <v>1037486.9813428323</v>
      </c>
      <c r="E20" s="19">
        <f t="shared" si="0"/>
        <v>3477808.5114473971</v>
      </c>
      <c r="F20" s="1"/>
      <c r="G20" s="1"/>
      <c r="H20" s="1"/>
    </row>
    <row r="21" spans="1:8" ht="15.75" x14ac:dyDescent="0.25">
      <c r="A21" s="15">
        <v>9</v>
      </c>
      <c r="B21" s="23" t="s">
        <v>143</v>
      </c>
      <c r="C21" s="19">
        <v>0</v>
      </c>
      <c r="D21" s="19"/>
      <c r="E21" s="19">
        <f t="shared" si="0"/>
        <v>0</v>
      </c>
      <c r="F21" s="1"/>
      <c r="G21" s="1"/>
      <c r="H21" s="1"/>
    </row>
    <row r="22" spans="1:8" ht="15.75" x14ac:dyDescent="0.25">
      <c r="A22" s="15">
        <v>10</v>
      </c>
      <c r="B22" s="23" t="s">
        <v>145</v>
      </c>
      <c r="C22" s="20">
        <v>11609805.601013795</v>
      </c>
      <c r="D22" s="20">
        <f>'Payroll Tax'!D13</f>
        <v>-179555.83539235572</v>
      </c>
      <c r="E22" s="20">
        <f t="shared" si="0"/>
        <v>11430249.765621439</v>
      </c>
      <c r="F22" s="1"/>
      <c r="G22" s="1"/>
      <c r="H22" s="1"/>
    </row>
    <row r="23" spans="1:8" ht="15.75" x14ac:dyDescent="0.25">
      <c r="A23" s="15">
        <v>11</v>
      </c>
      <c r="B23" s="23" t="s">
        <v>99</v>
      </c>
      <c r="C23" s="19">
        <f>SUM(C15:C22)</f>
        <v>99682491.810274571</v>
      </c>
      <c r="D23" s="19">
        <f>SUM(D15:D22)</f>
        <v>-3656279.2228808943</v>
      </c>
      <c r="E23" s="19">
        <f>SUM(E15:E22)</f>
        <v>96026212.587393686</v>
      </c>
      <c r="F23" s="1"/>
      <c r="G23" s="19"/>
      <c r="H23" s="1"/>
    </row>
    <row r="24" spans="1:8" ht="15.75" x14ac:dyDescent="0.25">
      <c r="A24" s="15"/>
      <c r="B24" s="23"/>
      <c r="C24" s="19"/>
      <c r="D24" s="19"/>
      <c r="E24" s="19"/>
      <c r="F24" s="1"/>
      <c r="G24" s="19"/>
      <c r="H24" s="1"/>
    </row>
    <row r="25" spans="1:8" ht="16.5" thickBot="1" x14ac:dyDescent="0.3">
      <c r="A25" s="15">
        <v>12</v>
      </c>
      <c r="B25" s="23" t="s">
        <v>48</v>
      </c>
      <c r="C25" s="24">
        <f>+C12-C23+2</f>
        <v>26927493.07047534</v>
      </c>
      <c r="D25" s="24">
        <f>+E25-C25</f>
        <v>3656277.222880885</v>
      </c>
      <c r="E25" s="24">
        <f>+E12-E23</f>
        <v>30583770.293356225</v>
      </c>
      <c r="F25" s="1"/>
      <c r="G25" s="19"/>
      <c r="H25" s="1"/>
    </row>
    <row r="26" spans="1:8" ht="16.5" thickTop="1" x14ac:dyDescent="0.25">
      <c r="A26" s="15"/>
      <c r="B26" s="23"/>
      <c r="C26" s="19"/>
      <c r="D26" s="19"/>
      <c r="E26" s="19"/>
      <c r="F26" s="1"/>
      <c r="G26" s="1"/>
      <c r="H26" s="1"/>
    </row>
    <row r="27" spans="1:8" ht="15.75" x14ac:dyDescent="0.25">
      <c r="A27" s="15"/>
      <c r="B27" s="1"/>
      <c r="C27" s="19"/>
      <c r="D27" s="19"/>
      <c r="E27" s="19"/>
      <c r="F27" s="1"/>
      <c r="G27" s="1"/>
      <c r="H27" s="1"/>
    </row>
    <row r="28" spans="1:8" ht="15.75" x14ac:dyDescent="0.25">
      <c r="A28" s="14" t="s">
        <v>30</v>
      </c>
      <c r="B28" s="14"/>
      <c r="C28" s="20"/>
      <c r="D28" s="20"/>
      <c r="E28" s="20"/>
      <c r="F28" s="1"/>
      <c r="G28" s="1"/>
      <c r="H28" s="1"/>
    </row>
    <row r="29" spans="1:8" ht="15.75" x14ac:dyDescent="0.25">
      <c r="A29" s="26" t="s">
        <v>273</v>
      </c>
      <c r="B29" s="1"/>
      <c r="C29" s="19"/>
      <c r="D29" s="19"/>
      <c r="E29" s="19"/>
      <c r="F29" s="1"/>
      <c r="G29" s="1"/>
      <c r="H29" s="1"/>
    </row>
    <row r="30" spans="1:8" ht="15.75" x14ac:dyDescent="0.25">
      <c r="B30" s="1"/>
      <c r="C30" s="1"/>
      <c r="D30" s="1"/>
      <c r="E30" s="1"/>
      <c r="F30" s="1"/>
      <c r="G30" s="1"/>
      <c r="H30" s="1"/>
    </row>
  </sheetData>
  <pageMargins left="0.7" right="0.7" top="0.75" bottom="0.75" header="0.3" footer="0.3"/>
  <pageSetup scale="8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6DB33-7007-4713-9E89-B24D3D42BAAB}">
  <sheetPr>
    <pageSetUpPr fitToPage="1"/>
  </sheetPr>
  <dimension ref="A1:I49"/>
  <sheetViews>
    <sheetView topLeftCell="A10" workbookViewId="0">
      <selection activeCell="D29" sqref="D29"/>
    </sheetView>
  </sheetViews>
  <sheetFormatPr defaultRowHeight="15" x14ac:dyDescent="0.25"/>
  <cols>
    <col min="2" max="2" width="48.28515625" customWidth="1"/>
    <col min="3" max="3" width="2.140625" customWidth="1"/>
    <col min="4" max="6" width="20.7109375" customWidth="1"/>
    <col min="7" max="7" width="17.7109375" customWidth="1"/>
    <col min="8" max="8" width="17.140625" customWidth="1"/>
    <col min="9" max="9" width="10" bestFit="1" customWidth="1"/>
  </cols>
  <sheetData>
    <row r="1" spans="1:7" ht="15.75" x14ac:dyDescent="0.25">
      <c r="A1" s="1" t="str">
        <f>A!A1</f>
        <v>Kentucky-American Water Company</v>
      </c>
      <c r="B1" s="1"/>
      <c r="C1" s="1"/>
      <c r="D1" s="1"/>
      <c r="E1" s="9" t="str">
        <f>A!H1</f>
        <v>Case No. 2025-00122</v>
      </c>
    </row>
    <row r="2" spans="1:7" ht="15.75" x14ac:dyDescent="0.25">
      <c r="A2" s="1" t="str">
        <f>A!A2</f>
        <v>Forecasted Test Period: Twelve Months Ended December 31, 2026</v>
      </c>
      <c r="B2" s="1"/>
      <c r="C2" s="1"/>
      <c r="D2" s="1"/>
      <c r="E2" s="9" t="str">
        <f>A!H2</f>
        <v>Exhibit JD-1</v>
      </c>
    </row>
    <row r="3" spans="1:7" ht="15.75" x14ac:dyDescent="0.25">
      <c r="A3" s="1"/>
      <c r="B3" s="1"/>
      <c r="C3" s="1"/>
      <c r="D3" s="1"/>
      <c r="E3" s="9" t="str">
        <f>'C'!E3</f>
        <v>Schedule C</v>
      </c>
    </row>
    <row r="4" spans="1:7" ht="15.75" x14ac:dyDescent="0.25">
      <c r="A4" s="1" t="str">
        <f>'C'!A4</f>
        <v>Operating Income - Excluding QIP</v>
      </c>
      <c r="B4" s="1"/>
      <c r="C4" s="1"/>
      <c r="D4" s="1"/>
      <c r="E4" s="9" t="s">
        <v>56</v>
      </c>
    </row>
    <row r="5" spans="1:7" ht="15.75" x14ac:dyDescent="0.25">
      <c r="A5" s="1"/>
      <c r="B5" s="1"/>
      <c r="C5" s="1"/>
      <c r="D5" s="1"/>
      <c r="E5" s="1"/>
      <c r="F5" s="9"/>
    </row>
    <row r="6" spans="1:7" ht="15.75" x14ac:dyDescent="0.25">
      <c r="A6" s="1"/>
      <c r="B6" s="1"/>
      <c r="C6" s="1"/>
      <c r="D6" s="1"/>
      <c r="E6" s="1"/>
      <c r="F6" s="1"/>
    </row>
    <row r="7" spans="1:7" ht="15.75" x14ac:dyDescent="0.25">
      <c r="A7" s="34" t="s">
        <v>61</v>
      </c>
      <c r="B7" s="34"/>
      <c r="C7" s="34"/>
      <c r="D7" s="34" t="s">
        <v>167</v>
      </c>
      <c r="E7" s="34"/>
      <c r="F7" s="34"/>
    </row>
    <row r="8" spans="1:7" ht="15.75" x14ac:dyDescent="0.25">
      <c r="A8" s="35" t="s">
        <v>11</v>
      </c>
      <c r="B8" s="35" t="s">
        <v>12</v>
      </c>
      <c r="C8" s="34"/>
      <c r="D8" s="35" t="s">
        <v>37</v>
      </c>
      <c r="E8" s="70" t="s">
        <v>90</v>
      </c>
      <c r="F8" s="34"/>
    </row>
    <row r="9" spans="1:7" ht="15.75" x14ac:dyDescent="0.25">
      <c r="A9" s="34" t="s">
        <v>54</v>
      </c>
      <c r="B9" s="34"/>
      <c r="C9" s="34"/>
      <c r="D9" s="34" t="s">
        <v>25</v>
      </c>
      <c r="E9" s="34"/>
      <c r="F9" s="34"/>
    </row>
    <row r="10" spans="1:7" ht="30.75" x14ac:dyDescent="0.25">
      <c r="A10" s="36">
        <v>1</v>
      </c>
      <c r="B10" s="23" t="s">
        <v>131</v>
      </c>
      <c r="C10" s="62"/>
      <c r="D10" s="60">
        <f>'C'!C25</f>
        <v>26927493.07047534</v>
      </c>
      <c r="E10" s="42" t="s">
        <v>221</v>
      </c>
      <c r="F10" s="37"/>
    </row>
    <row r="11" spans="1:7" ht="15.75" x14ac:dyDescent="0.25">
      <c r="A11" s="36">
        <f>+A10+1</f>
        <v>2</v>
      </c>
      <c r="B11" s="57"/>
      <c r="C11" s="62"/>
      <c r="D11" s="60"/>
      <c r="E11" s="66"/>
      <c r="F11" s="38"/>
    </row>
    <row r="12" spans="1:7" ht="15.75" x14ac:dyDescent="0.25">
      <c r="A12" s="36">
        <f t="shared" ref="A12:A17" si="0">+A11+1</f>
        <v>3</v>
      </c>
      <c r="B12" s="95" t="s">
        <v>275</v>
      </c>
      <c r="C12" s="1"/>
      <c r="D12" s="59"/>
      <c r="E12" s="66"/>
      <c r="F12" s="38"/>
    </row>
    <row r="13" spans="1:7" ht="15.75" x14ac:dyDescent="0.25">
      <c r="A13" s="36">
        <f t="shared" si="0"/>
        <v>4</v>
      </c>
      <c r="B13" s="23" t="str">
        <f>Payroll!A4</f>
        <v>Payroll Expense</v>
      </c>
      <c r="C13" s="62"/>
      <c r="D13" s="60">
        <f>-Payroll!D15</f>
        <v>610390.3679999999</v>
      </c>
      <c r="E13" s="1" t="str">
        <f>Payroll!E3</f>
        <v>Schedule C-1</v>
      </c>
      <c r="F13" s="38"/>
    </row>
    <row r="14" spans="1:7" ht="15.75" x14ac:dyDescent="0.25">
      <c r="A14" s="36">
        <f t="shared" si="0"/>
        <v>5</v>
      </c>
      <c r="B14" s="23" t="str">
        <f>'Incentive Comp'!A4</f>
        <v xml:space="preserve">Incentive Compensation </v>
      </c>
      <c r="C14" s="62"/>
      <c r="D14" s="60">
        <f>-'Incentive Comp'!D15</f>
        <v>1846694</v>
      </c>
      <c r="E14" s="1" t="str">
        <f>'Incentive Comp'!E3</f>
        <v>Schedule C-2</v>
      </c>
      <c r="F14" s="38"/>
      <c r="G14" s="73"/>
    </row>
    <row r="15" spans="1:7" ht="15.75" x14ac:dyDescent="0.25">
      <c r="A15" s="36">
        <f t="shared" si="0"/>
        <v>6</v>
      </c>
      <c r="B15" s="23" t="str">
        <f>ESPP!A4</f>
        <v>Employee Stock Purchase Plan Discount</v>
      </c>
      <c r="C15" s="62"/>
      <c r="D15" s="60">
        <f>-ESPP!D15</f>
        <v>61961</v>
      </c>
      <c r="E15" s="1" t="str">
        <f>ESPP!E3</f>
        <v>Schedule C-3</v>
      </c>
      <c r="F15" s="38"/>
    </row>
    <row r="16" spans="1:7" ht="15.75" x14ac:dyDescent="0.25">
      <c r="A16" s="36">
        <f t="shared" si="0"/>
        <v>7</v>
      </c>
      <c r="B16" s="23" t="str">
        <f>UFW!A4</f>
        <v>Unaccounted For Water</v>
      </c>
      <c r="C16" s="62"/>
      <c r="D16" s="61">
        <f>-UFW!D12</f>
        <v>394049.01800000004</v>
      </c>
      <c r="E16" s="1" t="str">
        <f>UFW!F3</f>
        <v>Schedule C-4</v>
      </c>
      <c r="F16" s="38"/>
    </row>
    <row r="17" spans="1:9" ht="15.75" x14ac:dyDescent="0.25">
      <c r="A17" s="36">
        <f t="shared" si="0"/>
        <v>8</v>
      </c>
      <c r="B17" s="58" t="str">
        <f>'Rate Case Exp'!A4</f>
        <v>Rate Case Expense</v>
      </c>
      <c r="C17" s="62"/>
      <c r="D17" s="61">
        <f>-'Rate Case Exp'!D15</f>
        <v>424565.66666666663</v>
      </c>
      <c r="E17" s="1" t="str">
        <f>'Rate Case Exp'!H3</f>
        <v>Schedule C-5</v>
      </c>
      <c r="F17" s="38"/>
    </row>
    <row r="18" spans="1:9" ht="15.75" x14ac:dyDescent="0.25">
      <c r="A18" s="15">
        <v>9</v>
      </c>
      <c r="B18" s="58" t="str">
        <f>'Bus Dev'!A4</f>
        <v>Business Development Expense</v>
      </c>
      <c r="C18" s="1"/>
      <c r="D18" s="19">
        <f>-'Bus Dev'!D15</f>
        <v>213516</v>
      </c>
      <c r="E18" s="1" t="str">
        <f>'Bus Dev'!E3</f>
        <v>Schedule C-6</v>
      </c>
      <c r="F18" s="1"/>
      <c r="G18" s="1"/>
    </row>
    <row r="19" spans="1:9" ht="15.75" x14ac:dyDescent="0.25">
      <c r="A19" s="15">
        <v>11</v>
      </c>
      <c r="B19" s="23" t="str">
        <f>'401(k)'!A4</f>
        <v>401(k) Expense</v>
      </c>
      <c r="C19" s="1"/>
      <c r="D19" s="19">
        <f>-'401(k)'!D11</f>
        <v>40950</v>
      </c>
      <c r="E19" s="1" t="str">
        <f>'401(k)'!E3</f>
        <v>Schedule C-7</v>
      </c>
      <c r="F19" s="1"/>
      <c r="G19" s="19"/>
    </row>
    <row r="20" spans="1:9" ht="15.75" x14ac:dyDescent="0.25">
      <c r="A20" s="15">
        <v>12</v>
      </c>
      <c r="B20" s="58" t="str">
        <f>'Growth Factor'!A4</f>
        <v>Growth Factor</v>
      </c>
      <c r="C20" s="1"/>
      <c r="D20" s="19">
        <f>-'Growth Factor'!D12</f>
        <v>698109</v>
      </c>
      <c r="E20" s="1" t="str">
        <f>'Growth Factor'!E3</f>
        <v>Schedule C-8</v>
      </c>
      <c r="F20" s="1"/>
      <c r="G20" s="1"/>
    </row>
    <row r="21" spans="1:9" ht="15.75" x14ac:dyDescent="0.25">
      <c r="A21" s="15">
        <v>13</v>
      </c>
      <c r="B21" s="58" t="str">
        <f>Healthcare!A4</f>
        <v>Healthcare Expense</v>
      </c>
      <c r="C21" s="1"/>
      <c r="D21" s="19">
        <f>-Healthcare!D12</f>
        <v>315000</v>
      </c>
      <c r="E21" s="1" t="str">
        <f>Healthcare!E3</f>
        <v>Schedule C-9</v>
      </c>
      <c r="F21" s="1"/>
      <c r="G21" s="19"/>
    </row>
    <row r="22" spans="1:9" ht="15.75" x14ac:dyDescent="0.25">
      <c r="A22" s="15">
        <v>14</v>
      </c>
      <c r="B22" s="58" t="str">
        <f>Dues!A4</f>
        <v>Membership Dues</v>
      </c>
      <c r="C22" s="1"/>
      <c r="D22" s="19">
        <f>-Dues!D15</f>
        <v>41178</v>
      </c>
      <c r="E22" s="1" t="str">
        <f>Dues!E3</f>
        <v>Schedule C-10</v>
      </c>
      <c r="F22" s="19"/>
      <c r="G22" s="73"/>
    </row>
    <row r="23" spans="1:9" ht="15.75" x14ac:dyDescent="0.25">
      <c r="A23" s="15">
        <v>15</v>
      </c>
      <c r="B23" s="58" t="str">
        <f>'Payroll Tax'!A4</f>
        <v>Payroll Tax</v>
      </c>
      <c r="C23" s="1"/>
      <c r="D23" s="19">
        <f>-'Payroll Tax'!D13</f>
        <v>179555.83539235572</v>
      </c>
      <c r="E23" s="1" t="str">
        <f>'Payroll Tax'!E3</f>
        <v>Schedule C-11</v>
      </c>
      <c r="F23" s="19"/>
      <c r="G23" s="73"/>
    </row>
    <row r="24" spans="1:9" ht="15.75" x14ac:dyDescent="0.25">
      <c r="A24" s="15">
        <v>16</v>
      </c>
      <c r="B24" s="58" t="str">
        <f>Benefits!A4</f>
        <v>Benefits Expense</v>
      </c>
      <c r="C24" s="1"/>
      <c r="D24" s="19">
        <f>-Benefits!D13</f>
        <v>127819.11599999998</v>
      </c>
      <c r="E24" s="1" t="str">
        <f>Benefits!E3</f>
        <v>Schedule C-12</v>
      </c>
      <c r="F24" s="19"/>
      <c r="G24" s="73"/>
    </row>
    <row r="25" spans="1:9" ht="15.75" x14ac:dyDescent="0.25">
      <c r="A25" s="15"/>
      <c r="C25" s="1"/>
      <c r="D25" s="19"/>
      <c r="F25" s="19"/>
      <c r="G25" s="73"/>
      <c r="H25" s="73"/>
      <c r="I25" s="73"/>
    </row>
    <row r="26" spans="1:9" ht="30.75" x14ac:dyDescent="0.25">
      <c r="A26" s="15">
        <v>17</v>
      </c>
      <c r="B26" s="58" t="str">
        <f>'Inc Tax'!A4</f>
        <v>Income Tax Expense</v>
      </c>
      <c r="C26" s="1"/>
      <c r="D26" s="94">
        <f>-'Inc Tax'!E26+'Int synch '!E23</f>
        <v>-1297508.7811781287</v>
      </c>
      <c r="E26" s="138" t="s">
        <v>277</v>
      </c>
      <c r="F26" s="73"/>
      <c r="G26" s="19"/>
    </row>
    <row r="27" spans="1:9" ht="15.75" x14ac:dyDescent="0.25">
      <c r="A27" s="15"/>
      <c r="B27" s="58"/>
      <c r="C27" s="1"/>
      <c r="D27" s="32"/>
      <c r="E27" s="42"/>
      <c r="G27" s="19"/>
    </row>
    <row r="28" spans="1:9" ht="16.5" thickBot="1" x14ac:dyDescent="0.3">
      <c r="A28" s="15">
        <v>18</v>
      </c>
      <c r="B28" s="23" t="s">
        <v>276</v>
      </c>
      <c r="C28" s="1"/>
      <c r="D28" s="93">
        <f>SUM(D10:D27)-2</f>
        <v>30583770.293356236</v>
      </c>
      <c r="E28" s="1"/>
      <c r="F28" s="73"/>
      <c r="G28" s="19"/>
    </row>
    <row r="29" spans="1:9" ht="16.5" thickTop="1" x14ac:dyDescent="0.25">
      <c r="A29" s="15"/>
      <c r="B29" s="22"/>
      <c r="C29" s="1"/>
      <c r="D29" s="32"/>
      <c r="E29" s="1"/>
      <c r="F29" s="180"/>
    </row>
    <row r="30" spans="1:9" ht="15.75" x14ac:dyDescent="0.25">
      <c r="A30" s="1"/>
      <c r="B30" s="23"/>
      <c r="C30" s="1"/>
      <c r="D30" s="1"/>
      <c r="E30" s="1"/>
      <c r="F30" s="1"/>
    </row>
    <row r="31" spans="1:9" ht="15.75" x14ac:dyDescent="0.25">
      <c r="A31" s="1"/>
      <c r="B31" s="22"/>
      <c r="C31" s="1"/>
      <c r="D31" s="1"/>
      <c r="E31" s="1"/>
      <c r="F31" s="1"/>
    </row>
    <row r="32" spans="1:9" ht="15.75" x14ac:dyDescent="0.25">
      <c r="A32" s="1"/>
      <c r="B32" s="22"/>
      <c r="C32" s="1"/>
      <c r="D32" s="1"/>
      <c r="E32" s="1"/>
      <c r="F32" s="1"/>
    </row>
    <row r="33" spans="1:6" ht="15.75" x14ac:dyDescent="0.25">
      <c r="A33" s="1"/>
      <c r="B33" s="23"/>
      <c r="C33" s="1"/>
      <c r="D33" s="1"/>
      <c r="E33" s="1"/>
      <c r="F33" s="1"/>
    </row>
    <row r="34" spans="1:6" ht="15.75" x14ac:dyDescent="0.25">
      <c r="A34" s="1"/>
      <c r="B34" s="22"/>
      <c r="C34" s="1"/>
      <c r="D34" s="1"/>
      <c r="E34" s="1"/>
      <c r="F34" s="1"/>
    </row>
    <row r="35" spans="1:6" ht="15.75" x14ac:dyDescent="0.25">
      <c r="A35" s="1"/>
      <c r="B35" s="23"/>
      <c r="C35" s="1"/>
      <c r="D35" s="1"/>
      <c r="E35" s="1"/>
      <c r="F35" s="1"/>
    </row>
    <row r="36" spans="1:6" ht="15.75" x14ac:dyDescent="0.25">
      <c r="A36" s="1"/>
      <c r="B36" s="1"/>
      <c r="C36" s="1"/>
      <c r="D36" s="1"/>
      <c r="E36" s="1"/>
      <c r="F36" s="1"/>
    </row>
    <row r="37" spans="1:6" ht="15.75" x14ac:dyDescent="0.25">
      <c r="A37" s="1"/>
      <c r="B37" s="1"/>
      <c r="C37" s="1"/>
      <c r="D37" s="1"/>
      <c r="E37" s="1"/>
      <c r="F37" s="1"/>
    </row>
    <row r="38" spans="1:6" ht="15.75" x14ac:dyDescent="0.25">
      <c r="A38" s="1"/>
      <c r="B38" s="1"/>
      <c r="C38" s="1"/>
      <c r="D38" s="1"/>
      <c r="E38" s="1"/>
      <c r="F38" s="1"/>
    </row>
    <row r="39" spans="1:6" ht="15.75" x14ac:dyDescent="0.25">
      <c r="A39" s="1"/>
      <c r="B39" s="1"/>
      <c r="C39" s="1"/>
      <c r="D39" s="1"/>
      <c r="E39" s="1"/>
      <c r="F39" s="1"/>
    </row>
    <row r="40" spans="1:6" ht="15.75" x14ac:dyDescent="0.25">
      <c r="A40" s="1"/>
      <c r="B40" s="1"/>
      <c r="C40" s="19"/>
      <c r="D40" s="1"/>
      <c r="E40" s="1"/>
      <c r="F40" s="1"/>
    </row>
    <row r="41" spans="1:6" ht="15.75" x14ac:dyDescent="0.25">
      <c r="A41" s="1"/>
      <c r="B41" s="1"/>
      <c r="C41" s="19"/>
      <c r="D41" s="1"/>
      <c r="E41" s="1"/>
      <c r="F41" s="1"/>
    </row>
    <row r="42" spans="1:6" ht="15.75" x14ac:dyDescent="0.25">
      <c r="A42" s="1"/>
      <c r="B42" s="1"/>
      <c r="C42" s="1"/>
      <c r="D42" s="1"/>
      <c r="E42" s="1"/>
      <c r="F42" s="1"/>
    </row>
    <row r="43" spans="1:6" ht="15.75" x14ac:dyDescent="0.25">
      <c r="A43" s="1"/>
      <c r="B43" s="1"/>
      <c r="C43" s="1"/>
      <c r="D43" s="1"/>
      <c r="E43" s="1"/>
      <c r="F43" s="1"/>
    </row>
    <row r="44" spans="1:6" ht="15.75" x14ac:dyDescent="0.25">
      <c r="A44" s="1"/>
      <c r="B44" s="1"/>
      <c r="C44" s="1"/>
      <c r="D44" s="1"/>
      <c r="E44" s="1"/>
      <c r="F44" s="1"/>
    </row>
    <row r="45" spans="1:6" ht="15.75" x14ac:dyDescent="0.25">
      <c r="A45" s="1"/>
      <c r="B45" s="1"/>
      <c r="C45" s="1"/>
      <c r="D45" s="1"/>
      <c r="E45" s="1"/>
      <c r="F45" s="1"/>
    </row>
    <row r="46" spans="1:6" ht="15.75" x14ac:dyDescent="0.25">
      <c r="A46" s="1"/>
      <c r="B46" s="1"/>
      <c r="C46" s="1"/>
      <c r="D46" s="1"/>
      <c r="E46" s="1"/>
      <c r="F46" s="1"/>
    </row>
    <row r="47" spans="1:6" ht="15.75" x14ac:dyDescent="0.25">
      <c r="A47" s="1"/>
      <c r="B47" s="1"/>
      <c r="C47" s="1"/>
      <c r="D47" s="1"/>
      <c r="E47" s="1"/>
      <c r="F47" s="1"/>
    </row>
    <row r="48" spans="1:6" ht="15.75" x14ac:dyDescent="0.25">
      <c r="A48" s="1"/>
      <c r="B48" s="1"/>
      <c r="C48" s="1"/>
      <c r="D48" s="1"/>
      <c r="E48" s="1"/>
      <c r="F48" s="1"/>
    </row>
    <row r="49" spans="1:6" ht="15.75" x14ac:dyDescent="0.25">
      <c r="A49" s="1"/>
      <c r="B49" s="1"/>
      <c r="C49" s="1"/>
      <c r="D49" s="1"/>
      <c r="E49" s="1"/>
      <c r="F49" s="1"/>
    </row>
  </sheetData>
  <pageMargins left="0.7" right="0.7" top="0.75" bottom="0.75" header="0.3" footer="0.3"/>
  <pageSetup scale="89" orientation="portrait" r:id="rId1"/>
  <ignoredErrors>
    <ignoredError sqref="B26:B27 B17:B18 B19 B20:B24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559D3-375C-40ED-8B9D-807B153B1150}">
  <sheetPr>
    <pageSetUpPr fitToPage="1"/>
  </sheetPr>
  <dimension ref="A1:I32"/>
  <sheetViews>
    <sheetView workbookViewId="0">
      <selection activeCell="E25" sqref="E25"/>
    </sheetView>
  </sheetViews>
  <sheetFormatPr defaultRowHeight="15" x14ac:dyDescent="0.25"/>
  <cols>
    <col min="2" max="2" width="3" customWidth="1"/>
    <col min="3" max="3" width="41.140625" customWidth="1"/>
    <col min="4" max="4" width="19.7109375" customWidth="1"/>
    <col min="5" max="5" width="23.42578125" bestFit="1" customWidth="1"/>
    <col min="9" max="9" width="12.5703125" bestFit="1" customWidth="1"/>
  </cols>
  <sheetData>
    <row r="1" spans="1:9" ht="15.75" x14ac:dyDescent="0.25">
      <c r="A1" s="1" t="str">
        <f>A!A1</f>
        <v>Kentucky-American Water Company</v>
      </c>
      <c r="B1" s="1"/>
      <c r="C1" s="1"/>
      <c r="D1" s="1"/>
      <c r="E1" s="9" t="str">
        <f>A!H1</f>
        <v>Case No. 2025-00122</v>
      </c>
    </row>
    <row r="2" spans="1:9" ht="15.75" x14ac:dyDescent="0.25">
      <c r="A2" s="1" t="str">
        <f>A!A2</f>
        <v>Forecasted Test Period: Twelve Months Ended December 31, 2026</v>
      </c>
      <c r="B2" s="1"/>
      <c r="C2" s="1"/>
      <c r="D2" s="1"/>
      <c r="E2" s="9" t="str">
        <f>A!H2</f>
        <v>Exhibit JD-1</v>
      </c>
    </row>
    <row r="3" spans="1:9" ht="15.75" x14ac:dyDescent="0.25">
      <c r="A3" s="1"/>
      <c r="B3" s="1"/>
      <c r="C3" s="1"/>
      <c r="D3" s="1"/>
      <c r="E3" s="9" t="s">
        <v>69</v>
      </c>
    </row>
    <row r="4" spans="1:9" ht="15.75" x14ac:dyDescent="0.25">
      <c r="A4" s="39" t="s">
        <v>75</v>
      </c>
      <c r="B4" s="1"/>
      <c r="C4" s="1"/>
      <c r="D4" s="1"/>
      <c r="E4" s="9" t="str">
        <f>A!H4</f>
        <v>Page 1 of 1</v>
      </c>
    </row>
    <row r="5" spans="1:9" ht="15.75" x14ac:dyDescent="0.25">
      <c r="A5" s="1"/>
      <c r="B5" s="1"/>
      <c r="C5" s="1"/>
      <c r="D5" s="1"/>
      <c r="E5" s="1"/>
    </row>
    <row r="6" spans="1:9" ht="15.75" x14ac:dyDescent="0.25">
      <c r="B6" s="39"/>
      <c r="C6" s="39"/>
      <c r="D6" s="39"/>
      <c r="E6" s="27"/>
    </row>
    <row r="7" spans="1:9" ht="15.75" x14ac:dyDescent="0.25">
      <c r="A7" s="40"/>
      <c r="B7" s="39"/>
      <c r="C7" s="39"/>
      <c r="D7" s="39"/>
      <c r="E7" s="39"/>
    </row>
    <row r="8" spans="1:9" ht="15.75" x14ac:dyDescent="0.25">
      <c r="A8" s="39"/>
      <c r="B8" s="39"/>
      <c r="C8" s="39"/>
      <c r="D8" s="34" t="s">
        <v>167</v>
      </c>
      <c r="E8" s="39"/>
    </row>
    <row r="9" spans="1:9" ht="15.75" x14ac:dyDescent="0.25">
      <c r="A9" s="14" t="s">
        <v>22</v>
      </c>
      <c r="B9" s="1"/>
      <c r="C9" s="14" t="s">
        <v>12</v>
      </c>
      <c r="D9" s="35" t="s">
        <v>37</v>
      </c>
      <c r="E9" s="18" t="s">
        <v>24</v>
      </c>
    </row>
    <row r="10" spans="1:9" ht="15.75" x14ac:dyDescent="0.25">
      <c r="A10" s="1"/>
      <c r="B10" s="1"/>
      <c r="C10" s="1"/>
      <c r="D10" s="15"/>
      <c r="E10" s="15"/>
    </row>
    <row r="11" spans="1:9" ht="15.75" x14ac:dyDescent="0.25">
      <c r="A11" s="15">
        <v>1</v>
      </c>
      <c r="B11" s="1"/>
      <c r="C11" s="1" t="s">
        <v>60</v>
      </c>
      <c r="D11" s="19">
        <f>+D22</f>
        <v>16955288</v>
      </c>
      <c r="E11" s="64" t="s">
        <v>63</v>
      </c>
      <c r="I11" s="73" t="s">
        <v>54</v>
      </c>
    </row>
    <row r="12" spans="1:9" ht="15.75" x14ac:dyDescent="0.25">
      <c r="A12" s="15"/>
      <c r="B12" s="1"/>
      <c r="C12" s="1"/>
      <c r="D12" s="19"/>
      <c r="E12" s="19"/>
    </row>
    <row r="13" spans="1:9" ht="15.75" x14ac:dyDescent="0.25">
      <c r="A13" s="15">
        <v>2</v>
      </c>
      <c r="B13" s="1"/>
      <c r="C13" s="1" t="s">
        <v>278</v>
      </c>
      <c r="D13" s="20">
        <f>+D11+D15</f>
        <v>16344897.631999999</v>
      </c>
      <c r="E13" s="19" t="s">
        <v>101</v>
      </c>
    </row>
    <row r="14" spans="1:9" ht="15.75" x14ac:dyDescent="0.25">
      <c r="A14" s="15"/>
      <c r="B14" s="1"/>
      <c r="C14" s="1"/>
      <c r="D14" s="19"/>
      <c r="E14" s="19"/>
    </row>
    <row r="15" spans="1:9" ht="16.5" thickBot="1" x14ac:dyDescent="0.3">
      <c r="A15" s="15">
        <v>3</v>
      </c>
      <c r="B15" s="1"/>
      <c r="C15" s="1" t="s">
        <v>279</v>
      </c>
      <c r="D15" s="24">
        <f>+D25</f>
        <v>-610390.3679999999</v>
      </c>
      <c r="E15" s="19" t="s">
        <v>100</v>
      </c>
    </row>
    <row r="16" spans="1:9" ht="16.5" thickTop="1" x14ac:dyDescent="0.25">
      <c r="A16" s="15"/>
      <c r="B16" s="1"/>
      <c r="C16" s="1"/>
      <c r="D16" s="1"/>
      <c r="E16" s="1"/>
    </row>
    <row r="17" spans="1:5" ht="15.75" x14ac:dyDescent="0.25">
      <c r="A17" s="34"/>
      <c r="B17" s="39"/>
      <c r="C17" s="39"/>
      <c r="D17" s="39"/>
      <c r="E17" s="37"/>
    </row>
    <row r="18" spans="1:5" ht="15.75" x14ac:dyDescent="0.25">
      <c r="A18" s="34"/>
      <c r="B18" s="39"/>
      <c r="C18" s="39"/>
      <c r="D18" s="39"/>
      <c r="E18" s="37"/>
    </row>
    <row r="19" spans="1:5" ht="15.75" x14ac:dyDescent="0.25">
      <c r="A19" s="15"/>
      <c r="B19" s="31"/>
      <c r="C19" s="35" t="s">
        <v>37</v>
      </c>
      <c r="D19" s="31"/>
      <c r="E19" s="31"/>
    </row>
    <row r="20" spans="1:5" ht="45.75" x14ac:dyDescent="0.25">
      <c r="A20" s="15">
        <v>4</v>
      </c>
      <c r="B20" s="31"/>
      <c r="C20" s="9" t="s">
        <v>233</v>
      </c>
      <c r="D20" s="19">
        <v>9528061</v>
      </c>
      <c r="E20" s="64" t="s">
        <v>231</v>
      </c>
    </row>
    <row r="21" spans="1:5" ht="15.75" x14ac:dyDescent="0.25">
      <c r="A21" s="15">
        <v>5</v>
      </c>
      <c r="B21" s="31"/>
      <c r="C21" s="9" t="s">
        <v>234</v>
      </c>
      <c r="D21" s="20">
        <v>7427227</v>
      </c>
      <c r="E21" s="1"/>
    </row>
    <row r="22" spans="1:5" ht="15.75" x14ac:dyDescent="0.25">
      <c r="A22" s="15">
        <v>6</v>
      </c>
      <c r="B22" s="31"/>
      <c r="C22" s="9" t="s">
        <v>232</v>
      </c>
      <c r="D22" s="19">
        <f>+D21+D20</f>
        <v>16955288</v>
      </c>
      <c r="E22" s="1" t="s">
        <v>303</v>
      </c>
    </row>
    <row r="23" spans="1:5" ht="15.75" x14ac:dyDescent="0.25">
      <c r="A23" s="15"/>
      <c r="B23" s="31"/>
      <c r="C23" s="9"/>
      <c r="D23" s="19"/>
      <c r="E23" s="1"/>
    </row>
    <row r="24" spans="1:5" ht="15.75" x14ac:dyDescent="0.25">
      <c r="A24" s="15">
        <v>7</v>
      </c>
      <c r="B24" s="31"/>
      <c r="C24" s="31"/>
      <c r="D24" s="28">
        <v>-3.5999999999999997E-2</v>
      </c>
      <c r="E24" s="1" t="s">
        <v>93</v>
      </c>
    </row>
    <row r="25" spans="1:5" ht="15.75" x14ac:dyDescent="0.25">
      <c r="A25" s="15">
        <v>8</v>
      </c>
      <c r="B25" s="31"/>
      <c r="C25" s="31"/>
      <c r="D25" s="19">
        <f>+D22*D24</f>
        <v>-610390.3679999999</v>
      </c>
      <c r="E25" s="1" t="s">
        <v>293</v>
      </c>
    </row>
    <row r="26" spans="1:5" ht="15.75" x14ac:dyDescent="0.25">
      <c r="A26" s="1"/>
      <c r="B26" s="1"/>
      <c r="C26" s="1"/>
      <c r="D26" s="31"/>
      <c r="E26" s="31"/>
    </row>
    <row r="27" spans="1:5" ht="15.75" x14ac:dyDescent="0.25">
      <c r="A27" s="1"/>
      <c r="B27" s="1"/>
      <c r="C27" s="18" t="s">
        <v>239</v>
      </c>
      <c r="D27" s="31"/>
      <c r="E27" s="31"/>
    </row>
    <row r="28" spans="1:5" ht="15.75" x14ac:dyDescent="0.25">
      <c r="A28" s="15">
        <v>9</v>
      </c>
      <c r="B28" s="1"/>
      <c r="C28" s="9" t="s">
        <v>233</v>
      </c>
      <c r="D28" s="19">
        <f>+D20*D24</f>
        <v>-343010.196</v>
      </c>
      <c r="E28" s="31"/>
    </row>
    <row r="29" spans="1:5" ht="15.75" x14ac:dyDescent="0.25">
      <c r="A29" s="15">
        <v>10</v>
      </c>
      <c r="B29" s="1"/>
      <c r="C29" s="9" t="s">
        <v>234</v>
      </c>
      <c r="D29" s="20">
        <f>+D21*D24</f>
        <v>-267380.17199999996</v>
      </c>
      <c r="E29" s="31"/>
    </row>
    <row r="30" spans="1:5" ht="15.75" x14ac:dyDescent="0.25">
      <c r="A30" s="15">
        <v>11</v>
      </c>
      <c r="B30" s="1"/>
      <c r="C30" s="9" t="s">
        <v>19</v>
      </c>
      <c r="D30" s="19">
        <f>SUM(D28:D29)</f>
        <v>-610390.36800000002</v>
      </c>
      <c r="E30" s="1" t="s">
        <v>332</v>
      </c>
    </row>
    <row r="31" spans="1:5" ht="15.75" x14ac:dyDescent="0.25">
      <c r="A31" s="15"/>
      <c r="B31" s="1"/>
      <c r="C31" s="1"/>
      <c r="D31" s="31"/>
      <c r="E31" s="31"/>
    </row>
    <row r="32" spans="1:5" ht="15.75" x14ac:dyDescent="0.25">
      <c r="A32" s="31"/>
      <c r="B32" s="31"/>
      <c r="C32" s="31"/>
      <c r="D32" s="31"/>
      <c r="E32" s="31"/>
    </row>
  </sheetData>
  <pageMargins left="0.7" right="0.7" top="0.75" bottom="0.75" header="0.3" footer="0.3"/>
  <pageSetup scale="6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FFA60-8241-4441-80E0-29365B6A1097}">
  <sheetPr>
    <pageSetUpPr fitToPage="1"/>
  </sheetPr>
  <dimension ref="A1:H37"/>
  <sheetViews>
    <sheetView workbookViewId="0">
      <selection activeCell="C15" sqref="C15"/>
    </sheetView>
  </sheetViews>
  <sheetFormatPr defaultRowHeight="15" x14ac:dyDescent="0.25"/>
  <cols>
    <col min="2" max="2" width="3" customWidth="1"/>
    <col min="3" max="3" width="57.5703125" customWidth="1"/>
    <col min="4" max="4" width="19.7109375" customWidth="1"/>
    <col min="5" max="5" width="28" customWidth="1"/>
    <col min="6" max="6" width="16.42578125" customWidth="1"/>
  </cols>
  <sheetData>
    <row r="1" spans="1:6" ht="15.75" x14ac:dyDescent="0.25">
      <c r="A1" s="1" t="str">
        <f>A!A1</f>
        <v>Kentucky-American Water Company</v>
      </c>
      <c r="B1" s="1"/>
      <c r="C1" s="1"/>
      <c r="D1" s="1"/>
      <c r="E1" s="9" t="str">
        <f>A!H1</f>
        <v>Case No. 2025-00122</v>
      </c>
    </row>
    <row r="2" spans="1:6" ht="15.75" x14ac:dyDescent="0.25">
      <c r="A2" s="1" t="str">
        <f>A!A2</f>
        <v>Forecasted Test Period: Twelve Months Ended December 31, 2026</v>
      </c>
      <c r="B2" s="1"/>
      <c r="C2" s="1"/>
      <c r="D2" s="1"/>
      <c r="E2" s="9" t="str">
        <f>A!H2</f>
        <v>Exhibit JD-1</v>
      </c>
    </row>
    <row r="3" spans="1:6" ht="15.75" x14ac:dyDescent="0.25">
      <c r="A3" s="1"/>
      <c r="B3" s="1"/>
      <c r="C3" s="1"/>
      <c r="D3" s="1"/>
      <c r="E3" s="9" t="s">
        <v>70</v>
      </c>
    </row>
    <row r="4" spans="1:6" ht="15.75" x14ac:dyDescent="0.25">
      <c r="A4" s="39" t="s">
        <v>77</v>
      </c>
      <c r="B4" s="1"/>
      <c r="C4" s="1"/>
      <c r="D4" s="1"/>
      <c r="E4" s="9" t="str">
        <f>A!H4</f>
        <v>Page 1 of 1</v>
      </c>
    </row>
    <row r="5" spans="1:6" ht="15.75" x14ac:dyDescent="0.25">
      <c r="A5" s="1"/>
      <c r="B5" s="1"/>
      <c r="C5" s="1"/>
      <c r="D5" s="1"/>
      <c r="E5" s="1"/>
    </row>
    <row r="6" spans="1:6" ht="15.75" x14ac:dyDescent="0.25">
      <c r="B6" s="39"/>
      <c r="C6" s="39"/>
      <c r="D6" s="39"/>
      <c r="E6" s="27"/>
    </row>
    <row r="7" spans="1:6" ht="15.75" x14ac:dyDescent="0.25">
      <c r="A7" s="40"/>
      <c r="B7" s="39"/>
      <c r="C7" s="39"/>
      <c r="D7" s="39"/>
      <c r="E7" s="39"/>
    </row>
    <row r="8" spans="1:6" ht="15.75" x14ac:dyDescent="0.25">
      <c r="A8" s="39"/>
      <c r="B8" s="39"/>
      <c r="C8" s="39"/>
      <c r="D8" s="34" t="s">
        <v>261</v>
      </c>
      <c r="E8" s="34"/>
    </row>
    <row r="9" spans="1:6" ht="15.75" x14ac:dyDescent="0.25">
      <c r="A9" s="14" t="s">
        <v>22</v>
      </c>
      <c r="B9" s="1"/>
      <c r="C9" s="14" t="s">
        <v>12</v>
      </c>
      <c r="D9" s="18" t="s">
        <v>37</v>
      </c>
      <c r="E9" s="35" t="s">
        <v>24</v>
      </c>
    </row>
    <row r="10" spans="1:6" ht="15.75" x14ac:dyDescent="0.25">
      <c r="A10" s="1"/>
      <c r="B10" s="1"/>
      <c r="C10" s="1"/>
      <c r="D10" s="15"/>
      <c r="E10" s="15"/>
    </row>
    <row r="11" spans="1:6" ht="15.75" x14ac:dyDescent="0.25">
      <c r="A11" s="15">
        <v>1</v>
      </c>
      <c r="B11" s="1"/>
      <c r="C11" s="1" t="s">
        <v>331</v>
      </c>
      <c r="D11" s="19">
        <f>+D25</f>
        <v>1846694</v>
      </c>
      <c r="E11" s="64" t="s">
        <v>63</v>
      </c>
      <c r="F11" s="73"/>
    </row>
    <row r="12" spans="1:6" ht="15.75" x14ac:dyDescent="0.25">
      <c r="A12" s="15"/>
      <c r="B12" s="1"/>
      <c r="C12" s="1"/>
      <c r="D12" s="19"/>
      <c r="E12" s="19"/>
    </row>
    <row r="13" spans="1:6" ht="15.75" x14ac:dyDescent="0.25">
      <c r="A13" s="15">
        <v>2</v>
      </c>
      <c r="B13" s="1"/>
      <c r="C13" s="1" t="s">
        <v>280</v>
      </c>
      <c r="D13" s="20">
        <v>0</v>
      </c>
      <c r="E13" s="19" t="s">
        <v>93</v>
      </c>
    </row>
    <row r="14" spans="1:6" ht="15.75" x14ac:dyDescent="0.25">
      <c r="A14" s="15"/>
      <c r="B14" s="1"/>
      <c r="C14" s="1"/>
      <c r="D14" s="19"/>
      <c r="E14" s="19"/>
    </row>
    <row r="15" spans="1:6" ht="16.5" thickBot="1" x14ac:dyDescent="0.3">
      <c r="A15" s="15">
        <v>3</v>
      </c>
      <c r="B15" s="1"/>
      <c r="C15" s="1" t="s">
        <v>279</v>
      </c>
      <c r="D15" s="24">
        <f>+D13-D11</f>
        <v>-1846694</v>
      </c>
      <c r="E15" s="19" t="s">
        <v>64</v>
      </c>
    </row>
    <row r="16" spans="1:6" ht="16.5" thickTop="1" x14ac:dyDescent="0.25">
      <c r="A16" s="15"/>
      <c r="B16" s="1"/>
      <c r="C16" s="1"/>
      <c r="D16" s="1"/>
      <c r="E16" s="1"/>
    </row>
    <row r="17" spans="1:8" ht="15.75" x14ac:dyDescent="0.25">
      <c r="A17" s="34"/>
      <c r="B17" s="39"/>
      <c r="C17" s="39"/>
      <c r="D17" s="39"/>
      <c r="E17" s="37"/>
    </row>
    <row r="18" spans="1:8" ht="15.75" x14ac:dyDescent="0.25">
      <c r="A18" s="34"/>
      <c r="B18" s="39"/>
      <c r="C18" s="39"/>
      <c r="D18" s="39"/>
      <c r="E18" s="37"/>
    </row>
    <row r="19" spans="1:8" ht="45.75" x14ac:dyDescent="0.25">
      <c r="A19" s="15"/>
      <c r="B19" s="1"/>
      <c r="C19" s="1"/>
      <c r="D19" s="111" t="s">
        <v>168</v>
      </c>
    </row>
    <row r="20" spans="1:8" ht="30.75" x14ac:dyDescent="0.25">
      <c r="A20" s="15">
        <v>4</v>
      </c>
      <c r="B20" s="1"/>
      <c r="C20" s="9" t="s">
        <v>169</v>
      </c>
      <c r="D20" s="19">
        <v>933538</v>
      </c>
      <c r="E20" s="64" t="s">
        <v>170</v>
      </c>
    </row>
    <row r="21" spans="1:8" ht="15.75" x14ac:dyDescent="0.25">
      <c r="A21" s="15"/>
      <c r="B21" s="1"/>
      <c r="C21" s="9"/>
      <c r="D21" s="19"/>
    </row>
    <row r="22" spans="1:8" ht="45.75" x14ac:dyDescent="0.25">
      <c r="A22" s="15"/>
      <c r="B22" s="1"/>
      <c r="C22" s="9"/>
      <c r="D22" s="112" t="s">
        <v>171</v>
      </c>
    </row>
    <row r="23" spans="1:8" ht="30.75" x14ac:dyDescent="0.25">
      <c r="A23" s="15">
        <v>5</v>
      </c>
      <c r="B23" s="1"/>
      <c r="C23" s="9" t="s">
        <v>172</v>
      </c>
      <c r="D23" s="19">
        <v>913156</v>
      </c>
      <c r="E23" s="64" t="s">
        <v>170</v>
      </c>
    </row>
    <row r="24" spans="1:8" ht="15.75" x14ac:dyDescent="0.25">
      <c r="A24" s="15"/>
      <c r="B24" s="1"/>
      <c r="C24" s="9"/>
      <c r="D24" s="20"/>
    </row>
    <row r="25" spans="1:8" ht="16.5" thickBot="1" x14ac:dyDescent="0.3">
      <c r="A25" s="15">
        <v>6</v>
      </c>
      <c r="B25" s="1"/>
      <c r="C25" s="1" t="s">
        <v>173</v>
      </c>
      <c r="D25" s="21">
        <f>+D23+D20</f>
        <v>1846694</v>
      </c>
    </row>
    <row r="26" spans="1:8" ht="16.5" thickTop="1" x14ac:dyDescent="0.25">
      <c r="A26" s="15"/>
      <c r="B26" s="1"/>
      <c r="C26" s="1"/>
      <c r="D26" s="72"/>
    </row>
    <row r="27" spans="1:8" ht="15.75" x14ac:dyDescent="0.25">
      <c r="A27" s="15"/>
      <c r="B27" s="1"/>
      <c r="C27" s="9"/>
      <c r="D27" s="19"/>
      <c r="E27" s="18" t="s">
        <v>248</v>
      </c>
      <c r="F27" s="1"/>
      <c r="G27" s="1"/>
      <c r="H27" s="1"/>
    </row>
    <row r="28" spans="1:8" ht="15.75" x14ac:dyDescent="0.25">
      <c r="A28" s="15">
        <v>7</v>
      </c>
      <c r="B28" s="1"/>
      <c r="C28" s="9" t="s">
        <v>233</v>
      </c>
      <c r="D28" s="19">
        <v>9528061</v>
      </c>
      <c r="E28" s="55">
        <f>+D28/D30</f>
        <v>0.56195217680761311</v>
      </c>
      <c r="F28" s="19">
        <f>+D15*E28</f>
        <v>-1037753.7131975583</v>
      </c>
      <c r="G28" s="1"/>
      <c r="H28" s="1" t="s">
        <v>54</v>
      </c>
    </row>
    <row r="29" spans="1:8" ht="15.75" x14ac:dyDescent="0.25">
      <c r="A29" s="15">
        <v>8</v>
      </c>
      <c r="B29" s="1"/>
      <c r="C29" s="9" t="s">
        <v>234</v>
      </c>
      <c r="D29" s="20">
        <v>7427227</v>
      </c>
      <c r="E29" s="55">
        <f>+D29/D30</f>
        <v>0.43804782319238694</v>
      </c>
      <c r="F29" s="20">
        <f>+D15*E29</f>
        <v>-808940.28680244181</v>
      </c>
      <c r="G29" s="1"/>
      <c r="H29" s="1"/>
    </row>
    <row r="30" spans="1:8" ht="15.75" x14ac:dyDescent="0.25">
      <c r="A30" s="15">
        <v>9</v>
      </c>
      <c r="B30" s="1"/>
      <c r="C30" s="9" t="s">
        <v>232</v>
      </c>
      <c r="D30" s="19">
        <f>+D29+D28</f>
        <v>16955288</v>
      </c>
      <c r="E30" s="1"/>
      <c r="F30" s="19">
        <f>SUM(F28:F29)</f>
        <v>-1846694</v>
      </c>
      <c r="G30" s="1"/>
      <c r="H30" s="1"/>
    </row>
    <row r="31" spans="1:8" ht="15.75" x14ac:dyDescent="0.25">
      <c r="A31" s="67"/>
      <c r="C31" s="1"/>
      <c r="D31" s="19"/>
      <c r="E31" s="1"/>
      <c r="F31" s="1"/>
      <c r="G31" s="1"/>
      <c r="H31" s="1"/>
    </row>
    <row r="32" spans="1:8" ht="15.75" x14ac:dyDescent="0.25">
      <c r="A32" s="67"/>
      <c r="C32" s="1" t="s">
        <v>54</v>
      </c>
      <c r="D32" s="19"/>
      <c r="E32" s="1"/>
      <c r="F32" s="1"/>
      <c r="G32" s="1"/>
      <c r="H32" s="1"/>
    </row>
    <row r="33" spans="1:8" ht="15.75" x14ac:dyDescent="0.25">
      <c r="A33" s="67"/>
      <c r="D33" s="73"/>
      <c r="E33" s="1"/>
      <c r="F33" s="1"/>
      <c r="G33" s="1"/>
      <c r="H33" s="1"/>
    </row>
    <row r="34" spans="1:8" ht="15.75" x14ac:dyDescent="0.25">
      <c r="A34" s="67"/>
    </row>
    <row r="35" spans="1:8" ht="15.75" x14ac:dyDescent="0.25">
      <c r="A35" s="67"/>
    </row>
    <row r="36" spans="1:8" ht="15.75" x14ac:dyDescent="0.25">
      <c r="A36" s="67"/>
    </row>
    <row r="37" spans="1:8" ht="15.75" x14ac:dyDescent="0.25">
      <c r="A37" s="67"/>
    </row>
  </sheetData>
  <pageMargins left="0.7" right="0.7" top="0.75" bottom="0.75" header="0.3" footer="0.3"/>
  <pageSetup scale="5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6C98B-EC85-4CD1-AE41-34BAACF35906}">
  <sheetPr>
    <pageSetUpPr fitToPage="1"/>
  </sheetPr>
  <dimension ref="A1:E30"/>
  <sheetViews>
    <sheetView workbookViewId="0">
      <selection activeCell="C16" sqref="C16"/>
    </sheetView>
  </sheetViews>
  <sheetFormatPr defaultRowHeight="15" x14ac:dyDescent="0.25"/>
  <cols>
    <col min="2" max="2" width="3" customWidth="1"/>
    <col min="3" max="3" width="41.140625" customWidth="1"/>
    <col min="4" max="4" width="19.7109375" customWidth="1"/>
    <col min="5" max="5" width="22.42578125" customWidth="1"/>
  </cols>
  <sheetData>
    <row r="1" spans="1:5" ht="15.75" x14ac:dyDescent="0.25">
      <c r="A1" s="1" t="str">
        <f>A!A1</f>
        <v>Kentucky-American Water Company</v>
      </c>
      <c r="B1" s="1"/>
      <c r="C1" s="1"/>
      <c r="D1" s="1"/>
      <c r="E1" s="9" t="str">
        <f>A!H1</f>
        <v>Case No. 2025-00122</v>
      </c>
    </row>
    <row r="2" spans="1:5" ht="15.75" x14ac:dyDescent="0.25">
      <c r="A2" s="1" t="str">
        <f>A!A2</f>
        <v>Forecasted Test Period: Twelve Months Ended December 31, 2026</v>
      </c>
      <c r="B2" s="1"/>
      <c r="C2" s="1"/>
      <c r="D2" s="1"/>
      <c r="E2" s="9" t="str">
        <f>A!H2</f>
        <v>Exhibit JD-1</v>
      </c>
    </row>
    <row r="3" spans="1:5" ht="15.75" x14ac:dyDescent="0.25">
      <c r="A3" s="1"/>
      <c r="B3" s="1"/>
      <c r="C3" s="1"/>
      <c r="D3" s="1"/>
      <c r="E3" s="9" t="s">
        <v>71</v>
      </c>
    </row>
    <row r="4" spans="1:5" ht="15.75" x14ac:dyDescent="0.25">
      <c r="A4" s="39" t="s">
        <v>264</v>
      </c>
      <c r="B4" s="1"/>
      <c r="C4" s="1"/>
      <c r="D4" s="1"/>
      <c r="E4" s="9" t="str">
        <f>A!H4</f>
        <v>Page 1 of 1</v>
      </c>
    </row>
    <row r="5" spans="1:5" ht="15.75" x14ac:dyDescent="0.25">
      <c r="A5" s="1"/>
      <c r="B5" s="1"/>
      <c r="C5" s="1"/>
      <c r="D5" s="1"/>
      <c r="E5" s="1"/>
    </row>
    <row r="6" spans="1:5" ht="15.75" x14ac:dyDescent="0.25">
      <c r="B6" s="39"/>
      <c r="C6" s="39"/>
      <c r="D6" s="39"/>
      <c r="E6" s="27"/>
    </row>
    <row r="7" spans="1:5" ht="15.75" x14ac:dyDescent="0.25">
      <c r="A7" s="40"/>
      <c r="B7" s="39"/>
      <c r="C7" s="39"/>
      <c r="D7" s="39"/>
      <c r="E7" s="39"/>
    </row>
    <row r="8" spans="1:5" ht="15.75" x14ac:dyDescent="0.25">
      <c r="A8" s="39"/>
      <c r="B8" s="39"/>
      <c r="C8" s="39"/>
      <c r="D8" s="34" t="s">
        <v>167</v>
      </c>
      <c r="E8" s="39"/>
    </row>
    <row r="9" spans="1:5" ht="15.75" x14ac:dyDescent="0.25">
      <c r="A9" s="14" t="s">
        <v>22</v>
      </c>
      <c r="B9" s="1"/>
      <c r="C9" s="14" t="s">
        <v>12</v>
      </c>
      <c r="D9" s="35" t="s">
        <v>37</v>
      </c>
      <c r="E9" s="18" t="s">
        <v>24</v>
      </c>
    </row>
    <row r="10" spans="1:5" ht="15.75" x14ac:dyDescent="0.25">
      <c r="A10" s="1"/>
      <c r="B10" s="1"/>
      <c r="C10" s="1"/>
      <c r="D10" s="15"/>
      <c r="E10" s="15"/>
    </row>
    <row r="11" spans="1:5" ht="45" x14ac:dyDescent="0.25">
      <c r="A11" s="15">
        <v>1</v>
      </c>
      <c r="B11" s="1"/>
      <c r="C11" s="1" t="s">
        <v>60</v>
      </c>
      <c r="D11" s="19">
        <v>61961</v>
      </c>
      <c r="E11" s="51" t="s">
        <v>174</v>
      </c>
    </row>
    <row r="12" spans="1:5" ht="15.75" x14ac:dyDescent="0.25">
      <c r="A12" s="15"/>
      <c r="B12" s="1"/>
      <c r="C12" s="1"/>
      <c r="D12" s="19"/>
      <c r="E12" s="19"/>
    </row>
    <row r="13" spans="1:5" ht="15.75" x14ac:dyDescent="0.25">
      <c r="A13" s="15">
        <v>2</v>
      </c>
      <c r="B13" s="1"/>
      <c r="C13" s="1" t="s">
        <v>281</v>
      </c>
      <c r="D13" s="20">
        <v>0</v>
      </c>
      <c r="E13" s="19" t="s">
        <v>93</v>
      </c>
    </row>
    <row r="14" spans="1:5" ht="15.75" x14ac:dyDescent="0.25">
      <c r="A14" s="15"/>
      <c r="B14" s="1"/>
      <c r="C14" s="1"/>
      <c r="D14" s="19"/>
      <c r="E14" s="19"/>
    </row>
    <row r="15" spans="1:5" ht="16.5" thickBot="1" x14ac:dyDescent="0.3">
      <c r="A15" s="15">
        <v>3</v>
      </c>
      <c r="B15" s="1"/>
      <c r="C15" s="1" t="s">
        <v>279</v>
      </c>
      <c r="D15" s="24">
        <f>+D13-D11</f>
        <v>-61961</v>
      </c>
      <c r="E15" s="19" t="s">
        <v>64</v>
      </c>
    </row>
    <row r="16" spans="1:5" ht="16.5" thickTop="1" x14ac:dyDescent="0.25">
      <c r="A16" s="15"/>
      <c r="B16" s="1"/>
      <c r="C16" s="1"/>
      <c r="D16" s="1"/>
      <c r="E16" s="1"/>
    </row>
    <row r="17" spans="1:5" ht="15.75" x14ac:dyDescent="0.25">
      <c r="A17" s="34"/>
      <c r="B17" s="39"/>
      <c r="C17" s="39"/>
      <c r="D17" s="39"/>
      <c r="E17" s="37"/>
    </row>
    <row r="18" spans="1:5" ht="15.75" x14ac:dyDescent="0.25">
      <c r="A18" s="34"/>
      <c r="B18" s="39"/>
      <c r="C18" s="39"/>
      <c r="D18" s="39"/>
      <c r="E18" s="37"/>
    </row>
    <row r="19" spans="1:5" ht="15.75" x14ac:dyDescent="0.25">
      <c r="A19" s="34"/>
      <c r="B19" s="39"/>
      <c r="C19" s="39"/>
      <c r="D19" s="39"/>
      <c r="E19" s="37"/>
    </row>
    <row r="29" spans="1:5" ht="15.75" x14ac:dyDescent="0.25">
      <c r="A29" s="1"/>
      <c r="B29" s="1"/>
      <c r="C29" s="19"/>
      <c r="D29" s="1"/>
      <c r="E29" s="1"/>
    </row>
    <row r="30" spans="1:5" ht="15.75" x14ac:dyDescent="0.25">
      <c r="A30" s="52"/>
      <c r="B30" s="1"/>
      <c r="C30" s="19"/>
      <c r="D30" s="1"/>
      <c r="E30" s="1"/>
    </row>
  </sheetData>
  <pageMargins left="0.7" right="0.7" top="0.75" bottom="0.75" header="0.3" footer="0.3"/>
  <pageSetup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5</vt:i4>
      </vt:variant>
    </vt:vector>
  </HeadingPairs>
  <TitlesOfParts>
    <vt:vector size="27" baseType="lpstr">
      <vt:lpstr>TOC</vt:lpstr>
      <vt:lpstr>A</vt:lpstr>
      <vt:lpstr>B</vt:lpstr>
      <vt:lpstr>CWC</vt:lpstr>
      <vt:lpstr>C</vt:lpstr>
      <vt:lpstr>C p 2</vt:lpstr>
      <vt:lpstr>Payroll</vt:lpstr>
      <vt:lpstr>Incentive Comp</vt:lpstr>
      <vt:lpstr>ESPP</vt:lpstr>
      <vt:lpstr>UFW</vt:lpstr>
      <vt:lpstr>Rate Case Exp</vt:lpstr>
      <vt:lpstr>Bus Dev</vt:lpstr>
      <vt:lpstr>401(k)</vt:lpstr>
      <vt:lpstr>Growth Factor</vt:lpstr>
      <vt:lpstr>Healthcare</vt:lpstr>
      <vt:lpstr>Dues</vt:lpstr>
      <vt:lpstr>Payroll Tax</vt:lpstr>
      <vt:lpstr>Benefits</vt:lpstr>
      <vt:lpstr>Inc Tax</vt:lpstr>
      <vt:lpstr>Int synch </vt:lpstr>
      <vt:lpstr>SummaryWP</vt:lpstr>
      <vt:lpstr>D</vt:lpstr>
      <vt:lpstr>'C'!Print_Area</vt:lpstr>
      <vt:lpstr>'C p 2'!Print_Area</vt:lpstr>
      <vt:lpstr>CWC!Print_Area</vt:lpstr>
      <vt:lpstr>'Rate Case Exp'!Print_Area</vt:lpstr>
      <vt:lpstr>SummaryWP!Print_Area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Miller</dc:creator>
  <cp:lastModifiedBy>Goad, Angela M (KYOAG)</cp:lastModifiedBy>
  <cp:lastPrinted>2025-08-12T15:54:01Z</cp:lastPrinted>
  <dcterms:created xsi:type="dcterms:W3CDTF">2024-07-16T18:08:30Z</dcterms:created>
  <dcterms:modified xsi:type="dcterms:W3CDTF">2025-08-13T01:10:41Z</dcterms:modified>
</cp:coreProperties>
</file>