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drawings/drawing1.xml" ContentType="application/vnd.openxmlformats-officedocument.drawing+xml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mwater.sharepoint.com/sites/sers/KY/General Rate Cases/2025-00122 - GRC - PSC Discovery/PSC PH Set 1/"/>
    </mc:Choice>
  </mc:AlternateContent>
  <xr:revisionPtr revIDLastSave="0" documentId="13_ncr:1_{25799585-B573-4840-947A-64E089869221}" xr6:coauthVersionLast="47" xr6:coauthVersionMax="47" xr10:uidLastSave="{00000000-0000-0000-0000-000000000000}"/>
  <bookViews>
    <workbookView xWindow="28680" yWindow="45" windowWidth="29040" windowHeight="17520" tabRatio="861" activeTab="7" xr2:uid="{00000000-000D-0000-FFFF-FFFF00000000}"/>
  </bookViews>
  <sheets>
    <sheet name="Linkout" sheetId="1" r:id="rId1"/>
    <sheet name="Linkin" sheetId="5" r:id="rId2"/>
    <sheet name="Sch J-1" sheetId="35" r:id="rId3"/>
    <sheet name="Sch J-2" sheetId="4" r:id="rId4"/>
    <sheet name="Sch J-3" sheetId="32" r:id="rId5"/>
    <sheet name="Sch J-4" sheetId="33" r:id="rId6"/>
    <sheet name="Sch J-5" sheetId="34" r:id="rId7"/>
    <sheet name="Sch J WPs" sheetId="26" r:id="rId8"/>
    <sheet name="STD 2024 WP" sheetId="36" r:id="rId9"/>
    <sheet name="LTD Discount" sheetId="39" r:id="rId10"/>
    <sheet name="Unamort ITCs WP" sheetId="37" r:id="rId11"/>
  </sheets>
  <externalReferences>
    <externalReference r:id="rId12"/>
  </externalReferences>
  <definedNames>
    <definedName name="_xlnm.Print_Area" localSheetId="1">Linkin!$A$1:$G$49</definedName>
    <definedName name="_xlnm.Print_Area" localSheetId="0">Linkout!$B$1:$I$45</definedName>
    <definedName name="_xlnm.Print_Area" localSheetId="7">'Sch J WPs'!$F$1:$AH$470,'Sch J WPs'!$AJ$1:$BB$43,'Sch J WPs'!$AJ$279:$AX$304</definedName>
    <definedName name="_xlnm.Print_Area" localSheetId="2">'Sch J-1'!$A$1:$R$32</definedName>
    <definedName name="_xlnm.Print_Area" localSheetId="3">'Sch J-2'!$A$1:$R$84</definedName>
    <definedName name="_xlnm.Print_Area" localSheetId="4">'Sch J-3'!$A$1:$M$60</definedName>
    <definedName name="_xlnm.Print_Area" localSheetId="5">'Sch J-4'!$A$1:$AC$108</definedName>
    <definedName name="_xlnm.Print_Area" localSheetId="6">'Sch J-5'!$A$1:$W$78</definedName>
    <definedName name="_xlnm.Print_Area" localSheetId="10">'Unamort ITCs WP'!$A$1:$Q$39</definedName>
    <definedName name="_xlnm.Print_Titles" localSheetId="7">'Sch J WPs'!$A:$C</definedName>
    <definedName name="wrn.Wkp._.Capital._.Structure." localSheetId="1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1" hidden="1">{"Wkp ComEquity",#N/A,FALSE,"Cap Struct WPs"}</definedName>
    <definedName name="wrn.Wkp._.ComEquity." hidden="1">{"Wkp ComEquity",#N/A,FALSE,"Cap Struct WPs"}</definedName>
    <definedName name="wrn.Wkp._.JDITC." localSheetId="1" hidden="1">{"Wkp JDITC",#N/A,FALSE,"Cap Struct WPs"}</definedName>
    <definedName name="wrn.Wkp._.JDITC." hidden="1">{"Wkp JDITC",#N/A,FALSE,"Cap Struct WPs"}</definedName>
    <definedName name="wrn.Wkp._.LTerm._.Debt." localSheetId="1" hidden="1">{"Wkp LTerm Debt",#N/A,FALSE,"Cap Struct WPs"}</definedName>
    <definedName name="wrn.Wkp._.LTerm._.Debt." hidden="1">{"Wkp LTerm Debt",#N/A,FALSE,"Cap Struct WPs"}</definedName>
    <definedName name="wrn.Wkp._.LTerm._.Debt._.13Mo._.Avg." localSheetId="1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1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1" hidden="1">{"Wkp LTerm Debt Int",#N/A,FALSE,"Cap Struct WPs"}</definedName>
    <definedName name="wrn.Wkp._.LTerm._.Debt._.Int." hidden="1">{"Wkp LTerm Debt Int",#N/A,FALSE,"Cap Struct WPs"}</definedName>
    <definedName name="wrn.Wkp._.PreStock." localSheetId="1" hidden="1">{"Wkp PreStock",#N/A,FALSE,"Cap Struct WPs"}</definedName>
    <definedName name="wrn.Wkp._.PreStock." hidden="1">{"Wkp PreStock",#N/A,FALSE,"Cap Struct WPs"}</definedName>
    <definedName name="wrn.Wkp._.PreStock._.13MoAvg." localSheetId="1" hidden="1">{"Wkp PreStock 13MoAvg",#N/A,FALSE,"Cap Struct WPs"}</definedName>
    <definedName name="wrn.Wkp._.PreStock._.13MoAvg." hidden="1">{"Wkp PreStock 13MoAvg",#N/A,FALSE,"Cap Struct WPs"}</definedName>
    <definedName name="wrn.Wkp._.PreStock._.Amort." localSheetId="1" hidden="1">{"Wkp PreStock Amort",#N/A,FALSE,"Cap Struct WPs"}</definedName>
    <definedName name="wrn.Wkp._.PreStock._.Amort." hidden="1">{"Wkp PreStock Amort",#N/A,FALSE,"Cap Struct WPs"}</definedName>
    <definedName name="wrn.Wkp._.PreStock._.Dividend." localSheetId="1" hidden="1">{"Wkp PreStock Dividend",#N/A,FALSE,"Cap Struct WPs"}</definedName>
    <definedName name="wrn.Wkp._.PreStock._.Dividend." hidden="1">{"Wkp PreStock Dividend",#N/A,FALSE,"Cap Struct WPs"}</definedName>
    <definedName name="wrn.Wkp._.STerm._.Debt." localSheetId="1" hidden="1">{"Wkp STerm Debt",#N/A,FALSE,"Cap Struct WPs"}</definedName>
    <definedName name="wrn.Wkp._.STerm._.Debt." hidden="1">{"Wkp STerm Debt",#N/A,FALSE,"Cap Struct WPs"}</definedName>
    <definedName name="wrn.Wkp._.Unamort._.Debt._.Exp." localSheetId="1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1" hidden="1">{"Wkp Unamort PreStock Exp",#N/A,FALSE,"Cap Struct WPs"}</definedName>
    <definedName name="wrn.Wkp._.Unamort._.PreStock._.Exp." hidden="1">{"Wkp Unamort PreStock Exp",#N/A,FALSE,"Cap Struct WPs"}</definedName>
    <definedName name="Z_3504B94A_F634_11D2_9451_0008C780B76A_.wvu.PrintArea" localSheetId="3" hidden="1">'Sch J-2'!#REF!</definedName>
    <definedName name="Z_3504B94A_F634_11D2_9451_0008C780B76A_.wvu.PrintArea" localSheetId="4" hidden="1">'Sch J-3'!$A$87:$N$88</definedName>
    <definedName name="Z_3504B94A_F634_11D2_9451_0008C780B76A_.wvu.PrintArea" localSheetId="5" hidden="1">'Sch J-4'!#REF!</definedName>
    <definedName name="Z_3504B94A_F634_11D2_9451_0008C780B76A_.wvu.PrintArea" localSheetId="6" hidden="1">'Sch J-5'!$A$3:$Y$78</definedName>
    <definedName name="Z_3504B94B_F634_11D2_9451_0008C780B76A_.wvu.PrintArea" localSheetId="3" hidden="1">'Sch J-2'!#REF!</definedName>
    <definedName name="Z_3504B94B_F634_11D2_9451_0008C780B76A_.wvu.PrintArea" localSheetId="4" hidden="1">'Sch J-3'!$A$87:$N$88</definedName>
    <definedName name="Z_3504B94B_F634_11D2_9451_0008C780B76A_.wvu.PrintArea" localSheetId="5" hidden="1">'Sch J-4'!#REF!</definedName>
    <definedName name="Z_3504B94B_F634_11D2_9451_0008C780B76A_.wvu.PrintArea" localSheetId="6" hidden="1">'Sch J-5'!$A$3:$Y$78</definedName>
    <definedName name="Z_3504B94C_F634_11D2_9451_0008C780B76A_.wvu.PrintArea" localSheetId="3" hidden="1">'Sch J-2'!#REF!</definedName>
    <definedName name="Z_3504B94C_F634_11D2_9451_0008C780B76A_.wvu.PrintArea" localSheetId="4" hidden="1">'Sch J-3'!$A$87:$N$88</definedName>
    <definedName name="Z_3504B94C_F634_11D2_9451_0008C780B76A_.wvu.PrintArea" localSheetId="5" hidden="1">'Sch J-4'!#REF!</definedName>
    <definedName name="Z_3504B94C_F634_11D2_9451_0008C780B76A_.wvu.PrintArea" localSheetId="6" hidden="1">'Sch J-5'!$A$3:$Y$78</definedName>
    <definedName name="Z_3504B94D_F634_11D2_9451_0008C780B76A_.wvu.PrintArea" localSheetId="3" hidden="1">'Sch J-2'!#REF!</definedName>
    <definedName name="Z_3504B94D_F634_11D2_9451_0008C780B76A_.wvu.PrintArea" localSheetId="4" hidden="1">'Sch J-3'!$A$87:$N$88</definedName>
    <definedName name="Z_3504B94D_F634_11D2_9451_0008C780B76A_.wvu.PrintArea" localSheetId="5" hidden="1">'Sch J-4'!#REF!</definedName>
    <definedName name="Z_3504B94D_F634_11D2_9451_0008C780B76A_.wvu.PrintArea" localSheetId="6" hidden="1">'Sch J-5'!$A$3:$Y$78</definedName>
    <definedName name="Z_3504B94E_F634_11D2_9451_0008C780B76A_.wvu.PrintArea" localSheetId="3" hidden="1">'Sch J-2'!#REF!</definedName>
    <definedName name="Z_3504B94E_F634_11D2_9451_0008C780B76A_.wvu.PrintArea" localSheetId="4" hidden="1">'Sch J-3'!$A$87:$N$88</definedName>
    <definedName name="Z_3504B94E_F634_11D2_9451_0008C780B76A_.wvu.PrintArea" localSheetId="5" hidden="1">'Sch J-4'!#REF!</definedName>
    <definedName name="Z_3504B94E_F634_11D2_9451_0008C780B76A_.wvu.PrintArea" localSheetId="6" hidden="1">'Sch J-5'!$A$3:$Y$78</definedName>
    <definedName name="Z_3504B950_F634_11D2_9451_0008C780B76A_.wvu.PrintArea" localSheetId="3" hidden="1">'Sch J-2'!#REF!</definedName>
    <definedName name="Z_3504B950_F634_11D2_9451_0008C780B76A_.wvu.PrintArea" localSheetId="4" hidden="1">'Sch J-3'!$A$87:$N$88</definedName>
    <definedName name="Z_3504B950_F634_11D2_9451_0008C780B76A_.wvu.PrintArea" localSheetId="5" hidden="1">'Sch J-4'!#REF!</definedName>
    <definedName name="Z_3504B950_F634_11D2_9451_0008C780B76A_.wvu.PrintArea" localSheetId="6" hidden="1">'Sch J-5'!$A$3:$Y$78</definedName>
    <definedName name="Z_3504B951_F634_11D2_9451_0008C780B76A_.wvu.PrintArea" localSheetId="3" hidden="1">'Sch J-2'!#REF!</definedName>
    <definedName name="Z_3504B951_F634_11D2_9451_0008C780B76A_.wvu.PrintArea" localSheetId="4" hidden="1">'Sch J-3'!$A$87:$N$88</definedName>
    <definedName name="Z_3504B951_F634_11D2_9451_0008C780B76A_.wvu.PrintArea" localSheetId="5" hidden="1">'Sch J-4'!#REF!</definedName>
    <definedName name="Z_3504B951_F634_11D2_9451_0008C780B76A_.wvu.PrintArea" localSheetId="6" hidden="1">'Sch J-5'!$A$3:$Y$78</definedName>
    <definedName name="Z_3504B952_F634_11D2_9451_0008C780B76A_.wvu.PrintArea" localSheetId="3" hidden="1">'Sch J-2'!#REF!</definedName>
    <definedName name="Z_3504B952_F634_11D2_9451_0008C780B76A_.wvu.PrintArea" localSheetId="4" hidden="1">'Sch J-3'!$A$87:$N$88</definedName>
    <definedName name="Z_3504B952_F634_11D2_9451_0008C780B76A_.wvu.PrintArea" localSheetId="5" hidden="1">'Sch J-4'!#REF!</definedName>
    <definedName name="Z_3504B952_F634_11D2_9451_0008C780B76A_.wvu.PrintArea" localSheetId="6" hidden="1">'Sch J-5'!$A$3:$Y$78</definedName>
    <definedName name="Z_3504B953_F634_11D2_9451_0008C780B76A_.wvu.PrintArea" localSheetId="3" hidden="1">'Sch J-2'!#REF!</definedName>
    <definedName name="Z_3504B953_F634_11D2_9451_0008C780B76A_.wvu.PrintArea" localSheetId="4" hidden="1">'Sch J-3'!$A$87:$N$88</definedName>
    <definedName name="Z_3504B953_F634_11D2_9451_0008C780B76A_.wvu.PrintArea" localSheetId="5" hidden="1">'Sch J-4'!#REF!</definedName>
    <definedName name="Z_3504B953_F634_11D2_9451_0008C780B76A_.wvu.PrintArea" localSheetId="6" hidden="1">'Sch J-5'!$A$3:$Y$78</definedName>
    <definedName name="Z_3504B954_F634_11D2_9451_0008C780B76A_.wvu.PrintArea" localSheetId="3" hidden="1">'Sch J-2'!#REF!</definedName>
    <definedName name="Z_3504B954_F634_11D2_9451_0008C780B76A_.wvu.PrintArea" localSheetId="4" hidden="1">'Sch J-3'!$A$87:$N$88</definedName>
    <definedName name="Z_3504B954_F634_11D2_9451_0008C780B76A_.wvu.PrintArea" localSheetId="5" hidden="1">'Sch J-4'!#REF!</definedName>
    <definedName name="Z_3504B954_F634_11D2_9451_0008C780B76A_.wvu.PrintArea" localSheetId="6" hidden="1">'Sch J-5'!$A$3:$Y$78</definedName>
    <definedName name="Z_3504B955_F634_11D2_9451_0008C780B76A_.wvu.PrintArea" localSheetId="3" hidden="1">'Sch J-2'!#REF!</definedName>
    <definedName name="Z_3504B955_F634_11D2_9451_0008C780B76A_.wvu.PrintArea" localSheetId="4" hidden="1">'Sch J-3'!$A$87:$N$88</definedName>
    <definedName name="Z_3504B955_F634_11D2_9451_0008C780B76A_.wvu.PrintArea" localSheetId="5" hidden="1">'Sch J-4'!#REF!</definedName>
    <definedName name="Z_3504B955_F634_11D2_9451_0008C780B76A_.wvu.PrintArea" localSheetId="6" hidden="1">'Sch J-5'!$A$3:$Y$78</definedName>
    <definedName name="Z_3504B956_F634_11D2_9451_0008C780B76A_.wvu.PrintArea" localSheetId="3" hidden="1">'Sch J-2'!#REF!</definedName>
    <definedName name="Z_3504B956_F634_11D2_9451_0008C780B76A_.wvu.PrintArea" localSheetId="4" hidden="1">'Sch J-3'!$A$87:$N$88</definedName>
    <definedName name="Z_3504B956_F634_11D2_9451_0008C780B76A_.wvu.PrintArea" localSheetId="5" hidden="1">'Sch J-4'!#REF!</definedName>
    <definedName name="Z_3504B956_F634_11D2_9451_0008C780B76A_.wvu.PrintArea" localSheetId="6" hidden="1">'Sch J-5'!$A$3:$Y$78</definedName>
    <definedName name="Z_3504B966_F634_11D2_9451_0008C780B76A_.wvu.PrintArea" localSheetId="3" hidden="1">'Sch J-2'!#REF!</definedName>
    <definedName name="Z_3504B966_F634_11D2_9451_0008C780B76A_.wvu.PrintArea" localSheetId="4" hidden="1">'Sch J-3'!$A$87:$N$88</definedName>
    <definedName name="Z_3504B966_F634_11D2_9451_0008C780B76A_.wvu.PrintArea" localSheetId="5" hidden="1">'Sch J-4'!#REF!</definedName>
    <definedName name="Z_3504B966_F634_11D2_9451_0008C780B76A_.wvu.PrintArea" localSheetId="6" hidden="1">'Sch J-5'!$A$3:$Y$78</definedName>
    <definedName name="Z_42E2132E_130A_11D4_8702_444553540000_.wvu.PrintArea" localSheetId="1" hidden="1">Linkin!$A$1:$G$40</definedName>
    <definedName name="Z_42E2132E_130A_11D4_8702_444553540000_.wvu.PrintArea" localSheetId="3" hidden="1">'Sch J-2'!$A$2:$S$98</definedName>
    <definedName name="Z_42E2132E_130A_11D4_8702_444553540000_.wvu.PrintArea" localSheetId="4" hidden="1">'Sch J-3'!$A$1:$N$88</definedName>
    <definedName name="Z_42E2132E_130A_11D4_8702_444553540000_.wvu.PrintArea" localSheetId="5" hidden="1">'Sch J-4'!$A$1:$AC$121</definedName>
    <definedName name="Z_42E2132E_130A_11D4_8702_444553540000_.wvu.PrintArea" localSheetId="6" hidden="1">'Sch J-5'!$A$1:$X$78</definedName>
  </definedNames>
  <calcPr calcId="191028" iterate="1" concurrentManualCount="8"/>
  <customWorkbookViews>
    <customWorkbookView name="Wkp Unamort PreStock Exp" guid="{3504B966-F634-11D2-9451-0008C780B76A}" maximized="1" windowWidth="796" windowHeight="427" tabRatio="602" activeSheetId="3"/>
    <customWorkbookView name="Wkp PreStock 13MoAvg" guid="{3504B956-F634-11D2-9451-0008C780B76A}" maximized="1" windowWidth="796" windowHeight="427" tabRatio="602" activeSheetId="3"/>
    <customWorkbookView name="Wkp LTerm Debt 13MoAvg" guid="{3504B955-F634-11D2-9451-0008C780B76A}" maximized="1" windowWidth="796" windowHeight="427" tabRatio="602" activeSheetId="3"/>
    <customWorkbookView name="Wkp JDITC" guid="{3504B954-F634-11D2-9451-0008C780B76A}" maximized="1" windowWidth="796" windowHeight="427" tabRatio="602" activeSheetId="3"/>
    <customWorkbookView name="Wkp ComEquity" guid="{3504B953-F634-11D2-9451-0008C780B76A}" maximized="1" windowWidth="796" windowHeight="427" tabRatio="602" activeSheetId="3"/>
    <customWorkbookView name="Wkp STerm Debt" guid="{3504B952-F634-11D2-9451-0008C780B76A}" maximized="1" windowWidth="796" windowHeight="427" tabRatio="602" activeSheetId="3"/>
    <customWorkbookView name="Wkp PreStock Dividend" guid="{3504B951-F634-11D2-9451-0008C780B76A}" maximized="1" windowWidth="796" windowHeight="427" tabRatio="602" activeSheetId="3"/>
    <customWorkbookView name="Wkp PreStock Amort" guid="{3504B950-F634-11D2-9451-0008C780B76A}" maximized="1" windowWidth="796" windowHeight="427" tabRatio="602" activeSheetId="3"/>
    <customWorkbookView name="Wkp PreStock" guid="{3504B94E-F634-11D2-9451-0008C780B76A}" maximized="1" windowWidth="796" windowHeight="427" tabRatio="602" activeSheetId="3"/>
    <customWorkbookView name="Wkp LTerm Debt Int" guid="{3504B94D-F634-11D2-9451-0008C780B76A}" maximized="1" windowWidth="796" windowHeight="427" tabRatio="602" activeSheetId="3"/>
    <customWorkbookView name="Wkp Lterm Debt Amort" guid="{3504B94C-F634-11D2-9451-0008C780B76A}" maximized="1" windowWidth="796" windowHeight="427" tabRatio="602" activeSheetId="3"/>
    <customWorkbookView name="Wkp LTerm Debt" guid="{3504B94B-F634-11D2-9451-0008C780B76A}" maximized="1" windowWidth="796" windowHeight="427" tabRatio="602" activeSheetId="3"/>
    <customWorkbookView name="Wkp Unamort Debt Exp" guid="{3504B94A-F634-11D2-9451-0008C780B76A}" maximized="1" windowWidth="796" windowHeight="427" tabRatio="602" activeSheetId="3"/>
    <customWorkbookView name="Print All Sch J Exhibits" guid="{42E2132E-130A-11D4-8702-444553540000}" maximized="1" windowWidth="763" windowHeight="466" tabRatio="602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7" l="1"/>
  <c r="H2" i="39"/>
  <c r="F2" i="36"/>
  <c r="AI416" i="26" l="1"/>
  <c r="AI428" i="26"/>
  <c r="AX280" i="26"/>
  <c r="AH433" i="26"/>
  <c r="AH403" i="26"/>
  <c r="AH379" i="26"/>
  <c r="AH354" i="26"/>
  <c r="AH330" i="26"/>
  <c r="AH306" i="26"/>
  <c r="AH280" i="26"/>
  <c r="AH236" i="26"/>
  <c r="AH215" i="26"/>
  <c r="AH195" i="26"/>
  <c r="AH163" i="26"/>
  <c r="AH136" i="26"/>
  <c r="AH91" i="26"/>
  <c r="Y91" i="26"/>
  <c r="Y136" i="26"/>
  <c r="Y163" i="26"/>
  <c r="Y195" i="26"/>
  <c r="Y215" i="26"/>
  <c r="Y236" i="26"/>
  <c r="Y280" i="26"/>
  <c r="Y306" i="26"/>
  <c r="Y330" i="26"/>
  <c r="Y354" i="26"/>
  <c r="Y379" i="26"/>
  <c r="Y403" i="26"/>
  <c r="Y433" i="26"/>
  <c r="O433" i="26"/>
  <c r="O403" i="26"/>
  <c r="O379" i="26"/>
  <c r="O354" i="26"/>
  <c r="O330" i="26"/>
  <c r="O306" i="26"/>
  <c r="O280" i="26"/>
  <c r="O236" i="26"/>
  <c r="O215" i="26"/>
  <c r="O195" i="26"/>
  <c r="O163" i="26"/>
  <c r="O136" i="26"/>
  <c r="O91" i="26"/>
  <c r="O45" i="26"/>
  <c r="Y45" i="26"/>
  <c r="AH45" i="26"/>
  <c r="M37" i="32"/>
  <c r="O18" i="35"/>
  <c r="W40" i="33" l="1"/>
  <c r="AA40" i="33"/>
  <c r="R421" i="26" l="1"/>
  <c r="AZ31" i="26" l="1"/>
  <c r="AH158" i="26"/>
  <c r="AH156" i="26"/>
  <c r="AV31" i="26" s="1"/>
  <c r="T208" i="26"/>
  <c r="U208" i="26" s="1"/>
  <c r="V208" i="26" s="1"/>
  <c r="W208" i="26" s="1"/>
  <c r="X208" i="26" s="1"/>
  <c r="Y208" i="26" s="1"/>
  <c r="Z208" i="26" s="1"/>
  <c r="AA208" i="26" s="1"/>
  <c r="AB208" i="26" s="1"/>
  <c r="AC208" i="26" s="1"/>
  <c r="AD208" i="26" s="1"/>
  <c r="AE208" i="26" s="1"/>
  <c r="AF208" i="26" s="1"/>
  <c r="AG208" i="26" s="1"/>
  <c r="S208" i="26"/>
  <c r="R208" i="26"/>
  <c r="E229" i="26" l="1"/>
  <c r="D229" i="26"/>
  <c r="C229" i="26"/>
  <c r="B229" i="26"/>
  <c r="T229" i="26"/>
  <c r="U229" i="26" s="1"/>
  <c r="V229" i="26" s="1"/>
  <c r="A229" i="26"/>
  <c r="A230" i="26" s="1"/>
  <c r="A231" i="26" s="1"/>
  <c r="R156" i="26"/>
  <c r="W229" i="26" l="1"/>
  <c r="X229" i="26" s="1"/>
  <c r="Y229" i="26" s="1"/>
  <c r="Z229" i="26" s="1"/>
  <c r="AA229" i="26" s="1"/>
  <c r="AB229" i="26" s="1"/>
  <c r="AC229" i="26" s="1"/>
  <c r="AD229" i="26" s="1"/>
  <c r="AE229" i="26" s="1"/>
  <c r="AF229" i="26" s="1"/>
  <c r="AG229" i="26" s="1"/>
  <c r="AH229" i="26" l="1"/>
  <c r="AH208" i="26"/>
  <c r="T184" i="26" l="1"/>
  <c r="U184" i="26" s="1"/>
  <c r="V184" i="26" s="1"/>
  <c r="D184" i="26"/>
  <c r="D208" i="26" s="1"/>
  <c r="C184" i="26"/>
  <c r="C208" i="26" s="1"/>
  <c r="S156" i="26"/>
  <c r="E156" i="26"/>
  <c r="E184" i="26" s="1"/>
  <c r="E208" i="26" s="1"/>
  <c r="D156" i="26"/>
  <c r="C156" i="26"/>
  <c r="R75" i="26"/>
  <c r="S75" i="26" s="1"/>
  <c r="W184" i="26" l="1"/>
  <c r="X184" i="26" s="1"/>
  <c r="Y184" i="26" s="1"/>
  <c r="Z184" i="26" s="1"/>
  <c r="AA184" i="26" s="1"/>
  <c r="AB184" i="26" s="1"/>
  <c r="AC184" i="26" s="1"/>
  <c r="AD184" i="26" s="1"/>
  <c r="AE184" i="26" s="1"/>
  <c r="AF184" i="26" s="1"/>
  <c r="AG184" i="26" s="1"/>
  <c r="T156" i="26"/>
  <c r="U156" i="26" s="1"/>
  <c r="V156" i="26"/>
  <c r="W156" i="26" s="1"/>
  <c r="X156" i="26" s="1"/>
  <c r="Y156" i="26" s="1"/>
  <c r="Z156" i="26" s="1"/>
  <c r="AA156" i="26" s="1"/>
  <c r="AB156" i="26" s="1"/>
  <c r="AC156" i="26" s="1"/>
  <c r="AD156" i="26" s="1"/>
  <c r="AE156" i="26" s="1"/>
  <c r="AF156" i="26" s="1"/>
  <c r="AG156" i="26" s="1"/>
  <c r="AH184" i="26" l="1"/>
  <c r="C30" i="5" l="1"/>
  <c r="A30" i="5"/>
  <c r="C29" i="5"/>
  <c r="A29" i="5"/>
  <c r="C28" i="5"/>
  <c r="A28" i="5"/>
  <c r="C27" i="5"/>
  <c r="A27" i="5"/>
  <c r="C26" i="5"/>
  <c r="A26" i="5"/>
  <c r="C25" i="5"/>
  <c r="A25" i="5"/>
  <c r="C24" i="5"/>
  <c r="A24" i="5"/>
  <c r="G46" i="5"/>
  <c r="G45" i="5"/>
  <c r="G44" i="5"/>
  <c r="G43" i="5"/>
  <c r="G42" i="5"/>
  <c r="G41" i="5"/>
  <c r="G40" i="5"/>
  <c r="G39" i="5"/>
  <c r="G38" i="5"/>
  <c r="A19" i="5"/>
  <c r="A18" i="5"/>
  <c r="A17" i="5"/>
  <c r="C13" i="5"/>
  <c r="C10" i="5"/>
  <c r="C7" i="5"/>
  <c r="C5" i="5"/>
  <c r="A3" i="5"/>
  <c r="A2" i="5"/>
  <c r="A1" i="5"/>
  <c r="R428" i="26" l="1"/>
  <c r="R427" i="26"/>
  <c r="R426" i="26"/>
  <c r="Q428" i="26"/>
  <c r="P428" i="26"/>
  <c r="O428" i="26"/>
  <c r="N428" i="26"/>
  <c r="M428" i="26"/>
  <c r="Q427" i="26"/>
  <c r="P427" i="26"/>
  <c r="O427" i="26"/>
  <c r="N427" i="26"/>
  <c r="M427" i="26"/>
  <c r="Q426" i="26"/>
  <c r="P426" i="26"/>
  <c r="O426" i="26"/>
  <c r="N426" i="26"/>
  <c r="M426" i="26"/>
  <c r="L428" i="26"/>
  <c r="L427" i="26"/>
  <c r="L426" i="26"/>
  <c r="L155" i="26" l="1"/>
  <c r="R39" i="37" l="1"/>
  <c r="AC67" i="33" l="1"/>
  <c r="W46" i="34"/>
  <c r="H66" i="1" l="1"/>
  <c r="E75" i="1" l="1"/>
  <c r="C66" i="1"/>
  <c r="D63" i="1" s="1"/>
  <c r="F63" i="1" s="1"/>
  <c r="D64" i="1" l="1"/>
  <c r="F64" i="1" s="1"/>
  <c r="D65" i="1"/>
  <c r="F65" i="1" s="1"/>
  <c r="D62" i="1"/>
  <c r="F62" i="1" l="1"/>
  <c r="F66" i="1" s="1"/>
  <c r="D66" i="1"/>
  <c r="AH393" i="26" l="1"/>
  <c r="G18" i="35" s="1"/>
  <c r="AC270" i="26"/>
  <c r="AB270" i="26"/>
  <c r="AA270" i="26"/>
  <c r="Z270" i="26"/>
  <c r="Y270" i="26"/>
  <c r="X270" i="26"/>
  <c r="W270" i="26"/>
  <c r="V270" i="26"/>
  <c r="U270" i="26"/>
  <c r="T270" i="26"/>
  <c r="S270" i="26"/>
  <c r="R270" i="26"/>
  <c r="Q270" i="26"/>
  <c r="P270" i="26"/>
  <c r="O270" i="26"/>
  <c r="N270" i="26"/>
  <c r="M270" i="26"/>
  <c r="L270" i="26"/>
  <c r="K270" i="26"/>
  <c r="J270" i="26"/>
  <c r="I270" i="26"/>
  <c r="H270" i="26"/>
  <c r="AD269" i="26"/>
  <c r="AC269" i="26"/>
  <c r="AB269" i="26"/>
  <c r="AA269" i="26"/>
  <c r="Z269" i="26"/>
  <c r="Y269" i="26"/>
  <c r="X269" i="26"/>
  <c r="W269" i="26"/>
  <c r="V269" i="26"/>
  <c r="U269" i="26"/>
  <c r="T269" i="26"/>
  <c r="S269" i="26"/>
  <c r="R269" i="26"/>
  <c r="Q269" i="26"/>
  <c r="P269" i="26"/>
  <c r="O269" i="26"/>
  <c r="N269" i="26"/>
  <c r="M269" i="26"/>
  <c r="L269" i="26"/>
  <c r="K269" i="26"/>
  <c r="J269" i="26"/>
  <c r="I269" i="26"/>
  <c r="H269" i="26"/>
  <c r="W268" i="26"/>
  <c r="V268" i="26"/>
  <c r="U268" i="26"/>
  <c r="T268" i="26"/>
  <c r="S268" i="26"/>
  <c r="R268" i="26"/>
  <c r="Q268" i="26"/>
  <c r="P268" i="26"/>
  <c r="O268" i="26"/>
  <c r="N268" i="26"/>
  <c r="M268" i="26"/>
  <c r="L268" i="26"/>
  <c r="K268" i="26"/>
  <c r="J268" i="26"/>
  <c r="I268" i="26"/>
  <c r="H268" i="26"/>
  <c r="X267" i="26"/>
  <c r="W267" i="26"/>
  <c r="V267" i="26"/>
  <c r="U267" i="26"/>
  <c r="T267" i="26"/>
  <c r="S267" i="26"/>
  <c r="R267" i="26"/>
  <c r="Q267" i="26"/>
  <c r="P267" i="26"/>
  <c r="O267" i="26"/>
  <c r="N267" i="26"/>
  <c r="M267" i="26"/>
  <c r="L267" i="26"/>
  <c r="K267" i="26"/>
  <c r="J267" i="26"/>
  <c r="I267" i="26"/>
  <c r="H267" i="26"/>
  <c r="R266" i="26"/>
  <c r="Q266" i="26"/>
  <c r="P266" i="26"/>
  <c r="O266" i="26"/>
  <c r="N266" i="26"/>
  <c r="M266" i="26"/>
  <c r="L266" i="26"/>
  <c r="K266" i="26"/>
  <c r="J266" i="26"/>
  <c r="I266" i="26"/>
  <c r="H266" i="26"/>
  <c r="L265" i="26"/>
  <c r="K265" i="26"/>
  <c r="J265" i="26"/>
  <c r="I265" i="26"/>
  <c r="H265" i="26"/>
  <c r="AA262" i="26"/>
  <c r="AG259" i="26"/>
  <c r="AF259" i="26"/>
  <c r="AE259" i="26"/>
  <c r="AD259" i="26"/>
  <c r="AC259" i="26"/>
  <c r="AB259" i="26"/>
  <c r="AA259" i="26"/>
  <c r="Z259" i="26"/>
  <c r="Y259" i="26"/>
  <c r="X259" i="26"/>
  <c r="W259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70" i="26"/>
  <c r="G269" i="26"/>
  <c r="G268" i="26"/>
  <c r="G267" i="26"/>
  <c r="G266" i="26"/>
  <c r="G265" i="26"/>
  <c r="G259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A53" i="4"/>
  <c r="C26" i="1" l="1"/>
  <c r="K393" i="26" l="1"/>
  <c r="M207" i="26" l="1"/>
  <c r="K231" i="26"/>
  <c r="J231" i="26"/>
  <c r="I231" i="26"/>
  <c r="H231" i="26"/>
  <c r="G231" i="26"/>
  <c r="F231" i="26"/>
  <c r="M231" i="26"/>
  <c r="L231" i="26"/>
  <c r="A224" i="26"/>
  <c r="A225" i="26" s="1"/>
  <c r="A226" i="26" s="1"/>
  <c r="A227" i="26" s="1"/>
  <c r="A228" i="26" s="1"/>
  <c r="AG222" i="26"/>
  <c r="AF222" i="26"/>
  <c r="AE222" i="26"/>
  <c r="AD222" i="26"/>
  <c r="AC222" i="26"/>
  <c r="AB222" i="26"/>
  <c r="AA222" i="26"/>
  <c r="Z222" i="26"/>
  <c r="Y222" i="26"/>
  <c r="X222" i="26"/>
  <c r="W222" i="26"/>
  <c r="V222" i="26"/>
  <c r="U222" i="26"/>
  <c r="T222" i="26"/>
  <c r="S222" i="26"/>
  <c r="R222" i="26"/>
  <c r="Q222" i="26"/>
  <c r="P222" i="26"/>
  <c r="O222" i="26"/>
  <c r="N222" i="26"/>
  <c r="M222" i="26"/>
  <c r="L222" i="26"/>
  <c r="K222" i="26"/>
  <c r="J222" i="26"/>
  <c r="I222" i="26"/>
  <c r="H222" i="26"/>
  <c r="G222" i="26"/>
  <c r="F222" i="26"/>
  <c r="F210" i="26"/>
  <c r="A204" i="26"/>
  <c r="A205" i="26" s="1"/>
  <c r="A206" i="26" s="1"/>
  <c r="A207" i="26" s="1"/>
  <c r="A208" i="26" s="1"/>
  <c r="A209" i="26" s="1"/>
  <c r="A210" i="26" s="1"/>
  <c r="AG202" i="26"/>
  <c r="AF202" i="26"/>
  <c r="AE202" i="26"/>
  <c r="AD202" i="26"/>
  <c r="AC202" i="26"/>
  <c r="AB202" i="26"/>
  <c r="AA202" i="26"/>
  <c r="Z202" i="26"/>
  <c r="Y202" i="26"/>
  <c r="X202" i="26"/>
  <c r="W202" i="26"/>
  <c r="V202" i="26"/>
  <c r="U202" i="26"/>
  <c r="T202" i="26"/>
  <c r="S202" i="26"/>
  <c r="R202" i="26"/>
  <c r="Q202" i="26"/>
  <c r="P202" i="26"/>
  <c r="O202" i="26"/>
  <c r="N202" i="26"/>
  <c r="M202" i="26"/>
  <c r="L202" i="26"/>
  <c r="K202" i="26"/>
  <c r="J202" i="26"/>
  <c r="I202" i="26"/>
  <c r="H202" i="26"/>
  <c r="G202" i="26"/>
  <c r="F202" i="26"/>
  <c r="H210" i="26" l="1"/>
  <c r="G210" i="26"/>
  <c r="N228" i="26"/>
  <c r="N207" i="26" s="1"/>
  <c r="N183" i="26"/>
  <c r="O183" i="26" s="1"/>
  <c r="P183" i="26" s="1"/>
  <c r="Q183" i="26" s="1"/>
  <c r="R183" i="26" s="1"/>
  <c r="S183" i="26" s="1"/>
  <c r="T183" i="26" s="1"/>
  <c r="U183" i="26" s="1"/>
  <c r="V183" i="26" s="1"/>
  <c r="W183" i="26" s="1"/>
  <c r="X183" i="26" s="1"/>
  <c r="Y183" i="26" s="1"/>
  <c r="Z183" i="26" s="1"/>
  <c r="AA183" i="26" s="1"/>
  <c r="AB183" i="26" s="1"/>
  <c r="AC183" i="26" s="1"/>
  <c r="AD183" i="26" s="1"/>
  <c r="AE183" i="26" s="1"/>
  <c r="AF183" i="26" s="1"/>
  <c r="AG183" i="26" s="1"/>
  <c r="M155" i="26"/>
  <c r="N155" i="26" s="1"/>
  <c r="O155" i="26" s="1"/>
  <c r="P155" i="26" s="1"/>
  <c r="Q155" i="26" s="1"/>
  <c r="R155" i="26" l="1"/>
  <c r="S155" i="26" s="1"/>
  <c r="T155" i="26" s="1"/>
  <c r="U155" i="26" s="1"/>
  <c r="V155" i="26" s="1"/>
  <c r="W155" i="26" s="1"/>
  <c r="X155" i="26" s="1"/>
  <c r="Y155" i="26" s="1"/>
  <c r="Z155" i="26" s="1"/>
  <c r="AA155" i="26" s="1"/>
  <c r="AB155" i="26" s="1"/>
  <c r="AC155" i="26" s="1"/>
  <c r="AD155" i="26" s="1"/>
  <c r="AE155" i="26" s="1"/>
  <c r="AF155" i="26" s="1"/>
  <c r="AG155" i="26" s="1"/>
  <c r="W39" i="33" s="1"/>
  <c r="W99" i="33"/>
  <c r="I210" i="26"/>
  <c r="N231" i="26"/>
  <c r="O228" i="26"/>
  <c r="O207" i="26" s="1"/>
  <c r="O231" i="26" l="1"/>
  <c r="P228" i="26"/>
  <c r="P207" i="26" s="1"/>
  <c r="J210" i="26"/>
  <c r="K210" i="26" l="1"/>
  <c r="P231" i="26"/>
  <c r="Q228" i="26"/>
  <c r="Q207" i="26" s="1"/>
  <c r="AA99" i="33" l="1"/>
  <c r="Q231" i="26"/>
  <c r="R228" i="26"/>
  <c r="R207" i="26" s="1"/>
  <c r="L210" i="26"/>
  <c r="M210" i="26" l="1"/>
  <c r="S228" i="26"/>
  <c r="S207" i="26" s="1"/>
  <c r="R231" i="26"/>
  <c r="S231" i="26" l="1"/>
  <c r="T228" i="26"/>
  <c r="T207" i="26" s="1"/>
  <c r="N210" i="26"/>
  <c r="O210" i="26" l="1"/>
  <c r="T231" i="26"/>
  <c r="U228" i="26"/>
  <c r="U207" i="26" s="1"/>
  <c r="V228" i="26" l="1"/>
  <c r="V207" i="26" s="1"/>
  <c r="U231" i="26"/>
  <c r="P210" i="26"/>
  <c r="Q210" i="26" l="1"/>
  <c r="W228" i="26"/>
  <c r="W207" i="26" s="1"/>
  <c r="V231" i="26"/>
  <c r="X228" i="26" l="1"/>
  <c r="X207" i="26" s="1"/>
  <c r="W231" i="26"/>
  <c r="R210" i="26"/>
  <c r="S210" i="26" l="1"/>
  <c r="X231" i="26"/>
  <c r="Y228" i="26"/>
  <c r="Y207" i="26" s="1"/>
  <c r="Y231" i="26" l="1"/>
  <c r="Z228" i="26"/>
  <c r="Z207" i="26" s="1"/>
  <c r="T210" i="26"/>
  <c r="U210" i="26" l="1"/>
  <c r="Z231" i="26"/>
  <c r="AA228" i="26"/>
  <c r="AA207" i="26" s="1"/>
  <c r="AA231" i="26" l="1"/>
  <c r="AB228" i="26"/>
  <c r="AB207" i="26" s="1"/>
  <c r="V210" i="26"/>
  <c r="W210" i="26" l="1"/>
  <c r="AB231" i="26"/>
  <c r="AC228" i="26"/>
  <c r="AC207" i="26" s="1"/>
  <c r="AC231" i="26" l="1"/>
  <c r="AD228" i="26"/>
  <c r="AD207" i="26" s="1"/>
  <c r="X210" i="26"/>
  <c r="Y210" i="26" l="1"/>
  <c r="AE228" i="26"/>
  <c r="AE207" i="26" s="1"/>
  <c r="AD231" i="26"/>
  <c r="AF228" i="26" l="1"/>
  <c r="AF207" i="26" s="1"/>
  <c r="AE231" i="26"/>
  <c r="Z210" i="26"/>
  <c r="AA210" i="26" l="1"/>
  <c r="AF231" i="26"/>
  <c r="AG228" i="26"/>
  <c r="AG207" i="26" s="1"/>
  <c r="AA39" i="33" l="1"/>
  <c r="AH207" i="26"/>
  <c r="AG231" i="26"/>
  <c r="AH228" i="26"/>
  <c r="AH231" i="26" s="1"/>
  <c r="AB210" i="26"/>
  <c r="AZ30" i="26" l="1"/>
  <c r="AZ40" i="26" s="1"/>
  <c r="AC210" i="26"/>
  <c r="AD210" i="26" l="1"/>
  <c r="AE210" i="26" l="1"/>
  <c r="AF210" i="26" l="1"/>
  <c r="AG210" i="26" l="1"/>
  <c r="AH210" i="26"/>
  <c r="AD35" i="26" l="1"/>
  <c r="AD270" i="26" s="1"/>
  <c r="X33" i="26"/>
  <c r="X268" i="26" s="1"/>
  <c r="AH396" i="26" l="1"/>
  <c r="AN35" i="26"/>
  <c r="AN34" i="26"/>
  <c r="AN33" i="26"/>
  <c r="AN32" i="26"/>
  <c r="AN31" i="26"/>
  <c r="AN30" i="26"/>
  <c r="AN29" i="26"/>
  <c r="AN28" i="26"/>
  <c r="AN27" i="26"/>
  <c r="AN26" i="26"/>
  <c r="AN25" i="26"/>
  <c r="AN24" i="26"/>
  <c r="AN23" i="26"/>
  <c r="AN22" i="26"/>
  <c r="AN21" i="26"/>
  <c r="AN20" i="26"/>
  <c r="AN19" i="26"/>
  <c r="AN18" i="26"/>
  <c r="AN17" i="26"/>
  <c r="AN16" i="26"/>
  <c r="AN15" i="26"/>
  <c r="AN14" i="26"/>
  <c r="AJ35" i="26"/>
  <c r="AJ34" i="26"/>
  <c r="AJ33" i="26"/>
  <c r="AJ32" i="26"/>
  <c r="AJ31" i="26"/>
  <c r="AJ30" i="26"/>
  <c r="AJ29" i="26"/>
  <c r="AJ28" i="26"/>
  <c r="AJ27" i="26"/>
  <c r="AJ26" i="26"/>
  <c r="AJ25" i="26"/>
  <c r="AJ24" i="26"/>
  <c r="AJ23" i="26"/>
  <c r="AJ22" i="26"/>
  <c r="AJ21" i="26"/>
  <c r="AJ20" i="26"/>
  <c r="AJ19" i="26"/>
  <c r="AJ18" i="26"/>
  <c r="AJ17" i="26"/>
  <c r="AJ16" i="26"/>
  <c r="AJ15" i="26"/>
  <c r="AJ14" i="26"/>
  <c r="AH24" i="26"/>
  <c r="AL24" i="26" s="1"/>
  <c r="AD124" i="26"/>
  <c r="AG440" i="26" l="1"/>
  <c r="AF440" i="26"/>
  <c r="AE440" i="26"/>
  <c r="AD440" i="26"/>
  <c r="AC440" i="26"/>
  <c r="AB440" i="26"/>
  <c r="AA440" i="26"/>
  <c r="Z440" i="26"/>
  <c r="Y440" i="26"/>
  <c r="X440" i="26"/>
  <c r="W440" i="26"/>
  <c r="V440" i="26"/>
  <c r="U440" i="26"/>
  <c r="T440" i="26"/>
  <c r="S440" i="26"/>
  <c r="R440" i="26"/>
  <c r="Q440" i="26"/>
  <c r="P440" i="26"/>
  <c r="O440" i="26"/>
  <c r="N440" i="26"/>
  <c r="M440" i="26"/>
  <c r="L440" i="26"/>
  <c r="K440" i="26"/>
  <c r="J440" i="26"/>
  <c r="I440" i="26"/>
  <c r="H440" i="26"/>
  <c r="G440" i="26"/>
  <c r="F440" i="26"/>
  <c r="AG410" i="26"/>
  <c r="AF410" i="26"/>
  <c r="AE410" i="26"/>
  <c r="AD410" i="26"/>
  <c r="AC410" i="26"/>
  <c r="AB410" i="26"/>
  <c r="AA410" i="26"/>
  <c r="Z410" i="26"/>
  <c r="Y410" i="26"/>
  <c r="X410" i="26"/>
  <c r="W410" i="26"/>
  <c r="V410" i="26"/>
  <c r="U410" i="26"/>
  <c r="T410" i="26"/>
  <c r="S410" i="26"/>
  <c r="R410" i="26"/>
  <c r="Q410" i="26"/>
  <c r="P410" i="26"/>
  <c r="O410" i="26"/>
  <c r="N410" i="26"/>
  <c r="M410" i="26"/>
  <c r="L410" i="26"/>
  <c r="K410" i="26"/>
  <c r="J410" i="26"/>
  <c r="I410" i="26"/>
  <c r="H410" i="26"/>
  <c r="G410" i="26"/>
  <c r="F410" i="26"/>
  <c r="AG386" i="26"/>
  <c r="AF386" i="26"/>
  <c r="AE386" i="26"/>
  <c r="AD386" i="26"/>
  <c r="AC386" i="26"/>
  <c r="AB386" i="26"/>
  <c r="AA386" i="26"/>
  <c r="Z386" i="26"/>
  <c r="Y386" i="26"/>
  <c r="X386" i="26"/>
  <c r="W386" i="26"/>
  <c r="V386" i="26"/>
  <c r="U386" i="26"/>
  <c r="T386" i="26"/>
  <c r="S386" i="26"/>
  <c r="R386" i="26"/>
  <c r="Q386" i="26"/>
  <c r="P386" i="26"/>
  <c r="O386" i="26"/>
  <c r="N386" i="26"/>
  <c r="M386" i="26"/>
  <c r="L386" i="26"/>
  <c r="K386" i="26"/>
  <c r="J386" i="26"/>
  <c r="I386" i="26"/>
  <c r="H386" i="26"/>
  <c r="G386" i="26"/>
  <c r="F386" i="26"/>
  <c r="AG361" i="26"/>
  <c r="AF361" i="26"/>
  <c r="AE361" i="26"/>
  <c r="AD361" i="26"/>
  <c r="AC361" i="26"/>
  <c r="AB361" i="26"/>
  <c r="AA361" i="26"/>
  <c r="Z361" i="26"/>
  <c r="Y361" i="26"/>
  <c r="X361" i="26"/>
  <c r="W361" i="26"/>
  <c r="V361" i="26"/>
  <c r="U361" i="26"/>
  <c r="T361" i="26"/>
  <c r="S361" i="26"/>
  <c r="R361" i="26"/>
  <c r="Q361" i="26"/>
  <c r="P361" i="26"/>
  <c r="O361" i="26"/>
  <c r="N361" i="26"/>
  <c r="M361" i="26"/>
  <c r="L361" i="26"/>
  <c r="K361" i="26"/>
  <c r="J361" i="26"/>
  <c r="I361" i="26"/>
  <c r="H361" i="26"/>
  <c r="G361" i="26"/>
  <c r="F361" i="26"/>
  <c r="AG337" i="26"/>
  <c r="AF337" i="26"/>
  <c r="AE337" i="26"/>
  <c r="AD337" i="26"/>
  <c r="AC337" i="26"/>
  <c r="AB337" i="26"/>
  <c r="AA337" i="26"/>
  <c r="Z337" i="26"/>
  <c r="Y337" i="26"/>
  <c r="X337" i="26"/>
  <c r="W337" i="26"/>
  <c r="V337" i="26"/>
  <c r="U337" i="26"/>
  <c r="T337" i="26"/>
  <c r="S337" i="26"/>
  <c r="R337" i="26"/>
  <c r="Q337" i="26"/>
  <c r="P337" i="26"/>
  <c r="O337" i="26"/>
  <c r="N337" i="26"/>
  <c r="M337" i="26"/>
  <c r="L337" i="26"/>
  <c r="K337" i="26"/>
  <c r="J337" i="26"/>
  <c r="I337" i="26"/>
  <c r="H337" i="26"/>
  <c r="G337" i="26"/>
  <c r="F337" i="26"/>
  <c r="AG313" i="26"/>
  <c r="AF313" i="26"/>
  <c r="AE313" i="26"/>
  <c r="AD313" i="26"/>
  <c r="AC313" i="26"/>
  <c r="AB313" i="26"/>
  <c r="AA313" i="26"/>
  <c r="Z313" i="26"/>
  <c r="Y313" i="26"/>
  <c r="X313" i="26"/>
  <c r="W313" i="26"/>
  <c r="V313" i="26"/>
  <c r="U313" i="26"/>
  <c r="T313" i="26"/>
  <c r="S313" i="26"/>
  <c r="R313" i="26"/>
  <c r="Q313" i="26"/>
  <c r="P313" i="26"/>
  <c r="O313" i="26"/>
  <c r="N313" i="26"/>
  <c r="M313" i="26"/>
  <c r="L313" i="26"/>
  <c r="K313" i="26"/>
  <c r="J313" i="26"/>
  <c r="I313" i="26"/>
  <c r="H313" i="26"/>
  <c r="G313" i="26"/>
  <c r="F313" i="26"/>
  <c r="AG287" i="26"/>
  <c r="AF287" i="26"/>
  <c r="AE287" i="26"/>
  <c r="AD287" i="26"/>
  <c r="AC287" i="26"/>
  <c r="AB287" i="26"/>
  <c r="AA287" i="26"/>
  <c r="Z287" i="26"/>
  <c r="Y287" i="26"/>
  <c r="X287" i="26"/>
  <c r="W287" i="26"/>
  <c r="V287" i="26"/>
  <c r="U287" i="26"/>
  <c r="T287" i="26"/>
  <c r="S287" i="26"/>
  <c r="R287" i="26"/>
  <c r="Q287" i="26"/>
  <c r="P287" i="26"/>
  <c r="O287" i="26"/>
  <c r="N287" i="26"/>
  <c r="M287" i="26"/>
  <c r="L287" i="26"/>
  <c r="K287" i="26"/>
  <c r="J287" i="26"/>
  <c r="I287" i="26"/>
  <c r="H287" i="26"/>
  <c r="G287" i="26"/>
  <c r="F287" i="26"/>
  <c r="AG243" i="26"/>
  <c r="AF243" i="26"/>
  <c r="AE243" i="26"/>
  <c r="AD243" i="26"/>
  <c r="AC243" i="26"/>
  <c r="AB243" i="26"/>
  <c r="AA243" i="26"/>
  <c r="Z243" i="26"/>
  <c r="Y243" i="26"/>
  <c r="X243" i="26"/>
  <c r="W243" i="26"/>
  <c r="V243" i="26"/>
  <c r="U243" i="26"/>
  <c r="T243" i="26"/>
  <c r="S243" i="26"/>
  <c r="R243" i="26"/>
  <c r="Q243" i="26"/>
  <c r="P243" i="26"/>
  <c r="O243" i="26"/>
  <c r="N243" i="26"/>
  <c r="M243" i="26"/>
  <c r="L243" i="26"/>
  <c r="K243" i="26"/>
  <c r="J243" i="26"/>
  <c r="I243" i="26"/>
  <c r="H243" i="26"/>
  <c r="G243" i="26"/>
  <c r="F243" i="26"/>
  <c r="AG170" i="26"/>
  <c r="AF170" i="26"/>
  <c r="AE170" i="26"/>
  <c r="AD170" i="26"/>
  <c r="AC170" i="26"/>
  <c r="AB170" i="26"/>
  <c r="AA170" i="26"/>
  <c r="Z170" i="26"/>
  <c r="Y170" i="26"/>
  <c r="X170" i="26"/>
  <c r="W170" i="26"/>
  <c r="V170" i="26"/>
  <c r="U170" i="26"/>
  <c r="T170" i="26"/>
  <c r="S170" i="26"/>
  <c r="R170" i="26"/>
  <c r="Q170" i="26"/>
  <c r="P170" i="26"/>
  <c r="O170" i="26"/>
  <c r="N170" i="26"/>
  <c r="M170" i="26"/>
  <c r="L170" i="26"/>
  <c r="K170" i="26"/>
  <c r="J170" i="26"/>
  <c r="I170" i="26"/>
  <c r="H170" i="26"/>
  <c r="G170" i="26"/>
  <c r="F170" i="26"/>
  <c r="AG143" i="26"/>
  <c r="AF143" i="26"/>
  <c r="AE143" i="26"/>
  <c r="AD143" i="26"/>
  <c r="AC143" i="26"/>
  <c r="AB143" i="26"/>
  <c r="AA143" i="26"/>
  <c r="Z143" i="26"/>
  <c r="Y143" i="26"/>
  <c r="X143" i="26"/>
  <c r="W143" i="26"/>
  <c r="V143" i="26"/>
  <c r="U143" i="26"/>
  <c r="T143" i="26"/>
  <c r="S143" i="26"/>
  <c r="R143" i="26"/>
  <c r="Q143" i="26"/>
  <c r="P143" i="26"/>
  <c r="O143" i="26"/>
  <c r="N143" i="26"/>
  <c r="M143" i="26"/>
  <c r="L143" i="26"/>
  <c r="K143" i="26"/>
  <c r="J143" i="26"/>
  <c r="I143" i="26"/>
  <c r="H143" i="26"/>
  <c r="G143" i="26"/>
  <c r="F143" i="26"/>
  <c r="AG98" i="26"/>
  <c r="AF98" i="26"/>
  <c r="AE98" i="26"/>
  <c r="AD98" i="26"/>
  <c r="AC98" i="26"/>
  <c r="AB98" i="26"/>
  <c r="AA98" i="26"/>
  <c r="Z98" i="26"/>
  <c r="Y98" i="26"/>
  <c r="X98" i="26"/>
  <c r="W98" i="26"/>
  <c r="V98" i="26"/>
  <c r="U98" i="26"/>
  <c r="T98" i="26"/>
  <c r="S98" i="26"/>
  <c r="R98" i="26"/>
  <c r="Q98" i="26"/>
  <c r="P98" i="26"/>
  <c r="O98" i="26"/>
  <c r="N98" i="26"/>
  <c r="M98" i="26"/>
  <c r="L98" i="26"/>
  <c r="K98" i="26"/>
  <c r="J98" i="26"/>
  <c r="I98" i="26"/>
  <c r="H98" i="26"/>
  <c r="G98" i="26"/>
  <c r="F98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G33" i="39" l="1"/>
  <c r="F33" i="39"/>
  <c r="E33" i="39"/>
  <c r="D33" i="39"/>
  <c r="C33" i="39"/>
  <c r="B33" i="39"/>
  <c r="B22" i="39"/>
  <c r="C20" i="39"/>
  <c r="D20" i="39" s="1"/>
  <c r="E20" i="39" s="1"/>
  <c r="F20" i="39" s="1"/>
  <c r="G20" i="39" s="1"/>
  <c r="C19" i="39"/>
  <c r="D19" i="39" s="1"/>
  <c r="E19" i="39" s="1"/>
  <c r="F19" i="39" s="1"/>
  <c r="G19" i="39" s="1"/>
  <c r="AH183" i="26" l="1"/>
  <c r="E155" i="26"/>
  <c r="E183" i="26" s="1"/>
  <c r="E207" i="26" s="1"/>
  <c r="E228" i="26" s="1"/>
  <c r="D155" i="26"/>
  <c r="D183" i="26" s="1"/>
  <c r="D207" i="26" s="1"/>
  <c r="D228" i="26" s="1"/>
  <c r="C155" i="26"/>
  <c r="C183" i="26" s="1"/>
  <c r="C207" i="26" s="1"/>
  <c r="C228" i="26" s="1"/>
  <c r="AH155" i="26" l="1"/>
  <c r="AV30" i="26" s="1"/>
  <c r="D16" i="36" l="1"/>
  <c r="K99" i="33"/>
  <c r="K44" i="33"/>
  <c r="G44" i="33"/>
  <c r="E44" i="33"/>
  <c r="C44" i="33"/>
  <c r="K43" i="33"/>
  <c r="G43" i="33"/>
  <c r="E43" i="33"/>
  <c r="C43" i="33"/>
  <c r="K42" i="33"/>
  <c r="G42" i="33"/>
  <c r="E42" i="33"/>
  <c r="C42" i="33"/>
  <c r="K41" i="33"/>
  <c r="G41" i="33"/>
  <c r="E41" i="33"/>
  <c r="C41" i="33"/>
  <c r="K40" i="33"/>
  <c r="G40" i="33"/>
  <c r="E40" i="33"/>
  <c r="C40" i="33"/>
  <c r="K39" i="33"/>
  <c r="G39" i="33"/>
  <c r="G99" i="33" s="1"/>
  <c r="E39" i="33"/>
  <c r="E99" i="33" s="1"/>
  <c r="C39" i="33"/>
  <c r="Y36" i="33"/>
  <c r="G38" i="33"/>
  <c r="G98" i="33" s="1"/>
  <c r="E38" i="33"/>
  <c r="E98" i="33" s="1"/>
  <c r="C38" i="33"/>
  <c r="G37" i="33"/>
  <c r="G97" i="33" s="1"/>
  <c r="E37" i="33"/>
  <c r="E97" i="33" s="1"/>
  <c r="C37" i="33"/>
  <c r="G36" i="33"/>
  <c r="G96" i="33" s="1"/>
  <c r="E36" i="33"/>
  <c r="E96" i="33" s="1"/>
  <c r="C36" i="33"/>
  <c r="G35" i="33"/>
  <c r="G95" i="33" s="1"/>
  <c r="E35" i="33"/>
  <c r="E95" i="33" s="1"/>
  <c r="C35" i="33"/>
  <c r="G34" i="33"/>
  <c r="G94" i="33" s="1"/>
  <c r="E34" i="33"/>
  <c r="E94" i="33" s="1"/>
  <c r="C34" i="33"/>
  <c r="G33" i="33"/>
  <c r="G93" i="33" s="1"/>
  <c r="E33" i="33"/>
  <c r="E93" i="33" s="1"/>
  <c r="C33" i="33"/>
  <c r="G32" i="33"/>
  <c r="G92" i="33" s="1"/>
  <c r="E32" i="33"/>
  <c r="E92" i="33" s="1"/>
  <c r="C32" i="33"/>
  <c r="G31" i="33"/>
  <c r="G91" i="33" s="1"/>
  <c r="E31" i="33"/>
  <c r="E91" i="33" s="1"/>
  <c r="C31" i="33"/>
  <c r="G30" i="33"/>
  <c r="G90" i="33" s="1"/>
  <c r="E30" i="33"/>
  <c r="E90" i="33" s="1"/>
  <c r="C30" i="33"/>
  <c r="G29" i="33"/>
  <c r="G89" i="33" s="1"/>
  <c r="E29" i="33"/>
  <c r="E89" i="33" s="1"/>
  <c r="C29" i="33"/>
  <c r="G28" i="33"/>
  <c r="G88" i="33" s="1"/>
  <c r="E28" i="33"/>
  <c r="E88" i="33" s="1"/>
  <c r="C28" i="33"/>
  <c r="G27" i="33"/>
  <c r="G87" i="33" s="1"/>
  <c r="E27" i="33"/>
  <c r="E87" i="33" s="1"/>
  <c r="C27" i="33"/>
  <c r="G26" i="33"/>
  <c r="G86" i="33" s="1"/>
  <c r="E26" i="33"/>
  <c r="E86" i="33" s="1"/>
  <c r="C26" i="33"/>
  <c r="G25" i="33"/>
  <c r="E25" i="33"/>
  <c r="C25" i="33"/>
  <c r="G21" i="33"/>
  <c r="G81" i="33" s="1"/>
  <c r="E21" i="33"/>
  <c r="E81" i="33" s="1"/>
  <c r="C21" i="33"/>
  <c r="G20" i="33"/>
  <c r="G80" i="33" s="1"/>
  <c r="E20" i="33"/>
  <c r="E80" i="33" s="1"/>
  <c r="C20" i="33"/>
  <c r="E270" i="26"/>
  <c r="D270" i="26"/>
  <c r="C270" i="26"/>
  <c r="B270" i="26"/>
  <c r="E269" i="26"/>
  <c r="D269" i="26"/>
  <c r="C269" i="26"/>
  <c r="B269" i="26"/>
  <c r="E268" i="26"/>
  <c r="D268" i="26"/>
  <c r="C268" i="26"/>
  <c r="B268" i="26"/>
  <c r="E267" i="26"/>
  <c r="D267" i="26"/>
  <c r="C267" i="26"/>
  <c r="B267" i="26"/>
  <c r="E266" i="26"/>
  <c r="D266" i="26"/>
  <c r="C266" i="26"/>
  <c r="B266" i="26"/>
  <c r="E265" i="26"/>
  <c r="D265" i="26"/>
  <c r="C265" i="26"/>
  <c r="B265" i="26"/>
  <c r="E264" i="26"/>
  <c r="D264" i="26"/>
  <c r="C264" i="26"/>
  <c r="B264" i="26"/>
  <c r="E263" i="26"/>
  <c r="D263" i="26"/>
  <c r="C263" i="26"/>
  <c r="B263" i="26"/>
  <c r="E262" i="26"/>
  <c r="D262" i="26"/>
  <c r="C262" i="26"/>
  <c r="B262" i="26"/>
  <c r="E261" i="26"/>
  <c r="D261" i="26"/>
  <c r="C261" i="26"/>
  <c r="B261" i="26"/>
  <c r="E260" i="26"/>
  <c r="D260" i="26"/>
  <c r="C260" i="26"/>
  <c r="B260" i="26"/>
  <c r="E259" i="26"/>
  <c r="D259" i="26"/>
  <c r="C259" i="26"/>
  <c r="B259" i="26"/>
  <c r="E258" i="26"/>
  <c r="D258" i="26"/>
  <c r="C258" i="26"/>
  <c r="B258" i="26"/>
  <c r="E257" i="26"/>
  <c r="D257" i="26"/>
  <c r="C257" i="26"/>
  <c r="B257" i="26"/>
  <c r="E256" i="26"/>
  <c r="D256" i="26"/>
  <c r="C256" i="26"/>
  <c r="B256" i="26"/>
  <c r="E255" i="26"/>
  <c r="D255" i="26"/>
  <c r="C255" i="26"/>
  <c r="B255" i="26"/>
  <c r="E254" i="26"/>
  <c r="D254" i="26"/>
  <c r="C254" i="26"/>
  <c r="B254" i="26"/>
  <c r="E253" i="26"/>
  <c r="D253" i="26"/>
  <c r="C253" i="26"/>
  <c r="B253" i="26"/>
  <c r="E252" i="26"/>
  <c r="D252" i="26"/>
  <c r="C252" i="26"/>
  <c r="B252" i="26"/>
  <c r="E251" i="26"/>
  <c r="D251" i="26"/>
  <c r="C251" i="26"/>
  <c r="B251" i="26"/>
  <c r="E250" i="26"/>
  <c r="D250" i="26"/>
  <c r="C250" i="26"/>
  <c r="B250" i="26"/>
  <c r="C249" i="26"/>
  <c r="B249" i="26"/>
  <c r="E249" i="26"/>
  <c r="D249" i="26"/>
  <c r="AH182" i="26"/>
  <c r="G154" i="26"/>
  <c r="H154" i="26" s="1"/>
  <c r="I154" i="26" s="1"/>
  <c r="J154" i="26" s="1"/>
  <c r="K154" i="26" s="1"/>
  <c r="L154" i="26" s="1"/>
  <c r="M154" i="26" s="1"/>
  <c r="N154" i="26" s="1"/>
  <c r="O154" i="26" s="1"/>
  <c r="P154" i="26" s="1"/>
  <c r="Q154" i="26" s="1"/>
  <c r="G153" i="26"/>
  <c r="H153" i="26" s="1"/>
  <c r="I153" i="26" s="1"/>
  <c r="J153" i="26" s="1"/>
  <c r="K153" i="26" s="1"/>
  <c r="L153" i="26" s="1"/>
  <c r="M153" i="26" s="1"/>
  <c r="N153" i="26" s="1"/>
  <c r="O153" i="26" s="1"/>
  <c r="P153" i="26" s="1"/>
  <c r="Q153" i="26" s="1"/>
  <c r="AH181" i="26"/>
  <c r="E180" i="26"/>
  <c r="D180" i="26"/>
  <c r="C180" i="26"/>
  <c r="B180" i="26"/>
  <c r="E179" i="26"/>
  <c r="D179" i="26"/>
  <c r="C179" i="26"/>
  <c r="B179" i="26"/>
  <c r="E178" i="26"/>
  <c r="D178" i="26"/>
  <c r="C178" i="26"/>
  <c r="B178" i="26"/>
  <c r="E177" i="26"/>
  <c r="D177" i="26"/>
  <c r="C177" i="26"/>
  <c r="B177" i="26"/>
  <c r="E176" i="26"/>
  <c r="D176" i="26"/>
  <c r="C176" i="26"/>
  <c r="B176" i="26"/>
  <c r="E154" i="26"/>
  <c r="E182" i="26" s="1"/>
  <c r="D154" i="26"/>
  <c r="D182" i="26" s="1"/>
  <c r="E153" i="26"/>
  <c r="E181" i="26" s="1"/>
  <c r="D153" i="26"/>
  <c r="D181" i="26" s="1"/>
  <c r="C153" i="26"/>
  <c r="C181" i="26" s="1"/>
  <c r="C154" i="26"/>
  <c r="C182" i="26" s="1"/>
  <c r="C95" i="33" l="1"/>
  <c r="C92" i="33"/>
  <c r="C85" i="33"/>
  <c r="C93" i="33"/>
  <c r="C88" i="33"/>
  <c r="C96" i="33"/>
  <c r="C81" i="33"/>
  <c r="C87" i="33"/>
  <c r="C98" i="33"/>
  <c r="C80" i="33"/>
  <c r="C91" i="33"/>
  <c r="C86" i="33"/>
  <c r="C94" i="33"/>
  <c r="C99" i="33"/>
  <c r="C90" i="33"/>
  <c r="C89" i="33"/>
  <c r="C97" i="33"/>
  <c r="R153" i="26"/>
  <c r="S153" i="26" s="1"/>
  <c r="T153" i="26" s="1"/>
  <c r="U153" i="26" s="1"/>
  <c r="V153" i="26" s="1"/>
  <c r="W153" i="26" s="1"/>
  <c r="X153" i="26" s="1"/>
  <c r="Y153" i="26" s="1"/>
  <c r="Z153" i="26" s="1"/>
  <c r="AA153" i="26" s="1"/>
  <c r="AB153" i="26" s="1"/>
  <c r="AC153" i="26" s="1"/>
  <c r="AD153" i="26" s="1"/>
  <c r="AE153" i="26" s="1"/>
  <c r="AF153" i="26" s="1"/>
  <c r="AG153" i="26" s="1"/>
  <c r="W37" i="33" s="1"/>
  <c r="W97" i="33"/>
  <c r="R154" i="26"/>
  <c r="S154" i="26" s="1"/>
  <c r="T154" i="26" s="1"/>
  <c r="U154" i="26" s="1"/>
  <c r="V154" i="26" s="1"/>
  <c r="W154" i="26" s="1"/>
  <c r="X154" i="26" s="1"/>
  <c r="Y154" i="26" s="1"/>
  <c r="Z154" i="26" s="1"/>
  <c r="AA154" i="26" s="1"/>
  <c r="AB154" i="26" s="1"/>
  <c r="AC154" i="26" s="1"/>
  <c r="AD154" i="26" s="1"/>
  <c r="AE154" i="26" s="1"/>
  <c r="AF154" i="26" s="1"/>
  <c r="AG154" i="26" s="1"/>
  <c r="W38" i="33" s="1"/>
  <c r="W98" i="33"/>
  <c r="AH259" i="26"/>
  <c r="AH154" i="26" l="1"/>
  <c r="AV29" i="26" s="1"/>
  <c r="AH153" i="26"/>
  <c r="AV28" i="26" s="1"/>
  <c r="AD125" i="26" l="1"/>
  <c r="AD78" i="26"/>
  <c r="X123" i="26"/>
  <c r="X77" i="26" s="1"/>
  <c r="X122" i="26"/>
  <c r="X76" i="26" s="1"/>
  <c r="AD79" i="26" l="1"/>
  <c r="F130" i="26"/>
  <c r="J127" i="26"/>
  <c r="H73" i="26"/>
  <c r="G73" i="26" s="1"/>
  <c r="F73" i="26" s="1"/>
  <c r="H72" i="26"/>
  <c r="G72" i="26" s="1"/>
  <c r="F72" i="26" s="1"/>
  <c r="H71" i="26"/>
  <c r="G71" i="26" s="1"/>
  <c r="F71" i="26" s="1"/>
  <c r="H70" i="26"/>
  <c r="G70" i="26" s="1"/>
  <c r="F70" i="26" s="1"/>
  <c r="H69" i="26"/>
  <c r="G69" i="26" s="1"/>
  <c r="F69" i="26" s="1"/>
  <c r="H68" i="26"/>
  <c r="G68" i="26" s="1"/>
  <c r="F68" i="26" s="1"/>
  <c r="H67" i="26"/>
  <c r="G67" i="26" s="1"/>
  <c r="F67" i="26" s="1"/>
  <c r="H66" i="26"/>
  <c r="G66" i="26" s="1"/>
  <c r="F66" i="26" s="1"/>
  <c r="H65" i="26"/>
  <c r="G65" i="26" s="1"/>
  <c r="F65" i="26" s="1"/>
  <c r="H62" i="26"/>
  <c r="G62" i="26" s="1"/>
  <c r="F62" i="26" s="1"/>
  <c r="H61" i="26"/>
  <c r="G61" i="26" s="1"/>
  <c r="F61" i="26" s="1"/>
  <c r="H60" i="26"/>
  <c r="G60" i="26" s="1"/>
  <c r="F60" i="26" s="1"/>
  <c r="E125" i="26"/>
  <c r="D125" i="26"/>
  <c r="C125" i="26"/>
  <c r="B125" i="26"/>
  <c r="E124" i="26"/>
  <c r="D124" i="26"/>
  <c r="C124" i="26"/>
  <c r="B124" i="26"/>
  <c r="E123" i="26"/>
  <c r="D123" i="26"/>
  <c r="C123" i="26"/>
  <c r="B123" i="26"/>
  <c r="E122" i="26"/>
  <c r="D122" i="26"/>
  <c r="C122" i="26"/>
  <c r="B122" i="26"/>
  <c r="E121" i="26"/>
  <c r="D121" i="26"/>
  <c r="C121" i="26"/>
  <c r="B121" i="26"/>
  <c r="E120" i="26"/>
  <c r="D120" i="26"/>
  <c r="C120" i="26"/>
  <c r="B120" i="26"/>
  <c r="E119" i="26"/>
  <c r="D119" i="26"/>
  <c r="C119" i="26"/>
  <c r="B119" i="26"/>
  <c r="E118" i="26"/>
  <c r="D118" i="26"/>
  <c r="C118" i="26"/>
  <c r="B118" i="26"/>
  <c r="E117" i="26"/>
  <c r="D117" i="26"/>
  <c r="C117" i="26"/>
  <c r="B117" i="26"/>
  <c r="E116" i="26"/>
  <c r="D116" i="26"/>
  <c r="C116" i="26"/>
  <c r="B116" i="26"/>
  <c r="E115" i="26"/>
  <c r="D115" i="26"/>
  <c r="C115" i="26"/>
  <c r="B115" i="26"/>
  <c r="E114" i="26"/>
  <c r="D114" i="26"/>
  <c r="C114" i="26"/>
  <c r="B114" i="26"/>
  <c r="E113" i="26"/>
  <c r="D113" i="26"/>
  <c r="C113" i="26"/>
  <c r="B113" i="26"/>
  <c r="E112" i="26"/>
  <c r="D112" i="26"/>
  <c r="C112" i="26"/>
  <c r="B112" i="26"/>
  <c r="E111" i="26"/>
  <c r="D111" i="26"/>
  <c r="C111" i="26"/>
  <c r="B111" i="26"/>
  <c r="E110" i="26"/>
  <c r="D110" i="26"/>
  <c r="C110" i="26"/>
  <c r="B110" i="26"/>
  <c r="E109" i="26"/>
  <c r="D109" i="26"/>
  <c r="C109" i="26"/>
  <c r="B109" i="26"/>
  <c r="E108" i="26"/>
  <c r="D108" i="26"/>
  <c r="C108" i="26"/>
  <c r="B108" i="26"/>
  <c r="E107" i="26"/>
  <c r="D107" i="26"/>
  <c r="C107" i="26"/>
  <c r="B107" i="26"/>
  <c r="E106" i="26"/>
  <c r="D106" i="26"/>
  <c r="C106" i="26"/>
  <c r="B106" i="26"/>
  <c r="E105" i="26"/>
  <c r="D105" i="26"/>
  <c r="C105" i="26"/>
  <c r="B105" i="26"/>
  <c r="E104" i="26"/>
  <c r="D104" i="26"/>
  <c r="C104" i="26"/>
  <c r="B104" i="26"/>
  <c r="J106" i="26"/>
  <c r="K106" i="26" s="1"/>
  <c r="L106" i="26" s="1"/>
  <c r="M106" i="26" s="1"/>
  <c r="J105" i="26"/>
  <c r="K105" i="26" s="1"/>
  <c r="L105" i="26" s="1"/>
  <c r="H59" i="26"/>
  <c r="G59" i="26" s="1"/>
  <c r="J104" i="26"/>
  <c r="H58" i="26"/>
  <c r="G58" i="26" s="1"/>
  <c r="F58" i="26" s="1"/>
  <c r="H81" i="26" l="1"/>
  <c r="G81" i="26" s="1"/>
  <c r="K104" i="26"/>
  <c r="K127" i="26"/>
  <c r="L127" i="26" s="1"/>
  <c r="M127" i="26" s="1"/>
  <c r="N127" i="26" s="1"/>
  <c r="O127" i="26" s="1"/>
  <c r="P127" i="26" s="1"/>
  <c r="Q127" i="26" s="1"/>
  <c r="J81" i="26"/>
  <c r="F59" i="26"/>
  <c r="F81" i="26" l="1"/>
  <c r="F85" i="26" s="1"/>
  <c r="G85" i="26"/>
  <c r="R127" i="26"/>
  <c r="S127" i="26" s="1"/>
  <c r="T127" i="26" s="1"/>
  <c r="U127" i="26" s="1"/>
  <c r="V127" i="26" s="1"/>
  <c r="W127" i="26" s="1"/>
  <c r="X127" i="26" s="1"/>
  <c r="Y127" i="26" s="1"/>
  <c r="Z127" i="26" s="1"/>
  <c r="AA127" i="26" s="1"/>
  <c r="AB127" i="26" s="1"/>
  <c r="AC127" i="26" s="1"/>
  <c r="AD127" i="26" s="1"/>
  <c r="AE127" i="26" s="1"/>
  <c r="AF127" i="26" s="1"/>
  <c r="AG127" i="26" s="1"/>
  <c r="AH127" i="26" s="1"/>
  <c r="U102" i="33"/>
  <c r="L104" i="26"/>
  <c r="K81" i="26"/>
  <c r="L81" i="26" s="1"/>
  <c r="AR37" i="26" l="1"/>
  <c r="U47" i="33"/>
  <c r="O81" i="26"/>
  <c r="P81" i="26" l="1"/>
  <c r="Q81" i="26" s="1"/>
  <c r="Y102" i="33" s="1"/>
  <c r="AC102" i="33" l="1"/>
  <c r="R81" i="26"/>
  <c r="S81" i="26" l="1"/>
  <c r="T81" i="26" l="1"/>
  <c r="U81" i="26" l="1"/>
  <c r="V81" i="26" l="1"/>
  <c r="W81" i="26" l="1"/>
  <c r="X81" i="26" l="1"/>
  <c r="Y81" i="26" l="1"/>
  <c r="Z81" i="26" l="1"/>
  <c r="AA81" i="26" l="1"/>
  <c r="AB81" i="26" l="1"/>
  <c r="AC81" i="26" l="1"/>
  <c r="AD81" i="26" l="1"/>
  <c r="AE81" i="26" l="1"/>
  <c r="AF81" i="26" l="1"/>
  <c r="AG81" i="26" l="1"/>
  <c r="AH81" i="26" l="1"/>
  <c r="AX37" i="26" s="1"/>
  <c r="Y47" i="33"/>
  <c r="E79" i="26"/>
  <c r="D79" i="26"/>
  <c r="C79" i="26"/>
  <c r="B79" i="26"/>
  <c r="E78" i="26"/>
  <c r="D78" i="26"/>
  <c r="C78" i="26"/>
  <c r="B78" i="26"/>
  <c r="E77" i="26"/>
  <c r="D77" i="26"/>
  <c r="C77" i="26"/>
  <c r="B77" i="26"/>
  <c r="E76" i="26"/>
  <c r="D76" i="26"/>
  <c r="C76" i="26"/>
  <c r="B76" i="26"/>
  <c r="E75" i="26"/>
  <c r="D75" i="26"/>
  <c r="C75" i="26"/>
  <c r="B75" i="26"/>
  <c r="B156" i="26" s="1"/>
  <c r="B184" i="26" s="1"/>
  <c r="B208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E74" i="26"/>
  <c r="D74" i="26"/>
  <c r="C74" i="26"/>
  <c r="B74" i="26"/>
  <c r="B155" i="26" s="1"/>
  <c r="B183" i="26" s="1"/>
  <c r="B207" i="26" s="1"/>
  <c r="B228" i="26" s="1"/>
  <c r="E73" i="26"/>
  <c r="D73" i="26"/>
  <c r="C73" i="26"/>
  <c r="B73" i="26"/>
  <c r="B154" i="26" s="1"/>
  <c r="B182" i="26" s="1"/>
  <c r="E72" i="26"/>
  <c r="D72" i="26"/>
  <c r="C72" i="26"/>
  <c r="B72" i="26"/>
  <c r="B153" i="26" s="1"/>
  <c r="B181" i="26" s="1"/>
  <c r="E71" i="26"/>
  <c r="D71" i="26"/>
  <c r="C71" i="26"/>
  <c r="B71" i="26"/>
  <c r="E70" i="26"/>
  <c r="D70" i="26"/>
  <c r="C70" i="26"/>
  <c r="B70" i="26"/>
  <c r="E69" i="26"/>
  <c r="D69" i="26"/>
  <c r="C69" i="26"/>
  <c r="B69" i="26"/>
  <c r="E68" i="26"/>
  <c r="D68" i="26"/>
  <c r="C68" i="26"/>
  <c r="B68" i="26"/>
  <c r="E67" i="26"/>
  <c r="D67" i="26"/>
  <c r="C67" i="26"/>
  <c r="B67" i="26"/>
  <c r="E66" i="26"/>
  <c r="D66" i="26"/>
  <c r="C66" i="26"/>
  <c r="B66" i="26"/>
  <c r="E65" i="26"/>
  <c r="D65" i="26"/>
  <c r="C65" i="26"/>
  <c r="B65" i="26"/>
  <c r="E64" i="26"/>
  <c r="D64" i="26"/>
  <c r="C64" i="26"/>
  <c r="B64" i="26"/>
  <c r="E63" i="26"/>
  <c r="D63" i="26"/>
  <c r="C63" i="26"/>
  <c r="B63" i="26"/>
  <c r="E62" i="26"/>
  <c r="D62" i="26"/>
  <c r="C62" i="26"/>
  <c r="B62" i="26"/>
  <c r="E61" i="26"/>
  <c r="D61" i="26"/>
  <c r="C61" i="26"/>
  <c r="B61" i="26"/>
  <c r="E60" i="26"/>
  <c r="D60" i="26"/>
  <c r="C60" i="26"/>
  <c r="B60" i="26"/>
  <c r="E59" i="26"/>
  <c r="D59" i="26"/>
  <c r="C59" i="26"/>
  <c r="B59" i="26"/>
  <c r="E58" i="26"/>
  <c r="D58" i="26"/>
  <c r="C58" i="26"/>
  <c r="B58" i="26"/>
  <c r="M39" i="37" l="1"/>
  <c r="M38" i="37"/>
  <c r="M37" i="37"/>
  <c r="M36" i="37"/>
  <c r="M35" i="37"/>
  <c r="M34" i="37"/>
  <c r="M33" i="37"/>
  <c r="M32" i="37"/>
  <c r="M31" i="37"/>
  <c r="M30" i="37"/>
  <c r="M29" i="37"/>
  <c r="M28" i="37"/>
  <c r="M27" i="37"/>
  <c r="M26" i="37"/>
  <c r="M25" i="37"/>
  <c r="M24" i="37"/>
  <c r="M23" i="37"/>
  <c r="M22" i="37"/>
  <c r="M21" i="37"/>
  <c r="M20" i="37"/>
  <c r="M19" i="37"/>
  <c r="M18" i="37"/>
  <c r="M17" i="37"/>
  <c r="M16" i="37"/>
  <c r="M15" i="37"/>
  <c r="M14" i="37"/>
  <c r="M13" i="37"/>
  <c r="M12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K423" i="26"/>
  <c r="J423" i="26"/>
  <c r="I423" i="26"/>
  <c r="H423" i="26"/>
  <c r="G423" i="26"/>
  <c r="D11" i="36" l="1"/>
  <c r="F366" i="26"/>
  <c r="AE35" i="26"/>
  <c r="AE270" i="26" s="1"/>
  <c r="AE34" i="26"/>
  <c r="AE269" i="26" s="1"/>
  <c r="Y33" i="26"/>
  <c r="Y268" i="26" s="1"/>
  <c r="Y32" i="26"/>
  <c r="Y267" i="26" s="1"/>
  <c r="S31" i="26"/>
  <c r="S266" i="26" s="1"/>
  <c r="M30" i="26"/>
  <c r="M265" i="26" s="1"/>
  <c r="T31" i="26" l="1"/>
  <c r="T266" i="26" s="1"/>
  <c r="T121" i="26"/>
  <c r="T75" i="26" s="1"/>
  <c r="Z32" i="26"/>
  <c r="Z267" i="26" s="1"/>
  <c r="Y122" i="26"/>
  <c r="Z33" i="26"/>
  <c r="Z268" i="26" s="1"/>
  <c r="Y123" i="26"/>
  <c r="AF34" i="26"/>
  <c r="AF269" i="26" s="1"/>
  <c r="AE124" i="26"/>
  <c r="AF35" i="26"/>
  <c r="AF270" i="26" s="1"/>
  <c r="AE125" i="26"/>
  <c r="N30" i="26"/>
  <c r="N265" i="26" s="1"/>
  <c r="AG34" i="26" l="1"/>
  <c r="AA32" i="26"/>
  <c r="AA267" i="26" s="1"/>
  <c r="U31" i="26"/>
  <c r="U266" i="26" s="1"/>
  <c r="AG35" i="26"/>
  <c r="AA33" i="26"/>
  <c r="AA268" i="26" s="1"/>
  <c r="O30" i="26"/>
  <c r="O265" i="26" s="1"/>
  <c r="Z123" i="26"/>
  <c r="AA123" i="26" s="1"/>
  <c r="AB123" i="26" s="1"/>
  <c r="AC123" i="26" s="1"/>
  <c r="AD123" i="26" s="1"/>
  <c r="AE123" i="26" s="1"/>
  <c r="AF123" i="26" s="1"/>
  <c r="AG123" i="26" s="1"/>
  <c r="Y77" i="26"/>
  <c r="AF124" i="26"/>
  <c r="AG124" i="26" s="1"/>
  <c r="AE78" i="26"/>
  <c r="Z122" i="26"/>
  <c r="AA122" i="26" s="1"/>
  <c r="AB122" i="26" s="1"/>
  <c r="AC122" i="26" s="1"/>
  <c r="AD122" i="26" s="1"/>
  <c r="AE122" i="26" s="1"/>
  <c r="AF122" i="26" s="1"/>
  <c r="AG122" i="26" s="1"/>
  <c r="Y76" i="26"/>
  <c r="AF125" i="26"/>
  <c r="AG125" i="26" s="1"/>
  <c r="AE79" i="26"/>
  <c r="AH35" i="26" l="1"/>
  <c r="AL35" i="26" s="1"/>
  <c r="AG270" i="26"/>
  <c r="AH270" i="26" s="1"/>
  <c r="AH34" i="26"/>
  <c r="AL34" i="26" s="1"/>
  <c r="AG269" i="26"/>
  <c r="AH269" i="26" s="1"/>
  <c r="AH125" i="26"/>
  <c r="AR35" i="26" s="1"/>
  <c r="AH124" i="26"/>
  <c r="AR34" i="26" s="1"/>
  <c r="V31" i="26"/>
  <c r="V266" i="26" s="1"/>
  <c r="AB33" i="26"/>
  <c r="AB268" i="26" s="1"/>
  <c r="AB32" i="26"/>
  <c r="AB267" i="26" s="1"/>
  <c r="I44" i="33"/>
  <c r="P30" i="26"/>
  <c r="P265" i="26" s="1"/>
  <c r="I43" i="33"/>
  <c r="AH123" i="26"/>
  <c r="AR33" i="26" s="1"/>
  <c r="Z76" i="26"/>
  <c r="AA76" i="26" s="1"/>
  <c r="AB76" i="26" s="1"/>
  <c r="AC76" i="26" s="1"/>
  <c r="AD76" i="26" s="1"/>
  <c r="AE76" i="26" s="1"/>
  <c r="AF76" i="26" s="1"/>
  <c r="AG76" i="26" s="1"/>
  <c r="Y41" i="33" s="1"/>
  <c r="AF78" i="26"/>
  <c r="AG78" i="26" s="1"/>
  <c r="AH122" i="26"/>
  <c r="AR32" i="26" s="1"/>
  <c r="Z77" i="26"/>
  <c r="AA77" i="26" s="1"/>
  <c r="AB77" i="26" s="1"/>
  <c r="AC77" i="26" s="1"/>
  <c r="AD77" i="26" s="1"/>
  <c r="AE77" i="26" s="1"/>
  <c r="AF77" i="26" s="1"/>
  <c r="AG77" i="26" s="1"/>
  <c r="Y42" i="33" s="1"/>
  <c r="AF79" i="26"/>
  <c r="AG79" i="26" s="1"/>
  <c r="E1" i="1"/>
  <c r="E70" i="4"/>
  <c r="C31" i="5"/>
  <c r="U43" i="33" l="1"/>
  <c r="AH76" i="26"/>
  <c r="AX32" i="26" s="1"/>
  <c r="AH79" i="26"/>
  <c r="AX35" i="26" s="1"/>
  <c r="BB35" i="26" s="1"/>
  <c r="Y44" i="33"/>
  <c r="Q30" i="26"/>
  <c r="Q265" i="26" s="1"/>
  <c r="AC33" i="26"/>
  <c r="AC268" i="26" s="1"/>
  <c r="AH78" i="26"/>
  <c r="AX34" i="26" s="1"/>
  <c r="Y43" i="33"/>
  <c r="S43" i="33"/>
  <c r="W31" i="26"/>
  <c r="W266" i="26" s="1"/>
  <c r="AP34" i="26"/>
  <c r="AT34" i="26" s="1"/>
  <c r="U44" i="33"/>
  <c r="AC32" i="26"/>
  <c r="AC267" i="26" s="1"/>
  <c r="S44" i="33"/>
  <c r="AP35" i="26"/>
  <c r="AT35" i="26" s="1"/>
  <c r="U41" i="33"/>
  <c r="U42" i="33"/>
  <c r="AH77" i="26"/>
  <c r="AX33" i="26" s="1"/>
  <c r="AC43" i="33" l="1"/>
  <c r="AC44" i="33"/>
  <c r="M44" i="33"/>
  <c r="M43" i="33"/>
  <c r="BB34" i="26"/>
  <c r="X31" i="26"/>
  <c r="X266" i="26" s="1"/>
  <c r="R30" i="26"/>
  <c r="R265" i="26" s="1"/>
  <c r="I99" i="33"/>
  <c r="AD33" i="26"/>
  <c r="AD268" i="26" s="1"/>
  <c r="AD32" i="26"/>
  <c r="AD267" i="26" s="1"/>
  <c r="Q44" i="33" l="1"/>
  <c r="Q43" i="33"/>
  <c r="S99" i="33"/>
  <c r="S30" i="26"/>
  <c r="S265" i="26" s="1"/>
  <c r="AE32" i="26"/>
  <c r="AE267" i="26" s="1"/>
  <c r="AE33" i="26"/>
  <c r="AE268" i="26" s="1"/>
  <c r="Y31" i="26"/>
  <c r="Y266" i="26" s="1"/>
  <c r="Z31" i="26" l="1"/>
  <c r="Z266" i="26" s="1"/>
  <c r="T30" i="26"/>
  <c r="T265" i="26" s="1"/>
  <c r="AF32" i="26"/>
  <c r="AF267" i="26" s="1"/>
  <c r="AF33" i="26"/>
  <c r="AF268" i="26" s="1"/>
  <c r="AG32" i="26" l="1"/>
  <c r="AG33" i="26"/>
  <c r="AA31" i="26"/>
  <c r="AA266" i="26" s="1"/>
  <c r="U30" i="26"/>
  <c r="U265" i="26" s="1"/>
  <c r="AH33" i="26" l="1"/>
  <c r="AL33" i="26" s="1"/>
  <c r="AG268" i="26"/>
  <c r="AH32" i="26"/>
  <c r="AL32" i="26" s="1"/>
  <c r="BB32" i="26" s="1"/>
  <c r="AG267" i="26"/>
  <c r="AH267" i="26" s="1"/>
  <c r="AB31" i="26"/>
  <c r="AB266" i="26" s="1"/>
  <c r="V30" i="26"/>
  <c r="V265" i="26" s="1"/>
  <c r="AP32" i="26"/>
  <c r="AT32" i="26" s="1"/>
  <c r="AP33" i="26"/>
  <c r="AT33" i="26" s="1"/>
  <c r="BB33" i="26"/>
  <c r="I42" i="33"/>
  <c r="AH268" i="26"/>
  <c r="I41" i="33"/>
  <c r="AC42" i="33" l="1"/>
  <c r="W30" i="26"/>
  <c r="W265" i="26" s="1"/>
  <c r="S41" i="33"/>
  <c r="M41" i="33"/>
  <c r="AC41" i="33"/>
  <c r="S42" i="33"/>
  <c r="M42" i="33"/>
  <c r="AC31" i="26"/>
  <c r="AC266" i="26" s="1"/>
  <c r="E26" i="1"/>
  <c r="Q42" i="33" l="1"/>
  <c r="Q41" i="33"/>
  <c r="AD31" i="26"/>
  <c r="AD266" i="26" s="1"/>
  <c r="X30" i="26"/>
  <c r="X265" i="26" s="1"/>
  <c r="AE31" i="26" l="1"/>
  <c r="AE266" i="26" s="1"/>
  <c r="Y30" i="26"/>
  <c r="Y265" i="26" s="1"/>
  <c r="I470" i="26"/>
  <c r="F470" i="26"/>
  <c r="F469" i="26"/>
  <c r="F468" i="26"/>
  <c r="Z30" i="26" l="1"/>
  <c r="Z265" i="26" s="1"/>
  <c r="AF31" i="26"/>
  <c r="AF266" i="26" s="1"/>
  <c r="I51" i="32"/>
  <c r="I21" i="32"/>
  <c r="I93" i="33"/>
  <c r="G85" i="33"/>
  <c r="E85" i="33"/>
  <c r="D14" i="36"/>
  <c r="D15" i="36"/>
  <c r="D12" i="36"/>
  <c r="D13" i="36"/>
  <c r="E11" i="36"/>
  <c r="G24" i="32" l="1"/>
  <c r="G54" i="32"/>
  <c r="AG31" i="26"/>
  <c r="AA30" i="26"/>
  <c r="AA265" i="26" s="1"/>
  <c r="E12" i="36"/>
  <c r="E13" i="36" s="1"/>
  <c r="F393" i="26"/>
  <c r="F398" i="26" s="1"/>
  <c r="E14" i="36"/>
  <c r="H393" i="26"/>
  <c r="H398" i="26" s="1"/>
  <c r="G393" i="26"/>
  <c r="G398" i="26" s="1"/>
  <c r="C101" i="33"/>
  <c r="AH31" i="26" l="1"/>
  <c r="AL31" i="26" s="1"/>
  <c r="BB31" i="26" s="1"/>
  <c r="AG266" i="26"/>
  <c r="AH266" i="26" s="1"/>
  <c r="I40" i="33"/>
  <c r="AB30" i="26"/>
  <c r="AB265" i="26" s="1"/>
  <c r="E15" i="36"/>
  <c r="I393" i="26"/>
  <c r="I398" i="26" s="1"/>
  <c r="AC30" i="26" l="1"/>
  <c r="AC265" i="26" s="1"/>
  <c r="S40" i="33"/>
  <c r="E16" i="36"/>
  <c r="K398" i="26" s="1"/>
  <c r="J393" i="26"/>
  <c r="J398" i="26" s="1"/>
  <c r="AD30" i="26" l="1"/>
  <c r="AD265" i="26" s="1"/>
  <c r="AE30" i="26" l="1"/>
  <c r="AE265" i="26" s="1"/>
  <c r="AF30" i="26" l="1"/>
  <c r="AF265" i="26" s="1"/>
  <c r="A442" i="26"/>
  <c r="A443" i="26" s="1"/>
  <c r="A444" i="26" s="1"/>
  <c r="A445" i="26" s="1"/>
  <c r="A446" i="26" s="1"/>
  <c r="A447" i="26" s="1"/>
  <c r="A448" i="26" s="1"/>
  <c r="A449" i="26" s="1"/>
  <c r="A450" i="26" s="1"/>
  <c r="A451" i="26" s="1"/>
  <c r="A452" i="26" s="1"/>
  <c r="A453" i="26" s="1"/>
  <c r="A454" i="26" s="1"/>
  <c r="A455" i="26" s="1"/>
  <c r="A456" i="26" s="1"/>
  <c r="A457" i="26" s="1"/>
  <c r="A458" i="26" s="1"/>
  <c r="A459" i="26" s="1"/>
  <c r="A460" i="26" s="1"/>
  <c r="A461" i="26" s="1"/>
  <c r="A462" i="26" s="1"/>
  <c r="A463" i="26" s="1"/>
  <c r="A464" i="26" s="1"/>
  <c r="A465" i="26" s="1"/>
  <c r="A466" i="26" s="1"/>
  <c r="A467" i="26" s="1"/>
  <c r="A468" i="26" s="1"/>
  <c r="A469" i="26" s="1"/>
  <c r="A470" i="26" s="1"/>
  <c r="A412" i="26"/>
  <c r="A413" i="26" s="1"/>
  <c r="A414" i="26" s="1"/>
  <c r="A415" i="26" s="1"/>
  <c r="A416" i="26" s="1"/>
  <c r="A417" i="26" s="1"/>
  <c r="A418" i="26" s="1"/>
  <c r="A419" i="26" s="1"/>
  <c r="A420" i="26" s="1"/>
  <c r="A421" i="26" s="1"/>
  <c r="A422" i="26" s="1"/>
  <c r="A423" i="26" s="1"/>
  <c r="A424" i="26" s="1"/>
  <c r="A425" i="26" s="1"/>
  <c r="A426" i="26" s="1"/>
  <c r="A427" i="26" s="1"/>
  <c r="A428" i="26" s="1"/>
  <c r="A388" i="26"/>
  <c r="A389" i="26" s="1"/>
  <c r="A390" i="26" s="1"/>
  <c r="A391" i="26" s="1"/>
  <c r="A392" i="26" s="1"/>
  <c r="A393" i="26" s="1"/>
  <c r="A394" i="26" s="1"/>
  <c r="A395" i="26" s="1"/>
  <c r="A396" i="26" s="1"/>
  <c r="A397" i="26" s="1"/>
  <c r="A398" i="26" s="1"/>
  <c r="A363" i="26"/>
  <c r="A364" i="26" s="1"/>
  <c r="A365" i="26" s="1"/>
  <c r="A366" i="26" s="1"/>
  <c r="A367" i="26" s="1"/>
  <c r="A368" i="26" s="1"/>
  <c r="A369" i="26" s="1"/>
  <c r="A370" i="26" s="1"/>
  <c r="A371" i="26" s="1"/>
  <c r="A339" i="26"/>
  <c r="A340" i="26" s="1"/>
  <c r="A341" i="26" s="1"/>
  <c r="A342" i="26" s="1"/>
  <c r="A343" i="26" s="1"/>
  <c r="A344" i="26" s="1"/>
  <c r="A345" i="26" s="1"/>
  <c r="A346" i="26" s="1"/>
  <c r="A347" i="26" s="1"/>
  <c r="A315" i="26"/>
  <c r="A316" i="26" s="1"/>
  <c r="A317" i="26" s="1"/>
  <c r="A318" i="26" s="1"/>
  <c r="A319" i="26" s="1"/>
  <c r="A320" i="26" s="1"/>
  <c r="A321" i="26" s="1"/>
  <c r="A322" i="26" s="1"/>
  <c r="A323" i="26" s="1"/>
  <c r="A289" i="26"/>
  <c r="A290" i="26" s="1"/>
  <c r="A291" i="26" s="1"/>
  <c r="A292" i="26" s="1"/>
  <c r="A293" i="26" s="1"/>
  <c r="A294" i="26" s="1"/>
  <c r="A295" i="26" s="1"/>
  <c r="A296" i="26" s="1"/>
  <c r="A297" i="26" s="1"/>
  <c r="A100" i="26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54" i="26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C18" i="39"/>
  <c r="D18" i="39" s="1"/>
  <c r="E18" i="39" s="1"/>
  <c r="F18" i="39" s="1"/>
  <c r="G18" i="39" s="1"/>
  <c r="C17" i="39"/>
  <c r="D17" i="39" s="1"/>
  <c r="E17" i="39" s="1"/>
  <c r="F17" i="39" s="1"/>
  <c r="G17" i="39" s="1"/>
  <c r="C16" i="39"/>
  <c r="D16" i="39" s="1"/>
  <c r="E16" i="39" s="1"/>
  <c r="F16" i="39" s="1"/>
  <c r="G16" i="39" s="1"/>
  <c r="C15" i="39"/>
  <c r="D15" i="39" s="1"/>
  <c r="E15" i="39" s="1"/>
  <c r="F15" i="39" s="1"/>
  <c r="G15" i="39" s="1"/>
  <c r="C14" i="39"/>
  <c r="AH177" i="26"/>
  <c r="D14" i="39" l="1"/>
  <c r="C22" i="39"/>
  <c r="AG30" i="26"/>
  <c r="A245" i="26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H30" i="26" l="1"/>
  <c r="AL30" i="26" s="1"/>
  <c r="AG265" i="26"/>
  <c r="E14" i="39"/>
  <c r="D22" i="39"/>
  <c r="I39" i="33"/>
  <c r="AH265" i="26"/>
  <c r="F14" i="39" l="1"/>
  <c r="E22" i="39"/>
  <c r="S39" i="33"/>
  <c r="G14" i="39" l="1"/>
  <c r="G22" i="39" s="1"/>
  <c r="F22" i="39"/>
  <c r="AT37" i="26" l="1"/>
  <c r="I33" i="33" l="1"/>
  <c r="AH178" i="26" l="1"/>
  <c r="AH179" i="26"/>
  <c r="AH180" i="26"/>
  <c r="AH176" i="26"/>
  <c r="AG186" i="26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Q12" i="37" l="1"/>
  <c r="F450" i="26" s="1"/>
  <c r="G470" i="26"/>
  <c r="H470" i="26"/>
  <c r="G450" i="26" l="1"/>
  <c r="H450" i="26" s="1"/>
  <c r="I450" i="26" s="1"/>
  <c r="Q13" i="37" l="1"/>
  <c r="Q14" i="37" l="1"/>
  <c r="Q15" i="37" s="1"/>
  <c r="Q16" i="37" s="1"/>
  <c r="Q17" i="37" s="1"/>
  <c r="Q18" i="37" s="1"/>
  <c r="Q19" i="37" s="1"/>
  <c r="Q20" i="37" s="1"/>
  <c r="Q21" i="37" s="1"/>
  <c r="Q22" i="37" s="1"/>
  <c r="Q23" i="37" s="1"/>
  <c r="Q24" i="37" s="1"/>
  <c r="Q25" i="37" s="1"/>
  <c r="Q26" i="37" s="1"/>
  <c r="Q27" i="37" s="1"/>
  <c r="Q28" i="37" s="1"/>
  <c r="Q29" i="37" s="1"/>
  <c r="Q30" i="37" s="1"/>
  <c r="Q31" i="37" s="1"/>
  <c r="Q32" i="37" s="1"/>
  <c r="Q33" i="37" s="1"/>
  <c r="Q34" i="37" s="1"/>
  <c r="Q35" i="37" s="1"/>
  <c r="Q36" i="37" s="1"/>
  <c r="Q37" i="37" s="1"/>
  <c r="Q38" i="37" s="1"/>
  <c r="Q39" i="37" s="1"/>
  <c r="AF186" i="26" l="1"/>
  <c r="J118" i="26" l="1"/>
  <c r="K118" i="26" s="1"/>
  <c r="L118" i="26" s="1"/>
  <c r="M118" i="26" s="1"/>
  <c r="N118" i="26" s="1"/>
  <c r="O118" i="26" s="1"/>
  <c r="P118" i="26" s="1"/>
  <c r="Q118" i="26" s="1"/>
  <c r="U97" i="33" s="1"/>
  <c r="J115" i="26"/>
  <c r="K115" i="26" s="1"/>
  <c r="L115" i="26" s="1"/>
  <c r="M115" i="26" s="1"/>
  <c r="N115" i="26" s="1"/>
  <c r="O115" i="26" s="1"/>
  <c r="P115" i="26" s="1"/>
  <c r="Q115" i="26" s="1"/>
  <c r="J114" i="26"/>
  <c r="K114" i="26" s="1"/>
  <c r="L114" i="26" s="1"/>
  <c r="M114" i="26" s="1"/>
  <c r="N114" i="26" s="1"/>
  <c r="O114" i="26" s="1"/>
  <c r="P114" i="26" s="1"/>
  <c r="Q114" i="26" s="1"/>
  <c r="J113" i="26"/>
  <c r="K113" i="26" s="1"/>
  <c r="L113" i="26" s="1"/>
  <c r="M113" i="26" s="1"/>
  <c r="N113" i="26" s="1"/>
  <c r="O113" i="26" s="1"/>
  <c r="P113" i="26" s="1"/>
  <c r="Q113" i="26" s="1"/>
  <c r="J117" i="26"/>
  <c r="K117" i="26" s="1"/>
  <c r="L117" i="26" s="1"/>
  <c r="M117" i="26" s="1"/>
  <c r="N117" i="26" s="1"/>
  <c r="O117" i="26" s="1"/>
  <c r="P117" i="26" s="1"/>
  <c r="Q117" i="26" s="1"/>
  <c r="U96" i="33" s="1"/>
  <c r="J119" i="26"/>
  <c r="K119" i="26" s="1"/>
  <c r="L119" i="26" s="1"/>
  <c r="M119" i="26" s="1"/>
  <c r="N119" i="26" s="1"/>
  <c r="O119" i="26" s="1"/>
  <c r="P119" i="26" s="1"/>
  <c r="Q119" i="26" s="1"/>
  <c r="U98" i="33" s="1"/>
  <c r="J72" i="26"/>
  <c r="J68" i="26" l="1"/>
  <c r="J69" i="26"/>
  <c r="J73" i="26"/>
  <c r="Y98" i="33" s="1"/>
  <c r="J67" i="26"/>
  <c r="J71" i="26"/>
  <c r="Y97" i="33"/>
  <c r="R113" i="26"/>
  <c r="S113" i="26" s="1"/>
  <c r="T113" i="26" s="1"/>
  <c r="U113" i="26" s="1"/>
  <c r="V113" i="26" s="1"/>
  <c r="W113" i="26" s="1"/>
  <c r="X113" i="26" s="1"/>
  <c r="Y113" i="26" s="1"/>
  <c r="Z113" i="26" s="1"/>
  <c r="AA113" i="26" s="1"/>
  <c r="AB113" i="26" s="1"/>
  <c r="AC113" i="26" s="1"/>
  <c r="AD113" i="26" s="1"/>
  <c r="AE113" i="26" s="1"/>
  <c r="AF113" i="26" s="1"/>
  <c r="AG113" i="26" s="1"/>
  <c r="U92" i="33"/>
  <c r="R117" i="26"/>
  <c r="S117" i="26" s="1"/>
  <c r="T117" i="26" s="1"/>
  <c r="U117" i="26" s="1"/>
  <c r="V117" i="26" s="1"/>
  <c r="R114" i="26"/>
  <c r="S114" i="26" s="1"/>
  <c r="T114" i="26" s="1"/>
  <c r="U114" i="26" s="1"/>
  <c r="V114" i="26" s="1"/>
  <c r="W114" i="26" s="1"/>
  <c r="X114" i="26" s="1"/>
  <c r="Y114" i="26" s="1"/>
  <c r="Z114" i="26" s="1"/>
  <c r="AA114" i="26" s="1"/>
  <c r="AB114" i="26" s="1"/>
  <c r="AC114" i="26" s="1"/>
  <c r="AD114" i="26" s="1"/>
  <c r="AE114" i="26" s="1"/>
  <c r="AF114" i="26" s="1"/>
  <c r="AG114" i="26" s="1"/>
  <c r="AH114" i="26" s="1"/>
  <c r="U93" i="33"/>
  <c r="R118" i="26"/>
  <c r="S118" i="26" s="1"/>
  <c r="T118" i="26" s="1"/>
  <c r="U118" i="26" s="1"/>
  <c r="V118" i="26" s="1"/>
  <c r="W118" i="26" s="1"/>
  <c r="X118" i="26" s="1"/>
  <c r="Y118" i="26" s="1"/>
  <c r="Z118" i="26" s="1"/>
  <c r="AA118" i="26" s="1"/>
  <c r="AB118" i="26" s="1"/>
  <c r="AC118" i="26" s="1"/>
  <c r="AD118" i="26" s="1"/>
  <c r="AE118" i="26" s="1"/>
  <c r="AF118" i="26" s="1"/>
  <c r="AG118" i="26" s="1"/>
  <c r="R115" i="26"/>
  <c r="S115" i="26" s="1"/>
  <c r="T115" i="26" s="1"/>
  <c r="U115" i="26" s="1"/>
  <c r="V115" i="26" s="1"/>
  <c r="W115" i="26" s="1"/>
  <c r="X115" i="26" s="1"/>
  <c r="Y115" i="26" s="1"/>
  <c r="Z115" i="26" s="1"/>
  <c r="AA115" i="26" s="1"/>
  <c r="AB115" i="26" s="1"/>
  <c r="AC115" i="26" s="1"/>
  <c r="AD115" i="26" s="1"/>
  <c r="AE115" i="26" s="1"/>
  <c r="AF115" i="26" s="1"/>
  <c r="AG115" i="26" s="1"/>
  <c r="U94" i="33"/>
  <c r="R119" i="26"/>
  <c r="S119" i="26" s="1"/>
  <c r="T119" i="26" s="1"/>
  <c r="U119" i="26" s="1"/>
  <c r="V119" i="26" s="1"/>
  <c r="W119" i="26" s="1"/>
  <c r="X119" i="26" s="1"/>
  <c r="Y119" i="26" s="1"/>
  <c r="Z119" i="26" s="1"/>
  <c r="AA119" i="26" s="1"/>
  <c r="AB119" i="26" s="1"/>
  <c r="AC119" i="26" s="1"/>
  <c r="AD119" i="26" s="1"/>
  <c r="AE119" i="26" s="1"/>
  <c r="AF119" i="26" s="1"/>
  <c r="AG119" i="26" s="1"/>
  <c r="G152" i="26"/>
  <c r="H152" i="26" s="1"/>
  <c r="I152" i="26" s="1"/>
  <c r="J152" i="26" s="1"/>
  <c r="K152" i="26" s="1"/>
  <c r="L152" i="26" s="1"/>
  <c r="M152" i="26" s="1"/>
  <c r="N152" i="26" s="1"/>
  <c r="O152" i="26" s="1"/>
  <c r="P152" i="26" s="1"/>
  <c r="Q152" i="26" s="1"/>
  <c r="G151" i="26"/>
  <c r="H151" i="26" s="1"/>
  <c r="I151" i="26" s="1"/>
  <c r="J151" i="26" s="1"/>
  <c r="K151" i="26" s="1"/>
  <c r="L151" i="26" s="1"/>
  <c r="M151" i="26" s="1"/>
  <c r="N151" i="26" s="1"/>
  <c r="O151" i="26" s="1"/>
  <c r="P151" i="26" s="1"/>
  <c r="Q151" i="26" s="1"/>
  <c r="G150" i="26"/>
  <c r="H150" i="26" s="1"/>
  <c r="I150" i="26" s="1"/>
  <c r="J150" i="26" s="1"/>
  <c r="K150" i="26" s="1"/>
  <c r="L150" i="26" s="1"/>
  <c r="M150" i="26" s="1"/>
  <c r="N150" i="26" s="1"/>
  <c r="O150" i="26" s="1"/>
  <c r="P150" i="26" s="1"/>
  <c r="Q150" i="26" s="1"/>
  <c r="G149" i="26"/>
  <c r="H149" i="26" s="1"/>
  <c r="I149" i="26" s="1"/>
  <c r="J149" i="26" s="1"/>
  <c r="K149" i="26" s="1"/>
  <c r="L149" i="26" s="1"/>
  <c r="M149" i="26" s="1"/>
  <c r="N149" i="26" s="1"/>
  <c r="O149" i="26" s="1"/>
  <c r="P149" i="26" s="1"/>
  <c r="Q149" i="26" s="1"/>
  <c r="G148" i="26"/>
  <c r="H148" i="26" s="1"/>
  <c r="I148" i="26" s="1"/>
  <c r="J148" i="26" s="1"/>
  <c r="K148" i="26" s="1"/>
  <c r="W117" i="26" l="1"/>
  <c r="X117" i="26" s="1"/>
  <c r="Y117" i="26" s="1"/>
  <c r="Z117" i="26" s="1"/>
  <c r="Y96" i="33"/>
  <c r="AB117" i="26"/>
  <c r="AC117" i="26" s="1"/>
  <c r="AD117" i="26" s="1"/>
  <c r="AE117" i="26" s="1"/>
  <c r="AF117" i="26" s="1"/>
  <c r="AG117" i="26" s="1"/>
  <c r="R73" i="26"/>
  <c r="S73" i="26" s="1"/>
  <c r="T73" i="26" s="1"/>
  <c r="U73" i="26" s="1"/>
  <c r="V73" i="26" s="1"/>
  <c r="W73" i="26" s="1"/>
  <c r="X73" i="26" s="1"/>
  <c r="Y73" i="26" s="1"/>
  <c r="Z73" i="26" s="1"/>
  <c r="AA73" i="26" s="1"/>
  <c r="AB73" i="26" s="1"/>
  <c r="AC73" i="26" s="1"/>
  <c r="AD73" i="26" s="1"/>
  <c r="AE73" i="26" s="1"/>
  <c r="AF73" i="26" s="1"/>
  <c r="AG73" i="26" s="1"/>
  <c r="Y38" i="33" s="1"/>
  <c r="R72" i="26"/>
  <c r="S72" i="26" s="1"/>
  <c r="T72" i="26" s="1"/>
  <c r="U72" i="26" s="1"/>
  <c r="V72" i="26" s="1"/>
  <c r="W72" i="26" s="1"/>
  <c r="X72" i="26" s="1"/>
  <c r="Y72" i="26" s="1"/>
  <c r="Z72" i="26" s="1"/>
  <c r="AA72" i="26" s="1"/>
  <c r="AB72" i="26" s="1"/>
  <c r="AC72" i="26" s="1"/>
  <c r="AD72" i="26" s="1"/>
  <c r="AE72" i="26" s="1"/>
  <c r="AF72" i="26" s="1"/>
  <c r="AG72" i="26" s="1"/>
  <c r="Y37" i="33" s="1"/>
  <c r="R71" i="26"/>
  <c r="S71" i="26" s="1"/>
  <c r="T71" i="26" s="1"/>
  <c r="U71" i="26" s="1"/>
  <c r="AH113" i="26"/>
  <c r="U32" i="33" s="1"/>
  <c r="R150" i="26"/>
  <c r="S150" i="26" s="1"/>
  <c r="T150" i="26" s="1"/>
  <c r="U150" i="26" s="1"/>
  <c r="V150" i="26" s="1"/>
  <c r="W150" i="26" s="1"/>
  <c r="X150" i="26" s="1"/>
  <c r="Y150" i="26" s="1"/>
  <c r="Z150" i="26" s="1"/>
  <c r="AA150" i="26" s="1"/>
  <c r="AB150" i="26" s="1"/>
  <c r="AC150" i="26" s="1"/>
  <c r="AD150" i="26" s="1"/>
  <c r="AE150" i="26" s="1"/>
  <c r="AF150" i="26" s="1"/>
  <c r="AG150" i="26" s="1"/>
  <c r="W32" i="33" s="1"/>
  <c r="W92" i="33"/>
  <c r="R152" i="26"/>
  <c r="S152" i="26" s="1"/>
  <c r="T152" i="26" s="1"/>
  <c r="U152" i="26" s="1"/>
  <c r="V152" i="26" s="1"/>
  <c r="W152" i="26" s="1"/>
  <c r="X152" i="26" s="1"/>
  <c r="Y152" i="26" s="1"/>
  <c r="Z152" i="26" s="1"/>
  <c r="AA152" i="26" s="1"/>
  <c r="AB152" i="26" s="1"/>
  <c r="AC152" i="26" s="1"/>
  <c r="AD152" i="26" s="1"/>
  <c r="AE152" i="26" s="1"/>
  <c r="AF152" i="26" s="1"/>
  <c r="AG152" i="26" s="1"/>
  <c r="W34" i="33" s="1"/>
  <c r="W94" i="33"/>
  <c r="R68" i="26"/>
  <c r="S68" i="26" s="1"/>
  <c r="T68" i="26" s="1"/>
  <c r="U68" i="26" s="1"/>
  <c r="V68" i="26" s="1"/>
  <c r="W68" i="26" s="1"/>
  <c r="X68" i="26" s="1"/>
  <c r="Y68" i="26" s="1"/>
  <c r="Z68" i="26" s="1"/>
  <c r="AA68" i="26" s="1"/>
  <c r="AB68" i="26" s="1"/>
  <c r="AC68" i="26" s="1"/>
  <c r="AD68" i="26" s="1"/>
  <c r="AE68" i="26" s="1"/>
  <c r="AF68" i="26" s="1"/>
  <c r="AG68" i="26" s="1"/>
  <c r="Y33" i="33" s="1"/>
  <c r="Y93" i="33"/>
  <c r="AH115" i="26"/>
  <c r="AR25" i="26" s="1"/>
  <c r="R69" i="26"/>
  <c r="S69" i="26" s="1"/>
  <c r="T69" i="26" s="1"/>
  <c r="U69" i="26" s="1"/>
  <c r="V69" i="26" s="1"/>
  <c r="W69" i="26" s="1"/>
  <c r="X69" i="26" s="1"/>
  <c r="Y69" i="26" s="1"/>
  <c r="Z69" i="26" s="1"/>
  <c r="AA69" i="26" s="1"/>
  <c r="AB69" i="26" s="1"/>
  <c r="AC69" i="26" s="1"/>
  <c r="AD69" i="26" s="1"/>
  <c r="AE69" i="26" s="1"/>
  <c r="AF69" i="26" s="1"/>
  <c r="AG69" i="26" s="1"/>
  <c r="Y34" i="33" s="1"/>
  <c r="Y94" i="33"/>
  <c r="R67" i="26"/>
  <c r="S67" i="26" s="1"/>
  <c r="T67" i="26" s="1"/>
  <c r="U67" i="26" s="1"/>
  <c r="V67" i="26" s="1"/>
  <c r="W67" i="26" s="1"/>
  <c r="X67" i="26" s="1"/>
  <c r="Y67" i="26" s="1"/>
  <c r="Z67" i="26" s="1"/>
  <c r="AA67" i="26" s="1"/>
  <c r="AB67" i="26" s="1"/>
  <c r="AC67" i="26" s="1"/>
  <c r="AD67" i="26" s="1"/>
  <c r="AE67" i="26" s="1"/>
  <c r="AF67" i="26" s="1"/>
  <c r="AG67" i="26" s="1"/>
  <c r="Y32" i="33" s="1"/>
  <c r="Y92" i="33"/>
  <c r="U33" i="33"/>
  <c r="AR24" i="26"/>
  <c r="R151" i="26"/>
  <c r="S151" i="26" s="1"/>
  <c r="T151" i="26" s="1"/>
  <c r="U151" i="26" s="1"/>
  <c r="V151" i="26" s="1"/>
  <c r="W151" i="26" s="1"/>
  <c r="X151" i="26" s="1"/>
  <c r="Y151" i="26" s="1"/>
  <c r="Z151" i="26" s="1"/>
  <c r="AA151" i="26" s="1"/>
  <c r="AB151" i="26" s="1"/>
  <c r="AC151" i="26" s="1"/>
  <c r="AD151" i="26" s="1"/>
  <c r="AE151" i="26" s="1"/>
  <c r="AF151" i="26" s="1"/>
  <c r="AG151" i="26" s="1"/>
  <c r="W33" i="33" s="1"/>
  <c r="W93" i="33"/>
  <c r="R149" i="26"/>
  <c r="S149" i="26" s="1"/>
  <c r="T149" i="26" s="1"/>
  <c r="U149" i="26" s="1"/>
  <c r="V149" i="26" s="1"/>
  <c r="W149" i="26" s="1"/>
  <c r="X149" i="26" s="1"/>
  <c r="Y149" i="26" s="1"/>
  <c r="Z149" i="26" s="1"/>
  <c r="AA149" i="26" s="1"/>
  <c r="AB149" i="26" s="1"/>
  <c r="AC149" i="26" s="1"/>
  <c r="AD149" i="26" s="1"/>
  <c r="AE149" i="26" s="1"/>
  <c r="AF149" i="26" s="1"/>
  <c r="AG149" i="26" s="1"/>
  <c r="W31" i="33" s="1"/>
  <c r="W91" i="33"/>
  <c r="L148" i="26"/>
  <c r="AR23" i="26" l="1"/>
  <c r="AH117" i="26"/>
  <c r="U36" i="33" s="1"/>
  <c r="M148" i="26"/>
  <c r="N148" i="26" s="1"/>
  <c r="O148" i="26" s="1"/>
  <c r="P148" i="26" s="1"/>
  <c r="Q148" i="26" s="1"/>
  <c r="R148" i="26" s="1"/>
  <c r="L158" i="26"/>
  <c r="V71" i="26"/>
  <c r="W71" i="26" s="1"/>
  <c r="X71" i="26" s="1"/>
  <c r="Y71" i="26" s="1"/>
  <c r="Z71" i="26" s="1"/>
  <c r="AH69" i="26"/>
  <c r="AX25" i="26" s="1"/>
  <c r="W90" i="33"/>
  <c r="U34" i="33"/>
  <c r="AC93" i="33"/>
  <c r="AC33" i="33"/>
  <c r="G27" i="26"/>
  <c r="G262" i="26" s="1"/>
  <c r="G28" i="26"/>
  <c r="G263" i="26" s="1"/>
  <c r="G29" i="26"/>
  <c r="G264" i="26" s="1"/>
  <c r="AH68" i="26"/>
  <c r="AH67" i="26"/>
  <c r="S148" i="26" l="1"/>
  <c r="T148" i="26" s="1"/>
  <c r="U148" i="26" s="1"/>
  <c r="R158" i="26"/>
  <c r="H28" i="26"/>
  <c r="H263" i="26" s="1"/>
  <c r="H29" i="26"/>
  <c r="H264" i="26" s="1"/>
  <c r="H27" i="26"/>
  <c r="H262" i="26" s="1"/>
  <c r="AH71" i="26"/>
  <c r="AX27" i="26" s="1"/>
  <c r="J116" i="26"/>
  <c r="K116" i="26" s="1"/>
  <c r="L116" i="26" s="1"/>
  <c r="M116" i="26" s="1"/>
  <c r="N116" i="26" s="1"/>
  <c r="O116" i="26" s="1"/>
  <c r="P116" i="26" s="1"/>
  <c r="Q116" i="26" s="1"/>
  <c r="U95" i="33" s="1"/>
  <c r="AX24" i="26"/>
  <c r="AX23" i="26"/>
  <c r="AH149" i="26"/>
  <c r="V148" i="26" l="1"/>
  <c r="W148" i="26" s="1"/>
  <c r="X148" i="26" s="1"/>
  <c r="Y148" i="26" s="1"/>
  <c r="Z148" i="26" s="1"/>
  <c r="AA148" i="26" s="1"/>
  <c r="AB148" i="26" s="1"/>
  <c r="AC148" i="26" s="1"/>
  <c r="AD148" i="26" s="1"/>
  <c r="AE148" i="26" s="1"/>
  <c r="AF148" i="26" s="1"/>
  <c r="AG148" i="26" s="1"/>
  <c r="W30" i="33" s="1"/>
  <c r="J70" i="26"/>
  <c r="I29" i="26"/>
  <c r="I264" i="26" s="1"/>
  <c r="I27" i="26"/>
  <c r="I262" i="26" s="1"/>
  <c r="I28" i="26"/>
  <c r="I263" i="26" s="1"/>
  <c r="R116" i="26"/>
  <c r="S116" i="26" s="1"/>
  <c r="T116" i="26" s="1"/>
  <c r="U116" i="26" s="1"/>
  <c r="V116" i="26" s="1"/>
  <c r="AV22" i="26"/>
  <c r="AH152" i="26"/>
  <c r="AH150" i="26"/>
  <c r="AH151" i="26"/>
  <c r="W116" i="26" l="1"/>
  <c r="X116" i="26" s="1"/>
  <c r="Y116" i="26" s="1"/>
  <c r="Z116" i="26" s="1"/>
  <c r="AA116" i="26" s="1"/>
  <c r="AB116" i="26" s="1"/>
  <c r="AC116" i="26" s="1"/>
  <c r="AD116" i="26" s="1"/>
  <c r="AE116" i="26" s="1"/>
  <c r="AF116" i="26" s="1"/>
  <c r="AG116" i="26" s="1"/>
  <c r="Y95" i="33"/>
  <c r="AF158" i="26"/>
  <c r="AH148" i="26"/>
  <c r="AV21" i="26" s="1"/>
  <c r="J27" i="26"/>
  <c r="J262" i="26" s="1"/>
  <c r="J28" i="26"/>
  <c r="J263" i="26" s="1"/>
  <c r="J29" i="26"/>
  <c r="J264" i="26" s="1"/>
  <c r="AC47" i="33"/>
  <c r="AV25" i="26"/>
  <c r="AV24" i="26"/>
  <c r="AV23" i="26"/>
  <c r="AG158" i="26"/>
  <c r="AH116" i="26" l="1"/>
  <c r="R70" i="26"/>
  <c r="S70" i="26" s="1"/>
  <c r="T70" i="26" s="1"/>
  <c r="U70" i="26" s="1"/>
  <c r="V70" i="26" s="1"/>
  <c r="W70" i="26" s="1"/>
  <c r="X70" i="26" s="1"/>
  <c r="Y70" i="26" s="1"/>
  <c r="Z70" i="26" s="1"/>
  <c r="AA70" i="26" s="1"/>
  <c r="AB70" i="26" s="1"/>
  <c r="AC70" i="26" s="1"/>
  <c r="AD70" i="26" s="1"/>
  <c r="AE70" i="26" s="1"/>
  <c r="AF70" i="26" s="1"/>
  <c r="AG70" i="26" s="1"/>
  <c r="Y35" i="33" s="1"/>
  <c r="K28" i="26"/>
  <c r="K263" i="26" s="1"/>
  <c r="K29" i="26"/>
  <c r="K264" i="26" s="1"/>
  <c r="K27" i="26"/>
  <c r="K262" i="26" s="1"/>
  <c r="U35" i="33" l="1"/>
  <c r="AR26" i="26"/>
  <c r="AH70" i="26"/>
  <c r="AX26" i="26" s="1"/>
  <c r="L29" i="26"/>
  <c r="L264" i="26" s="1"/>
  <c r="L27" i="26"/>
  <c r="L262" i="26" s="1"/>
  <c r="L28" i="26"/>
  <c r="L263" i="26" s="1"/>
  <c r="BB37" i="26"/>
  <c r="AH118" i="26"/>
  <c r="AR28" i="26" l="1"/>
  <c r="U37" i="33"/>
  <c r="M28" i="26"/>
  <c r="M263" i="26" s="1"/>
  <c r="M27" i="26"/>
  <c r="M262" i="26" s="1"/>
  <c r="M29" i="26"/>
  <c r="M264" i="26" s="1"/>
  <c r="AH119" i="26"/>
  <c r="AH73" i="26"/>
  <c r="AX29" i="26" s="1"/>
  <c r="AR29" i="26" l="1"/>
  <c r="U38" i="33"/>
  <c r="N27" i="26"/>
  <c r="N262" i="26" s="1"/>
  <c r="N29" i="26"/>
  <c r="N264" i="26" s="1"/>
  <c r="N28" i="26"/>
  <c r="N263" i="26" s="1"/>
  <c r="AH72" i="26"/>
  <c r="AX28" i="26" s="1"/>
  <c r="O28" i="26" l="1"/>
  <c r="O263" i="26" s="1"/>
  <c r="O29" i="26"/>
  <c r="O264" i="26" s="1"/>
  <c r="O27" i="26"/>
  <c r="O262" i="26" s="1"/>
  <c r="P29" i="26" l="1"/>
  <c r="P264" i="26" s="1"/>
  <c r="P27" i="26"/>
  <c r="P262" i="26" s="1"/>
  <c r="P28" i="26"/>
  <c r="P263" i="26" s="1"/>
  <c r="AB27" i="26"/>
  <c r="AB262" i="26" s="1"/>
  <c r="Q28" i="26" l="1"/>
  <c r="Q263" i="26" s="1"/>
  <c r="Q27" i="26"/>
  <c r="Q262" i="26" s="1"/>
  <c r="Q29" i="26"/>
  <c r="Q264" i="26" s="1"/>
  <c r="AC27" i="26"/>
  <c r="AC262" i="26" s="1"/>
  <c r="I97" i="33"/>
  <c r="I96" i="33" l="1"/>
  <c r="AC96" i="33"/>
  <c r="M96" i="33"/>
  <c r="AC97" i="33"/>
  <c r="M97" i="33"/>
  <c r="R27" i="26"/>
  <c r="R262" i="26" s="1"/>
  <c r="R29" i="26"/>
  <c r="R264" i="26" s="1"/>
  <c r="I98" i="33"/>
  <c r="R28" i="26"/>
  <c r="R263" i="26" s="1"/>
  <c r="AD27" i="26"/>
  <c r="AD262" i="26" s="1"/>
  <c r="S96" i="33"/>
  <c r="S97" i="33"/>
  <c r="G17" i="26"/>
  <c r="G252" i="26" s="1"/>
  <c r="G18" i="26"/>
  <c r="G253" i="26" s="1"/>
  <c r="Q97" i="33" l="1"/>
  <c r="Q96" i="33"/>
  <c r="M98" i="33"/>
  <c r="S98" i="33"/>
  <c r="S28" i="26"/>
  <c r="S263" i="26" s="1"/>
  <c r="S29" i="26"/>
  <c r="S264" i="26" s="1"/>
  <c r="S27" i="26"/>
  <c r="S262" i="26" s="1"/>
  <c r="AE27" i="26"/>
  <c r="AE262" i="26" s="1"/>
  <c r="H18" i="26"/>
  <c r="H253" i="26" s="1"/>
  <c r="H17" i="26"/>
  <c r="H252" i="26" s="1"/>
  <c r="Q98" i="33" l="1"/>
  <c r="T27" i="26"/>
  <c r="T262" i="26" s="1"/>
  <c r="T29" i="26"/>
  <c r="T264" i="26" s="1"/>
  <c r="T28" i="26"/>
  <c r="T263" i="26" s="1"/>
  <c r="AF27" i="26"/>
  <c r="AF262" i="26" s="1"/>
  <c r="I17" i="26"/>
  <c r="I252" i="26" s="1"/>
  <c r="I18" i="26"/>
  <c r="I253" i="26" s="1"/>
  <c r="U27" i="26" l="1"/>
  <c r="U262" i="26" s="1"/>
  <c r="U28" i="26"/>
  <c r="U263" i="26" s="1"/>
  <c r="U29" i="26"/>
  <c r="U264" i="26" s="1"/>
  <c r="AG27" i="26"/>
  <c r="AG262" i="26" s="1"/>
  <c r="J18" i="26"/>
  <c r="J253" i="26" s="1"/>
  <c r="J17" i="26"/>
  <c r="J252" i="26" s="1"/>
  <c r="V27" i="26" l="1"/>
  <c r="V262" i="26" s="1"/>
  <c r="V29" i="26"/>
  <c r="V264" i="26" s="1"/>
  <c r="V28" i="26"/>
  <c r="V263" i="26" s="1"/>
  <c r="I36" i="33"/>
  <c r="K17" i="26"/>
  <c r="K252" i="26" s="1"/>
  <c r="K18" i="26"/>
  <c r="K253" i="26" s="1"/>
  <c r="W27" i="26" l="1"/>
  <c r="W262" i="26" s="1"/>
  <c r="W28" i="26"/>
  <c r="W263" i="26" s="1"/>
  <c r="W29" i="26"/>
  <c r="W264" i="26" s="1"/>
  <c r="S36" i="33"/>
  <c r="M36" i="33"/>
  <c r="AC36" i="33"/>
  <c r="L18" i="26"/>
  <c r="L253" i="26" s="1"/>
  <c r="L17" i="26"/>
  <c r="L252" i="26" s="1"/>
  <c r="Q36" i="33" l="1"/>
  <c r="X27" i="26"/>
  <c r="X262" i="26" s="1"/>
  <c r="X29" i="26"/>
  <c r="X264" i="26" s="1"/>
  <c r="X28" i="26"/>
  <c r="X263" i="26" s="1"/>
  <c r="M17" i="26"/>
  <c r="M252" i="26" s="1"/>
  <c r="M18" i="26"/>
  <c r="M253" i="26" s="1"/>
  <c r="A172" i="26"/>
  <c r="A173" i="26" s="1"/>
  <c r="A174" i="26" s="1"/>
  <c r="A175" i="26" s="1"/>
  <c r="A176" i="26" s="1"/>
  <c r="A145" i="26"/>
  <c r="A146" i="26" s="1"/>
  <c r="A147" i="26" s="1"/>
  <c r="A148" i="26" s="1"/>
  <c r="A149" i="26" s="1"/>
  <c r="Q21" i="26"/>
  <c r="Q256" i="26" s="1"/>
  <c r="C83" i="33"/>
  <c r="Y27" i="26" l="1"/>
  <c r="Y262" i="26" s="1"/>
  <c r="Y28" i="26"/>
  <c r="Y263" i="26" s="1"/>
  <c r="Y29" i="26"/>
  <c r="Y264" i="26" s="1"/>
  <c r="A177" i="26"/>
  <c r="A178" i="26" s="1"/>
  <c r="A179" i="26" s="1"/>
  <c r="A180" i="26" s="1"/>
  <c r="A181" i="26" s="1"/>
  <c r="A182" i="26" s="1"/>
  <c r="A183" i="26" s="1"/>
  <c r="A184" i="26" s="1"/>
  <c r="A186" i="26" s="1"/>
  <c r="A150" i="26"/>
  <c r="A151" i="26" s="1"/>
  <c r="A152" i="26" s="1"/>
  <c r="A153" i="26" s="1"/>
  <c r="A154" i="26" s="1"/>
  <c r="A155" i="26" s="1"/>
  <c r="A156" i="26" s="1"/>
  <c r="A157" i="26" s="1"/>
  <c r="A158" i="26" s="1"/>
  <c r="I90" i="33"/>
  <c r="N18" i="26"/>
  <c r="N253" i="26" s="1"/>
  <c r="N17" i="26"/>
  <c r="N252" i="26" s="1"/>
  <c r="Z27" i="26" l="1"/>
  <c r="Z262" i="26" s="1"/>
  <c r="Z29" i="26"/>
  <c r="Z264" i="26" s="1"/>
  <c r="Z28" i="26"/>
  <c r="Z263" i="26" s="1"/>
  <c r="O17" i="26"/>
  <c r="O252" i="26" s="1"/>
  <c r="O18" i="26"/>
  <c r="O253" i="26" s="1"/>
  <c r="F186" i="26"/>
  <c r="AH262" i="26" l="1"/>
  <c r="AH27" i="26"/>
  <c r="AL27" i="26" s="1"/>
  <c r="BB27" i="26" s="1"/>
  <c r="AA29" i="26"/>
  <c r="AA264" i="26" s="1"/>
  <c r="AA28" i="26"/>
  <c r="AA263" i="26" s="1"/>
  <c r="P18" i="26"/>
  <c r="P253" i="26" s="1"/>
  <c r="P17" i="26"/>
  <c r="P252" i="26" s="1"/>
  <c r="G186" i="26"/>
  <c r="F158" i="26"/>
  <c r="AB29" i="26" l="1"/>
  <c r="AB264" i="26" s="1"/>
  <c r="AB28" i="26"/>
  <c r="AB263" i="26" s="1"/>
  <c r="Q18" i="26"/>
  <c r="Q253" i="26" s="1"/>
  <c r="Q17" i="26"/>
  <c r="Q252" i="26" s="1"/>
  <c r="G158" i="26"/>
  <c r="H186" i="26"/>
  <c r="AC29" i="26" l="1"/>
  <c r="AC264" i="26" s="1"/>
  <c r="I86" i="33"/>
  <c r="I87" i="33"/>
  <c r="AC28" i="26"/>
  <c r="AC263" i="26" s="1"/>
  <c r="R18" i="26"/>
  <c r="R253" i="26" s="1"/>
  <c r="R17" i="26"/>
  <c r="R252" i="26" s="1"/>
  <c r="I186" i="26"/>
  <c r="H158" i="26"/>
  <c r="S86" i="33" l="1"/>
  <c r="S87" i="33"/>
  <c r="AD28" i="26"/>
  <c r="AD263" i="26" s="1"/>
  <c r="AD29" i="26"/>
  <c r="AD264" i="26" s="1"/>
  <c r="S17" i="26"/>
  <c r="S252" i="26" s="1"/>
  <c r="S18" i="26"/>
  <c r="S253" i="26" s="1"/>
  <c r="I158" i="26"/>
  <c r="J186" i="26"/>
  <c r="AE28" i="26" l="1"/>
  <c r="AE263" i="26" s="1"/>
  <c r="AE29" i="26"/>
  <c r="AE264" i="26" s="1"/>
  <c r="T18" i="26"/>
  <c r="T253" i="26" s="1"/>
  <c r="T17" i="26"/>
  <c r="T252" i="26" s="1"/>
  <c r="K186" i="26"/>
  <c r="J158" i="26"/>
  <c r="AF28" i="26" l="1"/>
  <c r="AF263" i="26" s="1"/>
  <c r="AF29" i="26"/>
  <c r="AF264" i="26" s="1"/>
  <c r="U17" i="26"/>
  <c r="U252" i="26" s="1"/>
  <c r="U18" i="26"/>
  <c r="U253" i="26" s="1"/>
  <c r="K158" i="26"/>
  <c r="L186" i="26"/>
  <c r="AG29" i="26" l="1"/>
  <c r="AG28" i="26"/>
  <c r="V17" i="26"/>
  <c r="V252" i="26" s="1"/>
  <c r="V18" i="26"/>
  <c r="V253" i="26" s="1"/>
  <c r="M186" i="26"/>
  <c r="AH28" i="26" l="1"/>
  <c r="AL28" i="26" s="1"/>
  <c r="AG263" i="26"/>
  <c r="AH29" i="26"/>
  <c r="AL29" i="26" s="1"/>
  <c r="AP29" i="26" s="1"/>
  <c r="AT29" i="26" s="1"/>
  <c r="AG264" i="26"/>
  <c r="AH264" i="26" s="1"/>
  <c r="I38" i="33"/>
  <c r="AP28" i="26"/>
  <c r="AT28" i="26" s="1"/>
  <c r="BB28" i="26"/>
  <c r="AH263" i="26"/>
  <c r="I37" i="33"/>
  <c r="W18" i="26"/>
  <c r="W253" i="26" s="1"/>
  <c r="W17" i="26"/>
  <c r="W252" i="26" s="1"/>
  <c r="M158" i="26"/>
  <c r="N186" i="26"/>
  <c r="M37" i="33" l="1"/>
  <c r="AC37" i="33"/>
  <c r="S37" i="33"/>
  <c r="M38" i="33"/>
  <c r="S38" i="33"/>
  <c r="X17" i="26"/>
  <c r="X252" i="26" s="1"/>
  <c r="X18" i="26"/>
  <c r="X253" i="26" s="1"/>
  <c r="O186" i="26"/>
  <c r="N158" i="26"/>
  <c r="Q38" i="33" l="1"/>
  <c r="Q37" i="33"/>
  <c r="Y18" i="26"/>
  <c r="Y253" i="26" s="1"/>
  <c r="Y17" i="26"/>
  <c r="Y252" i="26" s="1"/>
  <c r="O158" i="26"/>
  <c r="P186" i="26"/>
  <c r="Z17" i="26" l="1"/>
  <c r="Z252" i="26" s="1"/>
  <c r="Z18" i="26"/>
  <c r="Z253" i="26" s="1"/>
  <c r="Q186" i="26"/>
  <c r="P158" i="26"/>
  <c r="AA18" i="26" l="1"/>
  <c r="AA253" i="26" s="1"/>
  <c r="AA17" i="26"/>
  <c r="AA252" i="26" s="1"/>
  <c r="Q158" i="26"/>
  <c r="R186" i="26"/>
  <c r="AB17" i="26" l="1"/>
  <c r="AB252" i="26" s="1"/>
  <c r="AB18" i="26"/>
  <c r="AB253" i="26" s="1"/>
  <c r="AC18" i="26" l="1"/>
  <c r="AC253" i="26" s="1"/>
  <c r="AC17" i="26"/>
  <c r="AC252" i="26" s="1"/>
  <c r="AD18" i="26" l="1"/>
  <c r="AD253" i="26" s="1"/>
  <c r="AD17" i="26"/>
  <c r="AD252" i="26" s="1"/>
  <c r="AE17" i="26" l="1"/>
  <c r="AE252" i="26" s="1"/>
  <c r="AE18" i="26"/>
  <c r="AE253" i="26" s="1"/>
  <c r="G26" i="26" l="1"/>
  <c r="G261" i="26" s="1"/>
  <c r="AF18" i="26"/>
  <c r="AF253" i="26" s="1"/>
  <c r="AF17" i="26"/>
  <c r="AF252" i="26" s="1"/>
  <c r="S186" i="26"/>
  <c r="H26" i="26" l="1"/>
  <c r="H261" i="26" s="1"/>
  <c r="AG17" i="26"/>
  <c r="AG252" i="26" s="1"/>
  <c r="AG18" i="26"/>
  <c r="AG253" i="26" s="1"/>
  <c r="S158" i="26"/>
  <c r="T186" i="26"/>
  <c r="AH253" i="26" l="1"/>
  <c r="AH18" i="26"/>
  <c r="AL18" i="26" s="1"/>
  <c r="AH252" i="26"/>
  <c r="AH17" i="26"/>
  <c r="AL17" i="26" s="1"/>
  <c r="I26" i="26"/>
  <c r="I261" i="26" s="1"/>
  <c r="I27" i="33"/>
  <c r="I26" i="33"/>
  <c r="U186" i="26"/>
  <c r="T158" i="26"/>
  <c r="J26" i="26" l="1"/>
  <c r="J261" i="26" s="1"/>
  <c r="U158" i="26"/>
  <c r="V186" i="26"/>
  <c r="K26" i="26" l="1"/>
  <c r="K261" i="26" s="1"/>
  <c r="W186" i="26"/>
  <c r="V158" i="26"/>
  <c r="L26" i="26" l="1"/>
  <c r="L261" i="26" s="1"/>
  <c r="W158" i="26"/>
  <c r="X186" i="26"/>
  <c r="AR27" i="26" l="1"/>
  <c r="AP27" i="26" s="1"/>
  <c r="AT27" i="26" s="1"/>
  <c r="M26" i="26"/>
  <c r="M261" i="26" s="1"/>
  <c r="Y186" i="26"/>
  <c r="X158" i="26"/>
  <c r="N26" i="26" l="1"/>
  <c r="N261" i="26" s="1"/>
  <c r="Y158" i="26"/>
  <c r="Z186" i="26"/>
  <c r="O26" i="26" l="1"/>
  <c r="O261" i="26" s="1"/>
  <c r="AA186" i="26"/>
  <c r="Z158" i="26"/>
  <c r="P26" i="26" l="1"/>
  <c r="P261" i="26" s="1"/>
  <c r="AA158" i="26"/>
  <c r="AB186" i="26"/>
  <c r="Q26" i="26" l="1"/>
  <c r="Q261" i="26" s="1"/>
  <c r="AC186" i="26"/>
  <c r="AB158" i="26"/>
  <c r="R26" i="26" l="1"/>
  <c r="R261" i="26" s="1"/>
  <c r="I95" i="33"/>
  <c r="AC158" i="26"/>
  <c r="AD186" i="26"/>
  <c r="S26" i="26" l="1"/>
  <c r="S261" i="26" s="1"/>
  <c r="AC95" i="33"/>
  <c r="M95" i="33"/>
  <c r="S95" i="33"/>
  <c r="AE186" i="26"/>
  <c r="C52" i="1" s="1"/>
  <c r="AD158" i="26"/>
  <c r="Q95" i="33" l="1"/>
  <c r="T26" i="26"/>
  <c r="T261" i="26" s="1"/>
  <c r="AE158" i="26"/>
  <c r="AH186" i="26"/>
  <c r="U26" i="26" l="1"/>
  <c r="U261" i="26" s="1"/>
  <c r="V26" i="26" l="1"/>
  <c r="V261" i="26" s="1"/>
  <c r="AV40" i="26"/>
  <c r="AJ283" i="26"/>
  <c r="F1" i="37"/>
  <c r="H1" i="39"/>
  <c r="W26" i="26" l="1"/>
  <c r="W261" i="26" s="1"/>
  <c r="X26" i="26" l="1"/>
  <c r="X261" i="26" s="1"/>
  <c r="Y26" i="26" l="1"/>
  <c r="Y261" i="26" s="1"/>
  <c r="G21" i="26"/>
  <c r="G256" i="26" s="1"/>
  <c r="G22" i="26"/>
  <c r="G257" i="26" s="1"/>
  <c r="Z26" i="26" l="1"/>
  <c r="Z261" i="26" s="1"/>
  <c r="H21" i="26"/>
  <c r="H256" i="26" s="1"/>
  <c r="H22" i="26"/>
  <c r="H257" i="26" s="1"/>
  <c r="AA26" i="26" l="1"/>
  <c r="AA261" i="26" s="1"/>
  <c r="J111" i="26"/>
  <c r="K111" i="26" s="1"/>
  <c r="L111" i="26" s="1"/>
  <c r="M111" i="26" s="1"/>
  <c r="N111" i="26" s="1"/>
  <c r="O111" i="26" s="1"/>
  <c r="P111" i="26" s="1"/>
  <c r="Q111" i="26" s="1"/>
  <c r="I21" i="26"/>
  <c r="I256" i="26" s="1"/>
  <c r="I22" i="26"/>
  <c r="I257" i="26" s="1"/>
  <c r="J65" i="26" l="1"/>
  <c r="AB26" i="26"/>
  <c r="AB261" i="26" s="1"/>
  <c r="J112" i="26"/>
  <c r="K112" i="26" s="1"/>
  <c r="L112" i="26" s="1"/>
  <c r="M112" i="26" s="1"/>
  <c r="N112" i="26" s="1"/>
  <c r="O112" i="26" s="1"/>
  <c r="P112" i="26" s="1"/>
  <c r="Q112" i="26" s="1"/>
  <c r="R111" i="26"/>
  <c r="S111" i="26" s="1"/>
  <c r="T111" i="26" s="1"/>
  <c r="U111" i="26" s="1"/>
  <c r="V111" i="26" s="1"/>
  <c r="W111" i="26" s="1"/>
  <c r="X111" i="26" s="1"/>
  <c r="Y111" i="26" s="1"/>
  <c r="Z111" i="26" s="1"/>
  <c r="AA111" i="26" s="1"/>
  <c r="AB111" i="26" s="1"/>
  <c r="AC111" i="26" s="1"/>
  <c r="AD111" i="26" s="1"/>
  <c r="AE111" i="26" s="1"/>
  <c r="AF111" i="26" s="1"/>
  <c r="AG111" i="26" s="1"/>
  <c r="U90" i="33"/>
  <c r="J21" i="26"/>
  <c r="J256" i="26" s="1"/>
  <c r="J22" i="26"/>
  <c r="J257" i="26" s="1"/>
  <c r="J66" i="26" l="1"/>
  <c r="AC26" i="26"/>
  <c r="AC261" i="26" s="1"/>
  <c r="AH111" i="26"/>
  <c r="AR21" i="26" s="1"/>
  <c r="R112" i="26"/>
  <c r="S112" i="26" s="1"/>
  <c r="T112" i="26" s="1"/>
  <c r="U112" i="26" s="1"/>
  <c r="V112" i="26" s="1"/>
  <c r="W112" i="26" s="1"/>
  <c r="X112" i="26" s="1"/>
  <c r="Y112" i="26" s="1"/>
  <c r="Z112" i="26" s="1"/>
  <c r="AA112" i="26" s="1"/>
  <c r="AB112" i="26" s="1"/>
  <c r="AC112" i="26" s="1"/>
  <c r="AD112" i="26" s="1"/>
  <c r="AE112" i="26" s="1"/>
  <c r="AF112" i="26" s="1"/>
  <c r="AG112" i="26" s="1"/>
  <c r="U91" i="33"/>
  <c r="R65" i="26"/>
  <c r="S65" i="26" s="1"/>
  <c r="T65" i="26" s="1"/>
  <c r="U65" i="26" s="1"/>
  <c r="V65" i="26" s="1"/>
  <c r="W65" i="26" s="1"/>
  <c r="X65" i="26" s="1"/>
  <c r="Y65" i="26" s="1"/>
  <c r="Z65" i="26" s="1"/>
  <c r="AA65" i="26" s="1"/>
  <c r="AB65" i="26" s="1"/>
  <c r="AC65" i="26" s="1"/>
  <c r="AD65" i="26" s="1"/>
  <c r="AE65" i="26" s="1"/>
  <c r="AF65" i="26" s="1"/>
  <c r="AG65" i="26" s="1"/>
  <c r="Y30" i="33" s="1"/>
  <c r="Y90" i="33"/>
  <c r="K21" i="26"/>
  <c r="K256" i="26" s="1"/>
  <c r="K22" i="26"/>
  <c r="K257" i="26" s="1"/>
  <c r="R21" i="26"/>
  <c r="R256" i="26" s="1"/>
  <c r="AC90" i="33" l="1"/>
  <c r="U30" i="33"/>
  <c r="AD26" i="26"/>
  <c r="AD261" i="26" s="1"/>
  <c r="AH112" i="26"/>
  <c r="U31" i="33" s="1"/>
  <c r="AR22" i="26"/>
  <c r="R66" i="26"/>
  <c r="S66" i="26" s="1"/>
  <c r="T66" i="26" s="1"/>
  <c r="U66" i="26" s="1"/>
  <c r="V66" i="26" s="1"/>
  <c r="W66" i="26" s="1"/>
  <c r="X66" i="26" s="1"/>
  <c r="Y66" i="26" s="1"/>
  <c r="Z66" i="26" s="1"/>
  <c r="AA66" i="26" s="1"/>
  <c r="AB66" i="26" s="1"/>
  <c r="AC66" i="26" s="1"/>
  <c r="AD66" i="26" s="1"/>
  <c r="AE66" i="26" s="1"/>
  <c r="AF66" i="26" s="1"/>
  <c r="AG66" i="26" s="1"/>
  <c r="Y31" i="33" s="1"/>
  <c r="Y91" i="33"/>
  <c r="AH65" i="26"/>
  <c r="AX21" i="26" s="1"/>
  <c r="L21" i="26"/>
  <c r="L256" i="26" s="1"/>
  <c r="L22" i="26"/>
  <c r="L257" i="26" s="1"/>
  <c r="S21" i="26"/>
  <c r="S256" i="26" s="1"/>
  <c r="AE26" i="26" l="1"/>
  <c r="AE261" i="26" s="1"/>
  <c r="AH66" i="26"/>
  <c r="AX22" i="26" s="1"/>
  <c r="M21" i="26"/>
  <c r="M256" i="26" s="1"/>
  <c r="M22" i="26"/>
  <c r="M257" i="26" s="1"/>
  <c r="AF26" i="26" l="1"/>
  <c r="AF261" i="26" s="1"/>
  <c r="N21" i="26"/>
  <c r="N256" i="26" s="1"/>
  <c r="N22" i="26"/>
  <c r="N257" i="26" s="1"/>
  <c r="AG26" i="26" l="1"/>
  <c r="O21" i="26"/>
  <c r="O256" i="26" s="1"/>
  <c r="O22" i="26"/>
  <c r="O257" i="26" s="1"/>
  <c r="Q45" i="4"/>
  <c r="C39" i="1"/>
  <c r="AH26" i="26" l="1"/>
  <c r="AL26" i="26" s="1"/>
  <c r="AG261" i="26"/>
  <c r="AH261" i="26" s="1"/>
  <c r="I35" i="33"/>
  <c r="P21" i="26"/>
  <c r="P256" i="26" s="1"/>
  <c r="P22" i="26"/>
  <c r="P257" i="26" s="1"/>
  <c r="AP26" i="26" l="1"/>
  <c r="AT26" i="26" s="1"/>
  <c r="BB26" i="26"/>
  <c r="AC35" i="33"/>
  <c r="S35" i="33"/>
  <c r="M35" i="33"/>
  <c r="S90" i="33"/>
  <c r="M90" i="33"/>
  <c r="Q22" i="26"/>
  <c r="Q257" i="26" s="1"/>
  <c r="Q90" i="33" l="1"/>
  <c r="Q35" i="33"/>
  <c r="I91" i="33"/>
  <c r="R22" i="26"/>
  <c r="R257" i="26" s="1"/>
  <c r="AC91" i="33" l="1"/>
  <c r="S91" i="33"/>
  <c r="M91" i="33"/>
  <c r="S22" i="26"/>
  <c r="S257" i="26" s="1"/>
  <c r="F423" i="26"/>
  <c r="A42" i="34"/>
  <c r="A3" i="34"/>
  <c r="A63" i="33"/>
  <c r="A3" i="33"/>
  <c r="A33" i="32"/>
  <c r="A3" i="32"/>
  <c r="W47" i="34"/>
  <c r="W8" i="34"/>
  <c r="Q46" i="4"/>
  <c r="Q8" i="4"/>
  <c r="Q54" i="4" s="1"/>
  <c r="A41" i="4"/>
  <c r="A3" i="4"/>
  <c r="Q8" i="35"/>
  <c r="O64" i="4"/>
  <c r="O18" i="4"/>
  <c r="E72" i="1"/>
  <c r="T21" i="26"/>
  <c r="T256" i="26" s="1"/>
  <c r="S22" i="34"/>
  <c r="K81" i="33"/>
  <c r="K85" i="33"/>
  <c r="K80" i="33"/>
  <c r="K20" i="33"/>
  <c r="K21" i="33"/>
  <c r="K25" i="33"/>
  <c r="AN292" i="26"/>
  <c r="AJ292" i="26"/>
  <c r="AC8" i="33"/>
  <c r="AC68" i="33"/>
  <c r="M38" i="32"/>
  <c r="M8" i="32"/>
  <c r="A4" i="35"/>
  <c r="A3" i="35"/>
  <c r="A2" i="34"/>
  <c r="A41" i="34" s="1"/>
  <c r="A18" i="35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49" i="32"/>
  <c r="A50" i="32" s="1"/>
  <c r="A51" i="32" s="1"/>
  <c r="A52" i="32" s="1"/>
  <c r="A53" i="32" s="1"/>
  <c r="A54" i="32" s="1"/>
  <c r="A19" i="32"/>
  <c r="A20" i="32" s="1"/>
  <c r="A21" i="32" s="1"/>
  <c r="A22" i="32" s="1"/>
  <c r="A23" i="32" s="1"/>
  <c r="A24" i="32" s="1"/>
  <c r="A58" i="34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19" i="34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77" i="33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7" i="33"/>
  <c r="A22" i="5"/>
  <c r="A42" i="4"/>
  <c r="A4" i="4"/>
  <c r="A43" i="34"/>
  <c r="A4" i="34"/>
  <c r="A64" i="33"/>
  <c r="A4" i="33"/>
  <c r="A34" i="32"/>
  <c r="M66" i="34"/>
  <c r="I66" i="34"/>
  <c r="E61" i="34"/>
  <c r="M27" i="34"/>
  <c r="I27" i="34"/>
  <c r="E22" i="34"/>
  <c r="AA105" i="33"/>
  <c r="W105" i="33"/>
  <c r="AA50" i="33"/>
  <c r="W50" i="33"/>
  <c r="A4" i="32"/>
  <c r="B366" i="26"/>
  <c r="B342" i="26"/>
  <c r="B316" i="26"/>
  <c r="BK26" i="4"/>
  <c r="BL26" i="4" s="1"/>
  <c r="BK27" i="4"/>
  <c r="BL27" i="4" s="1"/>
  <c r="BK28" i="4"/>
  <c r="BL28" i="4" s="1"/>
  <c r="BK29" i="4"/>
  <c r="BL29" i="4" s="1"/>
  <c r="BK30" i="4"/>
  <c r="BL30" i="4" s="1"/>
  <c r="BK31" i="4"/>
  <c r="BL31" i="4" s="1"/>
  <c r="BK32" i="4"/>
  <c r="BL32" i="4" s="1"/>
  <c r="BK33" i="4"/>
  <c r="BL33" i="4" s="1"/>
  <c r="BK34" i="4"/>
  <c r="BL34" i="4" s="1"/>
  <c r="BK35" i="4"/>
  <c r="BL35" i="4" s="1"/>
  <c r="BK36" i="4"/>
  <c r="BL36" i="4" s="1"/>
  <c r="BK37" i="4"/>
  <c r="BL37" i="4" s="1"/>
  <c r="BK38" i="4"/>
  <c r="BL38" i="4" s="1"/>
  <c r="C36" i="1" l="1"/>
  <c r="Q91" i="33"/>
  <c r="D36" i="1"/>
  <c r="S61" i="34"/>
  <c r="G469" i="26"/>
  <c r="H469" i="26" s="1"/>
  <c r="I469" i="26" s="1"/>
  <c r="J469" i="26" s="1"/>
  <c r="K469" i="26" s="1"/>
  <c r="L469" i="26" s="1"/>
  <c r="M469" i="26" s="1"/>
  <c r="N469" i="26" s="1"/>
  <c r="O469" i="26" s="1"/>
  <c r="P469" i="26" s="1"/>
  <c r="Q469" i="26" s="1"/>
  <c r="R469" i="26" s="1"/>
  <c r="S469" i="26" s="1"/>
  <c r="T469" i="26" s="1"/>
  <c r="U469" i="26" s="1"/>
  <c r="V469" i="26" s="1"/>
  <c r="W469" i="26" s="1"/>
  <c r="X469" i="26" s="1"/>
  <c r="Y469" i="26" s="1"/>
  <c r="Z469" i="26" s="1"/>
  <c r="AA469" i="26" s="1"/>
  <c r="AB469" i="26" s="1"/>
  <c r="AC469" i="26" s="1"/>
  <c r="AD469" i="26" s="1"/>
  <c r="AE469" i="26" s="1"/>
  <c r="AF469" i="26" s="1"/>
  <c r="AG469" i="26" s="1"/>
  <c r="M105" i="26"/>
  <c r="A18" i="33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U21" i="26"/>
  <c r="U256" i="26" s="1"/>
  <c r="G110" i="26"/>
  <c r="T22" i="26"/>
  <c r="T257" i="26" s="1"/>
  <c r="G109" i="26"/>
  <c r="F1" i="36"/>
  <c r="E21" i="32"/>
  <c r="O378" i="26"/>
  <c r="E51" i="32"/>
  <c r="E18" i="35"/>
  <c r="E22" i="35"/>
  <c r="O279" i="26"/>
  <c r="O353" i="26"/>
  <c r="A47" i="34"/>
  <c r="A8" i="34"/>
  <c r="O305" i="26"/>
  <c r="O329" i="26"/>
  <c r="A1" i="34"/>
  <c r="A40" i="34" s="1"/>
  <c r="A1" i="35"/>
  <c r="A2" i="32"/>
  <c r="A32" i="32" s="1"/>
  <c r="O1" i="26"/>
  <c r="A68" i="33"/>
  <c r="E20" i="35"/>
  <c r="A8" i="33"/>
  <c r="A46" i="34"/>
  <c r="A7" i="4"/>
  <c r="E24" i="35"/>
  <c r="O402" i="26"/>
  <c r="E24" i="4"/>
  <c r="E78" i="4"/>
  <c r="E32" i="4"/>
  <c r="E32" i="35"/>
  <c r="O432" i="26"/>
  <c r="A7" i="35"/>
  <c r="A2" i="35"/>
  <c r="A7" i="32"/>
  <c r="A1" i="4"/>
  <c r="A39" i="4" s="1"/>
  <c r="A1" i="32"/>
  <c r="A31" i="32" s="1"/>
  <c r="A2" i="33"/>
  <c r="A62" i="33" s="1"/>
  <c r="A2" i="4"/>
  <c r="A40" i="4" s="1"/>
  <c r="A45" i="4"/>
  <c r="A7" i="33"/>
  <c r="A7" i="34"/>
  <c r="A1" i="33"/>
  <c r="A61" i="33" s="1"/>
  <c r="A37" i="32"/>
  <c r="A67" i="33"/>
  <c r="G292" i="26"/>
  <c r="H292" i="26" s="1"/>
  <c r="H297" i="26" s="1"/>
  <c r="F371" i="26"/>
  <c r="F297" i="26"/>
  <c r="G14" i="26"/>
  <c r="G249" i="26" s="1"/>
  <c r="G468" i="26"/>
  <c r="H468" i="26" s="1"/>
  <c r="I468" i="26" s="1"/>
  <c r="J468" i="26" s="1"/>
  <c r="K468" i="26" s="1"/>
  <c r="L468" i="26" s="1"/>
  <c r="M468" i="26" s="1"/>
  <c r="N468" i="26" s="1"/>
  <c r="O468" i="26" s="1"/>
  <c r="P468" i="26" s="1"/>
  <c r="Q468" i="26" s="1"/>
  <c r="R468" i="26" s="1"/>
  <c r="S468" i="26" s="1"/>
  <c r="T468" i="26" s="1"/>
  <c r="U468" i="26" s="1"/>
  <c r="V468" i="26" s="1"/>
  <c r="W468" i="26" s="1"/>
  <c r="X468" i="26" s="1"/>
  <c r="Y468" i="26" s="1"/>
  <c r="Z468" i="26" s="1"/>
  <c r="AA468" i="26" s="1"/>
  <c r="AB468" i="26" s="1"/>
  <c r="AC468" i="26" s="1"/>
  <c r="AD468" i="26" s="1"/>
  <c r="AE468" i="26" s="1"/>
  <c r="AF468" i="26" s="1"/>
  <c r="AG468" i="26" s="1"/>
  <c r="J470" i="26"/>
  <c r="J450" i="26" s="1"/>
  <c r="G130" i="26" l="1"/>
  <c r="O214" i="26"/>
  <c r="O194" i="26"/>
  <c r="J59" i="26"/>
  <c r="K470" i="26"/>
  <c r="L470" i="26" s="1"/>
  <c r="M470" i="26" s="1"/>
  <c r="N470" i="26" s="1"/>
  <c r="O470" i="26" s="1"/>
  <c r="P470" i="26" s="1"/>
  <c r="Q470" i="26" s="1"/>
  <c r="R470" i="26" s="1"/>
  <c r="S470" i="26" s="1"/>
  <c r="T470" i="26" s="1"/>
  <c r="U470" i="26" s="1"/>
  <c r="V470" i="26" s="1"/>
  <c r="W470" i="26" s="1"/>
  <c r="X470" i="26" s="1"/>
  <c r="Y470" i="26" s="1"/>
  <c r="Z470" i="26" s="1"/>
  <c r="AA470" i="26" s="1"/>
  <c r="AB470" i="26" s="1"/>
  <c r="AC470" i="26" s="1"/>
  <c r="AD470" i="26" s="1"/>
  <c r="AE470" i="26" s="1"/>
  <c r="AF470" i="26" s="1"/>
  <c r="AG470" i="26" s="1"/>
  <c r="H110" i="26"/>
  <c r="H109" i="26"/>
  <c r="N105" i="26"/>
  <c r="O105" i="26" s="1"/>
  <c r="P105" i="26" s="1"/>
  <c r="Q105" i="26" s="1"/>
  <c r="G20" i="26"/>
  <c r="G255" i="26" s="1"/>
  <c r="V21" i="26"/>
  <c r="V256" i="26" s="1"/>
  <c r="G15" i="26"/>
  <c r="G250" i="26" s="1"/>
  <c r="G16" i="26"/>
  <c r="G251" i="26" s="1"/>
  <c r="BB1" i="26"/>
  <c r="O135" i="26"/>
  <c r="O162" i="26"/>
  <c r="G19" i="26"/>
  <c r="G254" i="26" s="1"/>
  <c r="I292" i="26"/>
  <c r="I297" i="26" s="1"/>
  <c r="U22" i="26"/>
  <c r="U257" i="26" s="1"/>
  <c r="G366" i="26"/>
  <c r="G371" i="26" s="1"/>
  <c r="G297" i="26"/>
  <c r="H366" i="26"/>
  <c r="H371" i="26" s="1"/>
  <c r="Y329" i="26"/>
  <c r="AH329" i="26"/>
  <c r="AH353" i="26"/>
  <c r="Y353" i="26"/>
  <c r="O235" i="26"/>
  <c r="Y305" i="26"/>
  <c r="AH305" i="26"/>
  <c r="AX279" i="26"/>
  <c r="AH279" i="26"/>
  <c r="Y279" i="26"/>
  <c r="Y378" i="26"/>
  <c r="AH378" i="26"/>
  <c r="Y432" i="26"/>
  <c r="AH432" i="26"/>
  <c r="Y402" i="26"/>
  <c r="AH402" i="26"/>
  <c r="Y1" i="26"/>
  <c r="AH1" i="26"/>
  <c r="O44" i="26"/>
  <c r="O90" i="26"/>
  <c r="G25" i="26"/>
  <c r="G260" i="26" s="1"/>
  <c r="G342" i="26"/>
  <c r="G316" i="26" s="1"/>
  <c r="F347" i="26"/>
  <c r="H14" i="26"/>
  <c r="H249" i="26" s="1"/>
  <c r="G23" i="26"/>
  <c r="G258" i="26" s="1"/>
  <c r="F40" i="26"/>
  <c r="H130" i="26" l="1"/>
  <c r="AH194" i="26"/>
  <c r="AH214" i="26"/>
  <c r="Y194" i="26"/>
  <c r="Y214" i="26"/>
  <c r="R105" i="26"/>
  <c r="S105" i="26" s="1"/>
  <c r="T105" i="26" s="1"/>
  <c r="U105" i="26" s="1"/>
  <c r="V105" i="26" s="1"/>
  <c r="W105" i="26" s="1"/>
  <c r="U81" i="33"/>
  <c r="K450" i="26"/>
  <c r="L450" i="26" s="1"/>
  <c r="M450" i="26" s="1"/>
  <c r="N450" i="26" s="1"/>
  <c r="O450" i="26" s="1"/>
  <c r="P450" i="26" s="1"/>
  <c r="Q450" i="26" s="1"/>
  <c r="C5" i="1" s="1"/>
  <c r="W21" i="26"/>
  <c r="W256" i="26" s="1"/>
  <c r="I109" i="26"/>
  <c r="I110" i="26"/>
  <c r="H20" i="26"/>
  <c r="H255" i="26" s="1"/>
  <c r="H15" i="26"/>
  <c r="H250" i="26" s="1"/>
  <c r="H16" i="26"/>
  <c r="H251" i="26" s="1"/>
  <c r="H19" i="26"/>
  <c r="H254" i="26" s="1"/>
  <c r="I366" i="26"/>
  <c r="I371" i="26" s="1"/>
  <c r="J292" i="26"/>
  <c r="K292" i="26" s="1"/>
  <c r="Y162" i="26"/>
  <c r="AH162" i="26"/>
  <c r="AH135" i="26"/>
  <c r="Y135" i="26"/>
  <c r="V22" i="26"/>
  <c r="V257" i="26" s="1"/>
  <c r="G453" i="26"/>
  <c r="H453" i="26" s="1"/>
  <c r="I453" i="26" s="1"/>
  <c r="J453" i="26" s="1"/>
  <c r="Y90" i="26"/>
  <c r="AH90" i="26"/>
  <c r="Y44" i="26"/>
  <c r="AH44" i="26"/>
  <c r="AH235" i="26"/>
  <c r="Y235" i="26"/>
  <c r="F274" i="26"/>
  <c r="H25" i="26"/>
  <c r="H260" i="26" s="1"/>
  <c r="F323" i="26"/>
  <c r="H342" i="26"/>
  <c r="H316" i="26" s="1"/>
  <c r="G347" i="26"/>
  <c r="H23" i="26"/>
  <c r="H258" i="26" s="1"/>
  <c r="G40" i="26"/>
  <c r="I14" i="26"/>
  <c r="I249" i="26" s="1"/>
  <c r="I130" i="26" l="1"/>
  <c r="X21" i="26"/>
  <c r="X256" i="26" s="1"/>
  <c r="J109" i="26"/>
  <c r="K109" i="26" s="1"/>
  <c r="L109" i="26" s="1"/>
  <c r="M109" i="26" s="1"/>
  <c r="N109" i="26" s="1"/>
  <c r="O109" i="26" s="1"/>
  <c r="P109" i="26" s="1"/>
  <c r="Q109" i="26" s="1"/>
  <c r="J107" i="26"/>
  <c r="J61" i="26" s="1"/>
  <c r="J108" i="26"/>
  <c r="K108" i="26" s="1"/>
  <c r="L108" i="26" s="1"/>
  <c r="M108" i="26" s="1"/>
  <c r="N108" i="26" s="1"/>
  <c r="O108" i="26" s="1"/>
  <c r="P108" i="26" s="1"/>
  <c r="Q108" i="26" s="1"/>
  <c r="J110" i="26"/>
  <c r="K110" i="26" s="1"/>
  <c r="L110" i="26" s="1"/>
  <c r="M110" i="26" s="1"/>
  <c r="N110" i="26" s="1"/>
  <c r="O110" i="26" s="1"/>
  <c r="P110" i="26" s="1"/>
  <c r="Q110" i="26" s="1"/>
  <c r="R59" i="26"/>
  <c r="S59" i="26" s="1"/>
  <c r="T59" i="26" s="1"/>
  <c r="U59" i="26" s="1"/>
  <c r="V59" i="26" s="1"/>
  <c r="W59" i="26" s="1"/>
  <c r="Y81" i="33"/>
  <c r="R450" i="26"/>
  <c r="S450" i="26" s="1"/>
  <c r="T450" i="26" s="1"/>
  <c r="U450" i="26" s="1"/>
  <c r="V450" i="26" s="1"/>
  <c r="W450" i="26" s="1"/>
  <c r="X450" i="26" s="1"/>
  <c r="Y450" i="26" s="1"/>
  <c r="Z450" i="26" s="1"/>
  <c r="AA450" i="26" s="1"/>
  <c r="AB450" i="26" s="1"/>
  <c r="AC450" i="26" s="1"/>
  <c r="AD450" i="26" s="1"/>
  <c r="AE450" i="26" s="1"/>
  <c r="AF450" i="26" s="1"/>
  <c r="AG450" i="26" s="1"/>
  <c r="G78" i="4"/>
  <c r="I20" i="26"/>
  <c r="I255" i="26" s="1"/>
  <c r="J58" i="26"/>
  <c r="N106" i="26"/>
  <c r="O106" i="26" s="1"/>
  <c r="I15" i="26"/>
  <c r="I250" i="26" s="1"/>
  <c r="I16" i="26"/>
  <c r="I251" i="26" s="1"/>
  <c r="I19" i="26"/>
  <c r="I254" i="26" s="1"/>
  <c r="X105" i="26"/>
  <c r="J297" i="26"/>
  <c r="J366" i="26"/>
  <c r="J371" i="26" s="1"/>
  <c r="W22" i="26"/>
  <c r="W257" i="26" s="1"/>
  <c r="K453" i="26"/>
  <c r="L453" i="26" s="1"/>
  <c r="M453" i="26" s="1"/>
  <c r="N453" i="26" s="1"/>
  <c r="O453" i="26" s="1"/>
  <c r="P453" i="26" s="1"/>
  <c r="Q453" i="26" s="1"/>
  <c r="C4" i="1" s="1"/>
  <c r="G274" i="26"/>
  <c r="I25" i="26"/>
  <c r="I260" i="26" s="1"/>
  <c r="K366" i="26"/>
  <c r="K371" i="26" s="1"/>
  <c r="L292" i="26"/>
  <c r="K297" i="26"/>
  <c r="H347" i="26"/>
  <c r="I342" i="26"/>
  <c r="I316" i="26" s="1"/>
  <c r="G323" i="26"/>
  <c r="I23" i="26"/>
  <c r="I258" i="26" s="1"/>
  <c r="J14" i="26"/>
  <c r="J249" i="26" s="1"/>
  <c r="H40" i="26"/>
  <c r="Y21" i="26" l="1"/>
  <c r="Y256" i="26" s="1"/>
  <c r="K107" i="26"/>
  <c r="J130" i="26"/>
  <c r="J62" i="26"/>
  <c r="G32" i="4"/>
  <c r="E5" i="1"/>
  <c r="R110" i="26"/>
  <c r="S110" i="26" s="1"/>
  <c r="T110" i="26" s="1"/>
  <c r="U110" i="26" s="1"/>
  <c r="V110" i="26" s="1"/>
  <c r="W110" i="26" s="1"/>
  <c r="X110" i="26" s="1"/>
  <c r="Y110" i="26" s="1"/>
  <c r="Z110" i="26" s="1"/>
  <c r="AA110" i="26" s="1"/>
  <c r="AB110" i="26" s="1"/>
  <c r="AC110" i="26" s="1"/>
  <c r="AD110" i="26" s="1"/>
  <c r="AE110" i="26" s="1"/>
  <c r="AF110" i="26" s="1"/>
  <c r="AG110" i="26" s="1"/>
  <c r="U89" i="33"/>
  <c r="AH450" i="26"/>
  <c r="G32" i="35" s="1"/>
  <c r="R109" i="26"/>
  <c r="S109" i="26" s="1"/>
  <c r="T109" i="26" s="1"/>
  <c r="U109" i="26" s="1"/>
  <c r="V109" i="26" s="1"/>
  <c r="W109" i="26" s="1"/>
  <c r="X109" i="26" s="1"/>
  <c r="Y109" i="26" s="1"/>
  <c r="Z109" i="26" s="1"/>
  <c r="AA109" i="26" s="1"/>
  <c r="AB109" i="26" s="1"/>
  <c r="AC109" i="26" s="1"/>
  <c r="AD109" i="26" s="1"/>
  <c r="AE109" i="26" s="1"/>
  <c r="AF109" i="26" s="1"/>
  <c r="AG109" i="26" s="1"/>
  <c r="U88" i="33"/>
  <c r="R108" i="26"/>
  <c r="S108" i="26" s="1"/>
  <c r="T108" i="26" s="1"/>
  <c r="U108" i="26" s="1"/>
  <c r="V108" i="26" s="1"/>
  <c r="W108" i="26" s="1"/>
  <c r="X108" i="26" s="1"/>
  <c r="Y108" i="26" s="1"/>
  <c r="Z108" i="26" s="1"/>
  <c r="AA108" i="26" s="1"/>
  <c r="AB108" i="26" s="1"/>
  <c r="AC108" i="26" s="1"/>
  <c r="AD108" i="26" s="1"/>
  <c r="AE108" i="26" s="1"/>
  <c r="AF108" i="26" s="1"/>
  <c r="AG108" i="26" s="1"/>
  <c r="U87" i="33"/>
  <c r="R453" i="26"/>
  <c r="S453" i="26" s="1"/>
  <c r="T453" i="26" s="1"/>
  <c r="U453" i="26" s="1"/>
  <c r="V453" i="26" s="1"/>
  <c r="W453" i="26" s="1"/>
  <c r="X453" i="26" s="1"/>
  <c r="Y453" i="26" s="1"/>
  <c r="Z453" i="26" s="1"/>
  <c r="AA453" i="26" s="1"/>
  <c r="AB453" i="26" s="1"/>
  <c r="AC453" i="26" s="1"/>
  <c r="AD453" i="26" s="1"/>
  <c r="AE453" i="26" s="1"/>
  <c r="AF453" i="26" s="1"/>
  <c r="AG453" i="26" s="1"/>
  <c r="E4" i="1" s="1"/>
  <c r="J15" i="26"/>
  <c r="J250" i="26" s="1"/>
  <c r="X59" i="26"/>
  <c r="P106" i="26"/>
  <c r="Q106" i="26" s="1"/>
  <c r="J16" i="26"/>
  <c r="J251" i="26" s="1"/>
  <c r="J60" i="26"/>
  <c r="J20" i="26"/>
  <c r="J255" i="26" s="1"/>
  <c r="J19" i="26"/>
  <c r="J254" i="26" s="1"/>
  <c r="Y105" i="26"/>
  <c r="Z105" i="26" s="1"/>
  <c r="AA105" i="26" s="1"/>
  <c r="AB105" i="26" s="1"/>
  <c r="AC105" i="26" s="1"/>
  <c r="AD105" i="26" s="1"/>
  <c r="AE105" i="26" s="1"/>
  <c r="AF105" i="26" s="1"/>
  <c r="AG105" i="26" s="1"/>
  <c r="AH105" i="26" s="1"/>
  <c r="X22" i="26"/>
  <c r="X257" i="26" s="1"/>
  <c r="H274" i="26"/>
  <c r="J25" i="26"/>
  <c r="J260" i="26" s="1"/>
  <c r="H323" i="26"/>
  <c r="M292" i="26"/>
  <c r="L366" i="26"/>
  <c r="L371" i="26" s="1"/>
  <c r="L297" i="26"/>
  <c r="Z21" i="26"/>
  <c r="Z256" i="26" s="1"/>
  <c r="I347" i="26"/>
  <c r="J342" i="26"/>
  <c r="J316" i="26" s="1"/>
  <c r="K14" i="26"/>
  <c r="K249" i="26" s="1"/>
  <c r="J23" i="26"/>
  <c r="J258" i="26" s="1"/>
  <c r="I40" i="26"/>
  <c r="M87" i="33" l="1"/>
  <c r="U21" i="33"/>
  <c r="AR15" i="26"/>
  <c r="L107" i="26"/>
  <c r="K130" i="26"/>
  <c r="K85" i="26"/>
  <c r="J85" i="26"/>
  <c r="AH109" i="26"/>
  <c r="K15" i="26"/>
  <c r="K250" i="26" s="1"/>
  <c r="R62" i="26"/>
  <c r="S62" i="26" s="1"/>
  <c r="T62" i="26" s="1"/>
  <c r="U62" i="26" s="1"/>
  <c r="V62" i="26" s="1"/>
  <c r="W62" i="26" s="1"/>
  <c r="X62" i="26" s="1"/>
  <c r="Y62" i="26" s="1"/>
  <c r="Z62" i="26" s="1"/>
  <c r="AA62" i="26" s="1"/>
  <c r="AB62" i="26" s="1"/>
  <c r="AC62" i="26" s="1"/>
  <c r="AD62" i="26" s="1"/>
  <c r="AE62" i="26" s="1"/>
  <c r="AF62" i="26" s="1"/>
  <c r="AG62" i="26" s="1"/>
  <c r="Y27" i="33" s="1"/>
  <c r="Y87" i="33"/>
  <c r="AH110" i="26"/>
  <c r="R106" i="26"/>
  <c r="S106" i="26" s="1"/>
  <c r="T106" i="26" s="1"/>
  <c r="U106" i="26" s="1"/>
  <c r="V106" i="26" s="1"/>
  <c r="W106" i="26" s="1"/>
  <c r="X106" i="26" s="1"/>
  <c r="Y106" i="26" s="1"/>
  <c r="Z106" i="26" s="1"/>
  <c r="AA106" i="26" s="1"/>
  <c r="AB106" i="26" s="1"/>
  <c r="AC106" i="26" s="1"/>
  <c r="AD106" i="26" s="1"/>
  <c r="AE106" i="26" s="1"/>
  <c r="AF106" i="26" s="1"/>
  <c r="AG106" i="26" s="1"/>
  <c r="U85" i="33"/>
  <c r="K16" i="26"/>
  <c r="K251" i="26" s="1"/>
  <c r="AH453" i="26"/>
  <c r="AH108" i="26"/>
  <c r="K20" i="26"/>
  <c r="K255" i="26" s="1"/>
  <c r="Y59" i="26"/>
  <c r="Z59" i="26" s="1"/>
  <c r="AA59" i="26" s="1"/>
  <c r="AB59" i="26" s="1"/>
  <c r="AC59" i="26" s="1"/>
  <c r="AD59" i="26" s="1"/>
  <c r="AE59" i="26" s="1"/>
  <c r="AF59" i="26" s="1"/>
  <c r="AG59" i="26" s="1"/>
  <c r="Y21" i="33" s="1"/>
  <c r="K19" i="26"/>
  <c r="K254" i="26" s="1"/>
  <c r="Y22" i="26"/>
  <c r="Y257" i="26" s="1"/>
  <c r="I274" i="26"/>
  <c r="J40" i="26"/>
  <c r="K25" i="26"/>
  <c r="K260" i="26" s="1"/>
  <c r="N292" i="26"/>
  <c r="M297" i="26"/>
  <c r="M366" i="26"/>
  <c r="M371" i="26" s="1"/>
  <c r="K342" i="26"/>
  <c r="L342" i="26" s="1"/>
  <c r="M342" i="26" s="1"/>
  <c r="N342" i="26" s="1"/>
  <c r="O342" i="26" s="1"/>
  <c r="J347" i="26"/>
  <c r="AA21" i="26"/>
  <c r="AA256" i="26" s="1"/>
  <c r="I323" i="26"/>
  <c r="L14" i="26"/>
  <c r="L249" i="26" s="1"/>
  <c r="K23" i="26"/>
  <c r="K258" i="26" s="1"/>
  <c r="AC87" i="33" l="1"/>
  <c r="AC27" i="33"/>
  <c r="Q87" i="33"/>
  <c r="U28" i="33"/>
  <c r="AR19" i="26"/>
  <c r="U27" i="33"/>
  <c r="AR18" i="26"/>
  <c r="AP18" i="26" s="1"/>
  <c r="AT18" i="26" s="1"/>
  <c r="U29" i="33"/>
  <c r="AR20" i="26"/>
  <c r="L15" i="26"/>
  <c r="L250" i="26" s="1"/>
  <c r="M107" i="26"/>
  <c r="N107" i="26" s="1"/>
  <c r="O107" i="26" s="1"/>
  <c r="P107" i="26" s="1"/>
  <c r="Q107" i="26" s="1"/>
  <c r="L16" i="26"/>
  <c r="L251" i="26" s="1"/>
  <c r="R60" i="26"/>
  <c r="S60" i="26" s="1"/>
  <c r="T60" i="26" s="1"/>
  <c r="U60" i="26" s="1"/>
  <c r="V60" i="26" s="1"/>
  <c r="W60" i="26" s="1"/>
  <c r="X60" i="26" s="1"/>
  <c r="Y60" i="26" s="1"/>
  <c r="Z60" i="26" s="1"/>
  <c r="AA60" i="26" s="1"/>
  <c r="AB60" i="26" s="1"/>
  <c r="AC60" i="26" s="1"/>
  <c r="AD60" i="26" s="1"/>
  <c r="AE60" i="26" s="1"/>
  <c r="AF60" i="26" s="1"/>
  <c r="AG60" i="26" s="1"/>
  <c r="Y25" i="33" s="1"/>
  <c r="Y85" i="33"/>
  <c r="AH106" i="26"/>
  <c r="AR16" i="26" s="1"/>
  <c r="AH62" i="26"/>
  <c r="AX18" i="26" s="1"/>
  <c r="BB18" i="26" s="1"/>
  <c r="D4" i="1"/>
  <c r="L20" i="26"/>
  <c r="L255" i="26" s="1"/>
  <c r="K316" i="26"/>
  <c r="L316" i="26" s="1"/>
  <c r="M316" i="26" s="1"/>
  <c r="N316" i="26" s="1"/>
  <c r="O316" i="26" s="1"/>
  <c r="L19" i="26"/>
  <c r="L254" i="26" s="1"/>
  <c r="AH59" i="26"/>
  <c r="Z22" i="26"/>
  <c r="Z257" i="26" s="1"/>
  <c r="K40" i="26"/>
  <c r="J274" i="26"/>
  <c r="L25" i="26"/>
  <c r="L260" i="26" s="1"/>
  <c r="AB21" i="26"/>
  <c r="AB256" i="26" s="1"/>
  <c r="N366" i="26"/>
  <c r="N371" i="26" s="1"/>
  <c r="N297" i="26"/>
  <c r="O292" i="26"/>
  <c r="J323" i="26"/>
  <c r="K347" i="26"/>
  <c r="M14" i="26"/>
  <c r="M249" i="26" s="1"/>
  <c r="L23" i="26"/>
  <c r="L258" i="26" s="1"/>
  <c r="M15" i="26" l="1"/>
  <c r="M250" i="26" s="1"/>
  <c r="Y86" i="33"/>
  <c r="AH60" i="26"/>
  <c r="AX16" i="26" s="1"/>
  <c r="U86" i="33"/>
  <c r="R107" i="26"/>
  <c r="S107" i="26" s="1"/>
  <c r="T107" i="26" s="1"/>
  <c r="U107" i="26" s="1"/>
  <c r="V107" i="26" s="1"/>
  <c r="M16" i="26"/>
  <c r="M251" i="26" s="1"/>
  <c r="U25" i="33"/>
  <c r="M20" i="26"/>
  <c r="M255" i="26" s="1"/>
  <c r="M19" i="26"/>
  <c r="M254" i="26" s="1"/>
  <c r="AX15" i="26"/>
  <c r="AA22" i="26"/>
  <c r="AA257" i="26" s="1"/>
  <c r="K274" i="26"/>
  <c r="M25" i="26"/>
  <c r="M260" i="26" s="1"/>
  <c r="K323" i="26"/>
  <c r="M104" i="26"/>
  <c r="L347" i="26"/>
  <c r="AC21" i="26"/>
  <c r="AC256" i="26" s="1"/>
  <c r="P292" i="26"/>
  <c r="O297" i="26"/>
  <c r="O366" i="26"/>
  <c r="O371" i="26" s="1"/>
  <c r="M23" i="26"/>
  <c r="M258" i="26" s="1"/>
  <c r="L40" i="26"/>
  <c r="N14" i="26"/>
  <c r="N249" i="26" s="1"/>
  <c r="N15" i="26"/>
  <c r="N250" i="26" s="1"/>
  <c r="AC86" i="33" l="1"/>
  <c r="N16" i="26"/>
  <c r="N251" i="26" s="1"/>
  <c r="N19" i="26"/>
  <c r="N254" i="26" s="1"/>
  <c r="M86" i="33"/>
  <c r="N20" i="26"/>
  <c r="N255" i="26" s="1"/>
  <c r="W107" i="26"/>
  <c r="X107" i="26" s="1"/>
  <c r="Y107" i="26" s="1"/>
  <c r="Z107" i="26" s="1"/>
  <c r="AA107" i="26" s="1"/>
  <c r="AB107" i="26" s="1"/>
  <c r="AC107" i="26" s="1"/>
  <c r="AD107" i="26" s="1"/>
  <c r="AE107" i="26" s="1"/>
  <c r="AF107" i="26" s="1"/>
  <c r="AG107" i="26" s="1"/>
  <c r="R61" i="26"/>
  <c r="S61" i="26" s="1"/>
  <c r="T61" i="26" s="1"/>
  <c r="U61" i="26" s="1"/>
  <c r="O16" i="26"/>
  <c r="O251" i="26" s="1"/>
  <c r="AB22" i="26"/>
  <c r="AB257" i="26" s="1"/>
  <c r="L274" i="26"/>
  <c r="N25" i="26"/>
  <c r="N260" i="26" s="1"/>
  <c r="AD21" i="26"/>
  <c r="AD256" i="26" s="1"/>
  <c r="N104" i="26"/>
  <c r="Q292" i="26"/>
  <c r="G61" i="34" s="1"/>
  <c r="P366" i="26"/>
  <c r="P371" i="26" s="1"/>
  <c r="P297" i="26"/>
  <c r="M347" i="26"/>
  <c r="L323" i="26"/>
  <c r="N23" i="26"/>
  <c r="N258" i="26" s="1"/>
  <c r="O15" i="26"/>
  <c r="O250" i="26" s="1"/>
  <c r="O19" i="26"/>
  <c r="O254" i="26" s="1"/>
  <c r="O14" i="26"/>
  <c r="O249" i="26" s="1"/>
  <c r="M40" i="26"/>
  <c r="D5" i="1"/>
  <c r="Q86" i="33" l="1"/>
  <c r="O20" i="26"/>
  <c r="O255" i="26" s="1"/>
  <c r="AH107" i="26"/>
  <c r="AR17" i="26" s="1"/>
  <c r="V61" i="26"/>
  <c r="W61" i="26" s="1"/>
  <c r="X61" i="26" s="1"/>
  <c r="Y61" i="26" s="1"/>
  <c r="Z61" i="26" s="1"/>
  <c r="AA61" i="26" s="1"/>
  <c r="AB61" i="26" s="1"/>
  <c r="AC61" i="26" s="1"/>
  <c r="AD61" i="26" s="1"/>
  <c r="AE61" i="26" s="1"/>
  <c r="AF61" i="26" s="1"/>
  <c r="AG61" i="26" s="1"/>
  <c r="Y26" i="33" s="1"/>
  <c r="U26" i="33"/>
  <c r="AP17" i="26"/>
  <c r="AT17" i="26" s="1"/>
  <c r="P16" i="26"/>
  <c r="P251" i="26" s="1"/>
  <c r="G66" i="34"/>
  <c r="AC22" i="26"/>
  <c r="AC257" i="26" s="1"/>
  <c r="M274" i="26"/>
  <c r="N40" i="26"/>
  <c r="O25" i="26"/>
  <c r="O260" i="26" s="1"/>
  <c r="O104" i="26"/>
  <c r="AE21" i="26"/>
  <c r="AE256" i="26" s="1"/>
  <c r="M323" i="26"/>
  <c r="N347" i="26"/>
  <c r="Q297" i="26"/>
  <c r="Q366" i="26"/>
  <c r="Q371" i="26" s="1"/>
  <c r="C25" i="1" s="1"/>
  <c r="R292" i="26"/>
  <c r="P15" i="26"/>
  <c r="P250" i="26" s="1"/>
  <c r="O23" i="26"/>
  <c r="O258" i="26" s="1"/>
  <c r="P14" i="26"/>
  <c r="P249" i="26" s="1"/>
  <c r="P20" i="26"/>
  <c r="P255" i="26" s="1"/>
  <c r="P19" i="26"/>
  <c r="P254" i="26" s="1"/>
  <c r="AC26" i="33" l="1"/>
  <c r="Q16" i="26"/>
  <c r="Q251" i="26" s="1"/>
  <c r="AH61" i="26"/>
  <c r="AX17" i="26" s="1"/>
  <c r="BB17" i="26" s="1"/>
  <c r="I85" i="33"/>
  <c r="AF21" i="26"/>
  <c r="AF256" i="26" s="1"/>
  <c r="S93" i="33"/>
  <c r="M93" i="33"/>
  <c r="AD22" i="26"/>
  <c r="AD257" i="26" s="1"/>
  <c r="O40" i="26"/>
  <c r="N274" i="26"/>
  <c r="P25" i="26"/>
  <c r="P260" i="26" s="1"/>
  <c r="P342" i="26"/>
  <c r="P316" i="26" s="1"/>
  <c r="O347" i="26"/>
  <c r="S292" i="26"/>
  <c r="R297" i="26"/>
  <c r="R366" i="26"/>
  <c r="R371" i="26" s="1"/>
  <c r="N323" i="26"/>
  <c r="P104" i="26"/>
  <c r="R16" i="26"/>
  <c r="R251" i="26" s="1"/>
  <c r="Q20" i="26"/>
  <c r="Q255" i="26" s="1"/>
  <c r="Q15" i="26"/>
  <c r="Q250" i="26" s="1"/>
  <c r="P23" i="26"/>
  <c r="P258" i="26" s="1"/>
  <c r="Q19" i="26"/>
  <c r="Q254" i="26" s="1"/>
  <c r="Q14" i="26"/>
  <c r="Q249" i="26" s="1"/>
  <c r="Q93" i="33" l="1"/>
  <c r="I81" i="33"/>
  <c r="I88" i="33"/>
  <c r="I80" i="33"/>
  <c r="AC85" i="33"/>
  <c r="M85" i="33"/>
  <c r="S85" i="33"/>
  <c r="I89" i="33"/>
  <c r="AG21" i="26"/>
  <c r="AE22" i="26"/>
  <c r="AE257" i="26" s="1"/>
  <c r="P40" i="26"/>
  <c r="O274" i="26"/>
  <c r="Q25" i="26"/>
  <c r="Q260" i="26" s="1"/>
  <c r="O323" i="26"/>
  <c r="Q342" i="26"/>
  <c r="P347" i="26"/>
  <c r="S16" i="26"/>
  <c r="S251" i="26" s="1"/>
  <c r="Q104" i="26"/>
  <c r="S366" i="26"/>
  <c r="S371" i="26" s="1"/>
  <c r="S297" i="26"/>
  <c r="T292" i="26"/>
  <c r="R14" i="26"/>
  <c r="R249" i="26" s="1"/>
  <c r="R19" i="26"/>
  <c r="R254" i="26" s="1"/>
  <c r="R15" i="26"/>
  <c r="R250" i="26" s="1"/>
  <c r="Q23" i="26"/>
  <c r="Q258" i="26" s="1"/>
  <c r="R20" i="26"/>
  <c r="R255" i="26" s="1"/>
  <c r="Q85" i="33" l="1"/>
  <c r="Q274" i="26"/>
  <c r="AH21" i="26"/>
  <c r="AL21" i="26" s="1"/>
  <c r="AG256" i="26"/>
  <c r="AH256" i="26" s="1"/>
  <c r="Q316" i="26"/>
  <c r="Q61" i="34"/>
  <c r="Q66" i="34" s="1"/>
  <c r="S80" i="33"/>
  <c r="S89" i="33"/>
  <c r="M89" i="33"/>
  <c r="S88" i="33"/>
  <c r="M88" i="33"/>
  <c r="I92" i="33"/>
  <c r="AC81" i="33"/>
  <c r="S81" i="33"/>
  <c r="M81" i="33"/>
  <c r="I94" i="33"/>
  <c r="Y80" i="33"/>
  <c r="U80" i="33"/>
  <c r="K61" i="34"/>
  <c r="O61" i="34" s="1"/>
  <c r="AF22" i="26"/>
  <c r="AF257" i="26" s="1"/>
  <c r="I30" i="33"/>
  <c r="M33" i="33"/>
  <c r="S33" i="33"/>
  <c r="S27" i="33"/>
  <c r="M27" i="33"/>
  <c r="P274" i="26"/>
  <c r="C10" i="1" s="1"/>
  <c r="R25" i="26"/>
  <c r="R260" i="26" s="1"/>
  <c r="Q347" i="26"/>
  <c r="R342" i="26"/>
  <c r="U292" i="26"/>
  <c r="T366" i="26"/>
  <c r="T297" i="26"/>
  <c r="R104" i="26"/>
  <c r="T16" i="26"/>
  <c r="T251" i="26" s="1"/>
  <c r="P323" i="26"/>
  <c r="R23" i="26"/>
  <c r="R258" i="26" s="1"/>
  <c r="S20" i="26"/>
  <c r="S255" i="26" s="1"/>
  <c r="S15" i="26"/>
  <c r="S250" i="26" s="1"/>
  <c r="S19" i="26"/>
  <c r="S254" i="26" s="1"/>
  <c r="S14" i="26"/>
  <c r="S249" i="26" s="1"/>
  <c r="Q40" i="26"/>
  <c r="Q81" i="33" l="1"/>
  <c r="Q88" i="33"/>
  <c r="M80" i="33"/>
  <c r="AC80" i="33"/>
  <c r="Q89" i="33"/>
  <c r="Q33" i="33"/>
  <c r="AC30" i="33"/>
  <c r="Q27" i="33"/>
  <c r="R316" i="26"/>
  <c r="AG22" i="26"/>
  <c r="I105" i="33"/>
  <c r="U61" i="34"/>
  <c r="W61" i="34" s="1"/>
  <c r="W66" i="34" s="1"/>
  <c r="K66" i="34"/>
  <c r="R58" i="26"/>
  <c r="AC92" i="33"/>
  <c r="M92" i="33"/>
  <c r="S92" i="33"/>
  <c r="AC94" i="33"/>
  <c r="S94" i="33"/>
  <c r="M94" i="33"/>
  <c r="S110" i="33"/>
  <c r="I31" i="33"/>
  <c r="BB21" i="26"/>
  <c r="AP21" i="26"/>
  <c r="AT21" i="26" s="1"/>
  <c r="M30" i="33"/>
  <c r="S30" i="33"/>
  <c r="AP24" i="26"/>
  <c r="AT24" i="26" s="1"/>
  <c r="R40" i="26"/>
  <c r="S25" i="26"/>
  <c r="S260" i="26" s="1"/>
  <c r="T371" i="26"/>
  <c r="S342" i="26"/>
  <c r="S316" i="26" s="1"/>
  <c r="R347" i="26"/>
  <c r="U16" i="26"/>
  <c r="U251" i="26" s="1"/>
  <c r="O66" i="34"/>
  <c r="G68" i="4" s="1"/>
  <c r="U297" i="26"/>
  <c r="V292" i="26"/>
  <c r="U366" i="26"/>
  <c r="U371" i="26" s="1"/>
  <c r="Q323" i="26"/>
  <c r="S104" i="26"/>
  <c r="T14" i="26"/>
  <c r="T249" i="26" s="1"/>
  <c r="T15" i="26"/>
  <c r="T250" i="26" s="1"/>
  <c r="T19" i="26"/>
  <c r="T254" i="26" s="1"/>
  <c r="T20" i="26"/>
  <c r="T255" i="26" s="1"/>
  <c r="S23" i="26"/>
  <c r="S258" i="26" s="1"/>
  <c r="Q80" i="33" l="1"/>
  <c r="Q94" i="33"/>
  <c r="Q30" i="33"/>
  <c r="Q92" i="33"/>
  <c r="AH22" i="26"/>
  <c r="AL22" i="26" s="1"/>
  <c r="AP22" i="26" s="1"/>
  <c r="AT22" i="26" s="1"/>
  <c r="AG257" i="26"/>
  <c r="AH257" i="26" s="1"/>
  <c r="C7" i="1"/>
  <c r="S58" i="26"/>
  <c r="S105" i="33"/>
  <c r="M31" i="33"/>
  <c r="AC31" i="33"/>
  <c r="S31" i="33"/>
  <c r="BB22" i="26"/>
  <c r="BB24" i="26"/>
  <c r="R274" i="26"/>
  <c r="G69" i="34"/>
  <c r="O68" i="4" s="1"/>
  <c r="T25" i="26"/>
  <c r="T260" i="26" s="1"/>
  <c r="T342" i="26"/>
  <c r="T316" i="26" s="1"/>
  <c r="S347" i="26"/>
  <c r="V16" i="26"/>
  <c r="V251" i="26" s="1"/>
  <c r="T104" i="26"/>
  <c r="V366" i="26"/>
  <c r="W292" i="26"/>
  <c r="V297" i="26"/>
  <c r="R323" i="26"/>
  <c r="T23" i="26"/>
  <c r="T258" i="26" s="1"/>
  <c r="U14" i="26"/>
  <c r="U249" i="26" s="1"/>
  <c r="U19" i="26"/>
  <c r="U254" i="26" s="1"/>
  <c r="S40" i="26"/>
  <c r="U15" i="26"/>
  <c r="U250" i="26" s="1"/>
  <c r="U20" i="26"/>
  <c r="U255" i="26" s="1"/>
  <c r="Q31" i="33" l="1"/>
  <c r="C17" i="1"/>
  <c r="T58" i="26"/>
  <c r="V371" i="26"/>
  <c r="S274" i="26"/>
  <c r="U25" i="26"/>
  <c r="U260" i="26" s="1"/>
  <c r="S323" i="26"/>
  <c r="U342" i="26"/>
  <c r="U316" i="26" s="1"/>
  <c r="T347" i="26"/>
  <c r="X292" i="26"/>
  <c r="W297" i="26"/>
  <c r="W366" i="26"/>
  <c r="W371" i="26" s="1"/>
  <c r="U104" i="26"/>
  <c r="W16" i="26"/>
  <c r="W251" i="26" s="1"/>
  <c r="V15" i="26"/>
  <c r="V250" i="26" s="1"/>
  <c r="V20" i="26"/>
  <c r="V255" i="26" s="1"/>
  <c r="V14" i="26"/>
  <c r="V249" i="26" s="1"/>
  <c r="U23" i="26"/>
  <c r="U258" i="26" s="1"/>
  <c r="V19" i="26"/>
  <c r="V254" i="26" s="1"/>
  <c r="T40" i="26"/>
  <c r="U58" i="26" l="1"/>
  <c r="T274" i="26"/>
  <c r="U40" i="26"/>
  <c r="V25" i="26"/>
  <c r="V260" i="26" s="1"/>
  <c r="X16" i="26"/>
  <c r="X251" i="26" s="1"/>
  <c r="V104" i="26"/>
  <c r="Y292" i="26"/>
  <c r="X366" i="26"/>
  <c r="X371" i="26" s="1"/>
  <c r="X297" i="26"/>
  <c r="V342" i="26"/>
  <c r="U347" i="26"/>
  <c r="T323" i="26"/>
  <c r="W14" i="26"/>
  <c r="W249" i="26" s="1"/>
  <c r="W20" i="26"/>
  <c r="W255" i="26" s="1"/>
  <c r="V23" i="26"/>
  <c r="V258" i="26" s="1"/>
  <c r="W19" i="26"/>
  <c r="W254" i="26" s="1"/>
  <c r="W15" i="26"/>
  <c r="W250" i="26" s="1"/>
  <c r="V316" i="26" l="1"/>
  <c r="V58" i="26"/>
  <c r="U274" i="26"/>
  <c r="V40" i="26"/>
  <c r="W25" i="26"/>
  <c r="W260" i="26" s="1"/>
  <c r="W342" i="26"/>
  <c r="W316" i="26" s="1"/>
  <c r="V347" i="26"/>
  <c r="U323" i="26"/>
  <c r="W104" i="26"/>
  <c r="Y366" i="26"/>
  <c r="Y297" i="26"/>
  <c r="Z292" i="26"/>
  <c r="Y16" i="26"/>
  <c r="Y251" i="26" s="1"/>
  <c r="X20" i="26"/>
  <c r="X255" i="26" s="1"/>
  <c r="W23" i="26"/>
  <c r="W258" i="26" s="1"/>
  <c r="X14" i="26"/>
  <c r="X249" i="26" s="1"/>
  <c r="X15" i="26"/>
  <c r="X250" i="26" s="1"/>
  <c r="X19" i="26"/>
  <c r="X254" i="26" s="1"/>
  <c r="W58" i="26" l="1"/>
  <c r="V274" i="26"/>
  <c r="X25" i="26"/>
  <c r="X260" i="26" s="1"/>
  <c r="Z297" i="26"/>
  <c r="AA292" i="26"/>
  <c r="Z366" i="26"/>
  <c r="Z371" i="26" s="1"/>
  <c r="Y371" i="26"/>
  <c r="X342" i="26"/>
  <c r="X316" i="26" s="1"/>
  <c r="W347" i="26"/>
  <c r="X104" i="26"/>
  <c r="Z16" i="26"/>
  <c r="Z251" i="26" s="1"/>
  <c r="V323" i="26"/>
  <c r="Y19" i="26"/>
  <c r="Y254" i="26" s="1"/>
  <c r="Y15" i="26"/>
  <c r="Y250" i="26" s="1"/>
  <c r="Y20" i="26"/>
  <c r="Y255" i="26" s="1"/>
  <c r="Y14" i="26"/>
  <c r="Y249" i="26" s="1"/>
  <c r="X23" i="26"/>
  <c r="X258" i="26" s="1"/>
  <c r="W40" i="26"/>
  <c r="X58" i="26" l="1"/>
  <c r="X40" i="26"/>
  <c r="W274" i="26"/>
  <c r="Y25" i="26"/>
  <c r="Y260" i="26" s="1"/>
  <c r="AA297" i="26"/>
  <c r="AA366" i="26"/>
  <c r="AA371" i="26" s="1"/>
  <c r="AB292" i="26"/>
  <c r="W323" i="26"/>
  <c r="X347" i="26"/>
  <c r="Y342" i="26"/>
  <c r="Y316" i="26" s="1"/>
  <c r="AA16" i="26"/>
  <c r="AA251" i="26" s="1"/>
  <c r="Y104" i="26"/>
  <c r="Z19" i="26"/>
  <c r="Z254" i="26" s="1"/>
  <c r="Y23" i="26"/>
  <c r="Y258" i="26" s="1"/>
  <c r="Z14" i="26"/>
  <c r="Z249" i="26" s="1"/>
  <c r="Z20" i="26"/>
  <c r="Z255" i="26" s="1"/>
  <c r="Z15" i="26"/>
  <c r="Z250" i="26" s="1"/>
  <c r="Y58" i="26" l="1"/>
  <c r="Y40" i="26"/>
  <c r="X274" i="26"/>
  <c r="Z25" i="26"/>
  <c r="Z260" i="26" s="1"/>
  <c r="Z104" i="26"/>
  <c r="X323" i="26"/>
  <c r="AC292" i="26"/>
  <c r="AB366" i="26"/>
  <c r="AB371" i="26" s="1"/>
  <c r="AB297" i="26"/>
  <c r="AB16" i="26"/>
  <c r="AB251" i="26" s="1"/>
  <c r="Z342" i="26"/>
  <c r="Y347" i="26"/>
  <c r="AA15" i="26"/>
  <c r="AA250" i="26" s="1"/>
  <c r="AA19" i="26"/>
  <c r="AA254" i="26" s="1"/>
  <c r="AA14" i="26"/>
  <c r="AA249" i="26" s="1"/>
  <c r="AA20" i="26"/>
  <c r="AA255" i="26" s="1"/>
  <c r="Z23" i="26"/>
  <c r="Z258" i="26" s="1"/>
  <c r="Z316" i="26" l="1"/>
  <c r="Z58" i="26"/>
  <c r="Y274" i="26"/>
  <c r="AA25" i="26"/>
  <c r="AA260" i="26" s="1"/>
  <c r="Z40" i="26"/>
  <c r="AC16" i="26"/>
  <c r="AC251" i="26" s="1"/>
  <c r="AD292" i="26"/>
  <c r="AC297" i="26"/>
  <c r="AC366" i="26"/>
  <c r="AC371" i="26" s="1"/>
  <c r="AA342" i="26"/>
  <c r="AA347" i="26" s="1"/>
  <c r="Z347" i="26"/>
  <c r="Y323" i="26"/>
  <c r="AA104" i="26"/>
  <c r="AB14" i="26"/>
  <c r="AB249" i="26" s="1"/>
  <c r="AB20" i="26"/>
  <c r="AB255" i="26" s="1"/>
  <c r="AB19" i="26"/>
  <c r="AB254" i="26" s="1"/>
  <c r="AA23" i="26"/>
  <c r="AA258" i="26" s="1"/>
  <c r="AB15" i="26"/>
  <c r="AB250" i="26" s="1"/>
  <c r="AA58" i="26" l="1"/>
  <c r="AA316" i="26"/>
  <c r="AA40" i="26"/>
  <c r="Z274" i="26"/>
  <c r="AB25" i="26"/>
  <c r="AB260" i="26" s="1"/>
  <c r="AB104" i="26"/>
  <c r="AD366" i="26"/>
  <c r="AD371" i="26" s="1"/>
  <c r="AD297" i="26"/>
  <c r="AE292" i="26"/>
  <c r="AF292" i="26" s="1"/>
  <c r="Z323" i="26"/>
  <c r="AB342" i="26"/>
  <c r="AD16" i="26"/>
  <c r="AD251" i="26" s="1"/>
  <c r="AC15" i="26"/>
  <c r="AC250" i="26" s="1"/>
  <c r="AC14" i="26"/>
  <c r="AC249" i="26" s="1"/>
  <c r="AC19" i="26"/>
  <c r="AC254" i="26" s="1"/>
  <c r="AB23" i="26"/>
  <c r="AB258" i="26" s="1"/>
  <c r="AC20" i="26"/>
  <c r="AC255" i="26" s="1"/>
  <c r="AB58" i="26" l="1"/>
  <c r="AB316" i="26"/>
  <c r="AF297" i="26"/>
  <c r="AF366" i="26"/>
  <c r="AF371" i="26" s="1"/>
  <c r="AG292" i="26"/>
  <c r="AC342" i="26"/>
  <c r="AB347" i="26"/>
  <c r="AB40" i="26"/>
  <c r="AA274" i="26"/>
  <c r="AC25" i="26"/>
  <c r="AC260" i="26" s="1"/>
  <c r="AA323" i="26"/>
  <c r="AE16" i="26"/>
  <c r="AE251" i="26" s="1"/>
  <c r="AE297" i="26"/>
  <c r="AE366" i="26"/>
  <c r="AC104" i="26"/>
  <c r="AD15" i="26"/>
  <c r="AD250" i="26" s="1"/>
  <c r="AC23" i="26"/>
  <c r="AC258" i="26" s="1"/>
  <c r="AD19" i="26"/>
  <c r="AD254" i="26" s="1"/>
  <c r="AD14" i="26"/>
  <c r="AD249" i="26" s="1"/>
  <c r="AD20" i="26"/>
  <c r="AD255" i="26" s="1"/>
  <c r="AC58" i="26" l="1"/>
  <c r="AC316" i="26"/>
  <c r="G22" i="34"/>
  <c r="AH292" i="26"/>
  <c r="AL292" i="26" s="1"/>
  <c r="AG297" i="26"/>
  <c r="AG366" i="26"/>
  <c r="AF16" i="26"/>
  <c r="AF251" i="26" s="1"/>
  <c r="AE371" i="26"/>
  <c r="AD342" i="26"/>
  <c r="AC347" i="26"/>
  <c r="AB274" i="26"/>
  <c r="AD25" i="26"/>
  <c r="AD260" i="26" s="1"/>
  <c r="AD104" i="26"/>
  <c r="AB323" i="26"/>
  <c r="AE20" i="26"/>
  <c r="AE255" i="26" s="1"/>
  <c r="AD23" i="26"/>
  <c r="AD258" i="26" s="1"/>
  <c r="AE14" i="26"/>
  <c r="AE249" i="26" s="1"/>
  <c r="AE19" i="26"/>
  <c r="AE254" i="26" s="1"/>
  <c r="AC40" i="26"/>
  <c r="AE15" i="26"/>
  <c r="AE250" i="26" s="1"/>
  <c r="AD40" i="26" l="1"/>
  <c r="G27" i="34"/>
  <c r="AD58" i="26"/>
  <c r="AH297" i="26"/>
  <c r="AD316" i="26"/>
  <c r="E25" i="1"/>
  <c r="AH366" i="26"/>
  <c r="AH371" i="26" s="1"/>
  <c r="D25" i="1" s="1"/>
  <c r="AG371" i="26"/>
  <c r="AF20" i="26"/>
  <c r="AF255" i="26" s="1"/>
  <c r="AF19" i="26"/>
  <c r="AF254" i="26" s="1"/>
  <c r="AF14" i="26"/>
  <c r="AF249" i="26" s="1"/>
  <c r="AG16" i="26"/>
  <c r="AG251" i="26" s="1"/>
  <c r="AF15" i="26"/>
  <c r="AF250" i="26" s="1"/>
  <c r="AE342" i="26"/>
  <c r="AF342" i="26" s="1"/>
  <c r="AD347" i="26"/>
  <c r="AC274" i="26"/>
  <c r="AE25" i="26"/>
  <c r="AE260" i="26" s="1"/>
  <c r="AC323" i="26"/>
  <c r="AE104" i="26"/>
  <c r="AL297" i="26"/>
  <c r="AE23" i="26"/>
  <c r="AE258" i="26" s="1"/>
  <c r="AH251" i="26" l="1"/>
  <c r="AH16" i="26"/>
  <c r="AL16" i="26" s="1"/>
  <c r="BB16" i="26" s="1"/>
  <c r="AF104" i="26"/>
  <c r="AG20" i="26"/>
  <c r="AE316" i="26"/>
  <c r="AF316" i="26" s="1"/>
  <c r="AG316" i="26" s="1"/>
  <c r="I25" i="33"/>
  <c r="AE58" i="26"/>
  <c r="AF58" i="26" s="1"/>
  <c r="AG342" i="26"/>
  <c r="AH342" i="26" s="1"/>
  <c r="Q22" i="34" s="1"/>
  <c r="AG14" i="26"/>
  <c r="AG249" i="26" s="1"/>
  <c r="AG104" i="26"/>
  <c r="AG15" i="26"/>
  <c r="AG250" i="26" s="1"/>
  <c r="AG19" i="26"/>
  <c r="AF347" i="26"/>
  <c r="AF23" i="26"/>
  <c r="AF258" i="26" s="1"/>
  <c r="AF25" i="26"/>
  <c r="AF260" i="26" s="1"/>
  <c r="AD274" i="26"/>
  <c r="AE347" i="26"/>
  <c r="AD323" i="26"/>
  <c r="AE40" i="26"/>
  <c r="AG58" i="26" l="1"/>
  <c r="AH58" i="26" s="1"/>
  <c r="AH19" i="26"/>
  <c r="AL19" i="26" s="1"/>
  <c r="AG254" i="26"/>
  <c r="AH20" i="26"/>
  <c r="AL20" i="26" s="1"/>
  <c r="AP20" i="26" s="1"/>
  <c r="AT20" i="26" s="1"/>
  <c r="AG255" i="26"/>
  <c r="AH255" i="26" s="1"/>
  <c r="AH250" i="26"/>
  <c r="AH15" i="26"/>
  <c r="AL15" i="26" s="1"/>
  <c r="AH254" i="26"/>
  <c r="I29" i="33"/>
  <c r="S25" i="33"/>
  <c r="AC25" i="33"/>
  <c r="M25" i="33"/>
  <c r="K22" i="34"/>
  <c r="O22" i="34" s="1"/>
  <c r="U22" i="34" s="1"/>
  <c r="AP16" i="26"/>
  <c r="AT16" i="26" s="1"/>
  <c r="I21" i="33"/>
  <c r="I20" i="33"/>
  <c r="AH14" i="26"/>
  <c r="AG347" i="26"/>
  <c r="I28" i="33"/>
  <c r="AG23" i="26"/>
  <c r="AH104" i="26"/>
  <c r="AR14" i="26" s="1"/>
  <c r="AG25" i="26"/>
  <c r="AH249" i="26"/>
  <c r="AF323" i="26"/>
  <c r="AF40" i="26"/>
  <c r="AE274" i="26"/>
  <c r="AE323" i="26"/>
  <c r="M26" i="33"/>
  <c r="S26" i="33"/>
  <c r="M21" i="33" l="1"/>
  <c r="Q25" i="33"/>
  <c r="Q26" i="33"/>
  <c r="M29" i="33"/>
  <c r="AH23" i="26"/>
  <c r="AL23" i="26" s="1"/>
  <c r="AG258" i="26"/>
  <c r="AH258" i="26" s="1"/>
  <c r="AH25" i="26"/>
  <c r="AL25" i="26" s="1"/>
  <c r="AG260" i="26"/>
  <c r="AL14" i="26"/>
  <c r="AP14" i="26" s="1"/>
  <c r="S29" i="33"/>
  <c r="AH260" i="26"/>
  <c r="U20" i="33"/>
  <c r="Y20" i="33"/>
  <c r="S20" i="33"/>
  <c r="AH316" i="26"/>
  <c r="AH323" i="26" s="1"/>
  <c r="AV292" i="26" s="1"/>
  <c r="AX292" i="26" s="1"/>
  <c r="AX297" i="26" s="1"/>
  <c r="S21" i="33"/>
  <c r="AC21" i="33"/>
  <c r="AG323" i="26"/>
  <c r="AH347" i="26"/>
  <c r="AR292" i="26"/>
  <c r="AP292" i="26" s="1"/>
  <c r="AT292" i="26" s="1"/>
  <c r="AT297" i="26" s="1"/>
  <c r="I32" i="33"/>
  <c r="I34" i="33"/>
  <c r="S28" i="33"/>
  <c r="M28" i="33"/>
  <c r="AF274" i="26"/>
  <c r="AP19" i="26"/>
  <c r="AT19" i="26" s="1"/>
  <c r="AG40" i="26"/>
  <c r="BB15" i="26"/>
  <c r="AP15" i="26"/>
  <c r="AT15" i="26" s="1"/>
  <c r="K27" i="34"/>
  <c r="Q29" i="33" l="1"/>
  <c r="Q28" i="33"/>
  <c r="AC34" i="33"/>
  <c r="AC32" i="33"/>
  <c r="AC20" i="33"/>
  <c r="Q21" i="33"/>
  <c r="AH40" i="26"/>
  <c r="Q27" i="34"/>
  <c r="W22" i="34"/>
  <c r="W27" i="34" s="1"/>
  <c r="I50" i="33"/>
  <c r="AV297" i="26"/>
  <c r="AN301" i="26"/>
  <c r="O22" i="35" s="1"/>
  <c r="AR297" i="26"/>
  <c r="AL40" i="26"/>
  <c r="AG274" i="26"/>
  <c r="AH274" i="26"/>
  <c r="AT14" i="26"/>
  <c r="AX14" i="26"/>
  <c r="BB14" i="26" s="1"/>
  <c r="M34" i="33"/>
  <c r="S34" i="33"/>
  <c r="M20" i="33"/>
  <c r="M32" i="33"/>
  <c r="S32" i="33"/>
  <c r="BB25" i="26"/>
  <c r="AP25" i="26"/>
  <c r="AT25" i="26" s="1"/>
  <c r="BB23" i="26"/>
  <c r="AP23" i="26"/>
  <c r="AT23" i="26" s="1"/>
  <c r="G22" i="35"/>
  <c r="O27" i="34"/>
  <c r="G22" i="4" s="1"/>
  <c r="Q32" i="33" l="1"/>
  <c r="Q20" i="33"/>
  <c r="C74" i="1"/>
  <c r="E74" i="1"/>
  <c r="Q34" i="33"/>
  <c r="D10" i="1"/>
  <c r="E10" i="1"/>
  <c r="D17" i="1"/>
  <c r="E7" i="1"/>
  <c r="D7" i="1"/>
  <c r="S50" i="33"/>
  <c r="G30" i="34"/>
  <c r="O22" i="4" s="1"/>
  <c r="E17" i="1" l="1"/>
  <c r="E19" i="1"/>
  <c r="H85" i="26" l="1"/>
  <c r="I85" i="26"/>
  <c r="Y89" i="33" l="1"/>
  <c r="AC89" i="33" l="1"/>
  <c r="Y29" i="33"/>
  <c r="AX20" i="26"/>
  <c r="BB20" i="26" s="1"/>
  <c r="AC29" i="33" l="1"/>
  <c r="Y88" i="33"/>
  <c r="AC88" i="33" l="1"/>
  <c r="AC98" i="33" l="1"/>
  <c r="Y28" i="33" l="1"/>
  <c r="AX19" i="26" l="1"/>
  <c r="AC28" i="33"/>
  <c r="BB19" i="26" l="1"/>
  <c r="AC38" i="33" l="1"/>
  <c r="BB29" i="26" l="1"/>
  <c r="U121" i="26" l="1"/>
  <c r="V121" i="26" s="1"/>
  <c r="W121" i="26" s="1"/>
  <c r="X121" i="26" s="1"/>
  <c r="Y121" i="26" s="1"/>
  <c r="Z121" i="26" s="1"/>
  <c r="AA121" i="26" s="1"/>
  <c r="AB121" i="26" s="1"/>
  <c r="AC121" i="26" s="1"/>
  <c r="AD121" i="26" s="1"/>
  <c r="AE121" i="26" s="1"/>
  <c r="AF121" i="26" s="1"/>
  <c r="AG121" i="26" s="1"/>
  <c r="U75" i="26" l="1"/>
  <c r="V75" i="26" s="1"/>
  <c r="W75" i="26" s="1"/>
  <c r="X75" i="26" s="1"/>
  <c r="AH121" i="26" l="1"/>
  <c r="AR31" i="26" s="1"/>
  <c r="AP31" i="26" s="1"/>
  <c r="AT31" i="26" s="1"/>
  <c r="Y75" i="26"/>
  <c r="Z75" i="26" s="1"/>
  <c r="U40" i="33" l="1"/>
  <c r="AA75" i="26"/>
  <c r="M40" i="33" l="1"/>
  <c r="Q40" i="33" s="1"/>
  <c r="AB75" i="26"/>
  <c r="AC75" i="26" l="1"/>
  <c r="AD75" i="26" l="1"/>
  <c r="AE75" i="26" l="1"/>
  <c r="AF75" i="26" l="1"/>
  <c r="AG75" i="26" l="1"/>
  <c r="Y40" i="33" s="1"/>
  <c r="AH75" i="26"/>
  <c r="AX31" i="26" s="1"/>
  <c r="AC40" i="33" l="1"/>
  <c r="L423" i="26"/>
  <c r="M423" i="26" l="1"/>
  <c r="N423" i="26" l="1"/>
  <c r="O423" i="26" l="1"/>
  <c r="P423" i="26" l="1"/>
  <c r="Q423" i="26" l="1"/>
  <c r="G70" i="4" s="1"/>
  <c r="C6" i="1" l="1"/>
  <c r="C34" i="1"/>
  <c r="R423" i="26"/>
  <c r="L398" i="26" l="1"/>
  <c r="M398" i="26" l="1"/>
  <c r="N398" i="26" l="1"/>
  <c r="O398" i="26" l="1"/>
  <c r="P398" i="26" l="1"/>
  <c r="R398" i="26" l="1"/>
  <c r="Q398" i="26" l="1"/>
  <c r="C24" i="1" s="1"/>
  <c r="G51" i="32"/>
  <c r="K51" i="32" l="1"/>
  <c r="G64" i="4"/>
  <c r="C9" i="1" l="1"/>
  <c r="S398" i="26"/>
  <c r="T398" i="26" l="1"/>
  <c r="U398" i="26" l="1"/>
  <c r="V398" i="26" l="1"/>
  <c r="W398" i="26" l="1"/>
  <c r="X398" i="26"/>
  <c r="Y398" i="26" l="1"/>
  <c r="Z398" i="26" l="1"/>
  <c r="AA398" i="26" l="1"/>
  <c r="AB398" i="26" l="1"/>
  <c r="AC398" i="26" l="1"/>
  <c r="AD398" i="26" l="1"/>
  <c r="AE398" i="26" l="1"/>
  <c r="AF398" i="26" l="1"/>
  <c r="AG398" i="26" l="1"/>
  <c r="AH398" i="26" s="1"/>
  <c r="G21" i="32"/>
  <c r="C72" i="1"/>
  <c r="D9" i="1" l="1"/>
  <c r="K21" i="32"/>
  <c r="G18" i="4"/>
  <c r="C53" i="1"/>
  <c r="D24" i="1"/>
  <c r="E24" i="1"/>
  <c r="E9" i="1" l="1"/>
  <c r="L130" i="26" l="1"/>
  <c r="L85" i="26" l="1"/>
  <c r="N120" i="26" l="1"/>
  <c r="M130" i="26"/>
  <c r="M74" i="26"/>
  <c r="N74" i="26" l="1"/>
  <c r="M85" i="26"/>
  <c r="O120" i="26"/>
  <c r="N130" i="26"/>
  <c r="O130" i="26" l="1"/>
  <c r="N85" i="26"/>
  <c r="O85" i="26" l="1"/>
  <c r="U99" i="33"/>
  <c r="P130" i="26"/>
  <c r="M99" i="33" l="1"/>
  <c r="R120" i="26"/>
  <c r="Q130" i="26"/>
  <c r="P85" i="26"/>
  <c r="U110" i="33" l="1"/>
  <c r="U112" i="33" s="1"/>
  <c r="Q99" i="33"/>
  <c r="U105" i="33"/>
  <c r="R74" i="26"/>
  <c r="Y99" i="33"/>
  <c r="Q85" i="26"/>
  <c r="S120" i="26"/>
  <c r="R130" i="26"/>
  <c r="AC99" i="33" l="1"/>
  <c r="Q105" i="33"/>
  <c r="T120" i="26"/>
  <c r="S130" i="26"/>
  <c r="W110" i="33"/>
  <c r="AC105" i="33"/>
  <c r="Y105" i="33"/>
  <c r="S74" i="26"/>
  <c r="R85" i="26"/>
  <c r="C11" i="1"/>
  <c r="I108" i="33" l="1"/>
  <c r="C23" i="1"/>
  <c r="T74" i="26"/>
  <c r="S85" i="26"/>
  <c r="W111" i="33"/>
  <c r="G66" i="4"/>
  <c r="U120" i="26"/>
  <c r="T130" i="26"/>
  <c r="O66" i="4" l="1"/>
  <c r="C16" i="1" s="1"/>
  <c r="V120" i="26"/>
  <c r="U130" i="26"/>
  <c r="U74" i="26"/>
  <c r="T85" i="26"/>
  <c r="C8" i="1"/>
  <c r="C41" i="1" s="1"/>
  <c r="G72" i="4"/>
  <c r="I64" i="4" l="1"/>
  <c r="I70" i="4"/>
  <c r="I68" i="4"/>
  <c r="I66" i="4"/>
  <c r="V74" i="26"/>
  <c r="U85" i="26"/>
  <c r="W120" i="26"/>
  <c r="V130" i="26"/>
  <c r="Q70" i="4" l="1"/>
  <c r="I72" i="4"/>
  <c r="K66" i="4"/>
  <c r="M66" i="4" s="1"/>
  <c r="Q66" i="4"/>
  <c r="W74" i="26"/>
  <c r="V85" i="26"/>
  <c r="X120" i="26"/>
  <c r="W130" i="26"/>
  <c r="Q64" i="4"/>
  <c r="K64" i="4"/>
  <c r="K68" i="4"/>
  <c r="M68" i="4" s="1"/>
  <c r="Q68" i="4"/>
  <c r="C14" i="1" l="1"/>
  <c r="C15" i="1"/>
  <c r="C13" i="1"/>
  <c r="Q72" i="4"/>
  <c r="C12" i="1"/>
  <c r="K70" i="4"/>
  <c r="M70" i="4" s="1"/>
  <c r="M64" i="4"/>
  <c r="Y120" i="26"/>
  <c r="X130" i="26"/>
  <c r="X74" i="26"/>
  <c r="W85" i="26"/>
  <c r="C3" i="1" l="1"/>
  <c r="K72" i="4"/>
  <c r="M72" i="4"/>
  <c r="Y74" i="26"/>
  <c r="X85" i="26"/>
  <c r="Z120" i="26"/>
  <c r="Y130" i="26"/>
  <c r="C44" i="1" l="1"/>
  <c r="AA120" i="26"/>
  <c r="Z130" i="26"/>
  <c r="Z74" i="26"/>
  <c r="Y85" i="26"/>
  <c r="AA74" i="26" l="1"/>
  <c r="Z85" i="26"/>
  <c r="AB120" i="26"/>
  <c r="AA130" i="26"/>
  <c r="AC120" i="26" l="1"/>
  <c r="AB130" i="26"/>
  <c r="AB74" i="26"/>
  <c r="AA85" i="26"/>
  <c r="AC74" i="26" l="1"/>
  <c r="AB85" i="26"/>
  <c r="AD120" i="26"/>
  <c r="AC130" i="26"/>
  <c r="AE120" i="26" l="1"/>
  <c r="AD130" i="26"/>
  <c r="AD74" i="26"/>
  <c r="AC85" i="26"/>
  <c r="AE74" i="26" l="1"/>
  <c r="AD85" i="26"/>
  <c r="AF120" i="26"/>
  <c r="AE130" i="26"/>
  <c r="AG120" i="26" l="1"/>
  <c r="AH120" i="26" s="1"/>
  <c r="AR30" i="26" s="1"/>
  <c r="AP30" i="26" s="1"/>
  <c r="AF130" i="26"/>
  <c r="AF74" i="26"/>
  <c r="AE85" i="26"/>
  <c r="U39" i="33" l="1"/>
  <c r="AT30" i="26"/>
  <c r="AG130" i="26"/>
  <c r="C55" i="1" s="1"/>
  <c r="AG74" i="26"/>
  <c r="AF85" i="26"/>
  <c r="Y39" i="33" l="1"/>
  <c r="AG85" i="26"/>
  <c r="AH74" i="26"/>
  <c r="AH130" i="26"/>
  <c r="AC39" i="33" l="1"/>
  <c r="D11" i="1"/>
  <c r="M39" i="33"/>
  <c r="U50" i="33"/>
  <c r="AT40" i="26"/>
  <c r="D23" i="1" s="1"/>
  <c r="AR40" i="26"/>
  <c r="AX30" i="26"/>
  <c r="BB30" i="26" s="1"/>
  <c r="AH85" i="26"/>
  <c r="AC50" i="33"/>
  <c r="Y50" i="33"/>
  <c r="Q39" i="33" l="1"/>
  <c r="G20" i="4"/>
  <c r="E8" i="1" s="1"/>
  <c r="E41" i="1" s="1"/>
  <c r="BB40" i="26"/>
  <c r="AX40" i="26"/>
  <c r="E11" i="1"/>
  <c r="Q50" i="33" l="1"/>
  <c r="AL43" i="26"/>
  <c r="O20" i="35" s="1"/>
  <c r="G20" i="35"/>
  <c r="C51" i="1" l="1"/>
  <c r="I53" i="33"/>
  <c r="E23" i="1"/>
  <c r="E73" i="1"/>
  <c r="C73" i="1"/>
  <c r="D8" i="1"/>
  <c r="D41" i="1" s="1"/>
  <c r="D42" i="1" s="1"/>
  <c r="D16" i="1"/>
  <c r="O20" i="4" l="1"/>
  <c r="S420" i="26"/>
  <c r="T420" i="26"/>
  <c r="U420" i="26" s="1"/>
  <c r="S421" i="26"/>
  <c r="T421" i="26" s="1"/>
  <c r="U421" i="26" s="1"/>
  <c r="S419" i="26"/>
  <c r="T419" i="26" s="1"/>
  <c r="E16" i="1" l="1"/>
  <c r="T423" i="26"/>
  <c r="U419" i="26"/>
  <c r="V421" i="26"/>
  <c r="W421" i="26" s="1"/>
  <c r="X421" i="26" s="1"/>
  <c r="Y421" i="26" s="1"/>
  <c r="Z421" i="26" s="1"/>
  <c r="AA421" i="26" s="1"/>
  <c r="AB421" i="26" s="1"/>
  <c r="AC421" i="26" s="1"/>
  <c r="AD421" i="26" s="1"/>
  <c r="AE421" i="26" s="1"/>
  <c r="AF421" i="26" s="1"/>
  <c r="AG421" i="26" s="1"/>
  <c r="V420" i="26"/>
  <c r="W420" i="26" s="1"/>
  <c r="X420" i="26" s="1"/>
  <c r="Y420" i="26" s="1"/>
  <c r="Z420" i="26" s="1"/>
  <c r="AA420" i="26" s="1"/>
  <c r="AB420" i="26" s="1"/>
  <c r="AC420" i="26" s="1"/>
  <c r="AD420" i="26" s="1"/>
  <c r="AE420" i="26" s="1"/>
  <c r="AF420" i="26" s="1"/>
  <c r="AG420" i="26" s="1"/>
  <c r="S423" i="26"/>
  <c r="AH420" i="26" l="1"/>
  <c r="AH421" i="26"/>
  <c r="U423" i="26"/>
  <c r="V419" i="26"/>
  <c r="W419" i="26" l="1"/>
  <c r="V423" i="26"/>
  <c r="W423" i="26" l="1"/>
  <c r="X419" i="26"/>
  <c r="Y419" i="26" l="1"/>
  <c r="X423" i="26"/>
  <c r="Z419" i="26" l="1"/>
  <c r="Y423" i="26"/>
  <c r="AA419" i="26" l="1"/>
  <c r="Z423" i="26"/>
  <c r="AA423" i="26" l="1"/>
  <c r="AB419" i="26"/>
  <c r="AB423" i="26" l="1"/>
  <c r="AC419" i="26"/>
  <c r="AD419" i="26" l="1"/>
  <c r="AC423" i="26"/>
  <c r="AE419" i="26" l="1"/>
  <c r="AD423" i="26"/>
  <c r="AF419" i="26" l="1"/>
  <c r="AE423" i="26"/>
  <c r="AG419" i="26" l="1"/>
  <c r="AF423" i="26"/>
  <c r="AG423" i="26" l="1"/>
  <c r="G24" i="4" s="1"/>
  <c r="AH419" i="26"/>
  <c r="AH423" i="26" s="1"/>
  <c r="G24" i="35" s="1"/>
  <c r="D6" i="1" l="1"/>
  <c r="C75" i="1"/>
  <c r="C76" i="1" s="1"/>
  <c r="D34" i="1"/>
  <c r="D28" i="1"/>
  <c r="G26" i="35"/>
  <c r="G26" i="4"/>
  <c r="E34" i="1"/>
  <c r="E6" i="1"/>
  <c r="I20" i="4" l="1"/>
  <c r="I18" i="4"/>
  <c r="I22" i="4"/>
  <c r="I22" i="35"/>
  <c r="I20" i="35"/>
  <c r="I18" i="35"/>
  <c r="I24" i="35" l="1"/>
  <c r="Q18" i="35"/>
  <c r="K18" i="35"/>
  <c r="D72" i="1"/>
  <c r="D73" i="1"/>
  <c r="Q20" i="35"/>
  <c r="K20" i="35"/>
  <c r="K22" i="35"/>
  <c r="Q22" i="35"/>
  <c r="D74" i="1"/>
  <c r="Q22" i="4"/>
  <c r="K22" i="4"/>
  <c r="I24" i="4"/>
  <c r="K18" i="4"/>
  <c r="Q18" i="4"/>
  <c r="K20" i="4"/>
  <c r="Q20" i="4"/>
  <c r="I26" i="35" l="1"/>
  <c r="M20" i="4"/>
  <c r="Q24" i="4"/>
  <c r="Q26" i="4" s="1"/>
  <c r="M22" i="4"/>
  <c r="M20" i="35"/>
  <c r="M22" i="35"/>
  <c r="D13" i="1"/>
  <c r="E21" i="1"/>
  <c r="F73" i="1"/>
  <c r="K24" i="4"/>
  <c r="M18" i="4"/>
  <c r="D15" i="1"/>
  <c r="E20" i="1"/>
  <c r="F74" i="1"/>
  <c r="M18" i="35"/>
  <c r="E22" i="1"/>
  <c r="F72" i="1"/>
  <c r="D12" i="1"/>
  <c r="D33" i="1"/>
  <c r="W23" i="35"/>
  <c r="I26" i="4"/>
  <c r="Q24" i="35"/>
  <c r="K24" i="35"/>
  <c r="D75" i="1"/>
  <c r="D76" i="1" s="1"/>
  <c r="H79" i="1" s="1"/>
  <c r="M24" i="4" l="1"/>
  <c r="M26" i="4" s="1"/>
  <c r="E3" i="1"/>
  <c r="D20" i="1"/>
  <c r="M24" i="35"/>
  <c r="D21" i="1"/>
  <c r="K26" i="35"/>
  <c r="D22" i="1"/>
  <c r="F75" i="1"/>
  <c r="F76" i="1" s="1"/>
  <c r="D14" i="1"/>
  <c r="Q26" i="35"/>
  <c r="K26" i="4"/>
  <c r="M26" i="35" l="1"/>
  <c r="E44" i="1"/>
  <c r="D19" i="1"/>
  <c r="D3" i="1"/>
  <c r="W21" i="35"/>
  <c r="D18" i="1" l="1"/>
  <c r="D44" i="1"/>
  <c r="D45" i="1" s="1"/>
</calcChain>
</file>

<file path=xl/sharedStrings.xml><?xml version="1.0" encoding="utf-8"?>
<sst xmlns="http://schemas.openxmlformats.org/spreadsheetml/2006/main" count="1276" uniqueCount="265">
  <si>
    <t>Information Leaving this File</t>
  </si>
  <si>
    <t>Aug 2025</t>
  </si>
  <si>
    <t>Dec 2026</t>
  </si>
  <si>
    <t>Base</t>
  </si>
  <si>
    <t>13 Mo Avg</t>
  </si>
  <si>
    <t>Forecast</t>
  </si>
  <si>
    <t>Weighted Cost of Capital</t>
  </si>
  <si>
    <t xml:space="preserve">  13 mo. Going to K_COS.xls  &amp; KA_CWIP.xls and Capital File</t>
  </si>
  <si>
    <t>ITC</t>
  </si>
  <si>
    <t xml:space="preserve"> Going to Exhibit 37B</t>
  </si>
  <si>
    <t>Deferred ITC (JDITC - 4 &amp;10%)</t>
  </si>
  <si>
    <t>Common Equity</t>
  </si>
  <si>
    <t xml:space="preserve"> Going to Exhibit 37K &amp; 37B</t>
  </si>
  <si>
    <t>Preferred Stock</t>
  </si>
  <si>
    <t>LTD</t>
  </si>
  <si>
    <t xml:space="preserve"> Going to Exhibit 37K</t>
  </si>
  <si>
    <t>STD</t>
  </si>
  <si>
    <t xml:space="preserve"> Going to K_FINDAT.xls</t>
  </si>
  <si>
    <t>Interest on LTD</t>
  </si>
  <si>
    <t>Amort of Debt Expense</t>
  </si>
  <si>
    <t>Short-Term Debt - 13 Mo. Avg</t>
  </si>
  <si>
    <t>Going to K_cos.xls &amp; Exh K and Capital File</t>
  </si>
  <si>
    <t>Long-Term Debt - 13 Mo. Avg</t>
  </si>
  <si>
    <t>Going to K_cos.xls  and Rate Base KY Capital through 06.30.18 file</t>
  </si>
  <si>
    <t>Common Equity - 13 Mo. Avg</t>
  </si>
  <si>
    <t>Preferred Equity - 13.Mo. Avg</t>
  </si>
  <si>
    <t>Long-Term Debt - Embedded Cost</t>
  </si>
  <si>
    <t>Preferred Equity - Embedded Cost</t>
  </si>
  <si>
    <t>Adjusted Capital  - Forecasted</t>
  </si>
  <si>
    <t xml:space="preserve"> Going to Fil_Req.xls</t>
  </si>
  <si>
    <t>Interest Exp. - LTD</t>
  </si>
  <si>
    <t>includes Amortization costs/ from cost of LTD sched</t>
  </si>
  <si>
    <t>Interest Exp. - STD</t>
  </si>
  <si>
    <t>Preferred Stock Dividends</t>
  </si>
  <si>
    <t>Common Dividends</t>
  </si>
  <si>
    <t>Common Equity 13 Mo Avg.</t>
  </si>
  <si>
    <t>Weighted cost of Debt</t>
  </si>
  <si>
    <t>Going to Itaxes_StatAdj</t>
  </si>
  <si>
    <t>Comment:</t>
  </si>
  <si>
    <t>Short term Debt Cost</t>
  </si>
  <si>
    <t>Filename</t>
  </si>
  <si>
    <t>LTD + STD</t>
  </si>
  <si>
    <t>Total Capitalization</t>
  </si>
  <si>
    <t>For Affiliates Account Support - AWCC Link-In</t>
  </si>
  <si>
    <t>Intercompany Only</t>
  </si>
  <si>
    <t>Forecast Year</t>
  </si>
  <si>
    <t>52526100Credit Line Fees I/C</t>
  </si>
  <si>
    <t>81015000Interest LTD Interco</t>
  </si>
  <si>
    <t>81016000Int exp-debt dis-ins</t>
  </si>
  <si>
    <t>81315000Interest STD Interco</t>
  </si>
  <si>
    <t>81815100Int Inc-ST ins</t>
  </si>
  <si>
    <t>82015000Amort Dbt Dsc&amp;Ex I/C</t>
  </si>
  <si>
    <t>82016000Amort Dbt E-Insde CL</t>
  </si>
  <si>
    <t>Authorized Cost of Capital</t>
  </si>
  <si>
    <t>Component</t>
  </si>
  <si>
    <t>Carrying Amount</t>
  </si>
  <si>
    <t>Weighting</t>
  </si>
  <si>
    <t>Cost Rate</t>
  </si>
  <si>
    <t>WACC</t>
  </si>
  <si>
    <t>Short-Term Debt</t>
  </si>
  <si>
    <t>Long-Term Debt</t>
  </si>
  <si>
    <t>Cost of Capital Summary</t>
  </si>
  <si>
    <t>13-Month Average For Forecast Period Ending December 31, 2026</t>
  </si>
  <si>
    <t>Per KAWC Capital Structure Tables</t>
  </si>
  <si>
    <t>BASE PERIOD:</t>
  </si>
  <si>
    <t>As of August 2025</t>
  </si>
  <si>
    <t>FORECASTED PERIOD:</t>
  </si>
  <si>
    <t>As of December 31, 2026</t>
  </si>
  <si>
    <t>Types of Filing:</t>
  </si>
  <si>
    <t>Exhibit 37, Schedule J-1</t>
  </si>
  <si>
    <t>Exhibit</t>
  </si>
  <si>
    <t>Page #</t>
  </si>
  <si>
    <t>Description</t>
  </si>
  <si>
    <t xml:space="preserve">Witness Responsible:  </t>
  </si>
  <si>
    <t/>
  </si>
  <si>
    <t>J-1</t>
  </si>
  <si>
    <t>J-2</t>
  </si>
  <si>
    <t>J-3</t>
  </si>
  <si>
    <t>Embedded Cost of Short-Term Debt</t>
  </si>
  <si>
    <t>J-4</t>
  </si>
  <si>
    <t>Embedded Cost of Long-Term Debt</t>
  </si>
  <si>
    <t>J-5</t>
  </si>
  <si>
    <t>Embedded Cost of Preferred Stock</t>
  </si>
  <si>
    <t>Data:  ___ Base Period _X_ Forecasted Period</t>
  </si>
  <si>
    <t>Page 1 of 1</t>
  </si>
  <si>
    <t>13-Month</t>
  </si>
  <si>
    <t>Line</t>
  </si>
  <si>
    <t>Class of</t>
  </si>
  <si>
    <t>Average Net</t>
  </si>
  <si>
    <t>Adjusted</t>
  </si>
  <si>
    <t>Average</t>
  </si>
  <si>
    <t>No.</t>
  </si>
  <si>
    <t>Capital</t>
  </si>
  <si>
    <t>Reference</t>
  </si>
  <si>
    <t>% of Total</t>
  </si>
  <si>
    <t>Add (1)</t>
  </si>
  <si>
    <t>Weighted Cost</t>
  </si>
  <si>
    <t>DO NOT DELETE:</t>
  </si>
  <si>
    <t>RETURN ON RATE BASE</t>
  </si>
  <si>
    <t>DEBT COST</t>
  </si>
  <si>
    <t xml:space="preserve">    Total Capital</t>
  </si>
  <si>
    <t xml:space="preserve"> </t>
  </si>
  <si>
    <t>(1) JDITC:</t>
  </si>
  <si>
    <t>Exhibit 37, Schedule J-2</t>
  </si>
  <si>
    <t>Page 1 of 2</t>
  </si>
  <si>
    <t>Net</t>
  </si>
  <si>
    <t>Carrying</t>
  </si>
  <si>
    <t>Terminal</t>
  </si>
  <si>
    <t>Amount</t>
  </si>
  <si>
    <t>J-3, Page 1</t>
  </si>
  <si>
    <t>J-4, Page 1</t>
  </si>
  <si>
    <t>(1) JDITC</t>
  </si>
  <si>
    <t>Data:  _X_ Base Period ___ Forecasted Period</t>
  </si>
  <si>
    <t>Page 2 of 2</t>
  </si>
  <si>
    <t>Exhibit 37, Schedule J-3</t>
  </si>
  <si>
    <t>Interest</t>
  </si>
  <si>
    <t>Issue</t>
  </si>
  <si>
    <t>Outstanding</t>
  </si>
  <si>
    <t>Rate</t>
  </si>
  <si>
    <t>Requirement</t>
  </si>
  <si>
    <t>Promissory  Note</t>
  </si>
  <si>
    <t>Weighted Cost of Short-Term Debt</t>
  </si>
  <si>
    <t>Exhibit 37, Schedule J-4</t>
  </si>
  <si>
    <t>Annual Amort.</t>
  </si>
  <si>
    <t>Debt Issue</t>
  </si>
  <si>
    <t>Maturity</t>
  </si>
  <si>
    <t>Bond Rating</t>
  </si>
  <si>
    <t>Annualized</t>
  </si>
  <si>
    <t>Principal</t>
  </si>
  <si>
    <t>of Issue</t>
  </si>
  <si>
    <t>Unamortized</t>
  </si>
  <si>
    <t>Type &amp; Rate</t>
  </si>
  <si>
    <t>Date</t>
  </si>
  <si>
    <t>at Issue</t>
  </si>
  <si>
    <t>at Maturity</t>
  </si>
  <si>
    <t>Expense</t>
  </si>
  <si>
    <t>Discount</t>
  </si>
  <si>
    <t>Debt Expense</t>
  </si>
  <si>
    <t>Gain/Loss</t>
  </si>
  <si>
    <t>Value</t>
  </si>
  <si>
    <t>General Mortgage Bonds:</t>
  </si>
  <si>
    <t>N/A</t>
  </si>
  <si>
    <t>AWCC Inter-Company Notes:</t>
  </si>
  <si>
    <t xml:space="preserve">Carry Over Unamortized Debt Expense </t>
  </si>
  <si>
    <t xml:space="preserve">    Redeemed - Carryover</t>
  </si>
  <si>
    <t>Total Long-Term Debt and Annualized Cost</t>
  </si>
  <si>
    <t>Annualized Cost Rate</t>
  </si>
  <si>
    <t>Exhibit 37, Schedule J-5</t>
  </si>
  <si>
    <t>Gain or Loss</t>
  </si>
  <si>
    <t>Dividend Rate,</t>
  </si>
  <si>
    <t>Premium or</t>
  </si>
  <si>
    <t>on Reaquired</t>
  </si>
  <si>
    <t>Type &amp; Par Value</t>
  </si>
  <si>
    <t>Date Issued</t>
  </si>
  <si>
    <t>Stock</t>
  </si>
  <si>
    <t>Proceeds</t>
  </si>
  <si>
    <t>Dividends</t>
  </si>
  <si>
    <t>8.47% Series, $100 Par</t>
  </si>
  <si>
    <t>Total</t>
  </si>
  <si>
    <t>Workpaper #:</t>
  </si>
  <si>
    <t>Excel Reference:</t>
  </si>
  <si>
    <t>KENTUCKY-AMERICAN WATER COMPANY</t>
  </si>
  <si>
    <t>LONG-TERM DEBT FACE AMOUNT OUTSTANDING</t>
  </si>
  <si>
    <t>13-MONTH AVERAGE FOR FORECASTED PERIOD ENDING 12/31/2026</t>
  </si>
  <si>
    <t>Forecasted</t>
  </si>
  <si>
    <t>Type &amp;</t>
  </si>
  <si>
    <t>Balance @</t>
  </si>
  <si>
    <t xml:space="preserve">Amort of </t>
  </si>
  <si>
    <t>Start Term Date</t>
  </si>
  <si>
    <t>End of Term Date</t>
  </si>
  <si>
    <t>At Issue</t>
  </si>
  <si>
    <t>@ Maturity</t>
  </si>
  <si>
    <t>Issuance Exp</t>
  </si>
  <si>
    <t>Cost</t>
  </si>
  <si>
    <t>Issue Exp</t>
  </si>
  <si>
    <t>GENERAL MORTGAGE BONDS &amp; NOTES PAYABLE</t>
  </si>
  <si>
    <t xml:space="preserve">    Series 7.15%   GMB</t>
  </si>
  <si>
    <t xml:space="preserve">    Series 6.99%   GMB</t>
  </si>
  <si>
    <t xml:space="preserve">    Series 6.593%  Note</t>
  </si>
  <si>
    <t xml:space="preserve">    Series 2.45% Note</t>
  </si>
  <si>
    <t xml:space="preserve">    Series 5.05%    Note</t>
  </si>
  <si>
    <t xml:space="preserve">    Series 4.00%    Note</t>
  </si>
  <si>
    <t xml:space="preserve">    Series 3.75%    Note</t>
  </si>
  <si>
    <t xml:space="preserve">    Series 4.15%    Note</t>
  </si>
  <si>
    <t xml:space="preserve">    Series 3.25%  Note</t>
  </si>
  <si>
    <t xml:space="preserve">    Series 4.45%  Note</t>
  </si>
  <si>
    <t xml:space="preserve">    Series 3.875%  Note</t>
  </si>
  <si>
    <t xml:space="preserve">    Series 3.625%  Note</t>
  </si>
  <si>
    <t xml:space="preserve">    Series 5.15%  Note</t>
  </si>
  <si>
    <t xml:space="preserve">    Series 5.45%  Note</t>
  </si>
  <si>
    <t xml:space="preserve">    Proposed 2025 Issuance (10-year)</t>
  </si>
  <si>
    <t xml:space="preserve">    Proposed 2025 Issuance (30-year)</t>
  </si>
  <si>
    <t xml:space="preserve">    Proposed 2026 Issuance (10-year)</t>
  </si>
  <si>
    <t xml:space="preserve">    Proposed 2026 Issuance (30-year)</t>
  </si>
  <si>
    <t xml:space="preserve">  TOTAL</t>
  </si>
  <si>
    <t>UNAMORTIZED DEBT EXPENSE</t>
  </si>
  <si>
    <t xml:space="preserve">    Redeemed - Carry Over </t>
  </si>
  <si>
    <t>LONG-TERM DEBT EXPENSE AMORTIZATION</t>
  </si>
  <si>
    <t>Amount @</t>
  </si>
  <si>
    <t>Test Period</t>
  </si>
  <si>
    <t>UNAMORTIZED LONG-TERM DEBT DISCOUNT</t>
  </si>
  <si>
    <t>LONG-TERM DEBT DISCOUNT AMORTIZATION</t>
  </si>
  <si>
    <t>UNAMORTIZED LONG-TERM DEBT HEDGE GAIN/ LOSS DISCOUNT</t>
  </si>
  <si>
    <t>LONG-TERM DEBT HEDGE GAIN/ LOSS DISCOUNT AMORTIZATION</t>
  </si>
  <si>
    <t>INTEREST ON LONG-TERM DEBT</t>
  </si>
  <si>
    <t>PREFERRED STOCK</t>
  </si>
  <si>
    <t>13-MONTH AVERAGE COST RATE</t>
  </si>
  <si>
    <t>UNAMORTIZED PREFERRED STOCK EXPENSE</t>
  </si>
  <si>
    <t>PREFERRED STOCK EXPENSE AMORTIZATION</t>
  </si>
  <si>
    <t>120105.755201</t>
  </si>
  <si>
    <t>PREFERRED STOCK DIVIDENDS</t>
  </si>
  <si>
    <t>120105.860040</t>
  </si>
  <si>
    <t>SHORT TERM DEBT</t>
  </si>
  <si>
    <t>SHORT-TERM DEBT</t>
  </si>
  <si>
    <t>Interest Rate (actual rates through March 2023)</t>
  </si>
  <si>
    <t>COMMON EQUITY</t>
  </si>
  <si>
    <t>Actual</t>
  </si>
  <si>
    <t>Proj.</t>
  </si>
  <si>
    <t>Common Stock</t>
  </si>
  <si>
    <t>Paid In Capital</t>
  </si>
  <si>
    <t>Retained Earnings</t>
  </si>
  <si>
    <t>JDITC</t>
  </si>
  <si>
    <t>DEFERRED ITC (JDITC - 4% AND 10%)</t>
  </si>
  <si>
    <t>DEFERRED ITC - 3%</t>
  </si>
  <si>
    <t>ANNUAL AMORTIZATION OF 3% ITC</t>
  </si>
  <si>
    <t>ANNUAL AMORTIZATION OF 4% ITC</t>
  </si>
  <si>
    <t>ANNUAL AMORTIZATION OF 10% ITC</t>
  </si>
  <si>
    <t>MONTHLY AMORTIZATION OF 3% ITC</t>
  </si>
  <si>
    <t>ITC Restored-3%</t>
  </si>
  <si>
    <t>MONTHLY AMORTIZATION OF 4% ITC</t>
  </si>
  <si>
    <t>ITC Restored-4%</t>
  </si>
  <si>
    <t>MONTHLY AMORTIZATION OF 10% ITC</t>
  </si>
  <si>
    <t>ITC Restored-10%</t>
  </si>
  <si>
    <t>Short-Term Debt Balances for September 2024 - February 2025</t>
  </si>
  <si>
    <t>Period</t>
  </si>
  <si>
    <t>Debit</t>
  </si>
  <si>
    <t>Credit</t>
  </si>
  <si>
    <t>Balance</t>
  </si>
  <si>
    <t>Cumulative balance</t>
  </si>
  <si>
    <t>Bal.Carryforward</t>
  </si>
  <si>
    <t>Long-term Debt Discount Balances and Amortizations</t>
  </si>
  <si>
    <t>GL Balance</t>
  </si>
  <si>
    <t>Balances</t>
  </si>
  <si>
    <t>BD120032</t>
  </si>
  <si>
    <t>BD120033</t>
  </si>
  <si>
    <t>BD120034</t>
  </si>
  <si>
    <t>BD120035</t>
  </si>
  <si>
    <t>BD120038</t>
  </si>
  <si>
    <t>BD120039</t>
  </si>
  <si>
    <t>Montly Amortizations</t>
  </si>
  <si>
    <t>Unamortized ITC Balances for September 2024 - December 2026</t>
  </si>
  <si>
    <t xml:space="preserve">Account 25510100 </t>
  </si>
  <si>
    <t xml:space="preserve">Account 25510200 </t>
  </si>
  <si>
    <t xml:space="preserve">Account 25510300 </t>
  </si>
  <si>
    <t>Unamortized ITC - 3%</t>
  </si>
  <si>
    <t>Unamortized ITC - 4%</t>
  </si>
  <si>
    <t>Unamortized ITC - 10%</t>
  </si>
  <si>
    <t>Data:  _X_ Base Period __ Forecasted Period</t>
  </si>
  <si>
    <t>J-5, Page 1</t>
  </si>
  <si>
    <t>KAW_R_PSCHDR_NUM002_100625_Attachment  Sch J-1</t>
  </si>
  <si>
    <t>KAW_R_PSCHDR_NUM002_100625_Attachment  Sch J-2</t>
  </si>
  <si>
    <t>KAW_R_PSCHDR_NUM002_100625_Attachment  Sch J-3</t>
  </si>
  <si>
    <t>KAW_R_PSCHDR_NUM002_100625_Attachment  Sch J-4</t>
  </si>
  <si>
    <t>KAW_R_PSCHDR_NUM002_100625_Attachment  Sch J-5</t>
  </si>
  <si>
    <t>KAW_R_PSCHDR_NUM002_100625_Attachment   Sch J 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</si>
</sst>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%"/>
    <numFmt numFmtId="166" formatCode="mm/dd/yy"/>
    <numFmt numFmtId="167" formatCode="&quot;$&quot;#,##0.00"/>
    <numFmt numFmtId="168" formatCode="0.00000%"/>
    <numFmt numFmtId="169" formatCode="_(&quot;$&quot;* #,##0_);_(&quot;$&quot;* \(#,##0\);_(&quot;$&quot;* &quot;-&quot;??_);_(@_)"/>
    <numFmt numFmtId="170" formatCode="mmm\-yyyy"/>
    <numFmt numFmtId="171" formatCode="[$-409]mmmm\ d\,\ yyyy;@"/>
    <numFmt numFmtId="172" formatCode="_(* #,##0_);_(* \(#,##0\);_(* &quot;-&quot;??_);_(@_)"/>
    <numFmt numFmtId="173" formatCode="###,000"/>
    <numFmt numFmtId="174" formatCode="_(&quot;$&quot;* #,##0.000_);_(&quot;$&quot;* \(#,##0.000\);_(&quot;$&quot;* &quot;-&quot;_);_(@_)"/>
    <numFmt numFmtId="175" formatCode="#,##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2"/>
      <name val="Tahoma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i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u/>
      <sz val="1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u val="singleAccounting"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11"/>
      <color rgb="FF0070C0"/>
      <name val="Calibri"/>
      <family val="2"/>
      <scheme val="minor"/>
    </font>
    <font>
      <sz val="11"/>
      <color rgb="FF0070C0"/>
      <name val="Arial"/>
      <family val="2"/>
    </font>
    <font>
      <sz val="12"/>
      <color rgb="FF0070C0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14" fillId="0" borderId="0"/>
    <xf numFmtId="0" fontId="7" fillId="0" borderId="0"/>
    <xf numFmtId="9" fontId="4" fillId="0" borderId="0" applyFont="0" applyFill="0" applyBorder="0" applyAlignment="0" applyProtection="0"/>
    <xf numFmtId="173" fontId="15" fillId="0" borderId="7" applyNumberFormat="0" applyProtection="0">
      <alignment horizontal="right" vertical="center"/>
    </xf>
    <xf numFmtId="173" fontId="16" fillId="0" borderId="8" applyNumberFormat="0" applyProtection="0">
      <alignment horizontal="right" vertical="center"/>
    </xf>
    <xf numFmtId="0" fontId="16" fillId="6" borderId="9" applyNumberFormat="0" applyAlignment="0" applyProtection="0">
      <alignment horizontal="left" vertical="center" indent="1"/>
    </xf>
    <xf numFmtId="0" fontId="17" fillId="0" borderId="10" applyNumberFormat="0" applyFill="0" applyBorder="0" applyAlignment="0" applyProtection="0"/>
    <xf numFmtId="0" fontId="18" fillId="7" borderId="9" applyNumberFormat="0" applyAlignment="0" applyProtection="0">
      <alignment horizontal="left" vertical="center" indent="1"/>
    </xf>
    <xf numFmtId="0" fontId="18" fillId="8" borderId="9" applyNumberFormat="0" applyAlignment="0" applyProtection="0">
      <alignment horizontal="left" vertical="center" indent="1"/>
    </xf>
    <xf numFmtId="0" fontId="18" fillId="9" borderId="9" applyNumberFormat="0" applyAlignment="0" applyProtection="0">
      <alignment horizontal="left" vertical="center" indent="1"/>
    </xf>
    <xf numFmtId="0" fontId="18" fillId="10" borderId="9" applyNumberFormat="0" applyAlignment="0" applyProtection="0">
      <alignment horizontal="left" vertical="center" indent="1"/>
    </xf>
    <xf numFmtId="0" fontId="18" fillId="11" borderId="8" applyNumberFormat="0" applyAlignment="0" applyProtection="0">
      <alignment horizontal="left" vertical="center" indent="1"/>
    </xf>
    <xf numFmtId="173" fontId="15" fillId="12" borderId="9" applyNumberFormat="0" applyAlignment="0" applyProtection="0">
      <alignment horizontal="left" vertical="center" indent="1"/>
    </xf>
    <xf numFmtId="0" fontId="16" fillId="6" borderId="8" applyNumberFormat="0" applyAlignment="0" applyProtection="0">
      <alignment horizontal="left" vertical="center" indent="1"/>
    </xf>
    <xf numFmtId="43" fontId="4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207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164" fontId="0" fillId="0" borderId="0" xfId="0" applyNumberFormat="1"/>
    <xf numFmtId="3" fontId="5" fillId="3" borderId="0" xfId="0" applyNumberFormat="1" applyFont="1" applyFill="1"/>
    <xf numFmtId="3" fontId="8" fillId="3" borderId="1" xfId="0" applyNumberFormat="1" applyFont="1" applyFill="1" applyBorder="1" applyAlignment="1">
      <alignment horizontal="center"/>
    </xf>
    <xf numFmtId="10" fontId="0" fillId="3" borderId="0" xfId="0" applyNumberFormat="1" applyFill="1"/>
    <xf numFmtId="3" fontId="0" fillId="3" borderId="0" xfId="0" applyNumberFormat="1" applyFill="1"/>
    <xf numFmtId="0" fontId="0" fillId="3" borderId="0" xfId="0" applyFill="1"/>
    <xf numFmtId="0" fontId="8" fillId="0" borderId="0" xfId="0" applyFont="1" applyAlignment="1">
      <alignment horizontal="left"/>
    </xf>
    <xf numFmtId="0" fontId="12" fillId="4" borderId="0" xfId="0" applyFont="1" applyFill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0" fontId="0" fillId="4" borderId="0" xfId="0" applyFill="1"/>
    <xf numFmtId="37" fontId="0" fillId="0" borderId="0" xfId="0" applyNumberFormat="1"/>
    <xf numFmtId="0" fontId="6" fillId="0" borderId="0" xfId="0" applyFont="1"/>
    <xf numFmtId="0" fontId="13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171" fontId="9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3" fontId="4" fillId="3" borderId="0" xfId="0" applyNumberFormat="1" applyFont="1" applyFill="1"/>
    <xf numFmtId="3" fontId="4" fillId="0" borderId="0" xfId="0" applyNumberFormat="1" applyFont="1"/>
    <xf numFmtId="10" fontId="0" fillId="3" borderId="0" xfId="4" applyNumberFormat="1" applyFont="1" applyFill="1" applyAlignment="1"/>
    <xf numFmtId="0" fontId="0" fillId="5" borderId="2" xfId="0" applyFill="1" applyBorder="1" applyAlignment="1">
      <alignment vertical="top"/>
    </xf>
    <xf numFmtId="0" fontId="0" fillId="0" borderId="0" xfId="0" applyAlignment="1">
      <alignment vertical="top"/>
    </xf>
    <xf numFmtId="37" fontId="0" fillId="3" borderId="0" xfId="0" applyNumberFormat="1" applyFill="1"/>
    <xf numFmtId="0" fontId="21" fillId="0" borderId="5" xfId="0" applyFont="1" applyBorder="1"/>
    <xf numFmtId="0" fontId="22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left"/>
    </xf>
    <xf numFmtId="0" fontId="22" fillId="0" borderId="0" xfId="0" applyFont="1" applyAlignment="1" applyProtection="1">
      <alignment horizontal="left"/>
      <protection locked="0"/>
    </xf>
    <xf numFmtId="171" fontId="22" fillId="0" borderId="0" xfId="0" applyNumberFormat="1" applyFont="1" applyAlignment="1" applyProtection="1">
      <alignment horizontal="left"/>
      <protection locked="0"/>
    </xf>
    <xf numFmtId="0" fontId="23" fillId="0" borderId="0" xfId="0" applyFont="1"/>
    <xf numFmtId="0" fontId="24" fillId="0" borderId="0" xfId="0" applyFont="1"/>
    <xf numFmtId="3" fontId="20" fillId="0" borderId="0" xfId="0" applyNumberFormat="1" applyFont="1" applyAlignment="1">
      <alignment horizontal="centerContinuous"/>
    </xf>
    <xf numFmtId="3" fontId="23" fillId="0" borderId="0" xfId="0" applyNumberFormat="1" applyFont="1" applyAlignment="1">
      <alignment horizontal="centerContinuous"/>
    </xf>
    <xf numFmtId="3" fontId="23" fillId="0" borderId="0" xfId="0" applyNumberFormat="1" applyFont="1"/>
    <xf numFmtId="171" fontId="20" fillId="0" borderId="0" xfId="0" applyNumberFormat="1" applyFont="1" applyAlignment="1">
      <alignment horizontal="centerContinuous"/>
    </xf>
    <xf numFmtId="3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3" fontId="23" fillId="0" borderId="1" xfId="0" applyNumberFormat="1" applyFont="1" applyBorder="1" applyAlignment="1">
      <alignment horizontal="center"/>
    </xf>
    <xf numFmtId="42" fontId="23" fillId="0" borderId="0" xfId="0" applyNumberFormat="1" applyFont="1"/>
    <xf numFmtId="165" fontId="23" fillId="0" borderId="0" xfId="0" applyNumberFormat="1" applyFont="1"/>
    <xf numFmtId="37" fontId="23" fillId="0" borderId="0" xfId="0" applyNumberFormat="1" applyFont="1"/>
    <xf numFmtId="37" fontId="23" fillId="0" borderId="5" xfId="0" applyNumberFormat="1" applyFont="1" applyBorder="1"/>
    <xf numFmtId="165" fontId="23" fillId="0" borderId="3" xfId="0" applyNumberFormat="1" applyFont="1" applyBorder="1"/>
    <xf numFmtId="5" fontId="23" fillId="0" borderId="0" xfId="0" applyNumberFormat="1" applyFont="1"/>
    <xf numFmtId="3" fontId="20" fillId="0" borderId="0" xfId="0" applyNumberFormat="1" applyFont="1"/>
    <xf numFmtId="3" fontId="25" fillId="0" borderId="0" xfId="0" applyNumberFormat="1" applyFont="1"/>
    <xf numFmtId="166" fontId="23" fillId="0" borderId="0" xfId="0" applyNumberFormat="1" applyFont="1" applyAlignment="1">
      <alignment horizontal="center"/>
    </xf>
    <xf numFmtId="37" fontId="24" fillId="0" borderId="0" xfId="0" applyNumberFormat="1" applyFont="1"/>
    <xf numFmtId="14" fontId="23" fillId="0" borderId="0" xfId="0" applyNumberFormat="1" applyFont="1" applyAlignment="1">
      <alignment horizontal="center"/>
    </xf>
    <xf numFmtId="5" fontId="23" fillId="0" borderId="3" xfId="0" applyNumberFormat="1" applyFont="1" applyBorder="1"/>
    <xf numFmtId="166" fontId="23" fillId="0" borderId="0" xfId="0" applyNumberFormat="1" applyFont="1"/>
    <xf numFmtId="4" fontId="23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164" fontId="23" fillId="0" borderId="0" xfId="0" applyNumberFormat="1" applyFont="1"/>
    <xf numFmtId="164" fontId="23" fillId="0" borderId="3" xfId="0" applyNumberFormat="1" applyFont="1" applyBorder="1"/>
    <xf numFmtId="5" fontId="23" fillId="0" borderId="5" xfId="0" applyNumberFormat="1" applyFont="1" applyBorder="1"/>
    <xf numFmtId="41" fontId="23" fillId="0" borderId="0" xfId="0" applyNumberFormat="1" applyFont="1"/>
    <xf numFmtId="41" fontId="23" fillId="0" borderId="0" xfId="0" applyNumberFormat="1" applyFont="1" applyAlignment="1">
      <alignment horizontal="center"/>
    </xf>
    <xf numFmtId="165" fontId="23" fillId="0" borderId="0" xfId="4" applyNumberFormat="1" applyFont="1" applyFill="1"/>
    <xf numFmtId="10" fontId="23" fillId="0" borderId="0" xfId="0" applyNumberFormat="1" applyFont="1"/>
    <xf numFmtId="43" fontId="0" fillId="0" borderId="0" xfId="1" applyFont="1" applyAlignment="1">
      <alignment horizontal="right" vertical="top"/>
    </xf>
    <xf numFmtId="172" fontId="23" fillId="0" borderId="0" xfId="1" applyNumberFormat="1" applyFont="1" applyFill="1" applyAlignment="1"/>
    <xf numFmtId="43" fontId="23" fillId="0" borderId="0" xfId="0" applyNumberFormat="1" applyFont="1"/>
    <xf numFmtId="172" fontId="23" fillId="0" borderId="0" xfId="1" applyNumberFormat="1" applyFont="1" applyFill="1"/>
    <xf numFmtId="0" fontId="23" fillId="0" borderId="0" xfId="0" applyFont="1" applyAlignment="1">
      <alignment vertical="top"/>
    </xf>
    <xf numFmtId="0" fontId="23" fillId="5" borderId="2" xfId="0" applyFont="1" applyFill="1" applyBorder="1" applyAlignment="1">
      <alignment vertical="top"/>
    </xf>
    <xf numFmtId="43" fontId="23" fillId="0" borderId="0" xfId="1" applyFont="1" applyAlignment="1">
      <alignment horizontal="right" vertical="top"/>
    </xf>
    <xf numFmtId="0" fontId="3" fillId="0" borderId="0" xfId="0" applyFont="1" applyAlignment="1">
      <alignment horizontal="right"/>
    </xf>
    <xf numFmtId="3" fontId="23" fillId="0" borderId="0" xfId="0" applyNumberFormat="1" applyFont="1" applyProtection="1">
      <protection locked="0"/>
    </xf>
    <xf numFmtId="5" fontId="2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5" fontId="0" fillId="3" borderId="0" xfId="0" applyNumberFormat="1" applyFill="1"/>
    <xf numFmtId="43" fontId="0" fillId="0" borderId="0" xfId="1" applyFont="1" applyFill="1" applyAlignment="1">
      <alignment horizontal="right" vertical="top"/>
    </xf>
    <xf numFmtId="43" fontId="23" fillId="0" borderId="0" xfId="1" applyFont="1" applyFill="1" applyBorder="1" applyAlignment="1"/>
    <xf numFmtId="0" fontId="4" fillId="0" borderId="0" xfId="0" applyFont="1"/>
    <xf numFmtId="17" fontId="26" fillId="0" borderId="0" xfId="0" applyNumberFormat="1" applyFont="1" applyAlignment="1">
      <alignment horizontal="center"/>
    </xf>
    <xf numFmtId="0" fontId="26" fillId="0" borderId="0" xfId="0" applyFont="1"/>
    <xf numFmtId="0" fontId="4" fillId="0" borderId="0" xfId="0" applyFont="1" applyAlignment="1">
      <alignment horizontal="center"/>
    </xf>
    <xf numFmtId="17" fontId="23" fillId="0" borderId="0" xfId="0" applyNumberFormat="1" applyFont="1" applyAlignment="1">
      <alignment vertical="top"/>
    </xf>
    <xf numFmtId="17" fontId="23" fillId="0" borderId="0" xfId="0" applyNumberFormat="1" applyFont="1" applyAlignment="1">
      <alignment horizontal="center" vertical="top"/>
    </xf>
    <xf numFmtId="43" fontId="23" fillId="0" borderId="0" xfId="1" applyFont="1" applyFill="1" applyAlignment="1">
      <alignment horizontal="right" vertical="top"/>
    </xf>
    <xf numFmtId="167" fontId="23" fillId="0" borderId="3" xfId="0" applyNumberFormat="1" applyFont="1" applyBorder="1"/>
    <xf numFmtId="3" fontId="23" fillId="0" borderId="0" xfId="0" applyNumberFormat="1" applyFont="1" applyAlignment="1">
      <alignment horizontal="left"/>
    </xf>
    <xf numFmtId="17" fontId="31" fillId="0" borderId="0" xfId="0" applyNumberFormat="1" applyFont="1" applyAlignment="1">
      <alignment horizontal="center"/>
    </xf>
    <xf numFmtId="43" fontId="23" fillId="0" borderId="0" xfId="1" applyFont="1" applyFill="1"/>
    <xf numFmtId="0" fontId="4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5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43" fontId="4" fillId="0" borderId="0" xfId="1" applyFont="1"/>
    <xf numFmtId="0" fontId="33" fillId="0" borderId="0" xfId="0" applyFont="1"/>
    <xf numFmtId="14" fontId="34" fillId="3" borderId="0" xfId="0" quotePrefix="1" applyNumberFormat="1" applyFont="1" applyFill="1" applyAlignment="1">
      <alignment horizontal="center" vertical="center"/>
    </xf>
    <xf numFmtId="3" fontId="34" fillId="3" borderId="0" xfId="0" quotePrefix="1" applyNumberFormat="1" applyFont="1" applyFill="1" applyAlignment="1">
      <alignment horizontal="center" vertical="center"/>
    </xf>
    <xf numFmtId="172" fontId="0" fillId="0" borderId="0" xfId="1" applyNumberFormat="1" applyFont="1"/>
    <xf numFmtId="10" fontId="23" fillId="0" borderId="0" xfId="4" applyNumberFormat="1" applyFont="1" applyFill="1" applyAlignment="1"/>
    <xf numFmtId="169" fontId="23" fillId="0" borderId="0" xfId="17" applyNumberFormat="1" applyFont="1" applyFill="1"/>
    <xf numFmtId="0" fontId="35" fillId="0" borderId="0" xfId="0" applyFont="1" applyAlignment="1" applyProtection="1">
      <alignment horizontal="left"/>
      <protection locked="0"/>
    </xf>
    <xf numFmtId="171" fontId="35" fillId="0" borderId="0" xfId="0" applyNumberFormat="1" applyFont="1" applyAlignment="1" applyProtection="1">
      <alignment horizontal="left"/>
      <protection locked="0"/>
    </xf>
    <xf numFmtId="0" fontId="30" fillId="0" borderId="0" xfId="0" applyFont="1" applyAlignment="1" applyProtection="1">
      <alignment horizontal="left"/>
      <protection locked="0"/>
    </xf>
    <xf numFmtId="43" fontId="32" fillId="0" borderId="0" xfId="1" applyFont="1"/>
    <xf numFmtId="1" fontId="0" fillId="0" borderId="0" xfId="1" applyNumberFormat="1" applyFont="1" applyAlignment="1">
      <alignment horizontal="right" vertical="top"/>
    </xf>
    <xf numFmtId="14" fontId="4" fillId="0" borderId="0" xfId="0" applyNumberFormat="1" applyFont="1" applyAlignment="1">
      <alignment vertical="top"/>
    </xf>
    <xf numFmtId="43" fontId="4" fillId="0" borderId="0" xfId="1" applyFont="1" applyAlignment="1">
      <alignment horizontal="right" vertical="top"/>
    </xf>
    <xf numFmtId="4" fontId="0" fillId="0" borderId="0" xfId="0" applyNumberFormat="1" applyAlignment="1">
      <alignment vertical="top"/>
    </xf>
    <xf numFmtId="43" fontId="0" fillId="0" borderId="0" xfId="0" applyNumberFormat="1" applyAlignment="1">
      <alignment vertical="top"/>
    </xf>
    <xf numFmtId="43" fontId="30" fillId="0" borderId="0" xfId="1" applyFont="1"/>
    <xf numFmtId="43" fontId="4" fillId="0" borderId="0" xfId="1" applyFont="1" applyFill="1"/>
    <xf numFmtId="0" fontId="30" fillId="0" borderId="0" xfId="0" applyFont="1" applyAlignment="1">
      <alignment vertical="top"/>
    </xf>
    <xf numFmtId="172" fontId="29" fillId="0" borderId="0" xfId="1" applyNumberFormat="1" applyFont="1"/>
    <xf numFmtId="172" fontId="30" fillId="0" borderId="0" xfId="1" applyNumberFormat="1" applyFont="1"/>
    <xf numFmtId="43" fontId="4" fillId="0" borderId="0" xfId="1" applyFont="1" applyFill="1" applyAlignment="1">
      <alignment horizontal="right" vertical="top"/>
    </xf>
    <xf numFmtId="4" fontId="23" fillId="0" borderId="0" xfId="0" applyNumberFormat="1" applyFont="1"/>
    <xf numFmtId="3" fontId="23" fillId="0" borderId="5" xfId="0" applyNumberFormat="1" applyFont="1" applyBorder="1"/>
    <xf numFmtId="10" fontId="23" fillId="0" borderId="5" xfId="0" applyNumberFormat="1" applyFont="1" applyBorder="1"/>
    <xf numFmtId="4" fontId="23" fillId="0" borderId="5" xfId="0" applyNumberFormat="1" applyFont="1" applyBorder="1"/>
    <xf numFmtId="165" fontId="23" fillId="0" borderId="5" xfId="0" applyNumberFormat="1" applyFont="1" applyBorder="1"/>
    <xf numFmtId="3" fontId="4" fillId="2" borderId="0" xfId="0" applyNumberFormat="1" applyFont="1" applyFill="1"/>
    <xf numFmtId="5" fontId="4" fillId="3" borderId="0" xfId="0" applyNumberFormat="1" applyFont="1" applyFill="1"/>
    <xf numFmtId="0" fontId="0" fillId="0" borderId="17" xfId="0" applyBorder="1"/>
    <xf numFmtId="5" fontId="0" fillId="0" borderId="0" xfId="1" applyNumberFormat="1" applyFont="1" applyBorder="1"/>
    <xf numFmtId="10" fontId="0" fillId="0" borderId="0" xfId="4" applyNumberFormat="1" applyFont="1" applyBorder="1"/>
    <xf numFmtId="10" fontId="0" fillId="0" borderId="18" xfId="4" applyNumberFormat="1" applyFont="1" applyBorder="1"/>
    <xf numFmtId="0" fontId="6" fillId="15" borderId="19" xfId="0" applyFont="1" applyFill="1" applyBorder="1"/>
    <xf numFmtId="5" fontId="6" fillId="15" borderId="1" xfId="1" applyNumberFormat="1" applyFont="1" applyFill="1" applyBorder="1"/>
    <xf numFmtId="10" fontId="6" fillId="15" borderId="1" xfId="0" applyNumberFormat="1" applyFont="1" applyFill="1" applyBorder="1"/>
    <xf numFmtId="0" fontId="6" fillId="15" borderId="1" xfId="0" applyFont="1" applyFill="1" applyBorder="1"/>
    <xf numFmtId="10" fontId="6" fillId="15" borderId="20" xfId="0" applyNumberFormat="1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0" xfId="0" applyFont="1" applyFill="1" applyAlignment="1">
      <alignment horizontal="center"/>
    </xf>
    <xf numFmtId="0" fontId="36" fillId="14" borderId="18" xfId="0" applyFont="1" applyFill="1" applyBorder="1" applyAlignment="1">
      <alignment horizontal="center"/>
    </xf>
    <xf numFmtId="10" fontId="0" fillId="0" borderId="0" xfId="0" applyNumberFormat="1"/>
    <xf numFmtId="10" fontId="4" fillId="13" borderId="0" xfId="4" applyNumberFormat="1" applyFont="1" applyFill="1" applyAlignment="1"/>
    <xf numFmtId="0" fontId="4" fillId="0" borderId="0" xfId="0" applyFont="1" applyAlignment="1" applyProtection="1">
      <alignment horizontal="left"/>
      <protection locked="0"/>
    </xf>
    <xf numFmtId="171" fontId="4" fillId="0" borderId="0" xfId="0" applyNumberFormat="1" applyFont="1" applyAlignment="1" applyProtection="1">
      <alignment horizontal="left"/>
      <protection locked="0"/>
    </xf>
    <xf numFmtId="4" fontId="23" fillId="0" borderId="3" xfId="0" applyNumberFormat="1" applyFont="1" applyBorder="1"/>
    <xf numFmtId="0" fontId="2" fillId="0" borderId="0" xfId="0" applyFont="1" applyAlignment="1">
      <alignment horizontal="right"/>
    </xf>
    <xf numFmtId="172" fontId="4" fillId="0" borderId="0" xfId="1" applyNumberFormat="1" applyFont="1" applyFill="1"/>
    <xf numFmtId="0" fontId="29" fillId="0" borderId="0" xfId="0" applyFont="1" applyAlignment="1">
      <alignment horizontal="right"/>
    </xf>
    <xf numFmtId="10" fontId="23" fillId="0" borderId="3" xfId="0" applyNumberFormat="1" applyFont="1" applyBorder="1"/>
    <xf numFmtId="172" fontId="29" fillId="0" borderId="0" xfId="1" applyNumberFormat="1" applyFont="1" applyFill="1"/>
    <xf numFmtId="10" fontId="23" fillId="0" borderId="0" xfId="4" applyNumberFormat="1" applyFont="1" applyFill="1"/>
    <xf numFmtId="0" fontId="1" fillId="0" borderId="0" xfId="0" applyFont="1" applyAlignment="1">
      <alignment horizontal="right"/>
    </xf>
    <xf numFmtId="5" fontId="23" fillId="0" borderId="6" xfId="0" applyNumberFormat="1" applyFont="1" applyBorder="1"/>
    <xf numFmtId="5" fontId="22" fillId="0" borderId="0" xfId="0" applyNumberFormat="1" applyFont="1"/>
    <xf numFmtId="0" fontId="23" fillId="0" borderId="0" xfId="0" applyFont="1" applyAlignment="1">
      <alignment horizontal="centerContinuous"/>
    </xf>
    <xf numFmtId="0" fontId="20" fillId="0" borderId="0" xfId="0" applyFont="1"/>
    <xf numFmtId="0" fontId="20" fillId="0" borderId="0" xfId="0" applyFont="1" applyAlignment="1">
      <alignment horizontal="right"/>
    </xf>
    <xf numFmtId="170" fontId="23" fillId="0" borderId="0" xfId="0" applyNumberFormat="1" applyFont="1" applyAlignment="1">
      <alignment horizontal="center"/>
    </xf>
    <xf numFmtId="43" fontId="23" fillId="0" borderId="0" xfId="1" applyFont="1" applyFill="1" applyAlignment="1">
      <alignment horizontal="center"/>
    </xf>
    <xf numFmtId="3" fontId="20" fillId="0" borderId="5" xfId="0" applyNumberFormat="1" applyFont="1" applyBorder="1"/>
    <xf numFmtId="3" fontId="23" fillId="0" borderId="4" xfId="0" applyNumberFormat="1" applyFont="1" applyBorder="1" applyAlignment="1">
      <alignment horizontal="center"/>
    </xf>
    <xf numFmtId="3" fontId="23" fillId="0" borderId="4" xfId="0" applyNumberFormat="1" applyFont="1" applyBorder="1"/>
    <xf numFmtId="3" fontId="25" fillId="0" borderId="0" xfId="0" applyNumberFormat="1" applyFont="1" applyAlignment="1">
      <alignment horizontal="center"/>
    </xf>
    <xf numFmtId="3" fontId="23" fillId="0" borderId="5" xfId="0" applyNumberFormat="1" applyFont="1" applyBorder="1" applyAlignment="1">
      <alignment horizontal="center"/>
    </xf>
    <xf numFmtId="170" fontId="23" fillId="0" borderId="5" xfId="0" applyNumberFormat="1" applyFont="1" applyBorder="1" applyAlignment="1">
      <alignment horizontal="center"/>
    </xf>
    <xf numFmtId="17" fontId="23" fillId="0" borderId="5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center"/>
    </xf>
    <xf numFmtId="168" fontId="23" fillId="0" borderId="0" xfId="0" applyNumberFormat="1" applyFont="1"/>
    <xf numFmtId="3" fontId="23" fillId="0" borderId="0" xfId="0" applyNumberFormat="1" applyFont="1" applyAlignment="1">
      <alignment horizontal="left" indent="1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 indent="1"/>
    </xf>
    <xf numFmtId="0" fontId="23" fillId="0" borderId="0" xfId="0" quotePrefix="1" applyFont="1"/>
    <xf numFmtId="42" fontId="23" fillId="0" borderId="6" xfId="0" applyNumberFormat="1" applyFont="1" applyBorder="1"/>
    <xf numFmtId="172" fontId="23" fillId="0" borderId="0" xfId="0" applyNumberFormat="1" applyFont="1"/>
    <xf numFmtId="10" fontId="23" fillId="0" borderId="0" xfId="0" applyNumberFormat="1" applyFont="1" applyAlignment="1">
      <alignment horizontal="center"/>
    </xf>
    <xf numFmtId="7" fontId="23" fillId="0" borderId="0" xfId="0" applyNumberFormat="1" applyFont="1"/>
    <xf numFmtId="37" fontId="25" fillId="0" borderId="0" xfId="0" applyNumberFormat="1" applyFont="1"/>
    <xf numFmtId="17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69" fontId="23" fillId="0" borderId="0" xfId="0" applyNumberFormat="1" applyFont="1"/>
    <xf numFmtId="164" fontId="23" fillId="0" borderId="6" xfId="0" applyNumberFormat="1" applyFont="1" applyBorder="1"/>
    <xf numFmtId="165" fontId="23" fillId="0" borderId="6" xfId="0" applyNumberFormat="1" applyFont="1" applyBorder="1"/>
    <xf numFmtId="172" fontId="23" fillId="0" borderId="6" xfId="0" applyNumberFormat="1" applyFont="1" applyBorder="1"/>
    <xf numFmtId="44" fontId="23" fillId="0" borderId="0" xfId="0" applyNumberFormat="1" applyFont="1"/>
    <xf numFmtId="42" fontId="25" fillId="0" borderId="0" xfId="0" applyNumberFormat="1" applyFont="1" applyAlignment="1">
      <alignment horizontal="center"/>
    </xf>
    <xf numFmtId="42" fontId="23" fillId="0" borderId="0" xfId="0" applyNumberFormat="1" applyFont="1" applyAlignment="1">
      <alignment horizontal="center"/>
    </xf>
    <xf numFmtId="42" fontId="28" fillId="0" borderId="0" xfId="0" applyNumberFormat="1" applyFont="1" applyAlignment="1">
      <alignment horizontal="center"/>
    </xf>
    <xf numFmtId="0" fontId="23" fillId="0" borderId="13" xfId="0" applyFont="1" applyBorder="1" applyAlignment="1">
      <alignment horizontal="center"/>
    </xf>
    <xf numFmtId="38" fontId="23" fillId="0" borderId="0" xfId="0" applyNumberFormat="1" applyFont="1"/>
    <xf numFmtId="38" fontId="23" fillId="0" borderId="0" xfId="0" applyNumberFormat="1" applyFont="1" applyAlignment="1">
      <alignment horizontal="center"/>
    </xf>
    <xf numFmtId="174" fontId="23" fillId="0" borderId="0" xfId="0" applyNumberFormat="1" applyFont="1"/>
    <xf numFmtId="43" fontId="23" fillId="0" borderId="3" xfId="1" applyFont="1" applyFill="1" applyBorder="1"/>
    <xf numFmtId="43" fontId="23" fillId="0" borderId="3" xfId="0" applyNumberFormat="1" applyFont="1" applyBorder="1"/>
    <xf numFmtId="9" fontId="23" fillId="0" borderId="0" xfId="0" applyNumberFormat="1" applyFont="1" applyAlignment="1">
      <alignment horizontal="left"/>
    </xf>
    <xf numFmtId="0" fontId="36" fillId="14" borderId="14" xfId="0" applyFont="1" applyFill="1" applyBorder="1" applyAlignment="1">
      <alignment horizontal="center"/>
    </xf>
    <xf numFmtId="0" fontId="36" fillId="14" borderId="15" xfId="0" applyFont="1" applyFill="1" applyBorder="1" applyAlignment="1">
      <alignment horizontal="center"/>
    </xf>
    <xf numFmtId="0" fontId="36" fillId="14" borderId="16" xfId="0" applyFont="1" applyFill="1" applyBorder="1" applyAlignment="1">
      <alignment horizontal="center"/>
    </xf>
    <xf numFmtId="0" fontId="36" fillId="14" borderId="17" xfId="0" applyFont="1" applyFill="1" applyBorder="1" applyAlignment="1">
      <alignment horizontal="center"/>
    </xf>
    <xf numFmtId="0" fontId="36" fillId="14" borderId="0" xfId="0" applyFont="1" applyFill="1" applyAlignment="1">
      <alignment horizontal="center"/>
    </xf>
    <xf numFmtId="0" fontId="36" fillId="14" borderId="18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</cellXfs>
  <cellStyles count="18">
    <cellStyle name="Comma" xfId="1" builtinId="3"/>
    <cellStyle name="Comma 2" xfId="16" xr:uid="{00000000-0005-0000-0000-000001000000}"/>
    <cellStyle name="Currency" xfId="17" builtinId="4"/>
    <cellStyle name="Normal" xfId="0" builtinId="0"/>
    <cellStyle name="Normal 2" xfId="2" xr:uid="{00000000-0005-0000-0000-000003000000}"/>
    <cellStyle name="Normal 4" xfId="3" xr:uid="{00000000-0005-0000-0000-000004000000}"/>
    <cellStyle name="Percent" xfId="4" builtinId="5"/>
    <cellStyle name="SAPDataCell" xfId="5" xr:uid="{00000000-0005-0000-0000-000006000000}"/>
    <cellStyle name="SAPDataTotalCell" xfId="6" xr:uid="{00000000-0005-0000-0000-000007000000}"/>
    <cellStyle name="SAPDimensionCell" xfId="7" xr:uid="{00000000-0005-0000-0000-000008000000}"/>
    <cellStyle name="SAPEmphasized" xfId="8" xr:uid="{00000000-0005-0000-0000-000009000000}"/>
    <cellStyle name="SAPHierarchyCell0" xfId="9" xr:uid="{00000000-0005-0000-0000-00000A000000}"/>
    <cellStyle name="SAPHierarchyCell1" xfId="10" xr:uid="{00000000-0005-0000-0000-00000B000000}"/>
    <cellStyle name="SAPHierarchyCell2" xfId="11" xr:uid="{00000000-0005-0000-0000-00000C000000}"/>
    <cellStyle name="SAPHierarchyCell3" xfId="12" xr:uid="{00000000-0005-0000-0000-00000D000000}"/>
    <cellStyle name="SAPHierarchyCell4" xfId="13" xr:uid="{00000000-0005-0000-0000-00000E000000}"/>
    <cellStyle name="SAPMemberCell" xfId="14" xr:uid="{00000000-0005-0000-0000-00000F000000}"/>
    <cellStyle name="SAPMemberTotalCell" xfId="1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1</xdr:row>
      <xdr:rowOff>12699</xdr:rowOff>
    </xdr:from>
    <xdr:to>
      <xdr:col>12</xdr:col>
      <xdr:colOff>516370</xdr:colOff>
      <xdr:row>24</xdr:row>
      <xdr:rowOff>34322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5C18A-8B37-F053-AF93-0834CACF3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203199"/>
          <a:ext cx="4056495" cy="3799873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24</xdr:row>
      <xdr:rowOff>25399</xdr:rowOff>
    </xdr:from>
    <xdr:to>
      <xdr:col>12</xdr:col>
      <xdr:colOff>519873</xdr:colOff>
      <xdr:row>37</xdr:row>
      <xdr:rowOff>101599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0011DE-33C3-AE3C-33DB-0790606F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6625" y="3994149"/>
          <a:ext cx="4044123" cy="2139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88901</xdr:colOff>
      <xdr:row>4</xdr:row>
      <xdr:rowOff>53975</xdr:rowOff>
    </xdr:from>
    <xdr:to>
      <xdr:col>14</xdr:col>
      <xdr:colOff>332391</xdr:colOff>
      <xdr:row>26</xdr:row>
      <xdr:rowOff>43843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092532-B944-77EB-4FB4-AB05E8EDB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7776" y="784225"/>
          <a:ext cx="3862990" cy="3482368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26</xdr:row>
      <xdr:rowOff>92075</xdr:rowOff>
    </xdr:from>
    <xdr:to>
      <xdr:col>14</xdr:col>
      <xdr:colOff>326207</xdr:colOff>
      <xdr:row>48</xdr:row>
      <xdr:rowOff>129563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777F2B-51F1-3C10-D7E5-DE8CC86BA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1275" y="4314825"/>
          <a:ext cx="3793307" cy="3529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KY\2025%20Water%20Rate%20Case\Exhibits%20-%20Actual%20Update\2025%20KY%20Constants_Financial%20Data.xlsx" TargetMode="External"/><Relationship Id="rId1" Type="http://schemas.openxmlformats.org/officeDocument/2006/relationships/externalLinkPath" Target="/KY/2025%20Water%20Rate%20Case/Exhibits%20-%20Actual%20Update/2025%20KY%20Constants_Financi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vvi_j_fzl0SVx9bg-A3jyVwcyv3kRahMsDLdeRy36e9S--YvpcCSSqhCx48gR2XL" itemId="01MLRRGIWGM7FN27I4JFAL2DMKSPFJ646D">
      <xxl21:absoluteUrl r:id="rId2"/>
    </xxl21:alternateUrls>
    <sheetNames>
      <sheetName val="Notes"/>
      <sheetName val="Link in Base Fcst"/>
      <sheetName val="Link in Inc Act"/>
      <sheetName val="Link Out Inc Stmt"/>
      <sheetName val="Link Out Rev Req"/>
      <sheetName val="Rate Case Constants"/>
      <sheetName val="Link Out WP"/>
      <sheetName val="Link Out Filing Exhibits"/>
      <sheetName val="Link Out System Delivery"/>
      <sheetName val="Structure"/>
    </sheetNames>
    <sheetDataSet>
      <sheetData sheetId="0"/>
      <sheetData sheetId="1"/>
      <sheetData sheetId="2"/>
      <sheetData sheetId="3"/>
      <sheetData sheetId="4"/>
      <sheetData sheetId="5">
        <row r="9">
          <cell r="C9" t="str">
            <v>Kentucky American Water Company</v>
          </cell>
        </row>
        <row r="10">
          <cell r="C10" t="str">
            <v>KENTUCKY AMERICAN WATER COMPANY</v>
          </cell>
        </row>
        <row r="11">
          <cell r="C11" t="str">
            <v>Case No. 2025-00122</v>
          </cell>
        </row>
        <row r="12">
          <cell r="C12">
            <v>45900</v>
          </cell>
        </row>
        <row r="13">
          <cell r="C13">
            <v>46387</v>
          </cell>
        </row>
        <row r="15">
          <cell r="C15" t="str">
            <v>Base Year (12 Months Ending August 31, 2025)</v>
          </cell>
        </row>
        <row r="17">
          <cell r="C17" t="str">
            <v>Forecast Year (12 Months Ending December 31, 2026)</v>
          </cell>
        </row>
        <row r="24">
          <cell r="C24" t="str">
            <v>Type of Filing: _____ Original  __X__ Updated  _____ Revised</v>
          </cell>
        </row>
        <row r="25">
          <cell r="C25" t="str">
            <v>Type of Filing: _____ Original  __X__ Updated  _____ Revised</v>
          </cell>
        </row>
        <row r="26">
          <cell r="C26" t="str">
            <v>Type of Filing: _____ Original  __X__ Updated  _____ Revised</v>
          </cell>
        </row>
        <row r="40">
          <cell r="C40" t="str">
            <v>Witness Responsible:   Jennifer Gonzales</v>
          </cell>
        </row>
      </sheetData>
      <sheetData sheetId="6">
        <row r="85">
          <cell r="D85" t="str">
            <v>13-Month Average</v>
          </cell>
          <cell r="F85" t="str">
            <v>W/P - 7-1</v>
          </cell>
        </row>
        <row r="86">
          <cell r="D86" t="str">
            <v>Summary</v>
          </cell>
          <cell r="F86" t="str">
            <v>W/P - 7-2</v>
          </cell>
        </row>
        <row r="87">
          <cell r="D87" t="str">
            <v>Short-Term Debt</v>
          </cell>
          <cell r="F87" t="str">
            <v>W/P - 7-3</v>
          </cell>
        </row>
        <row r="88">
          <cell r="D88" t="str">
            <v>Long-Term Debt</v>
          </cell>
          <cell r="F88" t="str">
            <v>W/P - 7-4</v>
          </cell>
        </row>
        <row r="89">
          <cell r="D89" t="str">
            <v>Preferred Stock</v>
          </cell>
          <cell r="F89" t="str">
            <v>W/P - 7-5</v>
          </cell>
        </row>
        <row r="90">
          <cell r="D90" t="str">
            <v>Common Equity</v>
          </cell>
          <cell r="F90" t="str">
            <v>W/P - 7-6</v>
          </cell>
        </row>
        <row r="91">
          <cell r="D91" t="str">
            <v>JDITC</v>
          </cell>
          <cell r="F91" t="str">
            <v>W/P - 7-7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2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13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12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6.bin"/><Relationship Id="rId16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11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9.bin"/><Relationship Id="rId1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8.bin"/><Relationship Id="rId9" Type="http://schemas.openxmlformats.org/officeDocument/2006/relationships/printerSettings" Target="../printerSettings/printerSettings13.bin"/><Relationship Id="rId14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038"/>
  <sheetViews>
    <sheetView zoomScale="90" zoomScaleNormal="90" workbookViewId="0">
      <selection activeCell="C5" sqref="C5"/>
    </sheetView>
  </sheetViews>
  <sheetFormatPr defaultColWidth="15.42578125" defaultRowHeight="12.75" x14ac:dyDescent="0.2"/>
  <cols>
    <col min="1" max="1" width="6.28515625" customWidth="1"/>
    <col min="2" max="2" width="44.5703125" customWidth="1"/>
    <col min="3" max="6" width="15.7109375" customWidth="1"/>
    <col min="11" max="11" width="24.85546875" bestFit="1" customWidth="1"/>
  </cols>
  <sheetData>
    <row r="1" spans="2:6" ht="15.75" x14ac:dyDescent="0.25">
      <c r="B1" s="4" t="s">
        <v>0</v>
      </c>
      <c r="C1" s="107" t="s">
        <v>1</v>
      </c>
      <c r="D1" s="108" t="s">
        <v>2</v>
      </c>
      <c r="E1" s="108" t="str">
        <f>D1</f>
        <v>Dec 2026</v>
      </c>
    </row>
    <row r="2" spans="2:6" ht="16.5" thickBot="1" x14ac:dyDescent="0.3">
      <c r="C2" s="5" t="s">
        <v>3</v>
      </c>
      <c r="D2" s="5" t="s">
        <v>4</v>
      </c>
      <c r="E2" s="5" t="s">
        <v>5</v>
      </c>
    </row>
    <row r="3" spans="2:6" x14ac:dyDescent="0.2">
      <c r="B3" s="1" t="s">
        <v>6</v>
      </c>
      <c r="C3" s="6">
        <f>'Sch J-2'!Q72</f>
        <v>7.8200000000000006E-2</v>
      </c>
      <c r="D3" s="6">
        <f>'Sch J-1'!Q26</f>
        <v>7.8600000000000003E-2</v>
      </c>
      <c r="E3" s="6">
        <f>'Sch J-2'!Q26</f>
        <v>7.8800000000000009E-2</v>
      </c>
      <c r="F3" t="s">
        <v>7</v>
      </c>
    </row>
    <row r="4" spans="2:6" x14ac:dyDescent="0.2">
      <c r="B4" s="1" t="s">
        <v>8</v>
      </c>
      <c r="C4" s="23">
        <f>'Sch J WPs'!Q453</f>
        <v>1.75</v>
      </c>
      <c r="D4" s="7">
        <f>'Sch J WPs'!AH453</f>
        <v>2</v>
      </c>
      <c r="E4" s="7">
        <f>'Sch J WPs'!AG453</f>
        <v>1.75</v>
      </c>
      <c r="F4" s="90" t="s">
        <v>9</v>
      </c>
    </row>
    <row r="5" spans="2:6" x14ac:dyDescent="0.2">
      <c r="B5" s="1" t="s">
        <v>10</v>
      </c>
      <c r="C5" s="23">
        <f>'Sch J WPs'!Q450</f>
        <v>0.64000000000216917</v>
      </c>
      <c r="D5" s="7">
        <f>'Sch J WPs'!AH450</f>
        <v>0.64000000000216928</v>
      </c>
      <c r="E5" s="7">
        <f>'Sch J WPs'!AG450</f>
        <v>0.64000000000216917</v>
      </c>
      <c r="F5" s="90" t="s">
        <v>9</v>
      </c>
    </row>
    <row r="6" spans="2:6" x14ac:dyDescent="0.2">
      <c r="B6" s="1" t="s">
        <v>11</v>
      </c>
      <c r="C6" s="7">
        <f>'Sch J-2'!G70</f>
        <v>342467542.65000015</v>
      </c>
      <c r="D6" s="7">
        <f>'Sch J-1'!G24</f>
        <v>356818464.94526547</v>
      </c>
      <c r="E6" s="28">
        <f>'Sch J-2'!G24</f>
        <v>369937924.67808682</v>
      </c>
      <c r="F6" s="90" t="s">
        <v>12</v>
      </c>
    </row>
    <row r="7" spans="2:6" x14ac:dyDescent="0.2">
      <c r="B7" s="1" t="s">
        <v>13</v>
      </c>
      <c r="C7" s="7">
        <f>'Sch J-2'!G68</f>
        <v>2245654.35</v>
      </c>
      <c r="D7" s="7">
        <f>'Sch J-1'!G22</f>
        <v>2245973.7738461541</v>
      </c>
      <c r="E7" s="28">
        <f>'Sch J-2'!G22</f>
        <v>2246137.2000000002</v>
      </c>
      <c r="F7" s="90" t="s">
        <v>12</v>
      </c>
    </row>
    <row r="8" spans="2:6" x14ac:dyDescent="0.2">
      <c r="B8" s="1" t="s">
        <v>14</v>
      </c>
      <c r="C8" s="7">
        <f>'Sch J-2'!G66</f>
        <v>292250543.8014701</v>
      </c>
      <c r="D8" s="7">
        <f>'Sch J-1'!G20</f>
        <v>314834744.0867008</v>
      </c>
      <c r="E8" s="7">
        <f>'Sch J-2'!G20</f>
        <v>323301054.37168545</v>
      </c>
      <c r="F8" s="90" t="s">
        <v>15</v>
      </c>
    </row>
    <row r="9" spans="2:6" x14ac:dyDescent="0.2">
      <c r="B9" s="1" t="s">
        <v>16</v>
      </c>
      <c r="C9" s="7">
        <f>'Sch J-2'!G64</f>
        <v>15704767.890000001</v>
      </c>
      <c r="D9" s="7">
        <f>'Sch J-1'!G18</f>
        <v>8914663.3791061454</v>
      </c>
      <c r="E9" s="28">
        <f>'Sch J-2'!G18</f>
        <v>16412973.364313511</v>
      </c>
      <c r="F9" t="s">
        <v>17</v>
      </c>
    </row>
    <row r="10" spans="2:6" x14ac:dyDescent="0.2">
      <c r="B10" s="24" t="s">
        <v>18</v>
      </c>
      <c r="C10" s="23">
        <f>SUM('Sch J WPs'!F274:Q274)</f>
        <v>12699224.997600004</v>
      </c>
      <c r="D10" s="7">
        <f>'Sch J WPs'!AH274</f>
        <v>14531042.888700005</v>
      </c>
      <c r="E10" s="23">
        <f>'Sch J WPs'!AH274</f>
        <v>14531042.888700005</v>
      </c>
      <c r="F10" t="s">
        <v>17</v>
      </c>
    </row>
    <row r="11" spans="2:6" x14ac:dyDescent="0.2">
      <c r="B11" s="1" t="s">
        <v>19</v>
      </c>
      <c r="C11" s="87">
        <f>'Sch J-4'!U105</f>
        <v>377793</v>
      </c>
      <c r="D11" s="7">
        <f>'Sch J WPs'!AH130</f>
        <v>323674.29111111123</v>
      </c>
      <c r="E11" s="87">
        <f>'Sch J-4'!U50</f>
        <v>341713.75543930539</v>
      </c>
      <c r="F11" t="s">
        <v>17</v>
      </c>
    </row>
    <row r="12" spans="2:6" x14ac:dyDescent="0.2">
      <c r="B12" s="1" t="s">
        <v>20</v>
      </c>
      <c r="C12" s="25">
        <f>'Sch J-2'!Q64</f>
        <v>1.1000000000000001E-3</v>
      </c>
      <c r="D12" s="6">
        <f>'Sch J-1'!Q18</f>
        <v>5.0000000000000001E-4</v>
      </c>
      <c r="E12" s="6"/>
      <c r="F12" s="90" t="s">
        <v>21</v>
      </c>
    </row>
    <row r="13" spans="2:6" x14ac:dyDescent="0.2">
      <c r="B13" s="1" t="s">
        <v>22</v>
      </c>
      <c r="C13" s="25">
        <f>'Sch J-2'!Q66</f>
        <v>2.0400000000000001E-2</v>
      </c>
      <c r="D13" s="6">
        <f>'Sch J-1'!Q20</f>
        <v>2.1600000000000001E-2</v>
      </c>
      <c r="E13" s="8"/>
      <c r="F13" t="s">
        <v>23</v>
      </c>
    </row>
    <row r="14" spans="2:6" x14ac:dyDescent="0.2">
      <c r="B14" s="1" t="s">
        <v>24</v>
      </c>
      <c r="C14" s="25">
        <f>'Sch J-2'!Q70</f>
        <v>5.6399999999999999E-2</v>
      </c>
      <c r="D14" s="6">
        <f>'Sch J-1'!Q24</f>
        <v>5.62E-2</v>
      </c>
      <c r="E14" s="8"/>
      <c r="F14" t="s">
        <v>23</v>
      </c>
    </row>
    <row r="15" spans="2:6" x14ac:dyDescent="0.2">
      <c r="B15" s="1" t="s">
        <v>25</v>
      </c>
      <c r="C15" s="25">
        <f>'Sch J-2'!Q68</f>
        <v>2.9999999999999997E-4</v>
      </c>
      <c r="D15" s="6">
        <f>'Sch J-1'!Q22</f>
        <v>2.9999999999999997E-4</v>
      </c>
      <c r="E15" s="8"/>
      <c r="F15" t="s">
        <v>23</v>
      </c>
    </row>
    <row r="16" spans="2:6" x14ac:dyDescent="0.2">
      <c r="B16" s="1" t="s">
        <v>26</v>
      </c>
      <c r="C16" s="6">
        <f>'Sch J-2'!O66</f>
        <v>4.5499999999999999E-2</v>
      </c>
      <c r="D16" s="6">
        <f>'Sch J-1'!O20</f>
        <v>4.6892616768924249E-2</v>
      </c>
      <c r="E16" s="25">
        <f>'Sch J-2'!O20</f>
        <v>4.7600000000000003E-2</v>
      </c>
      <c r="F16" s="90" t="s">
        <v>15</v>
      </c>
    </row>
    <row r="17" spans="2:6" x14ac:dyDescent="0.2">
      <c r="B17" s="1" t="s">
        <v>27</v>
      </c>
      <c r="C17" s="6">
        <f>'Sch J-2'!O68</f>
        <v>8.5000000000000006E-2</v>
      </c>
      <c r="D17" s="6">
        <f>'Sch J-1'!O22</f>
        <v>8.5000000000000006E-2</v>
      </c>
      <c r="E17" s="6">
        <f>'Sch J-2'!O22</f>
        <v>8.5000000000000006E-2</v>
      </c>
      <c r="F17" s="90" t="s">
        <v>15</v>
      </c>
    </row>
    <row r="18" spans="2:6" x14ac:dyDescent="0.2">
      <c r="B18" s="1" t="s">
        <v>28</v>
      </c>
      <c r="C18" s="8"/>
      <c r="D18" s="7">
        <f>'Sch J-1'!M26</f>
        <v>682813846.82491851</v>
      </c>
      <c r="E18" s="8"/>
      <c r="F18" t="s">
        <v>29</v>
      </c>
    </row>
    <row r="19" spans="2:6" x14ac:dyDescent="0.2">
      <c r="B19" s="1" t="s">
        <v>11</v>
      </c>
      <c r="C19" s="8"/>
      <c r="D19" s="7">
        <f>'Sch J-1'!M24</f>
        <v>356818465.27970546</v>
      </c>
      <c r="E19" s="6">
        <f>'Sch J-1'!O24</f>
        <v>0.1075</v>
      </c>
    </row>
    <row r="20" spans="2:6" x14ac:dyDescent="0.2">
      <c r="B20" s="1" t="s">
        <v>13</v>
      </c>
      <c r="C20" s="8"/>
      <c r="D20" s="7">
        <f>'Sch J-1'!M22</f>
        <v>2245973.7759561539</v>
      </c>
      <c r="E20" s="6">
        <f>'Sch J-1'!Q22</f>
        <v>2.9999999999999997E-4</v>
      </c>
    </row>
    <row r="21" spans="2:6" x14ac:dyDescent="0.2">
      <c r="B21" s="1" t="s">
        <v>14</v>
      </c>
      <c r="C21" s="8"/>
      <c r="D21" s="7">
        <f>'Sch J-1'!M20</f>
        <v>314834744.38179082</v>
      </c>
      <c r="E21" s="6">
        <f>'Sch J-1'!Q20</f>
        <v>2.1600000000000001E-2</v>
      </c>
    </row>
    <row r="22" spans="2:6" x14ac:dyDescent="0.2">
      <c r="B22" s="1" t="s">
        <v>16</v>
      </c>
      <c r="C22" s="8"/>
      <c r="D22" s="7">
        <f>'Sch J-1'!M18</f>
        <v>8914663.3874661457</v>
      </c>
      <c r="E22" s="6">
        <f>'Sch J-1'!Q18</f>
        <v>5.0000000000000001E-4</v>
      </c>
    </row>
    <row r="23" spans="2:6" x14ac:dyDescent="0.2">
      <c r="B23" s="132" t="s">
        <v>30</v>
      </c>
      <c r="C23" s="133">
        <f>'Sch J-4'!Q105</f>
        <v>13293892</v>
      </c>
      <c r="D23" s="23">
        <f>'Sch J WPs'!AT40</f>
        <v>14763425</v>
      </c>
      <c r="E23" s="133">
        <f>'Sch J-4'!Q50</f>
        <v>15378649</v>
      </c>
      <c r="F23" s="90" t="s">
        <v>31</v>
      </c>
    </row>
    <row r="24" spans="2:6" x14ac:dyDescent="0.2">
      <c r="B24" s="2" t="s">
        <v>32</v>
      </c>
      <c r="C24" s="7">
        <f>SUM('Sch J WPs'!F398:Q398)</f>
        <v>445567.28923672484</v>
      </c>
      <c r="D24" s="7">
        <f>'Sch J WPs'!AH398</f>
        <v>340081.31705623906</v>
      </c>
      <c r="E24" s="87">
        <f>SUM('Sch J WPs'!V398:AG398)</f>
        <v>340081.31705623906</v>
      </c>
    </row>
    <row r="25" spans="2:6" x14ac:dyDescent="0.2">
      <c r="B25" s="1" t="s">
        <v>33</v>
      </c>
      <c r="C25" s="7">
        <f>SUM('Sch J WPs'!F371:Q371)</f>
        <v>190575</v>
      </c>
      <c r="D25" s="7">
        <f>'Sch J WPs'!AH371</f>
        <v>190575</v>
      </c>
      <c r="E25" s="87">
        <f>SUM('Sch J WPs'!V366:AG366)</f>
        <v>190575</v>
      </c>
      <c r="F25" s="90" t="s">
        <v>15</v>
      </c>
    </row>
    <row r="26" spans="2:6" x14ac:dyDescent="0.2">
      <c r="B26" s="1" t="s">
        <v>34</v>
      </c>
      <c r="C26" s="7">
        <f>SUM('Sch J WPs'!F416:Q416)</f>
        <v>14374252.158738237</v>
      </c>
      <c r="D26" s="87"/>
      <c r="E26" s="7">
        <f>SUM('Sch J WPs'!X416:AG416)</f>
        <v>19619501.071913183</v>
      </c>
      <c r="F26" s="90" t="s">
        <v>15</v>
      </c>
    </row>
    <row r="27" spans="2:6" x14ac:dyDescent="0.2">
      <c r="B27" s="1"/>
      <c r="C27" s="8"/>
      <c r="D27" s="8"/>
      <c r="E27" s="8"/>
    </row>
    <row r="28" spans="2:6" x14ac:dyDescent="0.2">
      <c r="B28" s="1" t="s">
        <v>35</v>
      </c>
      <c r="C28" s="8"/>
      <c r="D28" s="23">
        <f>'Sch J-1'!G24</f>
        <v>356818464.94526547</v>
      </c>
      <c r="E28" s="8"/>
      <c r="F28" s="90" t="s">
        <v>15</v>
      </c>
    </row>
    <row r="29" spans="2:6" x14ac:dyDescent="0.2">
      <c r="B29" s="24"/>
      <c r="C29" s="8"/>
      <c r="D29" s="8"/>
      <c r="E29" s="8"/>
    </row>
    <row r="30" spans="2:6" x14ac:dyDescent="0.2">
      <c r="B30" s="1"/>
      <c r="C30" s="8"/>
      <c r="D30" s="7"/>
      <c r="E30" s="8"/>
    </row>
    <row r="31" spans="2:6" x14ac:dyDescent="0.2">
      <c r="B31" s="1"/>
      <c r="C31" s="8"/>
      <c r="D31" s="7"/>
      <c r="E31" s="8"/>
    </row>
    <row r="32" spans="2:6" x14ac:dyDescent="0.2">
      <c r="C32" s="8"/>
      <c r="D32" s="8"/>
      <c r="E32" s="8"/>
    </row>
    <row r="33" spans="2:10" x14ac:dyDescent="0.2">
      <c r="B33" t="s">
        <v>36</v>
      </c>
      <c r="C33" s="8"/>
      <c r="D33" s="6">
        <f>SUM('Sch J-1'!Q18,'Sch J-1'!Q20)</f>
        <v>2.2100000000000002E-2</v>
      </c>
      <c r="E33" s="8"/>
      <c r="F33" t="s">
        <v>37</v>
      </c>
    </row>
    <row r="34" spans="2:10" x14ac:dyDescent="0.2">
      <c r="C34" s="16">
        <f>'Sch J-2'!G70</f>
        <v>342467542.65000015</v>
      </c>
      <c r="D34" s="16">
        <f>'Sch J-1'!G24</f>
        <v>356818464.94526547</v>
      </c>
      <c r="E34" s="1">
        <f>'Sch J-2'!G24</f>
        <v>369937924.67808682</v>
      </c>
      <c r="G34" s="90"/>
      <c r="J34" s="90" t="s">
        <v>38</v>
      </c>
    </row>
    <row r="35" spans="2:10" x14ac:dyDescent="0.2">
      <c r="G35" s="125"/>
      <c r="H35" s="125"/>
      <c r="I35" s="125"/>
    </row>
    <row r="36" spans="2:10" x14ac:dyDescent="0.2">
      <c r="B36" t="s">
        <v>39</v>
      </c>
      <c r="C36" s="147">
        <f>'Sch J-2'!O64</f>
        <v>4.5469660999999995E-2</v>
      </c>
      <c r="D36" s="147">
        <f>'Sch J-1'!O18</f>
        <v>4.1583538461538463E-2</v>
      </c>
    </row>
    <row r="39" spans="2:10" x14ac:dyDescent="0.2">
      <c r="B39" t="s">
        <v>40</v>
      </c>
      <c r="C39" s="1" t="str">
        <f>'Sch J-1'!Q7</f>
        <v>KAW_R_PSCHDR_NUM002_100625_Attachment  Sch J-1</v>
      </c>
    </row>
    <row r="41" spans="2:10" x14ac:dyDescent="0.2">
      <c r="B41" s="90" t="s">
        <v>41</v>
      </c>
      <c r="C41" s="1">
        <f>C8+C9</f>
        <v>307955311.69147009</v>
      </c>
      <c r="D41" s="1">
        <f>D8+D9</f>
        <v>323749407.46580696</v>
      </c>
      <c r="E41" s="1">
        <f>E8+E9</f>
        <v>339714027.73599893</v>
      </c>
    </row>
    <row r="42" spans="2:10" x14ac:dyDescent="0.2">
      <c r="D42" s="1">
        <f>C41-D41</f>
        <v>-15794095.774336874</v>
      </c>
    </row>
    <row r="44" spans="2:10" x14ac:dyDescent="0.2">
      <c r="B44" t="s">
        <v>42</v>
      </c>
      <c r="C44" s="1">
        <f>'Sch J-2'!M72</f>
        <v>652668509.33147025</v>
      </c>
      <c r="D44" s="1">
        <f>'Sch J-1'!M26</f>
        <v>682813846.82491851</v>
      </c>
      <c r="E44" s="1">
        <f>'Sch J-2'!M26</f>
        <v>711898090.25408578</v>
      </c>
    </row>
    <row r="45" spans="2:10" x14ac:dyDescent="0.2">
      <c r="C45" s="1"/>
      <c r="D45" s="1">
        <f>E44-D44</f>
        <v>29084243.429167271</v>
      </c>
      <c r="E45" s="1"/>
    </row>
    <row r="48" spans="2:10" x14ac:dyDescent="0.2">
      <c r="B48" s="92" t="s">
        <v>43</v>
      </c>
    </row>
    <row r="49" spans="2:6" x14ac:dyDescent="0.2">
      <c r="B49" s="93" t="s">
        <v>44</v>
      </c>
      <c r="C49" s="90" t="s">
        <v>45</v>
      </c>
    </row>
    <row r="50" spans="2:6" x14ac:dyDescent="0.2">
      <c r="B50" t="s">
        <v>46</v>
      </c>
    </row>
    <row r="51" spans="2:6" x14ac:dyDescent="0.2">
      <c r="B51" t="s">
        <v>47</v>
      </c>
      <c r="C51" s="109">
        <f>'Sch J-4'!Q50-SUM('Sch J-4'!Q20:Q21)</f>
        <v>14207659</v>
      </c>
    </row>
    <row r="52" spans="2:6" x14ac:dyDescent="0.2">
      <c r="B52" t="s">
        <v>48</v>
      </c>
      <c r="C52" s="152">
        <f>SUM('Sch J WPs'!V186:AG186)+SUM('Sch J WPs'!V231:AG231)</f>
        <v>37508.124755782039</v>
      </c>
    </row>
    <row r="53" spans="2:6" x14ac:dyDescent="0.2">
      <c r="B53" t="s">
        <v>49</v>
      </c>
      <c r="C53" s="152">
        <f>SUM('Sch J WPs'!V398:AG398)</f>
        <v>340081.31705623906</v>
      </c>
    </row>
    <row r="54" spans="2:6" x14ac:dyDescent="0.2">
      <c r="B54" t="s">
        <v>50</v>
      </c>
      <c r="C54" s="90">
        <v>0</v>
      </c>
    </row>
    <row r="55" spans="2:6" x14ac:dyDescent="0.2">
      <c r="B55" t="s">
        <v>51</v>
      </c>
      <c r="C55" s="152">
        <f>SUM('Sch J WPs'!V130:AG130)-SUM('Sch J WPs'!V104:AG105)</f>
        <v>318006.09111111099</v>
      </c>
    </row>
    <row r="56" spans="2:6" x14ac:dyDescent="0.2">
      <c r="B56" t="s">
        <v>52</v>
      </c>
      <c r="C56" s="90"/>
    </row>
    <row r="57" spans="2:6" x14ac:dyDescent="0.2">
      <c r="C57" s="90"/>
    </row>
    <row r="59" spans="2:6" ht="13.5" thickBot="1" x14ac:dyDescent="0.25"/>
    <row r="60" spans="2:6" x14ac:dyDescent="0.2">
      <c r="B60" s="200" t="s">
        <v>53</v>
      </c>
      <c r="C60" s="201"/>
      <c r="D60" s="201"/>
      <c r="E60" s="201"/>
      <c r="F60" s="202"/>
    </row>
    <row r="61" spans="2:6" x14ac:dyDescent="0.2">
      <c r="B61" s="143" t="s">
        <v>54</v>
      </c>
      <c r="C61" s="144" t="s">
        <v>55</v>
      </c>
      <c r="D61" s="144" t="s">
        <v>56</v>
      </c>
      <c r="E61" s="144" t="s">
        <v>57</v>
      </c>
      <c r="F61" s="145" t="s">
        <v>58</v>
      </c>
    </row>
    <row r="62" spans="2:6" x14ac:dyDescent="0.2">
      <c r="B62" s="134" t="s">
        <v>59</v>
      </c>
      <c r="C62" s="135">
        <v>9168090</v>
      </c>
      <c r="D62" s="136">
        <f>C62/$C$66</f>
        <v>1.5370904096017863E-2</v>
      </c>
      <c r="E62" s="136">
        <v>5.3499999999999999E-2</v>
      </c>
      <c r="F62" s="137">
        <f>D62*E62</f>
        <v>8.2234336913695571E-4</v>
      </c>
    </row>
    <row r="63" spans="2:6" x14ac:dyDescent="0.2">
      <c r="B63" s="134" t="s">
        <v>60</v>
      </c>
      <c r="C63" s="135">
        <v>273581929</v>
      </c>
      <c r="D63" s="136">
        <f>C63/$C$66</f>
        <v>0.45867804450682403</v>
      </c>
      <c r="E63" s="136">
        <v>4.5400000000000003E-2</v>
      </c>
      <c r="F63" s="137">
        <f>D63*E63</f>
        <v>2.0823983220609812E-2</v>
      </c>
    </row>
    <row r="64" spans="2:6" x14ac:dyDescent="0.2">
      <c r="B64" s="134" t="s">
        <v>13</v>
      </c>
      <c r="C64" s="135">
        <v>2245236</v>
      </c>
      <c r="D64" s="136">
        <f>C64/$C$66</f>
        <v>3.7642853886607529E-3</v>
      </c>
      <c r="E64" s="136">
        <v>8.5099999999999995E-2</v>
      </c>
      <c r="F64" s="137">
        <f t="shared" ref="F64:F65" si="0">D64*E64</f>
        <v>3.2034068657503008E-4</v>
      </c>
    </row>
    <row r="65" spans="2:8" x14ac:dyDescent="0.2">
      <c r="B65" s="134" t="s">
        <v>11</v>
      </c>
      <c r="C65" s="135">
        <v>311462178</v>
      </c>
      <c r="D65" s="136">
        <f>C65/$C$66</f>
        <v>0.52218676600849734</v>
      </c>
      <c r="E65" s="136">
        <v>9.7000000000000003E-2</v>
      </c>
      <c r="F65" s="137">
        <f t="shared" si="0"/>
        <v>5.0652116302824242E-2</v>
      </c>
    </row>
    <row r="66" spans="2:8" ht="13.5" thickBot="1" x14ac:dyDescent="0.25">
      <c r="B66" s="138" t="s">
        <v>42</v>
      </c>
      <c r="C66" s="139">
        <f>SUM(C62:C65)</f>
        <v>596457433</v>
      </c>
      <c r="D66" s="140">
        <f>SUM(D62:D65)</f>
        <v>1</v>
      </c>
      <c r="E66" s="141"/>
      <c r="F66" s="142">
        <f>SUM(F62:F65)</f>
        <v>7.2618783579146043E-2</v>
      </c>
      <c r="H66" s="146">
        <f>D66-D65</f>
        <v>0.47781323399150266</v>
      </c>
    </row>
    <row r="68" spans="2:8" ht="13.5" thickBot="1" x14ac:dyDescent="0.25"/>
    <row r="69" spans="2:8" x14ac:dyDescent="0.2">
      <c r="B69" s="200" t="s">
        <v>61</v>
      </c>
      <c r="C69" s="201"/>
      <c r="D69" s="201"/>
      <c r="E69" s="201"/>
      <c r="F69" s="202"/>
    </row>
    <row r="70" spans="2:8" x14ac:dyDescent="0.2">
      <c r="B70" s="203" t="s">
        <v>62</v>
      </c>
      <c r="C70" s="204"/>
      <c r="D70" s="204"/>
      <c r="E70" s="204"/>
      <c r="F70" s="205"/>
    </row>
    <row r="71" spans="2:8" x14ac:dyDescent="0.2">
      <c r="B71" s="143" t="s">
        <v>54</v>
      </c>
      <c r="C71" s="144" t="s">
        <v>55</v>
      </c>
      <c r="D71" s="144" t="s">
        <v>56</v>
      </c>
      <c r="E71" s="144" t="s">
        <v>57</v>
      </c>
      <c r="F71" s="145" t="s">
        <v>58</v>
      </c>
    </row>
    <row r="72" spans="2:8" x14ac:dyDescent="0.2">
      <c r="B72" s="134" t="s">
        <v>59</v>
      </c>
      <c r="C72" s="135">
        <f>'Sch J-1'!G18</f>
        <v>8914663.3791061454</v>
      </c>
      <c r="D72" s="136">
        <f>'Sch J-1'!I18</f>
        <v>1.306E-2</v>
      </c>
      <c r="E72" s="136">
        <f>'Sch J-1'!O18</f>
        <v>4.1583538461538463E-2</v>
      </c>
      <c r="F72" s="137">
        <f>'Sch J-1'!Q18</f>
        <v>5.0000000000000001E-4</v>
      </c>
    </row>
    <row r="73" spans="2:8" x14ac:dyDescent="0.2">
      <c r="B73" s="134" t="s">
        <v>60</v>
      </c>
      <c r="C73" s="135">
        <f>'Sch J-1'!G20</f>
        <v>314834744.0867008</v>
      </c>
      <c r="D73" s="136">
        <f>'Sch J-1'!I20</f>
        <v>0.46107999999999999</v>
      </c>
      <c r="E73" s="136">
        <f>'Sch J-1'!O20</f>
        <v>4.6892616768924249E-2</v>
      </c>
      <c r="F73" s="137">
        <f>'Sch J-1'!Q20</f>
        <v>2.1600000000000001E-2</v>
      </c>
    </row>
    <row r="74" spans="2:8" x14ac:dyDescent="0.2">
      <c r="B74" s="134" t="s">
        <v>13</v>
      </c>
      <c r="C74" s="135">
        <f>'Sch J-1'!G22</f>
        <v>2245973.7738461541</v>
      </c>
      <c r="D74" s="136">
        <f>'Sch J-1'!I22</f>
        <v>3.29E-3</v>
      </c>
      <c r="E74" s="136">
        <f>'Sch J-1'!O22</f>
        <v>8.5000000000000006E-2</v>
      </c>
      <c r="F74" s="137">
        <f>'Sch J-1'!Q22</f>
        <v>2.9999999999999997E-4</v>
      </c>
    </row>
    <row r="75" spans="2:8" x14ac:dyDescent="0.2">
      <c r="B75" s="134" t="s">
        <v>11</v>
      </c>
      <c r="C75" s="135">
        <f>'Sch J-1'!G24</f>
        <v>356818464.94526547</v>
      </c>
      <c r="D75" s="136">
        <f>'Sch J-1'!I24</f>
        <v>0.52256999999999998</v>
      </c>
      <c r="E75" s="136">
        <f>'Sch J-1'!O24</f>
        <v>0.1075</v>
      </c>
      <c r="F75" s="137">
        <f>'Sch J-1'!Q24</f>
        <v>5.62E-2</v>
      </c>
    </row>
    <row r="76" spans="2:8" ht="13.5" thickBot="1" x14ac:dyDescent="0.25">
      <c r="B76" s="138" t="s">
        <v>42</v>
      </c>
      <c r="C76" s="139">
        <f>SUM(C72:C75)</f>
        <v>682813846.18491864</v>
      </c>
      <c r="D76" s="140">
        <f>SUM(D72:D75)</f>
        <v>1</v>
      </c>
      <c r="E76" s="141"/>
      <c r="F76" s="142">
        <f>SUM(F72:F75)</f>
        <v>7.8600000000000003E-2</v>
      </c>
    </row>
    <row r="79" spans="2:8" x14ac:dyDescent="0.2">
      <c r="B79" t="s">
        <v>63</v>
      </c>
      <c r="C79" s="90"/>
      <c r="H79" s="146">
        <f>D76-D75</f>
        <v>0.47743000000000002</v>
      </c>
    </row>
    <row r="1033" spans="1:2" x14ac:dyDescent="0.2">
      <c r="A1033">
        <v>593</v>
      </c>
      <c r="B1033">
        <v>61126</v>
      </c>
    </row>
    <row r="1034" spans="1:2" x14ac:dyDescent="0.2">
      <c r="A1034">
        <v>938</v>
      </c>
      <c r="B1034">
        <v>91643</v>
      </c>
    </row>
    <row r="1035" spans="1:2" x14ac:dyDescent="0.2">
      <c r="A1035">
        <v>5241</v>
      </c>
      <c r="B1035">
        <v>538451</v>
      </c>
    </row>
    <row r="1036" spans="1:2" x14ac:dyDescent="0.2">
      <c r="A1036">
        <v>179</v>
      </c>
      <c r="B1036">
        <v>18787</v>
      </c>
    </row>
    <row r="1037" spans="1:2" x14ac:dyDescent="0.2">
      <c r="A1037">
        <v>187</v>
      </c>
      <c r="B1037">
        <v>18779</v>
      </c>
    </row>
    <row r="1038" spans="1:2" x14ac:dyDescent="0.2">
      <c r="A1038">
        <v>481</v>
      </c>
      <c r="B1038">
        <v>50095</v>
      </c>
    </row>
    <row r="1039" spans="1:2" x14ac:dyDescent="0.2">
      <c r="A1039">
        <v>1974</v>
      </c>
      <c r="B1039">
        <v>108126</v>
      </c>
    </row>
    <row r="1040" spans="1:2" x14ac:dyDescent="0.2">
      <c r="A1040" s="1">
        <v>2118</v>
      </c>
      <c r="B1040">
        <v>34720</v>
      </c>
    </row>
    <row r="1041" spans="1:2" x14ac:dyDescent="0.2">
      <c r="A1041">
        <v>1889</v>
      </c>
      <c r="B1041">
        <v>24888</v>
      </c>
    </row>
    <row r="1042" spans="1:2" x14ac:dyDescent="0.2">
      <c r="A1042">
        <v>2205</v>
      </c>
      <c r="B1042">
        <v>11779</v>
      </c>
    </row>
    <row r="1043" spans="1:2" x14ac:dyDescent="0.2">
      <c r="A1043">
        <v>651</v>
      </c>
      <c r="B1043">
        <v>3533</v>
      </c>
    </row>
    <row r="1044" spans="1:2" x14ac:dyDescent="0.2">
      <c r="A1044" s="1">
        <v>450</v>
      </c>
      <c r="B1044">
        <v>7375</v>
      </c>
    </row>
    <row r="1045" spans="1:2" x14ac:dyDescent="0.2">
      <c r="A1045" s="1">
        <v>3784</v>
      </c>
      <c r="B1045">
        <v>40556</v>
      </c>
    </row>
    <row r="1046" spans="1:2" x14ac:dyDescent="0.2">
      <c r="A1046" s="1">
        <v>20159</v>
      </c>
      <c r="B1046">
        <v>347506</v>
      </c>
    </row>
    <row r="1047" spans="1:2" x14ac:dyDescent="0.2">
      <c r="A1047" s="1">
        <v>6529</v>
      </c>
      <c r="B1047">
        <v>178911</v>
      </c>
    </row>
    <row r="1048" spans="1:2" x14ac:dyDescent="0.2">
      <c r="A1048" s="1">
        <v>5530</v>
      </c>
      <c r="B1048">
        <v>125000</v>
      </c>
    </row>
    <row r="1049" spans="1:2" x14ac:dyDescent="0.2">
      <c r="A1049" s="1">
        <v>244</v>
      </c>
      <c r="B1049">
        <v>3409</v>
      </c>
    </row>
    <row r="1050" spans="1:2" x14ac:dyDescent="0.2">
      <c r="A1050">
        <v>12137</v>
      </c>
      <c r="B1050">
        <v>70321</v>
      </c>
    </row>
    <row r="1051" spans="1:2" x14ac:dyDescent="0.2">
      <c r="A1051">
        <v>27934</v>
      </c>
      <c r="B1051">
        <v>168340</v>
      </c>
    </row>
    <row r="1052" spans="1:2" x14ac:dyDescent="0.2">
      <c r="A1052">
        <v>27468</v>
      </c>
      <c r="B1052">
        <v>147391</v>
      </c>
    </row>
    <row r="1053" spans="1:2" x14ac:dyDescent="0.2">
      <c r="A1053">
        <v>1575</v>
      </c>
      <c r="B1053">
        <v>8508</v>
      </c>
    </row>
    <row r="1054" spans="1:2" x14ac:dyDescent="0.2">
      <c r="A1054" s="1">
        <v>1257</v>
      </c>
      <c r="B1054">
        <v>20610</v>
      </c>
    </row>
    <row r="1055" spans="1:2" x14ac:dyDescent="0.2">
      <c r="A1055">
        <v>14996</v>
      </c>
      <c r="B1055">
        <v>545004</v>
      </c>
    </row>
    <row r="1056" spans="1:2" x14ac:dyDescent="0.2">
      <c r="A1056" s="1">
        <v>770</v>
      </c>
      <c r="B1056">
        <v>12613</v>
      </c>
    </row>
    <row r="1057" spans="1:2" x14ac:dyDescent="0.2">
      <c r="A1057">
        <v>483</v>
      </c>
      <c r="B1057">
        <v>2533</v>
      </c>
    </row>
    <row r="1058" spans="1:2" x14ac:dyDescent="0.2">
      <c r="A1058">
        <v>17541</v>
      </c>
      <c r="B1058">
        <v>152611</v>
      </c>
    </row>
    <row r="1059" spans="1:2" x14ac:dyDescent="0.2">
      <c r="A1059" s="1">
        <v>130</v>
      </c>
      <c r="B1059">
        <v>5181</v>
      </c>
    </row>
    <row r="1060" spans="1:2" x14ac:dyDescent="0.2">
      <c r="A1060" s="1">
        <v>130</v>
      </c>
      <c r="B1060">
        <v>5230</v>
      </c>
    </row>
    <row r="1061" spans="1:2" x14ac:dyDescent="0.2">
      <c r="A1061" s="1">
        <v>300</v>
      </c>
      <c r="B1061">
        <v>6685</v>
      </c>
    </row>
    <row r="1062" spans="1:2" x14ac:dyDescent="0.2">
      <c r="A1062" s="1">
        <v>233</v>
      </c>
      <c r="B1062">
        <v>3280</v>
      </c>
    </row>
    <row r="1063" spans="1:2" x14ac:dyDescent="0.2">
      <c r="A1063" s="1">
        <v>59</v>
      </c>
      <c r="B1063">
        <v>959</v>
      </c>
    </row>
    <row r="1064" spans="1:2" x14ac:dyDescent="0.2">
      <c r="A1064">
        <v>17760</v>
      </c>
      <c r="B1064">
        <v>214997</v>
      </c>
    </row>
    <row r="1065" spans="1:2" x14ac:dyDescent="0.2">
      <c r="A1065">
        <v>7560</v>
      </c>
      <c r="B1065">
        <v>179847</v>
      </c>
    </row>
    <row r="1066" spans="1:2" x14ac:dyDescent="0.2">
      <c r="A1066">
        <v>13744</v>
      </c>
      <c r="B1066">
        <v>231256</v>
      </c>
    </row>
    <row r="1067" spans="1:2" x14ac:dyDescent="0.2">
      <c r="A1067">
        <v>17800</v>
      </c>
      <c r="B1067">
        <v>262200</v>
      </c>
    </row>
    <row r="1068" spans="1:2" x14ac:dyDescent="0.2">
      <c r="A1068">
        <v>10264</v>
      </c>
      <c r="B1068">
        <v>199736</v>
      </c>
    </row>
    <row r="1069" spans="1:2" x14ac:dyDescent="0.2">
      <c r="A1069">
        <v>3780</v>
      </c>
      <c r="B1069">
        <v>20305</v>
      </c>
    </row>
    <row r="1070" spans="1:2" x14ac:dyDescent="0.2">
      <c r="A1070">
        <v>126</v>
      </c>
      <c r="B1070">
        <v>625</v>
      </c>
    </row>
    <row r="1071" spans="1:2" x14ac:dyDescent="0.2">
      <c r="A1071" s="1">
        <v>16078</v>
      </c>
      <c r="B1071">
        <v>263537</v>
      </c>
    </row>
    <row r="1072" spans="1:2" x14ac:dyDescent="0.2">
      <c r="A1072">
        <v>7561</v>
      </c>
      <c r="B1072">
        <v>372439</v>
      </c>
    </row>
    <row r="1073" spans="1:2" x14ac:dyDescent="0.2">
      <c r="A1073" s="1">
        <v>137</v>
      </c>
      <c r="B1073">
        <v>2238</v>
      </c>
    </row>
    <row r="1074" spans="1:2" x14ac:dyDescent="0.2">
      <c r="A1074">
        <v>5222</v>
      </c>
      <c r="B1074">
        <v>354778</v>
      </c>
    </row>
    <row r="1075" spans="1:2" x14ac:dyDescent="0.2">
      <c r="A1075">
        <v>0</v>
      </c>
      <c r="B1075">
        <v>5000</v>
      </c>
    </row>
    <row r="1076" spans="1:2" x14ac:dyDescent="0.2">
      <c r="A1076">
        <v>1384</v>
      </c>
      <c r="B1076">
        <v>278616</v>
      </c>
    </row>
    <row r="1077" spans="1:2" x14ac:dyDescent="0.2">
      <c r="A1077" s="1">
        <v>312</v>
      </c>
      <c r="B1077">
        <v>5117</v>
      </c>
    </row>
    <row r="1078" spans="1:2" x14ac:dyDescent="0.2">
      <c r="A1078">
        <v>56</v>
      </c>
      <c r="B1078">
        <v>34944</v>
      </c>
    </row>
    <row r="1902" spans="1:1" x14ac:dyDescent="0.2">
      <c r="A1902" s="3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6" spans="1:1" x14ac:dyDescent="0.2">
      <c r="A1956" s="3"/>
    </row>
    <row r="2038" spans="1:2" x14ac:dyDescent="0.2">
      <c r="A2038" s="3"/>
      <c r="B2038" s="3"/>
    </row>
  </sheetData>
  <customSheetViews>
    <customSheetView guid="{3504B966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56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55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54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53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52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51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50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4E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4D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4C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4B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3504B94A-F634-11D2-9451-0008C780B76A}" scale="75" showRuler="0" topLeftCell="B1">
      <selection activeCell="D10" sqref="D10"/>
      <pageMargins left="0" right="0" top="0" bottom="0" header="0" footer="0"/>
      <headerFooter alignWithMargins="0"/>
    </customSheetView>
    <customSheetView guid="{42E2132E-130A-11D4-8702-444553540000}" scale="75" showRuler="0">
      <selection activeCell="A11" sqref="A11"/>
      <pageMargins left="0" right="0" top="0" bottom="0" header="0" footer="0"/>
      <headerFooter alignWithMargins="0"/>
    </customSheetView>
  </customSheetViews>
  <mergeCells count="3">
    <mergeCell ref="B60:F60"/>
    <mergeCell ref="B69:F69"/>
    <mergeCell ref="B70:F70"/>
  </mergeCells>
  <phoneticPr fontId="0" type="noConversion"/>
  <pageMargins left="0.75" right="0.75" top="1" bottom="1" header="0.5" footer="0.5"/>
  <pageSetup scale="59" orientation="portrait" r:id="rId1"/>
  <headerFooter alignWithMargins="0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8"/>
  <sheetViews>
    <sheetView view="pageBreakPreview" zoomScale="80" zoomScaleNormal="100" zoomScaleSheetLayoutView="80" workbookViewId="0">
      <selection activeCell="G35" sqref="G35"/>
    </sheetView>
  </sheetViews>
  <sheetFormatPr defaultRowHeight="12.75" x14ac:dyDescent="0.2"/>
  <cols>
    <col min="1" max="1" width="10.28515625" customWidth="1"/>
    <col min="2" max="7" width="12.28515625" customWidth="1"/>
  </cols>
  <sheetData>
    <row r="1" spans="1:8" ht="15" x14ac:dyDescent="0.25">
      <c r="A1" s="66" t="s">
        <v>159</v>
      </c>
      <c r="B1" s="40"/>
      <c r="C1" s="40"/>
      <c r="H1" s="67" t="str">
        <f>Linkin!C27</f>
        <v>W/P - 7-4</v>
      </c>
    </row>
    <row r="2" spans="1:8" ht="15" x14ac:dyDescent="0.25">
      <c r="A2" s="66" t="s">
        <v>160</v>
      </c>
      <c r="B2" s="40"/>
      <c r="C2" s="40"/>
      <c r="H2" s="67" t="str">
        <f>'STD 2024 WP'!F2</f>
        <v>KAW_R_PSCHDR_NUM002_100625_Attachment   Sch J WPs</v>
      </c>
    </row>
    <row r="3" spans="1:8" ht="15" x14ac:dyDescent="0.25">
      <c r="A3" s="40"/>
      <c r="B3" s="40"/>
      <c r="C3" s="40"/>
      <c r="H3" s="67" t="s">
        <v>84</v>
      </c>
    </row>
    <row r="6" spans="1:8" x14ac:dyDescent="0.2">
      <c r="A6" s="17" t="s">
        <v>240</v>
      </c>
    </row>
    <row r="8" spans="1:8" x14ac:dyDescent="0.2">
      <c r="B8" s="103">
        <v>45565</v>
      </c>
    </row>
    <row r="9" spans="1:8" x14ac:dyDescent="0.2">
      <c r="B9" s="104" t="s">
        <v>241</v>
      </c>
    </row>
    <row r="10" spans="1:8" x14ac:dyDescent="0.2">
      <c r="B10" s="105">
        <v>335650.5</v>
      </c>
    </row>
    <row r="11" spans="1:8" x14ac:dyDescent="0.2">
      <c r="B11" s="90"/>
    </row>
    <row r="12" spans="1:8" x14ac:dyDescent="0.2">
      <c r="A12" s="92" t="s">
        <v>242</v>
      </c>
    </row>
    <row r="13" spans="1:8" x14ac:dyDescent="0.2">
      <c r="B13" s="91">
        <v>45565</v>
      </c>
      <c r="C13" s="91">
        <v>45596</v>
      </c>
      <c r="D13" s="91">
        <v>45626</v>
      </c>
      <c r="E13" s="91">
        <v>45657</v>
      </c>
      <c r="F13" s="91">
        <v>45688</v>
      </c>
      <c r="G13" s="91">
        <v>45716</v>
      </c>
    </row>
    <row r="14" spans="1:8" x14ac:dyDescent="0.2">
      <c r="A14" s="14" t="s">
        <v>243</v>
      </c>
      <c r="B14" s="105">
        <v>30698.539999999972</v>
      </c>
      <c r="C14" s="105">
        <f t="shared" ref="C14:G14" si="0">B14-C25</f>
        <v>30583.13999999997</v>
      </c>
      <c r="D14" s="105">
        <f t="shared" si="0"/>
        <v>30467.739999999969</v>
      </c>
      <c r="E14" s="105">
        <f t="shared" si="0"/>
        <v>30352.339999999967</v>
      </c>
      <c r="F14" s="105">
        <f t="shared" si="0"/>
        <v>30236.939999999966</v>
      </c>
      <c r="G14" s="105">
        <f t="shared" si="0"/>
        <v>30121.539999999964</v>
      </c>
    </row>
    <row r="15" spans="1:8" x14ac:dyDescent="0.2">
      <c r="A15" s="14" t="s">
        <v>244</v>
      </c>
      <c r="B15" s="105">
        <v>11721.349999999986</v>
      </c>
      <c r="C15" s="105">
        <f t="shared" ref="C15:G18" si="1">B15-C26</f>
        <v>11678.659999999985</v>
      </c>
      <c r="D15" s="105">
        <f t="shared" si="1"/>
        <v>11635.969999999985</v>
      </c>
      <c r="E15" s="105">
        <f t="shared" si="1"/>
        <v>11593.279999999984</v>
      </c>
      <c r="F15" s="105">
        <f t="shared" si="1"/>
        <v>11550.589999999984</v>
      </c>
      <c r="G15" s="105">
        <f t="shared" si="1"/>
        <v>11507.899999999983</v>
      </c>
    </row>
    <row r="16" spans="1:8" x14ac:dyDescent="0.2">
      <c r="A16" s="93" t="s">
        <v>244</v>
      </c>
      <c r="B16" s="105">
        <v>69666.349999999991</v>
      </c>
      <c r="C16" s="105">
        <f t="shared" si="1"/>
        <v>69430.989999999991</v>
      </c>
      <c r="D16" s="105">
        <f t="shared" si="1"/>
        <v>69195.62999999999</v>
      </c>
      <c r="E16" s="105">
        <f t="shared" si="1"/>
        <v>68960.26999999999</v>
      </c>
      <c r="F16" s="105">
        <f t="shared" si="1"/>
        <v>68724.909999999989</v>
      </c>
      <c r="G16" s="105">
        <f t="shared" si="1"/>
        <v>68489.549999999988</v>
      </c>
    </row>
    <row r="17" spans="1:7" x14ac:dyDescent="0.2">
      <c r="A17" s="93" t="s">
        <v>245</v>
      </c>
      <c r="B17" s="105">
        <v>33112.159999999916</v>
      </c>
      <c r="C17" s="105">
        <f t="shared" si="1"/>
        <v>33008.679999999913</v>
      </c>
      <c r="D17" s="105">
        <f t="shared" si="1"/>
        <v>32905.19999999991</v>
      </c>
      <c r="E17" s="105">
        <f t="shared" si="1"/>
        <v>32801.719999999907</v>
      </c>
      <c r="F17" s="105">
        <f t="shared" si="1"/>
        <v>32698.239999999907</v>
      </c>
      <c r="G17" s="105">
        <f t="shared" si="1"/>
        <v>32594.759999999907</v>
      </c>
    </row>
    <row r="18" spans="1:7" x14ac:dyDescent="0.2">
      <c r="A18" s="93" t="s">
        <v>246</v>
      </c>
      <c r="B18" s="105">
        <v>24129.139999999989</v>
      </c>
      <c r="C18" s="105">
        <f t="shared" si="1"/>
        <v>23866.869999999988</v>
      </c>
      <c r="D18" s="105">
        <f t="shared" si="1"/>
        <v>23604.599999999988</v>
      </c>
      <c r="E18" s="105">
        <f t="shared" si="1"/>
        <v>23342.329999999987</v>
      </c>
      <c r="F18" s="105">
        <f t="shared" si="1"/>
        <v>23080.059999999987</v>
      </c>
      <c r="G18" s="105">
        <f t="shared" si="1"/>
        <v>22817.789999999986</v>
      </c>
    </row>
    <row r="19" spans="1:7" x14ac:dyDescent="0.2">
      <c r="A19" s="93" t="s">
        <v>247</v>
      </c>
      <c r="B19" s="105">
        <v>41932.94999999999</v>
      </c>
      <c r="C19" s="105">
        <f t="shared" ref="C19:G19" si="2">B19-C30</f>
        <v>41561.969999999987</v>
      </c>
      <c r="D19" s="105">
        <f t="shared" si="2"/>
        <v>41190.989999999983</v>
      </c>
      <c r="E19" s="105">
        <f t="shared" si="2"/>
        <v>40820.00999999998</v>
      </c>
      <c r="F19" s="105">
        <f t="shared" si="2"/>
        <v>40449.029999999977</v>
      </c>
      <c r="G19" s="105">
        <f t="shared" si="2"/>
        <v>40078.049999999974</v>
      </c>
    </row>
    <row r="20" spans="1:7" x14ac:dyDescent="0.2">
      <c r="A20" s="93" t="s">
        <v>248</v>
      </c>
      <c r="B20" s="105">
        <v>124390.00999999998</v>
      </c>
      <c r="C20" s="105">
        <f t="shared" ref="C20:G20" si="3">B20-C31</f>
        <v>124037.65999999997</v>
      </c>
      <c r="D20" s="105">
        <f t="shared" si="3"/>
        <v>123685.30999999997</v>
      </c>
      <c r="E20" s="105">
        <f t="shared" si="3"/>
        <v>123332.95999999996</v>
      </c>
      <c r="F20" s="105">
        <f t="shared" si="3"/>
        <v>122980.60999999996</v>
      </c>
      <c r="G20" s="105">
        <f t="shared" si="3"/>
        <v>122628.25999999995</v>
      </c>
    </row>
    <row r="21" spans="1:7" x14ac:dyDescent="0.2">
      <c r="A21" s="14"/>
      <c r="B21" s="105"/>
      <c r="C21" s="105"/>
      <c r="D21" s="105"/>
      <c r="E21" s="105"/>
      <c r="F21" s="105"/>
      <c r="G21" s="105"/>
    </row>
    <row r="22" spans="1:7" x14ac:dyDescent="0.2">
      <c r="A22" s="14" t="s">
        <v>158</v>
      </c>
      <c r="B22" s="122">
        <f>SUM(B14:B20)</f>
        <v>335650.49999999977</v>
      </c>
      <c r="C22" s="122">
        <f t="shared" ref="C22:G22" si="4">SUM(C14:C20)</f>
        <v>334167.9699999998</v>
      </c>
      <c r="D22" s="122">
        <f t="shared" si="4"/>
        <v>332685.43999999983</v>
      </c>
      <c r="E22" s="122">
        <f t="shared" si="4"/>
        <v>331202.9099999998</v>
      </c>
      <c r="F22" s="122">
        <f t="shared" si="4"/>
        <v>329720.37999999977</v>
      </c>
      <c r="G22" s="122">
        <f t="shared" si="4"/>
        <v>328237.84999999974</v>
      </c>
    </row>
    <row r="23" spans="1:7" x14ac:dyDescent="0.2">
      <c r="B23" s="105"/>
      <c r="C23" s="105"/>
      <c r="D23" s="105"/>
      <c r="E23" s="105"/>
      <c r="F23" s="105"/>
      <c r="G23" s="105"/>
    </row>
    <row r="24" spans="1:7" x14ac:dyDescent="0.2">
      <c r="A24" s="92" t="s">
        <v>249</v>
      </c>
      <c r="B24" s="90"/>
      <c r="C24" s="90"/>
      <c r="D24" s="90"/>
      <c r="E24" s="90"/>
      <c r="F24" s="90"/>
      <c r="G24" s="90"/>
    </row>
    <row r="25" spans="1:7" x14ac:dyDescent="0.2">
      <c r="A25" s="14" t="s">
        <v>243</v>
      </c>
      <c r="B25" s="105">
        <v>115.4</v>
      </c>
      <c r="C25" s="105">
        <v>115.4</v>
      </c>
      <c r="D25" s="105">
        <v>115.4</v>
      </c>
      <c r="E25" s="105">
        <v>115.4</v>
      </c>
      <c r="F25" s="105">
        <v>115.4</v>
      </c>
      <c r="G25" s="105">
        <v>115.4</v>
      </c>
    </row>
    <row r="26" spans="1:7" x14ac:dyDescent="0.2">
      <c r="A26" s="14" t="s">
        <v>244</v>
      </c>
      <c r="B26" s="105">
        <v>42.69</v>
      </c>
      <c r="C26" s="105">
        <v>42.69</v>
      </c>
      <c r="D26" s="105">
        <v>42.69</v>
      </c>
      <c r="E26" s="105">
        <v>42.69</v>
      </c>
      <c r="F26" s="105">
        <v>42.69</v>
      </c>
      <c r="G26" s="105">
        <v>42.69</v>
      </c>
    </row>
    <row r="27" spans="1:7" x14ac:dyDescent="0.2">
      <c r="A27" s="14" t="s">
        <v>244</v>
      </c>
      <c r="B27" s="105">
        <v>235.36</v>
      </c>
      <c r="C27" s="105">
        <v>235.36</v>
      </c>
      <c r="D27" s="105">
        <v>235.36</v>
      </c>
      <c r="E27" s="105">
        <v>235.36</v>
      </c>
      <c r="F27" s="105">
        <v>235.36</v>
      </c>
      <c r="G27" s="105">
        <v>235.36</v>
      </c>
    </row>
    <row r="28" spans="1:7" x14ac:dyDescent="0.2">
      <c r="A28" s="14" t="s">
        <v>245</v>
      </c>
      <c r="B28" s="105">
        <v>103.48</v>
      </c>
      <c r="C28" s="105">
        <v>103.48</v>
      </c>
      <c r="D28" s="105">
        <v>103.48</v>
      </c>
      <c r="E28" s="105">
        <v>103.48</v>
      </c>
      <c r="F28" s="105">
        <v>103.48</v>
      </c>
      <c r="G28" s="105">
        <v>103.48</v>
      </c>
    </row>
    <row r="29" spans="1:7" x14ac:dyDescent="0.2">
      <c r="A29" s="14" t="s">
        <v>246</v>
      </c>
      <c r="B29" s="105">
        <v>262.27</v>
      </c>
      <c r="C29" s="105">
        <v>262.27</v>
      </c>
      <c r="D29" s="105">
        <v>262.27</v>
      </c>
      <c r="E29" s="105">
        <v>262.27</v>
      </c>
      <c r="F29" s="105">
        <v>262.27</v>
      </c>
      <c r="G29" s="105">
        <v>262.27</v>
      </c>
    </row>
    <row r="30" spans="1:7" x14ac:dyDescent="0.2">
      <c r="A30" s="14" t="s">
        <v>247</v>
      </c>
      <c r="B30" s="105">
        <v>370.98</v>
      </c>
      <c r="C30" s="105">
        <v>370.98</v>
      </c>
      <c r="D30" s="105">
        <v>370.98</v>
      </c>
      <c r="E30" s="105">
        <v>370.98</v>
      </c>
      <c r="F30" s="105">
        <v>370.98</v>
      </c>
      <c r="G30" s="105">
        <v>370.98</v>
      </c>
    </row>
    <row r="31" spans="1:7" x14ac:dyDescent="0.2">
      <c r="A31" s="14" t="s">
        <v>248</v>
      </c>
      <c r="B31" s="105">
        <v>352.35</v>
      </c>
      <c r="C31" s="105">
        <v>352.35</v>
      </c>
      <c r="D31" s="105">
        <v>352.35</v>
      </c>
      <c r="E31" s="105">
        <v>352.35</v>
      </c>
      <c r="F31" s="105">
        <v>352.35</v>
      </c>
      <c r="G31" s="105">
        <v>352.35</v>
      </c>
    </row>
    <row r="32" spans="1:7" x14ac:dyDescent="0.2">
      <c r="B32" s="105"/>
      <c r="C32" s="105"/>
      <c r="D32" s="105"/>
      <c r="E32" s="105"/>
      <c r="F32" s="105"/>
      <c r="G32" s="105"/>
    </row>
    <row r="33" spans="1:7" x14ac:dyDescent="0.2">
      <c r="A33" s="90" t="s">
        <v>158</v>
      </c>
      <c r="B33" s="105">
        <f>SUM(B25:B31)</f>
        <v>1482.5300000000002</v>
      </c>
      <c r="C33" s="105">
        <f t="shared" ref="C33:G33" si="5">SUM(C25:C31)</f>
        <v>1482.5300000000002</v>
      </c>
      <c r="D33" s="105">
        <f t="shared" si="5"/>
        <v>1482.5300000000002</v>
      </c>
      <c r="E33" s="105">
        <f t="shared" si="5"/>
        <v>1482.5300000000002</v>
      </c>
      <c r="F33" s="105">
        <f t="shared" si="5"/>
        <v>1482.5300000000002</v>
      </c>
      <c r="G33" s="105">
        <f t="shared" si="5"/>
        <v>1482.5300000000002</v>
      </c>
    </row>
    <row r="34" spans="1:7" x14ac:dyDescent="0.2">
      <c r="B34" s="105"/>
      <c r="C34" s="105"/>
      <c r="D34" s="105"/>
      <c r="E34" s="105"/>
      <c r="F34" s="105"/>
      <c r="G34" s="105"/>
    </row>
    <row r="35" spans="1:7" x14ac:dyDescent="0.2">
      <c r="B35" s="90"/>
      <c r="C35" s="90"/>
      <c r="D35" s="90"/>
      <c r="E35" s="90"/>
      <c r="F35" s="90"/>
      <c r="G35" s="90"/>
    </row>
    <row r="36" spans="1:7" x14ac:dyDescent="0.2">
      <c r="B36" s="91"/>
      <c r="C36" s="91"/>
      <c r="D36" s="91"/>
      <c r="E36" s="91"/>
      <c r="F36" s="91"/>
      <c r="G36" s="91"/>
    </row>
    <row r="37" spans="1:7" x14ac:dyDescent="0.2">
      <c r="B37" s="99"/>
      <c r="C37" s="99"/>
      <c r="D37" s="99"/>
      <c r="E37" s="99"/>
      <c r="F37" s="99"/>
      <c r="G37" s="99"/>
    </row>
    <row r="38" spans="1:7" x14ac:dyDescent="0.2">
      <c r="B38" s="99"/>
      <c r="C38" s="99"/>
      <c r="D38" s="99"/>
      <c r="E38" s="99"/>
      <c r="F38" s="99"/>
      <c r="G38" s="99"/>
    </row>
  </sheetData>
  <pageMargins left="0.7" right="0.7" top="0.75" bottom="0.75" header="0.3" footer="0.3"/>
  <pageSetup scale="86" orientation="portrait" horizontalDpi="1200" verticalDpi="1200" r:id="rId1"/>
  <colBreaks count="1" manualBreakCount="1">
    <brk id="8" max="1048575" man="1"/>
  </colBreaks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1"/>
  <sheetViews>
    <sheetView view="pageBreakPreview" zoomScale="80" zoomScaleNormal="100" zoomScaleSheetLayoutView="80" workbookViewId="0">
      <pane ySplit="10" topLeftCell="A11" activePane="bottomLeft" state="frozen"/>
      <selection pane="bottomLeft" activeCell="F3" sqref="F3"/>
    </sheetView>
  </sheetViews>
  <sheetFormatPr defaultColWidth="9.140625" defaultRowHeight="15" x14ac:dyDescent="0.25"/>
  <cols>
    <col min="1" max="1" width="19.42578125" style="40" bestFit="1" customWidth="1"/>
    <col min="2" max="2" width="10.28515625" style="40" bestFit="1" customWidth="1"/>
    <col min="3" max="3" width="8.28515625" style="40" bestFit="1" customWidth="1"/>
    <col min="4" max="4" width="10.28515625" style="40" bestFit="1" customWidth="1"/>
    <col min="5" max="5" width="20.28515625" style="40" bestFit="1" customWidth="1"/>
    <col min="6" max="6" width="9.140625" style="40"/>
    <col min="7" max="7" width="18.28515625" style="40" customWidth="1"/>
    <col min="8" max="10" width="9.140625" style="40"/>
    <col min="11" max="11" width="22.5703125" style="40" customWidth="1"/>
    <col min="12" max="12" width="9.140625" style="40"/>
    <col min="13" max="13" width="18.85546875" style="40" customWidth="1"/>
    <col min="14" max="14" width="11.28515625" style="40" bestFit="1" customWidth="1"/>
    <col min="15" max="15" width="9.5703125" style="40" bestFit="1" customWidth="1"/>
    <col min="16" max="16" width="11.28515625" style="40" bestFit="1" customWidth="1"/>
    <col min="17" max="17" width="21.28515625" style="40" customWidth="1"/>
    <col min="18" max="18" width="10.5703125" style="40" bestFit="1" customWidth="1"/>
    <col min="19" max="16384" width="9.140625" style="40"/>
  </cols>
  <sheetData>
    <row r="1" spans="1:18" x14ac:dyDescent="0.25">
      <c r="A1" s="66" t="s">
        <v>159</v>
      </c>
      <c r="F1" s="67" t="str">
        <f>Linkin!C30</f>
        <v>W/P - 7-7</v>
      </c>
    </row>
    <row r="2" spans="1:18" x14ac:dyDescent="0.25">
      <c r="A2" s="66" t="s">
        <v>160</v>
      </c>
      <c r="F2" s="67" t="str">
        <f>'LTD Discount'!H2</f>
        <v>KAW_R_PSCHDR_NUM002_100625_Attachment   Sch J WPs</v>
      </c>
    </row>
    <row r="3" spans="1:18" x14ac:dyDescent="0.25">
      <c r="F3" s="67" t="s">
        <v>84</v>
      </c>
      <c r="G3" s="67"/>
    </row>
    <row r="4" spans="1:18" x14ac:dyDescent="0.25">
      <c r="G4" s="67"/>
    </row>
    <row r="5" spans="1:18" x14ac:dyDescent="0.25">
      <c r="A5" s="57" t="s">
        <v>161</v>
      </c>
    </row>
    <row r="6" spans="1:18" x14ac:dyDescent="0.25">
      <c r="A6" s="79" t="s">
        <v>250</v>
      </c>
    </row>
    <row r="7" spans="1:18" x14ac:dyDescent="0.25">
      <c r="A7" s="79"/>
    </row>
    <row r="8" spans="1:18" x14ac:dyDescent="0.25">
      <c r="A8" s="40" t="s">
        <v>251</v>
      </c>
      <c r="G8" s="40" t="s">
        <v>252</v>
      </c>
      <c r="M8" s="40" t="s">
        <v>253</v>
      </c>
    </row>
    <row r="9" spans="1:18" x14ac:dyDescent="0.25">
      <c r="A9" s="40" t="s">
        <v>254</v>
      </c>
      <c r="C9" s="49"/>
      <c r="G9" s="40" t="s">
        <v>255</v>
      </c>
      <c r="I9" s="49"/>
      <c r="M9" s="40" t="s">
        <v>256</v>
      </c>
      <c r="O9" s="49"/>
    </row>
    <row r="10" spans="1:18" x14ac:dyDescent="0.25">
      <c r="A10" s="80" t="s">
        <v>234</v>
      </c>
      <c r="B10" s="80" t="s">
        <v>235</v>
      </c>
      <c r="C10" s="80" t="s">
        <v>236</v>
      </c>
      <c r="D10" s="80" t="s">
        <v>237</v>
      </c>
      <c r="E10" s="80" t="s">
        <v>238</v>
      </c>
      <c r="G10" s="80" t="s">
        <v>234</v>
      </c>
      <c r="H10" s="80" t="s">
        <v>235</v>
      </c>
      <c r="I10" s="80" t="s">
        <v>236</v>
      </c>
      <c r="J10" s="80" t="s">
        <v>237</v>
      </c>
      <c r="K10" s="80" t="s">
        <v>238</v>
      </c>
      <c r="M10" s="80" t="s">
        <v>234</v>
      </c>
      <c r="N10" s="80" t="s">
        <v>235</v>
      </c>
      <c r="O10" s="80" t="s">
        <v>236</v>
      </c>
      <c r="P10" s="80" t="s">
        <v>237</v>
      </c>
      <c r="Q10" s="80" t="s">
        <v>238</v>
      </c>
    </row>
    <row r="11" spans="1:18" x14ac:dyDescent="0.25">
      <c r="A11" s="79" t="s">
        <v>239</v>
      </c>
      <c r="B11" s="81">
        <v>0</v>
      </c>
      <c r="C11" s="81">
        <v>0</v>
      </c>
      <c r="D11" s="81">
        <v>0</v>
      </c>
      <c r="E11" s="81">
        <v>1.75</v>
      </c>
      <c r="G11" s="79" t="s">
        <v>239</v>
      </c>
      <c r="H11" s="81">
        <v>0</v>
      </c>
      <c r="I11" s="81">
        <v>0</v>
      </c>
      <c r="J11" s="81">
        <v>0</v>
      </c>
      <c r="K11" s="81">
        <v>-0.85</v>
      </c>
      <c r="M11" s="79" t="s">
        <v>239</v>
      </c>
      <c r="N11" s="81">
        <v>0</v>
      </c>
      <c r="O11" s="81">
        <v>0</v>
      </c>
      <c r="P11" s="81">
        <v>0</v>
      </c>
      <c r="Q11" s="81">
        <v>1.4900000000021691</v>
      </c>
      <c r="R11" s="77"/>
    </row>
    <row r="12" spans="1:18" x14ac:dyDescent="0.25">
      <c r="A12" s="94">
        <v>45536</v>
      </c>
      <c r="B12" s="81">
        <v>0</v>
      </c>
      <c r="C12" s="81">
        <v>0</v>
      </c>
      <c r="D12" s="96">
        <v>0</v>
      </c>
      <c r="E12" s="96">
        <v>1.75</v>
      </c>
      <c r="G12" s="95">
        <f>A12</f>
        <v>45536</v>
      </c>
      <c r="H12" s="81">
        <v>0</v>
      </c>
      <c r="I12" s="81">
        <v>0</v>
      </c>
      <c r="J12" s="96">
        <v>0</v>
      </c>
      <c r="K12" s="96">
        <v>-0.85</v>
      </c>
      <c r="M12" s="95">
        <f>A12</f>
        <v>45536</v>
      </c>
      <c r="N12" s="81">
        <v>0</v>
      </c>
      <c r="O12" s="81">
        <v>0</v>
      </c>
      <c r="P12" s="96">
        <v>0</v>
      </c>
      <c r="Q12" s="81">
        <f>Q11+P12</f>
        <v>1.4900000000021691</v>
      </c>
    </row>
    <row r="13" spans="1:18" x14ac:dyDescent="0.25">
      <c r="A13" s="94">
        <v>45566</v>
      </c>
      <c r="B13" s="81">
        <v>0</v>
      </c>
      <c r="C13" s="81">
        <v>0</v>
      </c>
      <c r="D13" s="96">
        <v>0</v>
      </c>
      <c r="E13" s="96">
        <v>1.75</v>
      </c>
      <c r="G13" s="95">
        <f t="shared" ref="G13:G39" si="0">A13</f>
        <v>45566</v>
      </c>
      <c r="H13" s="81">
        <v>0</v>
      </c>
      <c r="I13" s="81">
        <v>0</v>
      </c>
      <c r="J13" s="96">
        <v>0</v>
      </c>
      <c r="K13" s="96">
        <v>-0.85</v>
      </c>
      <c r="M13" s="95">
        <f t="shared" ref="M13:M39" si="1">A13</f>
        <v>45566</v>
      </c>
      <c r="N13" s="81">
        <v>0</v>
      </c>
      <c r="O13" s="81">
        <v>0</v>
      </c>
      <c r="P13" s="96">
        <v>0</v>
      </c>
      <c r="Q13" s="81">
        <f t="shared" ref="Q13:Q38" si="2">Q12+P13</f>
        <v>1.4900000000021691</v>
      </c>
    </row>
    <row r="14" spans="1:18" x14ac:dyDescent="0.25">
      <c r="A14" s="94">
        <v>45597</v>
      </c>
      <c r="B14" s="81">
        <v>0</v>
      </c>
      <c r="C14" s="81">
        <v>0</v>
      </c>
      <c r="D14" s="96">
        <v>0</v>
      </c>
      <c r="E14" s="96">
        <v>1.75</v>
      </c>
      <c r="G14" s="95">
        <f t="shared" si="0"/>
        <v>45597</v>
      </c>
      <c r="H14" s="81">
        <v>0</v>
      </c>
      <c r="I14" s="81">
        <v>0</v>
      </c>
      <c r="J14" s="96">
        <v>0</v>
      </c>
      <c r="K14" s="96">
        <v>-0.85</v>
      </c>
      <c r="M14" s="95">
        <f t="shared" si="1"/>
        <v>45597</v>
      </c>
      <c r="N14" s="81">
        <v>0</v>
      </c>
      <c r="O14" s="81">
        <v>0</v>
      </c>
      <c r="P14" s="96">
        <v>0</v>
      </c>
      <c r="Q14" s="81">
        <f t="shared" si="2"/>
        <v>1.4900000000021691</v>
      </c>
    </row>
    <row r="15" spans="1:18" x14ac:dyDescent="0.25">
      <c r="A15" s="94">
        <v>45627</v>
      </c>
      <c r="B15" s="81">
        <v>0</v>
      </c>
      <c r="C15" s="81">
        <v>0</v>
      </c>
      <c r="D15" s="96">
        <v>0</v>
      </c>
      <c r="E15" s="96">
        <v>1.75</v>
      </c>
      <c r="G15" s="95">
        <f t="shared" si="0"/>
        <v>45627</v>
      </c>
      <c r="H15" s="81">
        <v>0</v>
      </c>
      <c r="I15" s="81">
        <v>0</v>
      </c>
      <c r="J15" s="96">
        <v>0</v>
      </c>
      <c r="K15" s="96">
        <v>-0.85</v>
      </c>
      <c r="M15" s="95">
        <f t="shared" si="1"/>
        <v>45627</v>
      </c>
      <c r="N15" s="81">
        <v>0</v>
      </c>
      <c r="O15" s="81">
        <v>0</v>
      </c>
      <c r="P15" s="96">
        <v>0</v>
      </c>
      <c r="Q15" s="81">
        <f t="shared" si="2"/>
        <v>1.4900000000021691</v>
      </c>
    </row>
    <row r="16" spans="1:18" x14ac:dyDescent="0.25">
      <c r="A16" s="94">
        <v>45658</v>
      </c>
      <c r="B16" s="81">
        <v>0</v>
      </c>
      <c r="C16" s="81">
        <v>0</v>
      </c>
      <c r="D16" s="96">
        <v>0</v>
      </c>
      <c r="E16" s="96">
        <v>1.75</v>
      </c>
      <c r="G16" s="95">
        <f t="shared" si="0"/>
        <v>45658</v>
      </c>
      <c r="H16" s="81">
        <v>0</v>
      </c>
      <c r="I16" s="81">
        <v>0</v>
      </c>
      <c r="J16" s="96">
        <v>0</v>
      </c>
      <c r="K16" s="96">
        <v>-0.85</v>
      </c>
      <c r="M16" s="95">
        <f t="shared" si="1"/>
        <v>45658</v>
      </c>
      <c r="N16" s="81">
        <v>0</v>
      </c>
      <c r="O16" s="81">
        <v>0</v>
      </c>
      <c r="P16" s="96">
        <v>0</v>
      </c>
      <c r="Q16" s="81">
        <f t="shared" si="2"/>
        <v>1.4900000000021691</v>
      </c>
    </row>
    <row r="17" spans="1:17" x14ac:dyDescent="0.25">
      <c r="A17" s="94">
        <v>45689</v>
      </c>
      <c r="B17" s="81">
        <v>0</v>
      </c>
      <c r="C17" s="81">
        <v>0</v>
      </c>
      <c r="D17" s="96">
        <v>0</v>
      </c>
      <c r="E17" s="96">
        <v>1.75</v>
      </c>
      <c r="G17" s="95">
        <f t="shared" si="0"/>
        <v>45689</v>
      </c>
      <c r="H17" s="81">
        <v>0</v>
      </c>
      <c r="I17" s="81">
        <v>0</v>
      </c>
      <c r="J17" s="96">
        <v>0</v>
      </c>
      <c r="K17" s="96">
        <v>-0.85</v>
      </c>
      <c r="M17" s="95">
        <f t="shared" si="1"/>
        <v>45689</v>
      </c>
      <c r="N17" s="81">
        <v>0</v>
      </c>
      <c r="O17" s="81">
        <v>0</v>
      </c>
      <c r="P17" s="96">
        <v>0</v>
      </c>
      <c r="Q17" s="81">
        <f t="shared" si="2"/>
        <v>1.4900000000021691</v>
      </c>
    </row>
    <row r="18" spans="1:17" x14ac:dyDescent="0.25">
      <c r="A18" s="94">
        <v>45717</v>
      </c>
      <c r="B18" s="81">
        <v>0</v>
      </c>
      <c r="C18" s="81">
        <v>0</v>
      </c>
      <c r="D18" s="96">
        <v>0</v>
      </c>
      <c r="E18" s="96">
        <v>1.75</v>
      </c>
      <c r="G18" s="95">
        <f t="shared" si="0"/>
        <v>45717</v>
      </c>
      <c r="H18" s="81">
        <v>0</v>
      </c>
      <c r="I18" s="81">
        <v>0</v>
      </c>
      <c r="J18" s="96">
        <v>0</v>
      </c>
      <c r="K18" s="96">
        <v>-0.85</v>
      </c>
      <c r="M18" s="95">
        <f t="shared" si="1"/>
        <v>45717</v>
      </c>
      <c r="N18" s="81">
        <v>0</v>
      </c>
      <c r="O18" s="81">
        <v>0</v>
      </c>
      <c r="P18" s="96">
        <v>0</v>
      </c>
      <c r="Q18" s="81">
        <f t="shared" si="2"/>
        <v>1.4900000000021691</v>
      </c>
    </row>
    <row r="19" spans="1:17" x14ac:dyDescent="0.25">
      <c r="A19" s="94">
        <v>45748</v>
      </c>
      <c r="B19" s="81">
        <v>0</v>
      </c>
      <c r="C19" s="81">
        <v>0</v>
      </c>
      <c r="D19" s="96">
        <v>0</v>
      </c>
      <c r="E19" s="96">
        <v>1.75</v>
      </c>
      <c r="G19" s="95">
        <f t="shared" si="0"/>
        <v>45748</v>
      </c>
      <c r="H19" s="81">
        <v>0</v>
      </c>
      <c r="I19" s="81">
        <v>0</v>
      </c>
      <c r="J19" s="96">
        <v>0</v>
      </c>
      <c r="K19" s="96">
        <v>-0.85</v>
      </c>
      <c r="M19" s="95">
        <f t="shared" si="1"/>
        <v>45748</v>
      </c>
      <c r="N19" s="81">
        <v>0</v>
      </c>
      <c r="O19" s="81">
        <v>0</v>
      </c>
      <c r="P19" s="96">
        <v>0</v>
      </c>
      <c r="Q19" s="81">
        <f t="shared" si="2"/>
        <v>1.4900000000021691</v>
      </c>
    </row>
    <row r="20" spans="1:17" x14ac:dyDescent="0.25">
      <c r="A20" s="94">
        <v>45778</v>
      </c>
      <c r="B20" s="81">
        <v>0</v>
      </c>
      <c r="C20" s="81">
        <v>0</v>
      </c>
      <c r="D20" s="96">
        <v>0</v>
      </c>
      <c r="E20" s="96">
        <v>1.75</v>
      </c>
      <c r="G20" s="95">
        <f t="shared" si="0"/>
        <v>45778</v>
      </c>
      <c r="H20" s="81">
        <v>0</v>
      </c>
      <c r="I20" s="81">
        <v>0</v>
      </c>
      <c r="J20" s="96">
        <v>0</v>
      </c>
      <c r="K20" s="96">
        <v>-0.85</v>
      </c>
      <c r="M20" s="95">
        <f t="shared" si="1"/>
        <v>45778</v>
      </c>
      <c r="N20" s="81">
        <v>0</v>
      </c>
      <c r="O20" s="81">
        <v>0</v>
      </c>
      <c r="P20" s="96">
        <v>0</v>
      </c>
      <c r="Q20" s="81">
        <f t="shared" si="2"/>
        <v>1.4900000000021691</v>
      </c>
    </row>
    <row r="21" spans="1:17" x14ac:dyDescent="0.25">
      <c r="A21" s="94">
        <v>45809</v>
      </c>
      <c r="B21" s="81">
        <v>0</v>
      </c>
      <c r="C21" s="81">
        <v>0</v>
      </c>
      <c r="D21" s="96">
        <v>0</v>
      </c>
      <c r="E21" s="96">
        <v>1.75</v>
      </c>
      <c r="G21" s="95">
        <f t="shared" si="0"/>
        <v>45809</v>
      </c>
      <c r="H21" s="81">
        <v>0</v>
      </c>
      <c r="I21" s="81">
        <v>0</v>
      </c>
      <c r="J21" s="96">
        <v>0</v>
      </c>
      <c r="K21" s="96">
        <v>-0.85</v>
      </c>
      <c r="M21" s="95">
        <f t="shared" si="1"/>
        <v>45809</v>
      </c>
      <c r="N21" s="81">
        <v>0</v>
      </c>
      <c r="O21" s="81">
        <v>0</v>
      </c>
      <c r="P21" s="96">
        <v>0</v>
      </c>
      <c r="Q21" s="81">
        <f t="shared" si="2"/>
        <v>1.4900000000021691</v>
      </c>
    </row>
    <row r="22" spans="1:17" x14ac:dyDescent="0.25">
      <c r="A22" s="94">
        <v>45839</v>
      </c>
      <c r="B22" s="81">
        <v>0</v>
      </c>
      <c r="C22" s="81">
        <v>0</v>
      </c>
      <c r="D22" s="96">
        <v>0</v>
      </c>
      <c r="E22" s="96">
        <v>1.75</v>
      </c>
      <c r="G22" s="95">
        <f t="shared" si="0"/>
        <v>45839</v>
      </c>
      <c r="H22" s="81">
        <v>0</v>
      </c>
      <c r="I22" s="81">
        <v>0</v>
      </c>
      <c r="J22" s="96">
        <v>0</v>
      </c>
      <c r="K22" s="96">
        <v>-0.85</v>
      </c>
      <c r="M22" s="95">
        <f t="shared" si="1"/>
        <v>45839</v>
      </c>
      <c r="N22" s="81">
        <v>0</v>
      </c>
      <c r="O22" s="81">
        <v>0</v>
      </c>
      <c r="P22" s="96">
        <v>0</v>
      </c>
      <c r="Q22" s="81">
        <f t="shared" si="2"/>
        <v>1.4900000000021691</v>
      </c>
    </row>
    <row r="23" spans="1:17" x14ac:dyDescent="0.25">
      <c r="A23" s="94">
        <v>45870</v>
      </c>
      <c r="B23" s="96">
        <v>0</v>
      </c>
      <c r="C23" s="96">
        <v>0</v>
      </c>
      <c r="D23" s="96">
        <v>0</v>
      </c>
      <c r="E23" s="96">
        <v>1.75</v>
      </c>
      <c r="G23" s="95">
        <f t="shared" si="0"/>
        <v>45870</v>
      </c>
      <c r="H23" s="96">
        <v>0</v>
      </c>
      <c r="I23" s="96">
        <v>0</v>
      </c>
      <c r="J23" s="96">
        <v>0</v>
      </c>
      <c r="K23" s="96">
        <v>-0.85</v>
      </c>
      <c r="M23" s="95">
        <f t="shared" si="1"/>
        <v>45870</v>
      </c>
      <c r="N23" s="96">
        <v>0</v>
      </c>
      <c r="O23" s="96">
        <v>0</v>
      </c>
      <c r="P23" s="96">
        <v>0</v>
      </c>
      <c r="Q23" s="96">
        <f t="shared" si="2"/>
        <v>1.4900000000021691</v>
      </c>
    </row>
    <row r="24" spans="1:17" x14ac:dyDescent="0.25">
      <c r="A24" s="94">
        <v>45901</v>
      </c>
      <c r="B24" s="81">
        <v>0</v>
      </c>
      <c r="C24" s="81">
        <v>0</v>
      </c>
      <c r="D24" s="96">
        <v>0</v>
      </c>
      <c r="E24" s="96">
        <v>1.75</v>
      </c>
      <c r="G24" s="95">
        <f t="shared" si="0"/>
        <v>45901</v>
      </c>
      <c r="H24" s="81">
        <v>0</v>
      </c>
      <c r="I24" s="81">
        <v>0</v>
      </c>
      <c r="J24" s="96">
        <v>0</v>
      </c>
      <c r="K24" s="96">
        <v>-0.85</v>
      </c>
      <c r="M24" s="95">
        <f t="shared" si="1"/>
        <v>45901</v>
      </c>
      <c r="N24" s="81">
        <v>0</v>
      </c>
      <c r="O24" s="81">
        <v>0</v>
      </c>
      <c r="P24" s="96">
        <v>0</v>
      </c>
      <c r="Q24" s="81">
        <f t="shared" si="2"/>
        <v>1.4900000000021691</v>
      </c>
    </row>
    <row r="25" spans="1:17" x14ac:dyDescent="0.25">
      <c r="A25" s="94">
        <v>45931</v>
      </c>
      <c r="B25" s="81">
        <v>0</v>
      </c>
      <c r="C25" s="81">
        <v>0</v>
      </c>
      <c r="D25" s="96">
        <v>0</v>
      </c>
      <c r="E25" s="96">
        <v>1.75</v>
      </c>
      <c r="G25" s="95">
        <f t="shared" si="0"/>
        <v>45931</v>
      </c>
      <c r="H25" s="81">
        <v>0</v>
      </c>
      <c r="I25" s="81">
        <v>0</v>
      </c>
      <c r="J25" s="96">
        <v>0</v>
      </c>
      <c r="K25" s="96">
        <v>-0.85</v>
      </c>
      <c r="M25" s="95">
        <f t="shared" si="1"/>
        <v>45931</v>
      </c>
      <c r="N25" s="81">
        <v>0</v>
      </c>
      <c r="O25" s="81">
        <v>0</v>
      </c>
      <c r="P25" s="96">
        <v>0</v>
      </c>
      <c r="Q25" s="81">
        <f t="shared" si="2"/>
        <v>1.4900000000021691</v>
      </c>
    </row>
    <row r="26" spans="1:17" x14ac:dyDescent="0.25">
      <c r="A26" s="94">
        <v>45962</v>
      </c>
      <c r="B26" s="81">
        <v>0</v>
      </c>
      <c r="C26" s="81">
        <v>0</v>
      </c>
      <c r="D26" s="96">
        <v>0</v>
      </c>
      <c r="E26" s="96">
        <v>1.75</v>
      </c>
      <c r="G26" s="95">
        <f t="shared" si="0"/>
        <v>45962</v>
      </c>
      <c r="H26" s="81">
        <v>0</v>
      </c>
      <c r="I26" s="81">
        <v>0</v>
      </c>
      <c r="J26" s="96">
        <v>0</v>
      </c>
      <c r="K26" s="96">
        <v>-0.85</v>
      </c>
      <c r="M26" s="95">
        <f t="shared" si="1"/>
        <v>45962</v>
      </c>
      <c r="N26" s="81">
        <v>0</v>
      </c>
      <c r="O26" s="81">
        <v>0</v>
      </c>
      <c r="P26" s="96">
        <v>0</v>
      </c>
      <c r="Q26" s="81">
        <f t="shared" si="2"/>
        <v>1.4900000000021691</v>
      </c>
    </row>
    <row r="27" spans="1:17" x14ac:dyDescent="0.25">
      <c r="A27" s="94">
        <v>45992</v>
      </c>
      <c r="B27" s="81">
        <v>0</v>
      </c>
      <c r="C27" s="81">
        <v>0</v>
      </c>
      <c r="D27" s="96">
        <v>0</v>
      </c>
      <c r="E27" s="96">
        <v>1.75</v>
      </c>
      <c r="G27" s="95">
        <f t="shared" si="0"/>
        <v>45992</v>
      </c>
      <c r="H27" s="81">
        <v>0</v>
      </c>
      <c r="I27" s="81">
        <v>0</v>
      </c>
      <c r="J27" s="96">
        <v>0</v>
      </c>
      <c r="K27" s="96">
        <v>-0.85</v>
      </c>
      <c r="M27" s="95">
        <f t="shared" si="1"/>
        <v>45992</v>
      </c>
      <c r="N27" s="81">
        <v>0</v>
      </c>
      <c r="O27" s="81">
        <v>0</v>
      </c>
      <c r="P27" s="96">
        <v>0</v>
      </c>
      <c r="Q27" s="81">
        <f t="shared" si="2"/>
        <v>1.4900000000021691</v>
      </c>
    </row>
    <row r="28" spans="1:17" x14ac:dyDescent="0.25">
      <c r="A28" s="94">
        <v>46023</v>
      </c>
      <c r="B28" s="81">
        <v>0</v>
      </c>
      <c r="C28" s="81">
        <v>0</v>
      </c>
      <c r="D28" s="96">
        <v>0</v>
      </c>
      <c r="E28" s="96">
        <v>1.75</v>
      </c>
      <c r="G28" s="95">
        <f t="shared" si="0"/>
        <v>46023</v>
      </c>
      <c r="H28" s="81">
        <v>0</v>
      </c>
      <c r="I28" s="81">
        <v>0</v>
      </c>
      <c r="J28" s="96">
        <v>0</v>
      </c>
      <c r="K28" s="96">
        <v>-0.85</v>
      </c>
      <c r="M28" s="95">
        <f t="shared" si="1"/>
        <v>46023</v>
      </c>
      <c r="N28" s="81">
        <v>0</v>
      </c>
      <c r="O28" s="81">
        <v>0</v>
      </c>
      <c r="P28" s="96">
        <v>0</v>
      </c>
      <c r="Q28" s="81">
        <f t="shared" si="2"/>
        <v>1.4900000000021691</v>
      </c>
    </row>
    <row r="29" spans="1:17" x14ac:dyDescent="0.25">
      <c r="A29" s="94">
        <v>46054</v>
      </c>
      <c r="B29" s="81">
        <v>0</v>
      </c>
      <c r="C29" s="81">
        <v>0</v>
      </c>
      <c r="D29" s="96">
        <v>0</v>
      </c>
      <c r="E29" s="96">
        <v>1.75</v>
      </c>
      <c r="G29" s="95">
        <f t="shared" si="0"/>
        <v>46054</v>
      </c>
      <c r="H29" s="81">
        <v>0</v>
      </c>
      <c r="I29" s="81">
        <v>0</v>
      </c>
      <c r="J29" s="96">
        <v>0</v>
      </c>
      <c r="K29" s="96">
        <v>-0.85</v>
      </c>
      <c r="M29" s="95">
        <f t="shared" si="1"/>
        <v>46054</v>
      </c>
      <c r="N29" s="81">
        <v>0</v>
      </c>
      <c r="O29" s="81">
        <v>0</v>
      </c>
      <c r="P29" s="96">
        <v>0</v>
      </c>
      <c r="Q29" s="81">
        <f t="shared" si="2"/>
        <v>1.4900000000021691</v>
      </c>
    </row>
    <row r="30" spans="1:17" x14ac:dyDescent="0.25">
      <c r="A30" s="94">
        <v>46082</v>
      </c>
      <c r="B30" s="81">
        <v>0</v>
      </c>
      <c r="C30" s="81">
        <v>0</v>
      </c>
      <c r="D30" s="96">
        <v>0</v>
      </c>
      <c r="E30" s="96">
        <v>1.75</v>
      </c>
      <c r="G30" s="95">
        <f t="shared" si="0"/>
        <v>46082</v>
      </c>
      <c r="H30" s="81">
        <v>0</v>
      </c>
      <c r="I30" s="81">
        <v>0</v>
      </c>
      <c r="J30" s="96">
        <v>0</v>
      </c>
      <c r="K30" s="96">
        <v>-0.85</v>
      </c>
      <c r="M30" s="95">
        <f t="shared" si="1"/>
        <v>46082</v>
      </c>
      <c r="N30" s="81">
        <v>0</v>
      </c>
      <c r="O30" s="81">
        <v>0</v>
      </c>
      <c r="P30" s="96">
        <v>0</v>
      </c>
      <c r="Q30" s="81">
        <f t="shared" si="2"/>
        <v>1.4900000000021691</v>
      </c>
    </row>
    <row r="31" spans="1:17" x14ac:dyDescent="0.25">
      <c r="A31" s="94">
        <v>46113</v>
      </c>
      <c r="B31" s="81">
        <v>0</v>
      </c>
      <c r="C31" s="81">
        <v>0</v>
      </c>
      <c r="D31" s="96">
        <v>0</v>
      </c>
      <c r="E31" s="96">
        <v>1.75</v>
      </c>
      <c r="G31" s="95">
        <f t="shared" si="0"/>
        <v>46113</v>
      </c>
      <c r="H31" s="81">
        <v>0</v>
      </c>
      <c r="I31" s="81">
        <v>0</v>
      </c>
      <c r="J31" s="96">
        <v>0</v>
      </c>
      <c r="K31" s="96">
        <v>-0.85</v>
      </c>
      <c r="M31" s="95">
        <f t="shared" si="1"/>
        <v>46113</v>
      </c>
      <c r="N31" s="81">
        <v>0</v>
      </c>
      <c r="O31" s="81">
        <v>0</v>
      </c>
      <c r="P31" s="96">
        <v>0</v>
      </c>
      <c r="Q31" s="81">
        <f t="shared" si="2"/>
        <v>1.4900000000021691</v>
      </c>
    </row>
    <row r="32" spans="1:17" x14ac:dyDescent="0.25">
      <c r="A32" s="94">
        <v>46143</v>
      </c>
      <c r="B32" s="81">
        <v>0</v>
      </c>
      <c r="C32" s="81">
        <v>0</v>
      </c>
      <c r="D32" s="96">
        <v>0</v>
      </c>
      <c r="E32" s="96">
        <v>1.75</v>
      </c>
      <c r="G32" s="95">
        <f t="shared" si="0"/>
        <v>46143</v>
      </c>
      <c r="H32" s="81">
        <v>0</v>
      </c>
      <c r="I32" s="81">
        <v>0</v>
      </c>
      <c r="J32" s="96">
        <v>0</v>
      </c>
      <c r="K32" s="96">
        <v>-0.85</v>
      </c>
      <c r="M32" s="95">
        <f t="shared" si="1"/>
        <v>46143</v>
      </c>
      <c r="N32" s="81">
        <v>0</v>
      </c>
      <c r="O32" s="81">
        <v>0</v>
      </c>
      <c r="P32" s="96">
        <v>0</v>
      </c>
      <c r="Q32" s="81">
        <f t="shared" si="2"/>
        <v>1.4900000000021691</v>
      </c>
    </row>
    <row r="33" spans="1:18" x14ac:dyDescent="0.25">
      <c r="A33" s="94">
        <v>46174</v>
      </c>
      <c r="B33" s="81">
        <v>0</v>
      </c>
      <c r="C33" s="81">
        <v>0</v>
      </c>
      <c r="D33" s="96">
        <v>0</v>
      </c>
      <c r="E33" s="96">
        <v>1.75</v>
      </c>
      <c r="G33" s="95">
        <f t="shared" si="0"/>
        <v>46174</v>
      </c>
      <c r="H33" s="81">
        <v>0</v>
      </c>
      <c r="I33" s="81">
        <v>0</v>
      </c>
      <c r="J33" s="96">
        <v>0</v>
      </c>
      <c r="K33" s="96">
        <v>-0.85</v>
      </c>
      <c r="M33" s="95">
        <f t="shared" si="1"/>
        <v>46174</v>
      </c>
      <c r="N33" s="81">
        <v>0</v>
      </c>
      <c r="O33" s="81">
        <v>0</v>
      </c>
      <c r="P33" s="96">
        <v>0</v>
      </c>
      <c r="Q33" s="81">
        <f t="shared" si="2"/>
        <v>1.4900000000021691</v>
      </c>
    </row>
    <row r="34" spans="1:18" x14ac:dyDescent="0.25">
      <c r="A34" s="94">
        <v>46204</v>
      </c>
      <c r="B34" s="81">
        <v>0</v>
      </c>
      <c r="C34" s="81">
        <v>0</v>
      </c>
      <c r="D34" s="96">
        <v>0</v>
      </c>
      <c r="E34" s="96">
        <v>1.75</v>
      </c>
      <c r="G34" s="95">
        <f t="shared" si="0"/>
        <v>46204</v>
      </c>
      <c r="H34" s="81">
        <v>0</v>
      </c>
      <c r="I34" s="81">
        <v>0</v>
      </c>
      <c r="J34" s="96">
        <v>0</v>
      </c>
      <c r="K34" s="96">
        <v>-0.85</v>
      </c>
      <c r="M34" s="95">
        <f t="shared" si="1"/>
        <v>46204</v>
      </c>
      <c r="N34" s="81">
        <v>0</v>
      </c>
      <c r="O34" s="81">
        <v>0</v>
      </c>
      <c r="P34" s="96">
        <v>0</v>
      </c>
      <c r="Q34" s="81">
        <f t="shared" si="2"/>
        <v>1.4900000000021691</v>
      </c>
    </row>
    <row r="35" spans="1:18" x14ac:dyDescent="0.25">
      <c r="A35" s="94">
        <v>46235</v>
      </c>
      <c r="B35" s="81">
        <v>0</v>
      </c>
      <c r="C35" s="81">
        <v>0</v>
      </c>
      <c r="D35" s="96">
        <v>0</v>
      </c>
      <c r="E35" s="96">
        <v>1.75</v>
      </c>
      <c r="G35" s="95">
        <f t="shared" si="0"/>
        <v>46235</v>
      </c>
      <c r="H35" s="81">
        <v>0</v>
      </c>
      <c r="I35" s="81">
        <v>0</v>
      </c>
      <c r="J35" s="96">
        <v>0</v>
      </c>
      <c r="K35" s="96">
        <v>-0.85</v>
      </c>
      <c r="M35" s="95">
        <f t="shared" si="1"/>
        <v>46235</v>
      </c>
      <c r="N35" s="81">
        <v>0</v>
      </c>
      <c r="O35" s="81">
        <v>0</v>
      </c>
      <c r="P35" s="96">
        <v>0</v>
      </c>
      <c r="Q35" s="81">
        <f t="shared" si="2"/>
        <v>1.4900000000021691</v>
      </c>
    </row>
    <row r="36" spans="1:18" x14ac:dyDescent="0.25">
      <c r="A36" s="94">
        <v>46266</v>
      </c>
      <c r="B36" s="81">
        <v>0</v>
      </c>
      <c r="C36" s="81">
        <v>0</v>
      </c>
      <c r="D36" s="96">
        <v>0</v>
      </c>
      <c r="E36" s="96">
        <v>1.75</v>
      </c>
      <c r="G36" s="95">
        <f t="shared" si="0"/>
        <v>46266</v>
      </c>
      <c r="H36" s="81">
        <v>0</v>
      </c>
      <c r="I36" s="81">
        <v>0</v>
      </c>
      <c r="J36" s="96">
        <v>0</v>
      </c>
      <c r="K36" s="96">
        <v>-0.85</v>
      </c>
      <c r="M36" s="95">
        <f t="shared" si="1"/>
        <v>46266</v>
      </c>
      <c r="N36" s="81">
        <v>0</v>
      </c>
      <c r="O36" s="81">
        <v>0</v>
      </c>
      <c r="P36" s="96">
        <v>0</v>
      </c>
      <c r="Q36" s="81">
        <f t="shared" si="2"/>
        <v>1.4900000000021691</v>
      </c>
    </row>
    <row r="37" spans="1:18" x14ac:dyDescent="0.25">
      <c r="A37" s="94">
        <v>46296</v>
      </c>
      <c r="B37" s="81">
        <v>0</v>
      </c>
      <c r="C37" s="81">
        <v>0</v>
      </c>
      <c r="D37" s="96">
        <v>0</v>
      </c>
      <c r="E37" s="96">
        <v>1.75</v>
      </c>
      <c r="G37" s="95">
        <f t="shared" si="0"/>
        <v>46296</v>
      </c>
      <c r="H37" s="81">
        <v>0</v>
      </c>
      <c r="I37" s="81">
        <v>0</v>
      </c>
      <c r="J37" s="96">
        <v>0</v>
      </c>
      <c r="K37" s="96">
        <v>-0.85</v>
      </c>
      <c r="M37" s="95">
        <f t="shared" si="1"/>
        <v>46296</v>
      </c>
      <c r="N37" s="81">
        <v>0</v>
      </c>
      <c r="O37" s="81">
        <v>0</v>
      </c>
      <c r="P37" s="96">
        <v>0</v>
      </c>
      <c r="Q37" s="81">
        <f t="shared" si="2"/>
        <v>1.4900000000021691</v>
      </c>
    </row>
    <row r="38" spans="1:18" x14ac:dyDescent="0.25">
      <c r="A38" s="94">
        <v>46327</v>
      </c>
      <c r="B38" s="81">
        <v>0</v>
      </c>
      <c r="C38" s="81">
        <v>0</v>
      </c>
      <c r="D38" s="96">
        <v>0</v>
      </c>
      <c r="E38" s="96">
        <v>1.75</v>
      </c>
      <c r="G38" s="95">
        <f t="shared" si="0"/>
        <v>46327</v>
      </c>
      <c r="H38" s="81">
        <v>0</v>
      </c>
      <c r="I38" s="81">
        <v>0</v>
      </c>
      <c r="J38" s="96">
        <v>0</v>
      </c>
      <c r="K38" s="96">
        <v>-0.85</v>
      </c>
      <c r="M38" s="95">
        <f t="shared" si="1"/>
        <v>46327</v>
      </c>
      <c r="N38" s="81">
        <v>0</v>
      </c>
      <c r="O38" s="81">
        <v>0</v>
      </c>
      <c r="P38" s="96">
        <v>0</v>
      </c>
      <c r="Q38" s="81">
        <f t="shared" si="2"/>
        <v>1.4900000000021691</v>
      </c>
    </row>
    <row r="39" spans="1:18" x14ac:dyDescent="0.25">
      <c r="A39" s="94">
        <v>46357</v>
      </c>
      <c r="B39" s="81">
        <v>0</v>
      </c>
      <c r="C39" s="81">
        <v>0</v>
      </c>
      <c r="D39" s="96">
        <v>0</v>
      </c>
      <c r="E39" s="96">
        <v>1.75</v>
      </c>
      <c r="G39" s="95">
        <f t="shared" si="0"/>
        <v>46357</v>
      </c>
      <c r="H39" s="81">
        <v>0</v>
      </c>
      <c r="I39" s="81">
        <v>0</v>
      </c>
      <c r="J39" s="96">
        <v>0</v>
      </c>
      <c r="K39" s="96">
        <v>-0.85</v>
      </c>
      <c r="M39" s="95">
        <f t="shared" si="1"/>
        <v>46357</v>
      </c>
      <c r="N39" s="81">
        <v>0</v>
      </c>
      <c r="O39" s="81">
        <v>0</v>
      </c>
      <c r="P39" s="96">
        <v>0</v>
      </c>
      <c r="Q39" s="81">
        <f t="shared" ref="Q39" si="3">Q38+P39</f>
        <v>1.4900000000021691</v>
      </c>
      <c r="R39" s="77">
        <f>Q39+K39</f>
        <v>0.64000000000216917</v>
      </c>
    </row>
    <row r="41" spans="1:18" x14ac:dyDescent="0.25">
      <c r="C41" s="49"/>
    </row>
  </sheetData>
  <pageMargins left="1" right="0.7" top="0.75" bottom="0.75" header="0.3" footer="0.3"/>
  <pageSetup scale="37" orientation="portrait" verticalDpi="120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933"/>
  <sheetViews>
    <sheetView zoomScaleNormal="100" workbookViewId="0">
      <selection activeCell="E1" sqref="E1"/>
    </sheetView>
  </sheetViews>
  <sheetFormatPr defaultColWidth="8.85546875" defaultRowHeight="15" customHeight="1" x14ac:dyDescent="0.2"/>
  <cols>
    <col min="1" max="1" width="28.7109375" style="15" customWidth="1"/>
    <col min="2" max="2" width="1.5703125" style="15" customWidth="1"/>
    <col min="3" max="3" width="18.85546875" style="15" customWidth="1"/>
    <col min="4" max="4" width="1.7109375" style="15" customWidth="1"/>
    <col min="5" max="5" width="34" style="15" bestFit="1" customWidth="1"/>
    <col min="6" max="6" width="1.5703125" style="15" customWidth="1"/>
    <col min="7" max="7" width="34.85546875" style="15" bestFit="1" customWidth="1"/>
    <col min="8" max="8" width="25" style="10" bestFit="1" customWidth="1"/>
    <col min="9" max="16384" width="8.85546875" style="10"/>
  </cols>
  <sheetData>
    <row r="1" spans="1:7" ht="15.75" x14ac:dyDescent="0.25">
      <c r="A1" s="31" t="str">
        <f>'[1]Rate Case Constants'!$C$9</f>
        <v>Kentucky American Water Company</v>
      </c>
      <c r="B1" s="9"/>
      <c r="C1" s="17"/>
      <c r="D1" s="17"/>
      <c r="E1"/>
      <c r="F1"/>
      <c r="G1"/>
    </row>
    <row r="2" spans="1:7" ht="15.75" x14ac:dyDescent="0.25">
      <c r="A2" s="31" t="str">
        <f>'[1]Rate Case Constants'!$C$10</f>
        <v>KENTUCKY AMERICAN WATER COMPANY</v>
      </c>
      <c r="B2" s="9"/>
      <c r="C2" s="17"/>
      <c r="D2" s="17"/>
      <c r="E2"/>
      <c r="F2"/>
      <c r="G2"/>
    </row>
    <row r="3" spans="1:7" ht="15.75" x14ac:dyDescent="0.25">
      <c r="A3" s="32" t="str">
        <f>'[1]Rate Case Constants'!$C$11</f>
        <v>Case No. 2025-00122</v>
      </c>
      <c r="B3" s="18"/>
      <c r="C3" s="17"/>
      <c r="D3" s="17"/>
      <c r="E3"/>
      <c r="F3"/>
      <c r="G3"/>
    </row>
    <row r="4" spans="1:7" x14ac:dyDescent="0.2">
      <c r="A4" s="11"/>
      <c r="B4" s="11"/>
      <c r="C4"/>
      <c r="D4"/>
      <c r="E4"/>
      <c r="F4"/>
      <c r="G4"/>
    </row>
    <row r="5" spans="1:7" ht="15.75" x14ac:dyDescent="0.25">
      <c r="A5" s="37" t="s">
        <v>64</v>
      </c>
      <c r="B5" s="12"/>
      <c r="C5" s="38" t="str">
        <f>'[1]Rate Case Constants'!$C$15</f>
        <v>Base Year (12 Months Ending August 31, 2025)</v>
      </c>
      <c r="D5" s="19"/>
      <c r="E5"/>
      <c r="F5"/>
      <c r="G5" s="112"/>
    </row>
    <row r="6" spans="1:7" x14ac:dyDescent="0.2">
      <c r="A6" s="20"/>
      <c r="B6" s="20"/>
      <c r="C6" s="38" t="s">
        <v>65</v>
      </c>
      <c r="D6" s="19"/>
      <c r="E6"/>
      <c r="F6"/>
      <c r="G6" s="112"/>
    </row>
    <row r="7" spans="1:7" x14ac:dyDescent="0.2">
      <c r="A7" s="11"/>
      <c r="B7" s="11"/>
      <c r="C7" s="39">
        <f>'[1]Rate Case Constants'!$C$12</f>
        <v>45900</v>
      </c>
      <c r="D7" s="21"/>
      <c r="E7"/>
      <c r="F7"/>
      <c r="G7" s="113"/>
    </row>
    <row r="8" spans="1:7" x14ac:dyDescent="0.2">
      <c r="A8" s="12"/>
      <c r="B8" s="12"/>
      <c r="C8" s="39"/>
      <c r="D8" s="21"/>
      <c r="E8" s="22"/>
      <c r="F8" s="22"/>
      <c r="G8" s="113"/>
    </row>
    <row r="9" spans="1:7" x14ac:dyDescent="0.2">
      <c r="A9" s="11"/>
      <c r="B9" s="11"/>
      <c r="C9" s="148"/>
      <c r="D9" s="19"/>
      <c r="E9"/>
      <c r="F9"/>
      <c r="G9" s="114"/>
    </row>
    <row r="10" spans="1:7" ht="15.75" x14ac:dyDescent="0.25">
      <c r="A10" s="37" t="s">
        <v>66</v>
      </c>
      <c r="B10" s="12"/>
      <c r="C10" s="38" t="str">
        <f>'[1]Rate Case Constants'!$C$17</f>
        <v>Forecast Year (12 Months Ending December 31, 2026)</v>
      </c>
      <c r="D10" s="19"/>
      <c r="E10"/>
      <c r="F10"/>
      <c r="G10" s="112"/>
    </row>
    <row r="11" spans="1:7" x14ac:dyDescent="0.2">
      <c r="A11" s="11"/>
      <c r="B11" s="11"/>
      <c r="C11" s="38" t="s">
        <v>67</v>
      </c>
      <c r="D11" s="19"/>
      <c r="E11"/>
      <c r="F11"/>
      <c r="G11" s="112"/>
    </row>
    <row r="12" spans="1:7" x14ac:dyDescent="0.2">
      <c r="A12" s="11"/>
      <c r="B12" s="11"/>
      <c r="C12" s="38" t="s">
        <v>62</v>
      </c>
      <c r="D12" s="19"/>
      <c r="E12"/>
      <c r="F12"/>
      <c r="G12" s="112"/>
    </row>
    <row r="13" spans="1:7" x14ac:dyDescent="0.2">
      <c r="A13" s="11"/>
      <c r="B13" s="11"/>
      <c r="C13" s="39">
        <f>'[1]Rate Case Constants'!$C$13</f>
        <v>46387</v>
      </c>
      <c r="D13" s="21"/>
      <c r="E13"/>
      <c r="F13"/>
      <c r="G13" s="113"/>
    </row>
    <row r="14" spans="1:7" x14ac:dyDescent="0.2">
      <c r="A14" s="11"/>
      <c r="B14" s="11"/>
      <c r="C14" s="39"/>
      <c r="D14" s="21"/>
      <c r="E14"/>
      <c r="F14"/>
      <c r="G14"/>
    </row>
    <row r="15" spans="1:7" x14ac:dyDescent="0.2">
      <c r="A15" s="11"/>
      <c r="B15" s="11"/>
      <c r="C15" s="149"/>
      <c r="D15" s="21"/>
      <c r="E15"/>
      <c r="F15"/>
      <c r="G15"/>
    </row>
    <row r="16" spans="1:7" x14ac:dyDescent="0.2">
      <c r="A16" s="29" t="s">
        <v>68</v>
      </c>
      <c r="B16" s="11"/>
      <c r="C16" s="149"/>
      <c r="D16" s="21"/>
      <c r="E16"/>
      <c r="F16"/>
      <c r="G16"/>
    </row>
    <row r="17" spans="1:7" x14ac:dyDescent="0.2">
      <c r="A17" s="30" t="str">
        <f>'[1]Rate Case Constants'!$C$24</f>
        <v>Type of Filing: _____ Original  __X__ Updated  _____ Revised</v>
      </c>
      <c r="B17" s="11"/>
      <c r="C17" s="39"/>
      <c r="D17" s="21"/>
      <c r="E17"/>
      <c r="F17"/>
      <c r="G17"/>
    </row>
    <row r="18" spans="1:7" x14ac:dyDescent="0.2">
      <c r="A18" s="30" t="str">
        <f>'[1]Rate Case Constants'!$C$25</f>
        <v>Type of Filing: _____ Original  __X__ Updated  _____ Revised</v>
      </c>
      <c r="B18" s="11"/>
      <c r="C18" s="39"/>
      <c r="D18" s="21"/>
      <c r="E18"/>
      <c r="F18"/>
      <c r="G18"/>
    </row>
    <row r="19" spans="1:7" x14ac:dyDescent="0.2">
      <c r="A19" s="30" t="str">
        <f>'[1]Rate Case Constants'!$C$26</f>
        <v>Type of Filing: _____ Original  __X__ Updated  _____ Revised</v>
      </c>
      <c r="B19" s="11"/>
      <c r="C19" s="39"/>
      <c r="D19" s="14"/>
      <c r="E19" s="13"/>
      <c r="F19" s="13"/>
      <c r="G19"/>
    </row>
    <row r="20" spans="1:7" x14ac:dyDescent="0.2">
      <c r="A20" s="30"/>
      <c r="B20" s="11"/>
      <c r="C20" s="39"/>
      <c r="D20" s="14"/>
      <c r="E20" s="13"/>
      <c r="F20" s="13"/>
      <c r="G20"/>
    </row>
    <row r="21" spans="1:7" x14ac:dyDescent="0.2">
      <c r="A21" s="11"/>
      <c r="B21" s="11"/>
      <c r="C21" s="14"/>
      <c r="D21" s="14"/>
      <c r="E21"/>
      <c r="F21"/>
      <c r="G21"/>
    </row>
    <row r="22" spans="1:7" ht="15.75" x14ac:dyDescent="0.25">
      <c r="A22" s="9" t="str">
        <f>A2</f>
        <v>KENTUCKY AMERICAN WATER COMPANY</v>
      </c>
      <c r="B22" s="9"/>
      <c r="C22" s="14"/>
      <c r="D22" s="14"/>
      <c r="E22"/>
      <c r="F22"/>
      <c r="G22"/>
    </row>
    <row r="23" spans="1:7" ht="15.75" x14ac:dyDescent="0.25">
      <c r="A23" s="9"/>
      <c r="B23" s="9"/>
      <c r="C23" s="14"/>
      <c r="D23" s="14"/>
      <c r="E23" s="13"/>
      <c r="F23" s="13"/>
      <c r="G23"/>
    </row>
    <row r="24" spans="1:7" x14ac:dyDescent="0.2">
      <c r="A24" s="11" t="str">
        <f>'[1]Link Out WP'!$D85</f>
        <v>13-Month Average</v>
      </c>
      <c r="B24" s="11"/>
      <c r="C24" s="11" t="str">
        <f>'[1]Link Out WP'!$F85</f>
        <v>W/P - 7-1</v>
      </c>
      <c r="D24" s="14"/>
      <c r="E24" s="11"/>
      <c r="F24"/>
      <c r="G24"/>
    </row>
    <row r="25" spans="1:7" x14ac:dyDescent="0.2">
      <c r="A25" s="11" t="str">
        <f>'[1]Link Out WP'!$D86</f>
        <v>Summary</v>
      </c>
      <c r="B25" s="11"/>
      <c r="C25" s="11" t="str">
        <f>'[1]Link Out WP'!$F86</f>
        <v>W/P - 7-2</v>
      </c>
      <c r="D25" s="14"/>
      <c r="E25"/>
      <c r="F25"/>
      <c r="G25"/>
    </row>
    <row r="26" spans="1:7" x14ac:dyDescent="0.2">
      <c r="A26" s="11" t="str">
        <f>'[1]Link Out WP'!$D87</f>
        <v>Short-Term Debt</v>
      </c>
      <c r="B26" s="11"/>
      <c r="C26" s="11" t="str">
        <f>'[1]Link Out WP'!$F87</f>
        <v>W/P - 7-3</v>
      </c>
      <c r="D26" s="14"/>
      <c r="E26"/>
      <c r="F26"/>
      <c r="G26"/>
    </row>
    <row r="27" spans="1:7" x14ac:dyDescent="0.2">
      <c r="A27" s="11" t="str">
        <f>'[1]Link Out WP'!$D88</f>
        <v>Long-Term Debt</v>
      </c>
      <c r="B27" s="11"/>
      <c r="C27" s="11" t="str">
        <f>'[1]Link Out WP'!$F88</f>
        <v>W/P - 7-4</v>
      </c>
      <c r="D27" s="14"/>
      <c r="E27"/>
      <c r="F27"/>
      <c r="G27"/>
    </row>
    <row r="28" spans="1:7" x14ac:dyDescent="0.2">
      <c r="A28" s="11" t="str">
        <f>'[1]Link Out WP'!$D89</f>
        <v>Preferred Stock</v>
      </c>
      <c r="B28" s="11"/>
      <c r="C28" s="11" t="str">
        <f>'[1]Link Out WP'!$F89</f>
        <v>W/P - 7-5</v>
      </c>
      <c r="D28" s="14"/>
      <c r="E28"/>
      <c r="F28"/>
      <c r="G28"/>
    </row>
    <row r="29" spans="1:7" x14ac:dyDescent="0.2">
      <c r="A29" s="11" t="str">
        <f>'[1]Link Out WP'!$D90</f>
        <v>Common Equity</v>
      </c>
      <c r="B29" s="11"/>
      <c r="C29" s="11" t="str">
        <f>'[1]Link Out WP'!$F90</f>
        <v>W/P - 7-6</v>
      </c>
      <c r="D29" s="14"/>
      <c r="E29"/>
      <c r="F29"/>
      <c r="G29"/>
    </row>
    <row r="30" spans="1:7" x14ac:dyDescent="0.2">
      <c r="A30" s="11" t="str">
        <f>'[1]Link Out WP'!$D91</f>
        <v>JDITC</v>
      </c>
      <c r="B30" s="11"/>
      <c r="C30" s="11" t="str">
        <f>'[1]Link Out WP'!$F91</f>
        <v>W/P - 7-7</v>
      </c>
      <c r="D30" s="14"/>
      <c r="E30"/>
      <c r="F30"/>
      <c r="G30"/>
    </row>
    <row r="31" spans="1:7" x14ac:dyDescent="0.2">
      <c r="A31" s="11"/>
      <c r="B31" s="11"/>
      <c r="C31" s="11" t="str">
        <f>CONCATENATE(C24,","," 7-2")</f>
        <v>W/P - 7-1, 7-2</v>
      </c>
      <c r="D31" s="14"/>
      <c r="E31"/>
      <c r="F31"/>
      <c r="G31"/>
    </row>
    <row r="32" spans="1:7" x14ac:dyDescent="0.2">
      <c r="A32" s="11" t="s">
        <v>69</v>
      </c>
      <c r="B32" s="11"/>
      <c r="C32" s="14"/>
      <c r="D32" s="14"/>
      <c r="E32"/>
      <c r="F32"/>
      <c r="G32"/>
    </row>
    <row r="33" spans="1:7" x14ac:dyDescent="0.2">
      <c r="A33" s="14"/>
      <c r="B33" s="14"/>
      <c r="C33" s="14"/>
      <c r="D33" s="14"/>
      <c r="E33"/>
      <c r="F33"/>
      <c r="G33"/>
    </row>
    <row r="34" spans="1:7" x14ac:dyDescent="0.2">
      <c r="A34" s="12"/>
      <c r="B34" s="12"/>
      <c r="C34" s="14"/>
      <c r="D34" s="14"/>
      <c r="E34"/>
      <c r="F34"/>
      <c r="G34"/>
    </row>
    <row r="35" spans="1:7" x14ac:dyDescent="0.2">
      <c r="A35" s="14"/>
      <c r="B35" s="14"/>
      <c r="C35" s="14"/>
      <c r="D35" s="14"/>
      <c r="E35" s="13"/>
      <c r="F35" s="13"/>
      <c r="G35"/>
    </row>
    <row r="36" spans="1:7" x14ac:dyDescent="0.2">
      <c r="A36" s="35" t="s">
        <v>70</v>
      </c>
      <c r="B36" s="22"/>
      <c r="C36" s="36" t="s">
        <v>71</v>
      </c>
      <c r="D36" s="22"/>
      <c r="E36" s="36" t="s">
        <v>72</v>
      </c>
      <c r="F36" s="22"/>
      <c r="G36" s="36" t="s">
        <v>73</v>
      </c>
    </row>
    <row r="37" spans="1:7" x14ac:dyDescent="0.2">
      <c r="A37" s="14"/>
      <c r="B37" s="14"/>
      <c r="C37" s="14"/>
      <c r="D37" s="14"/>
      <c r="E37"/>
      <c r="F37"/>
      <c r="G37" t="s">
        <v>74</v>
      </c>
    </row>
    <row r="38" spans="1:7" x14ac:dyDescent="0.2">
      <c r="A38" s="33" t="s">
        <v>75</v>
      </c>
      <c r="B38" s="33"/>
      <c r="C38" s="33">
        <v>1</v>
      </c>
      <c r="D38" s="14"/>
      <c r="E38" s="30" t="s">
        <v>61</v>
      </c>
      <c r="F38" s="30"/>
      <c r="G38" s="30" t="str">
        <f>'[1]Rate Case Constants'!$C$40</f>
        <v>Witness Responsible:   Jennifer Gonzales</v>
      </c>
    </row>
    <row r="39" spans="1:7" x14ac:dyDescent="0.2">
      <c r="A39" s="33" t="s">
        <v>76</v>
      </c>
      <c r="B39" s="33"/>
      <c r="C39" s="33">
        <v>1</v>
      </c>
      <c r="D39" s="14"/>
      <c r="E39" s="30" t="s">
        <v>61</v>
      </c>
      <c r="F39" s="34"/>
      <c r="G39" s="30" t="str">
        <f>'[1]Rate Case Constants'!$C$40</f>
        <v>Witness Responsible:   Jennifer Gonzales</v>
      </c>
    </row>
    <row r="40" spans="1:7" x14ac:dyDescent="0.2">
      <c r="A40" s="33"/>
      <c r="B40" s="33"/>
      <c r="C40" s="33">
        <v>2</v>
      </c>
      <c r="D40" s="14"/>
      <c r="E40" s="30" t="s">
        <v>61</v>
      </c>
      <c r="F40" s="34"/>
      <c r="G40" s="30" t="str">
        <f>'[1]Rate Case Constants'!$C$40</f>
        <v>Witness Responsible:   Jennifer Gonzales</v>
      </c>
    </row>
    <row r="41" spans="1:7" x14ac:dyDescent="0.2">
      <c r="A41" s="33" t="s">
        <v>77</v>
      </c>
      <c r="B41" s="33"/>
      <c r="C41" s="33">
        <v>1</v>
      </c>
      <c r="D41" s="14"/>
      <c r="E41" s="34" t="s">
        <v>78</v>
      </c>
      <c r="F41" s="34"/>
      <c r="G41" s="30" t="str">
        <f>'[1]Rate Case Constants'!$C$40</f>
        <v>Witness Responsible:   Jennifer Gonzales</v>
      </c>
    </row>
    <row r="42" spans="1:7" x14ac:dyDescent="0.2">
      <c r="A42" s="33"/>
      <c r="B42" s="33"/>
      <c r="C42" s="33">
        <v>2</v>
      </c>
      <c r="D42" s="14"/>
      <c r="E42" s="34" t="s">
        <v>78</v>
      </c>
      <c r="F42" s="34"/>
      <c r="G42" s="30" t="str">
        <f>'[1]Rate Case Constants'!$C$40</f>
        <v>Witness Responsible:   Jennifer Gonzales</v>
      </c>
    </row>
    <row r="43" spans="1:7" x14ac:dyDescent="0.2">
      <c r="A43" s="33" t="s">
        <v>79</v>
      </c>
      <c r="B43" s="33"/>
      <c r="C43" s="33">
        <v>1</v>
      </c>
      <c r="D43" s="14"/>
      <c r="E43" s="34" t="s">
        <v>80</v>
      </c>
      <c r="F43" s="34"/>
      <c r="G43" s="30" t="str">
        <f>'[1]Rate Case Constants'!$C$40</f>
        <v>Witness Responsible:   Jennifer Gonzales</v>
      </c>
    </row>
    <row r="44" spans="1:7" x14ac:dyDescent="0.2">
      <c r="A44" s="33"/>
      <c r="B44" s="33"/>
      <c r="C44" s="33">
        <v>2</v>
      </c>
      <c r="D44" s="14"/>
      <c r="E44" s="34" t="s">
        <v>80</v>
      </c>
      <c r="F44" s="34"/>
      <c r="G44" s="30" t="str">
        <f>'[1]Rate Case Constants'!$C$40</f>
        <v>Witness Responsible:   Jennifer Gonzales</v>
      </c>
    </row>
    <row r="45" spans="1:7" x14ac:dyDescent="0.2">
      <c r="A45" s="33" t="s">
        <v>81</v>
      </c>
      <c r="B45" s="14"/>
      <c r="C45" s="14">
        <v>1</v>
      </c>
      <c r="D45" s="14"/>
      <c r="E45" s="34" t="s">
        <v>82</v>
      </c>
      <c r="F45"/>
      <c r="G45" s="30" t="str">
        <f>'[1]Rate Case Constants'!$C$40</f>
        <v>Witness Responsible:   Jennifer Gonzales</v>
      </c>
    </row>
    <row r="46" spans="1:7" x14ac:dyDescent="0.2">
      <c r="A46" s="14"/>
      <c r="B46" s="14"/>
      <c r="C46" s="14">
        <v>2</v>
      </c>
      <c r="D46" s="14"/>
      <c r="E46" s="34" t="s">
        <v>82</v>
      </c>
      <c r="F46" s="13"/>
      <c r="G46" s="30" t="str">
        <f>'[1]Rate Case Constants'!$C$40</f>
        <v>Witness Responsible:   Jennifer Gonzales</v>
      </c>
    </row>
    <row r="47" spans="1:7" x14ac:dyDescent="0.2">
      <c r="A47" s="14"/>
      <c r="B47" s="14"/>
      <c r="C47" s="14"/>
      <c r="D47" s="14"/>
      <c r="E47"/>
      <c r="F47"/>
      <c r="G47"/>
    </row>
    <row r="48" spans="1:7" x14ac:dyDescent="0.2">
      <c r="A48" s="14"/>
      <c r="B48" s="14"/>
      <c r="C48" s="14"/>
      <c r="D48" s="14"/>
      <c r="E48" s="13"/>
      <c r="F48" s="13"/>
      <c r="G48"/>
    </row>
    <row r="49" spans="1:7" x14ac:dyDescent="0.2">
      <c r="A49" s="14"/>
      <c r="B49" s="14"/>
      <c r="C49" s="14"/>
      <c r="D49" s="14"/>
      <c r="E49"/>
      <c r="F49"/>
      <c r="G49"/>
    </row>
    <row r="50" spans="1:7" x14ac:dyDescent="0.2">
      <c r="A50" s="14"/>
      <c r="B50" s="14"/>
      <c r="C50" s="14"/>
      <c r="D50" s="14"/>
      <c r="E50" s="13"/>
      <c r="F50" s="13"/>
      <c r="G50"/>
    </row>
    <row r="51" spans="1:7" x14ac:dyDescent="0.2">
      <c r="A51" s="14"/>
      <c r="B51" s="14"/>
      <c r="C51" s="14"/>
      <c r="D51" s="14"/>
      <c r="E51"/>
      <c r="F51"/>
      <c r="G51"/>
    </row>
    <row r="52" spans="1:7" x14ac:dyDescent="0.2">
      <c r="A52" s="14"/>
      <c r="B52" s="14"/>
      <c r="C52" s="14"/>
      <c r="D52" s="14"/>
      <c r="E52" s="13"/>
      <c r="F52" s="13"/>
      <c r="G52"/>
    </row>
    <row r="53" spans="1:7" x14ac:dyDescent="0.2">
      <c r="A53" s="14"/>
      <c r="B53" s="14"/>
      <c r="C53" s="14"/>
      <c r="D53" s="14"/>
      <c r="E53"/>
      <c r="F53"/>
      <c r="G53"/>
    </row>
    <row r="54" spans="1:7" x14ac:dyDescent="0.2">
      <c r="A54" s="14"/>
      <c r="B54" s="14"/>
      <c r="C54" s="14"/>
      <c r="D54" s="14"/>
      <c r="E54" s="13"/>
      <c r="F54" s="13"/>
      <c r="G54"/>
    </row>
    <row r="55" spans="1:7" x14ac:dyDescent="0.2">
      <c r="A55" s="14"/>
      <c r="B55" s="14"/>
      <c r="C55" s="14"/>
      <c r="D55" s="14"/>
      <c r="E55"/>
      <c r="F55"/>
      <c r="G55"/>
    </row>
    <row r="56" spans="1:7" x14ac:dyDescent="0.2">
      <c r="A56" s="14"/>
      <c r="B56" s="14"/>
      <c r="C56" s="14"/>
      <c r="D56" s="14"/>
      <c r="E56" s="13"/>
      <c r="F56" s="13"/>
      <c r="G56"/>
    </row>
    <row r="57" spans="1:7" x14ac:dyDescent="0.2">
      <c r="A57" s="14"/>
      <c r="B57" s="14"/>
      <c r="C57" s="14"/>
      <c r="D57" s="14"/>
      <c r="E57"/>
      <c r="F57"/>
      <c r="G57"/>
    </row>
    <row r="58" spans="1:7" x14ac:dyDescent="0.2">
      <c r="A58" s="14"/>
      <c r="B58" s="14"/>
      <c r="C58" s="14"/>
      <c r="D58" s="14"/>
      <c r="E58"/>
      <c r="F58"/>
      <c r="G58"/>
    </row>
    <row r="59" spans="1:7" x14ac:dyDescent="0.2">
      <c r="A59" s="14"/>
      <c r="B59" s="14"/>
      <c r="C59" s="14"/>
      <c r="D59" s="14"/>
      <c r="E59"/>
      <c r="F59"/>
      <c r="G59"/>
    </row>
    <row r="60" spans="1:7" x14ac:dyDescent="0.2">
      <c r="A60" s="14"/>
      <c r="B60" s="14"/>
      <c r="C60" s="14"/>
      <c r="D60" s="14"/>
      <c r="E60"/>
      <c r="F60"/>
      <c r="G60"/>
    </row>
    <row r="61" spans="1:7" x14ac:dyDescent="0.2">
      <c r="A61" s="14"/>
      <c r="B61" s="14"/>
      <c r="C61" s="14"/>
      <c r="D61" s="14"/>
      <c r="E61"/>
      <c r="F61"/>
      <c r="G61"/>
    </row>
    <row r="62" spans="1:7" x14ac:dyDescent="0.2">
      <c r="A62" s="14"/>
      <c r="B62" s="14"/>
      <c r="C62" s="14"/>
      <c r="D62" s="14"/>
      <c r="E62"/>
      <c r="F62"/>
      <c r="G62"/>
    </row>
    <row r="63" spans="1:7" x14ac:dyDescent="0.2">
      <c r="A63" s="14"/>
      <c r="B63" s="14"/>
      <c r="C63" s="14"/>
      <c r="D63" s="14"/>
      <c r="E63"/>
      <c r="F63"/>
      <c r="G63"/>
    </row>
    <row r="64" spans="1:7" x14ac:dyDescent="0.2">
      <c r="A64" s="14"/>
      <c r="B64" s="14"/>
      <c r="C64" s="14"/>
      <c r="D64" s="14"/>
      <c r="E64"/>
      <c r="F64"/>
      <c r="G64"/>
    </row>
    <row r="65" spans="1:7" x14ac:dyDescent="0.2">
      <c r="A65" s="14"/>
      <c r="B65" s="14"/>
      <c r="C65" s="14"/>
      <c r="D65" s="14"/>
      <c r="E65"/>
      <c r="F65"/>
      <c r="G65"/>
    </row>
    <row r="66" spans="1:7" x14ac:dyDescent="0.2">
      <c r="A66" s="14"/>
      <c r="B66" s="14"/>
      <c r="C66" s="14"/>
      <c r="D66" s="14"/>
      <c r="E66"/>
      <c r="F66"/>
      <c r="G66"/>
    </row>
    <row r="67" spans="1:7" x14ac:dyDescent="0.2">
      <c r="A67" s="14"/>
      <c r="B67" s="14"/>
      <c r="C67" s="14"/>
      <c r="D67" s="14"/>
      <c r="E67"/>
      <c r="F67"/>
      <c r="G67"/>
    </row>
    <row r="68" spans="1:7" x14ac:dyDescent="0.2">
      <c r="A68" s="14"/>
      <c r="B68" s="14"/>
      <c r="C68" s="14"/>
      <c r="D68" s="14"/>
      <c r="E68"/>
      <c r="F68"/>
      <c r="G68"/>
    </row>
    <row r="69" spans="1:7" x14ac:dyDescent="0.2">
      <c r="A69" s="14"/>
      <c r="B69" s="14"/>
      <c r="C69" s="14"/>
      <c r="D69" s="14"/>
      <c r="E69"/>
      <c r="F69"/>
      <c r="G69"/>
    </row>
    <row r="70" spans="1:7" x14ac:dyDescent="0.2">
      <c r="A70" s="14"/>
      <c r="B70" s="14"/>
      <c r="C70" s="14"/>
      <c r="D70" s="14"/>
      <c r="E70"/>
      <c r="F70"/>
      <c r="G70"/>
    </row>
    <row r="71" spans="1:7" x14ac:dyDescent="0.2">
      <c r="A71" s="14"/>
      <c r="B71" s="14"/>
      <c r="C71" s="14"/>
      <c r="D71" s="14"/>
      <c r="E71"/>
      <c r="F71"/>
      <c r="G71"/>
    </row>
    <row r="72" spans="1:7" x14ac:dyDescent="0.2">
      <c r="A72" s="14"/>
      <c r="B72" s="14"/>
      <c r="C72" s="14"/>
      <c r="D72" s="14"/>
      <c r="E72"/>
      <c r="F72"/>
      <c r="G72"/>
    </row>
    <row r="73" spans="1:7" x14ac:dyDescent="0.2">
      <c r="A73" s="14"/>
      <c r="B73" s="14"/>
      <c r="C73" s="14"/>
      <c r="D73" s="14"/>
      <c r="E73"/>
      <c r="F73"/>
      <c r="G73"/>
    </row>
    <row r="74" spans="1:7" x14ac:dyDescent="0.2">
      <c r="A74" s="14"/>
      <c r="B74" s="14"/>
      <c r="C74" s="14"/>
      <c r="D74" s="14"/>
      <c r="E74"/>
      <c r="F74"/>
      <c r="G74"/>
    </row>
    <row r="75" spans="1:7" x14ac:dyDescent="0.2">
      <c r="A75" s="14"/>
      <c r="B75" s="14"/>
      <c r="C75" s="14"/>
      <c r="D75" s="14"/>
      <c r="E75"/>
      <c r="F75"/>
      <c r="G75"/>
    </row>
    <row r="76" spans="1:7" x14ac:dyDescent="0.2">
      <c r="A76" s="14"/>
      <c r="B76" s="14"/>
      <c r="C76" s="14"/>
      <c r="D76" s="14"/>
      <c r="E76"/>
      <c r="F76"/>
      <c r="G76"/>
    </row>
    <row r="77" spans="1:7" x14ac:dyDescent="0.2">
      <c r="A77" s="14"/>
      <c r="B77" s="14"/>
      <c r="C77" s="14"/>
      <c r="D77" s="14"/>
      <c r="E77"/>
      <c r="F77"/>
      <c r="G77"/>
    </row>
    <row r="78" spans="1:7" x14ac:dyDescent="0.2">
      <c r="A78" s="14"/>
      <c r="B78" s="14"/>
      <c r="C78" s="14"/>
      <c r="D78" s="14"/>
      <c r="E78"/>
      <c r="F78"/>
      <c r="G78"/>
    </row>
    <row r="79" spans="1:7" x14ac:dyDescent="0.2">
      <c r="A79" s="14"/>
      <c r="B79" s="14"/>
      <c r="C79" s="14"/>
      <c r="D79" s="14"/>
      <c r="E79"/>
      <c r="F79"/>
      <c r="G79"/>
    </row>
    <row r="80" spans="1:7" x14ac:dyDescent="0.2">
      <c r="A80" s="14"/>
      <c r="B80" s="14"/>
      <c r="C80" s="14"/>
      <c r="D80" s="14"/>
      <c r="E80"/>
      <c r="F80"/>
      <c r="G80"/>
    </row>
    <row r="81" spans="1:7" x14ac:dyDescent="0.2">
      <c r="A81" s="14"/>
      <c r="B81" s="14"/>
      <c r="C81" s="14"/>
      <c r="D81" s="14"/>
      <c r="E81"/>
      <c r="F81"/>
      <c r="G81"/>
    </row>
    <row r="82" spans="1:7" x14ac:dyDescent="0.2">
      <c r="A82" s="14"/>
      <c r="B82" s="14"/>
      <c r="C82" s="14"/>
      <c r="D82" s="14"/>
      <c r="E82"/>
      <c r="F82"/>
      <c r="G82"/>
    </row>
    <row r="83" spans="1:7" x14ac:dyDescent="0.2">
      <c r="A83" s="14"/>
      <c r="B83" s="14"/>
      <c r="C83" s="14"/>
      <c r="D83" s="14"/>
      <c r="E83"/>
      <c r="F83"/>
      <c r="G83"/>
    </row>
    <row r="84" spans="1:7" x14ac:dyDescent="0.2">
      <c r="A84" s="14"/>
      <c r="B84" s="14"/>
      <c r="C84" s="14"/>
      <c r="D84" s="14"/>
      <c r="E84"/>
      <c r="F84"/>
      <c r="G84"/>
    </row>
    <row r="85" spans="1:7" x14ac:dyDescent="0.2">
      <c r="A85" s="14"/>
      <c r="B85" s="14"/>
      <c r="C85" s="14"/>
      <c r="D85" s="14"/>
      <c r="E85"/>
      <c r="F85"/>
      <c r="G85"/>
    </row>
    <row r="86" spans="1:7" x14ac:dyDescent="0.2">
      <c r="A86" s="14"/>
      <c r="B86" s="14"/>
      <c r="C86" s="14"/>
      <c r="D86" s="14"/>
      <c r="E86"/>
      <c r="F86"/>
      <c r="G86"/>
    </row>
    <row r="87" spans="1:7" x14ac:dyDescent="0.2">
      <c r="A87" s="14"/>
      <c r="B87" s="14"/>
      <c r="C87" s="14"/>
      <c r="D87" s="14"/>
      <c r="E87"/>
      <c r="F87"/>
      <c r="G87"/>
    </row>
    <row r="88" spans="1:7" x14ac:dyDescent="0.2">
      <c r="A88" s="14"/>
      <c r="B88" s="14"/>
      <c r="C88" s="14"/>
      <c r="D88" s="14"/>
      <c r="E88"/>
      <c r="F88"/>
      <c r="G88"/>
    </row>
    <row r="89" spans="1:7" x14ac:dyDescent="0.2">
      <c r="A89" s="14"/>
      <c r="B89" s="14"/>
      <c r="C89" s="14"/>
      <c r="D89" s="14"/>
      <c r="E89"/>
      <c r="F89"/>
      <c r="G89"/>
    </row>
    <row r="90" spans="1:7" x14ac:dyDescent="0.2">
      <c r="A90" s="14"/>
      <c r="B90" s="14"/>
      <c r="C90" s="14"/>
      <c r="D90" s="14"/>
      <c r="E90"/>
      <c r="F90"/>
      <c r="G90"/>
    </row>
    <row r="91" spans="1:7" x14ac:dyDescent="0.2">
      <c r="A91" s="14"/>
      <c r="B91" s="14"/>
      <c r="C91" s="14"/>
      <c r="D91" s="14"/>
      <c r="E91"/>
      <c r="F91"/>
      <c r="G91"/>
    </row>
    <row r="92" spans="1:7" x14ac:dyDescent="0.2">
      <c r="A92" s="14"/>
      <c r="B92" s="14"/>
      <c r="C92" s="14"/>
      <c r="D92" s="14"/>
      <c r="E92"/>
      <c r="F92"/>
      <c r="G92"/>
    </row>
    <row r="93" spans="1:7" x14ac:dyDescent="0.2">
      <c r="A93" s="14"/>
      <c r="B93" s="14"/>
      <c r="C93" s="14"/>
      <c r="D93" s="14"/>
      <c r="E93"/>
      <c r="F93"/>
      <c r="G93"/>
    </row>
    <row r="94" spans="1:7" x14ac:dyDescent="0.2">
      <c r="A94" s="14"/>
      <c r="B94" s="14"/>
      <c r="C94" s="14"/>
      <c r="D94" s="14"/>
      <c r="E94"/>
      <c r="F94"/>
      <c r="G94"/>
    </row>
    <row r="95" spans="1:7" x14ac:dyDescent="0.2">
      <c r="A95" s="14"/>
      <c r="B95" s="14"/>
      <c r="C95" s="14"/>
      <c r="D95" s="14"/>
      <c r="E95"/>
      <c r="F95"/>
      <c r="G95"/>
    </row>
    <row r="96" spans="1:7" x14ac:dyDescent="0.2">
      <c r="A96" s="14"/>
      <c r="B96" s="14"/>
      <c r="C96" s="14"/>
      <c r="D96" s="14"/>
      <c r="E96"/>
      <c r="F96"/>
      <c r="G96"/>
    </row>
    <row r="97" spans="1:7" x14ac:dyDescent="0.2">
      <c r="A97" s="14"/>
      <c r="B97" s="14"/>
      <c r="C97" s="14"/>
      <c r="D97" s="14"/>
      <c r="E97"/>
      <c r="F97"/>
      <c r="G97"/>
    </row>
    <row r="98" spans="1:7" x14ac:dyDescent="0.2">
      <c r="A98" s="14"/>
      <c r="B98" s="14"/>
      <c r="C98" s="14"/>
      <c r="D98" s="14"/>
      <c r="E98"/>
      <c r="F98"/>
      <c r="G98"/>
    </row>
    <row r="99" spans="1:7" x14ac:dyDescent="0.2">
      <c r="A99" s="14"/>
      <c r="B99" s="14"/>
      <c r="C99" s="14"/>
      <c r="D99" s="14"/>
      <c r="E99"/>
      <c r="F99"/>
      <c r="G99"/>
    </row>
    <row r="100" spans="1:7" x14ac:dyDescent="0.2">
      <c r="A100" s="14"/>
      <c r="B100" s="14"/>
      <c r="C100" s="14"/>
      <c r="D100" s="14"/>
      <c r="E100"/>
      <c r="F100"/>
      <c r="G100"/>
    </row>
    <row r="101" spans="1:7" x14ac:dyDescent="0.2">
      <c r="A101" s="14"/>
      <c r="B101" s="14"/>
      <c r="C101" s="14"/>
      <c r="D101" s="14"/>
      <c r="E101"/>
      <c r="F101"/>
      <c r="G101"/>
    </row>
    <row r="102" spans="1:7" x14ac:dyDescent="0.2">
      <c r="A102" s="14"/>
      <c r="B102" s="14"/>
      <c r="C102" s="14"/>
      <c r="D102" s="14"/>
      <c r="E102"/>
      <c r="F102"/>
      <c r="G102"/>
    </row>
    <row r="103" spans="1:7" x14ac:dyDescent="0.2">
      <c r="A103" s="14"/>
      <c r="B103" s="14"/>
      <c r="C103" s="14"/>
      <c r="D103" s="14"/>
      <c r="E103"/>
      <c r="F103"/>
      <c r="G103"/>
    </row>
    <row r="104" spans="1:7" x14ac:dyDescent="0.2">
      <c r="A104" s="14"/>
      <c r="B104" s="14"/>
      <c r="C104" s="14"/>
      <c r="D104" s="14"/>
      <c r="E104"/>
      <c r="F104"/>
      <c r="G104"/>
    </row>
    <row r="105" spans="1:7" x14ac:dyDescent="0.2">
      <c r="A105" s="14"/>
      <c r="B105" s="14"/>
      <c r="C105" s="14"/>
      <c r="D105" s="14"/>
      <c r="E105"/>
      <c r="F105"/>
      <c r="G105"/>
    </row>
    <row r="106" spans="1:7" x14ac:dyDescent="0.2">
      <c r="A106" s="14"/>
      <c r="B106" s="14"/>
      <c r="C106" s="14"/>
      <c r="D106" s="14"/>
      <c r="E106"/>
      <c r="F106"/>
      <c r="G106"/>
    </row>
    <row r="107" spans="1:7" x14ac:dyDescent="0.2">
      <c r="A107" s="14"/>
      <c r="B107" s="14"/>
      <c r="C107" s="14"/>
      <c r="D107" s="14"/>
      <c r="E107"/>
      <c r="F107"/>
      <c r="G107"/>
    </row>
    <row r="108" spans="1:7" x14ac:dyDescent="0.2">
      <c r="A108" s="14"/>
      <c r="B108" s="14"/>
      <c r="C108" s="14"/>
      <c r="D108" s="14"/>
      <c r="E108"/>
      <c r="F108"/>
      <c r="G108"/>
    </row>
    <row r="109" spans="1:7" x14ac:dyDescent="0.2">
      <c r="A109" s="14"/>
      <c r="B109" s="14"/>
      <c r="C109" s="14"/>
      <c r="D109" s="14"/>
      <c r="E109"/>
      <c r="F109"/>
      <c r="G109"/>
    </row>
    <row r="110" spans="1:7" x14ac:dyDescent="0.2">
      <c r="A110" s="14"/>
      <c r="B110" s="14"/>
      <c r="C110" s="14"/>
      <c r="D110" s="14"/>
      <c r="E110"/>
      <c r="F110"/>
      <c r="G110"/>
    </row>
    <row r="111" spans="1:7" x14ac:dyDescent="0.2">
      <c r="A111" s="14"/>
      <c r="B111" s="14"/>
      <c r="C111" s="14"/>
      <c r="D111" s="14"/>
      <c r="E111"/>
      <c r="F111"/>
      <c r="G111"/>
    </row>
    <row r="112" spans="1:7" x14ac:dyDescent="0.2">
      <c r="A112" s="14"/>
      <c r="B112" s="14"/>
      <c r="C112" s="14"/>
      <c r="D112" s="14"/>
      <c r="E112"/>
      <c r="F112"/>
      <c r="G112"/>
    </row>
    <row r="113" spans="1:7" x14ac:dyDescent="0.2">
      <c r="A113" s="14"/>
      <c r="B113" s="14"/>
      <c r="C113" s="14"/>
      <c r="D113" s="14"/>
      <c r="E113"/>
      <c r="F113"/>
      <c r="G113"/>
    </row>
    <row r="114" spans="1:7" x14ac:dyDescent="0.2">
      <c r="A114" s="14"/>
      <c r="B114" s="14"/>
      <c r="C114" s="14"/>
      <c r="D114" s="14"/>
      <c r="E114"/>
      <c r="F114"/>
      <c r="G114"/>
    </row>
    <row r="115" spans="1:7" x14ac:dyDescent="0.2">
      <c r="A115" s="14"/>
      <c r="B115" s="14"/>
      <c r="C115" s="14"/>
      <c r="D115" s="14"/>
      <c r="E115"/>
      <c r="F115"/>
      <c r="G115"/>
    </row>
    <row r="116" spans="1:7" x14ac:dyDescent="0.2">
      <c r="A116" s="14"/>
      <c r="B116" s="14"/>
      <c r="C116" s="14"/>
      <c r="D116" s="14"/>
      <c r="E116"/>
      <c r="F116"/>
      <c r="G116"/>
    </row>
    <row r="117" spans="1:7" x14ac:dyDescent="0.2">
      <c r="A117" s="14"/>
      <c r="B117" s="14"/>
      <c r="C117" s="14"/>
      <c r="D117" s="14"/>
      <c r="E117"/>
      <c r="F117"/>
      <c r="G117"/>
    </row>
    <row r="118" spans="1:7" x14ac:dyDescent="0.2">
      <c r="A118" s="14"/>
      <c r="B118" s="14"/>
      <c r="C118" s="14"/>
      <c r="D118" s="14"/>
      <c r="E118"/>
      <c r="F118"/>
      <c r="G118"/>
    </row>
    <row r="119" spans="1:7" x14ac:dyDescent="0.2">
      <c r="A119" s="14"/>
      <c r="B119" s="14"/>
      <c r="C119" s="14"/>
      <c r="D119" s="14"/>
      <c r="E119"/>
      <c r="F119"/>
      <c r="G119"/>
    </row>
    <row r="120" spans="1:7" x14ac:dyDescent="0.2">
      <c r="A120" s="14"/>
      <c r="B120" s="14"/>
      <c r="C120" s="14"/>
      <c r="D120" s="14"/>
      <c r="E120"/>
      <c r="F120"/>
      <c r="G120"/>
    </row>
    <row r="121" spans="1:7" x14ac:dyDescent="0.2">
      <c r="A121" s="14"/>
      <c r="B121" s="14"/>
      <c r="C121" s="14"/>
      <c r="D121" s="14"/>
      <c r="E121"/>
      <c r="F121"/>
      <c r="G121"/>
    </row>
    <row r="122" spans="1:7" x14ac:dyDescent="0.2">
      <c r="A122" s="14"/>
      <c r="B122" s="14"/>
      <c r="C122" s="14"/>
      <c r="D122" s="14"/>
      <c r="E122"/>
      <c r="F122"/>
      <c r="G122"/>
    </row>
    <row r="123" spans="1:7" x14ac:dyDescent="0.2">
      <c r="A123" s="14"/>
      <c r="B123" s="14"/>
      <c r="C123" s="14"/>
      <c r="D123" s="14"/>
      <c r="E123"/>
      <c r="F123"/>
      <c r="G123"/>
    </row>
    <row r="124" spans="1:7" x14ac:dyDescent="0.2">
      <c r="A124" s="14"/>
      <c r="B124" s="14"/>
      <c r="C124" s="14"/>
      <c r="D124" s="14"/>
      <c r="E124"/>
      <c r="F124"/>
      <c r="G124"/>
    </row>
    <row r="125" spans="1:7" x14ac:dyDescent="0.2">
      <c r="A125" s="14"/>
      <c r="B125" s="14"/>
      <c r="C125" s="14"/>
      <c r="D125" s="14"/>
      <c r="E125"/>
      <c r="F125"/>
      <c r="G125"/>
    </row>
    <row r="126" spans="1:7" x14ac:dyDescent="0.2">
      <c r="A126" s="14"/>
      <c r="B126" s="14"/>
      <c r="C126" s="14"/>
      <c r="D126" s="14"/>
      <c r="E126"/>
      <c r="F126"/>
      <c r="G126"/>
    </row>
    <row r="127" spans="1:7" x14ac:dyDescent="0.2">
      <c r="A127" s="14"/>
      <c r="B127" s="14"/>
      <c r="C127" s="14"/>
      <c r="D127" s="14"/>
      <c r="E127"/>
      <c r="F127"/>
      <c r="G127"/>
    </row>
    <row r="128" spans="1:7" x14ac:dyDescent="0.2">
      <c r="A128" s="14"/>
      <c r="B128" s="14"/>
      <c r="C128" s="14"/>
      <c r="D128" s="14"/>
      <c r="E128"/>
      <c r="F128"/>
      <c r="G128"/>
    </row>
    <row r="129" spans="1:7" x14ac:dyDescent="0.2">
      <c r="A129" s="14"/>
      <c r="B129" s="14"/>
      <c r="C129" s="14"/>
      <c r="D129" s="14"/>
      <c r="E129"/>
      <c r="F129"/>
      <c r="G129"/>
    </row>
    <row r="130" spans="1:7" x14ac:dyDescent="0.2">
      <c r="A130" s="14"/>
      <c r="B130" s="14"/>
      <c r="C130" s="14"/>
      <c r="D130" s="14"/>
      <c r="E130"/>
      <c r="F130"/>
      <c r="G130"/>
    </row>
    <row r="131" spans="1:7" x14ac:dyDescent="0.2">
      <c r="A131" s="14"/>
      <c r="B131" s="14"/>
      <c r="C131" s="14"/>
      <c r="D131" s="14"/>
      <c r="E131"/>
      <c r="F131"/>
      <c r="G131"/>
    </row>
    <row r="132" spans="1:7" x14ac:dyDescent="0.2">
      <c r="A132" s="14"/>
      <c r="B132" s="14"/>
      <c r="C132" s="14"/>
      <c r="D132" s="14"/>
      <c r="E132"/>
      <c r="F132"/>
      <c r="G132"/>
    </row>
    <row r="133" spans="1:7" x14ac:dyDescent="0.2">
      <c r="A133" s="14"/>
      <c r="B133" s="14"/>
      <c r="C133" s="14"/>
      <c r="D133" s="14"/>
      <c r="E133"/>
      <c r="F133"/>
      <c r="G133"/>
    </row>
    <row r="134" spans="1:7" x14ac:dyDescent="0.2">
      <c r="A134" s="14"/>
      <c r="B134" s="14"/>
      <c r="C134" s="14"/>
      <c r="D134" s="14"/>
      <c r="E134"/>
      <c r="F134"/>
      <c r="G134"/>
    </row>
    <row r="135" spans="1:7" x14ac:dyDescent="0.2">
      <c r="A135" s="14"/>
      <c r="B135" s="14"/>
      <c r="C135" s="14"/>
      <c r="D135" s="14"/>
      <c r="E135"/>
      <c r="F135"/>
      <c r="G135"/>
    </row>
    <row r="136" spans="1:7" x14ac:dyDescent="0.2">
      <c r="A136" s="14"/>
      <c r="B136" s="14"/>
      <c r="C136" s="14"/>
      <c r="D136" s="14"/>
      <c r="E136"/>
      <c r="F136"/>
      <c r="G136"/>
    </row>
    <row r="137" spans="1:7" x14ac:dyDescent="0.2">
      <c r="A137" s="14"/>
      <c r="B137" s="14"/>
      <c r="C137" s="14"/>
      <c r="D137" s="14"/>
      <c r="E137"/>
      <c r="F137"/>
      <c r="G137"/>
    </row>
    <row r="138" spans="1:7" x14ac:dyDescent="0.2">
      <c r="A138" s="14"/>
      <c r="B138" s="14"/>
      <c r="C138" s="14"/>
      <c r="D138" s="14"/>
      <c r="E138"/>
      <c r="F138"/>
      <c r="G138"/>
    </row>
    <row r="139" spans="1:7" x14ac:dyDescent="0.2">
      <c r="A139" s="14"/>
      <c r="B139" s="14"/>
      <c r="C139" s="14"/>
      <c r="D139" s="14"/>
      <c r="E139"/>
      <c r="F139"/>
      <c r="G139"/>
    </row>
    <row r="140" spans="1:7" x14ac:dyDescent="0.2">
      <c r="A140" s="14"/>
      <c r="B140" s="14"/>
      <c r="C140" s="14"/>
      <c r="D140" s="14"/>
      <c r="E140"/>
      <c r="F140"/>
      <c r="G140"/>
    </row>
    <row r="141" spans="1:7" x14ac:dyDescent="0.2">
      <c r="A141" s="14"/>
      <c r="B141" s="14"/>
      <c r="C141" s="14"/>
      <c r="D141" s="14"/>
      <c r="E141"/>
      <c r="F141"/>
      <c r="G141"/>
    </row>
    <row r="142" spans="1:7" x14ac:dyDescent="0.2">
      <c r="A142" s="14"/>
      <c r="B142" s="14"/>
      <c r="C142" s="14"/>
      <c r="D142" s="14"/>
      <c r="E142"/>
      <c r="F142"/>
      <c r="G142"/>
    </row>
    <row r="143" spans="1:7" x14ac:dyDescent="0.2">
      <c r="A143" s="14"/>
      <c r="B143" s="14"/>
      <c r="C143" s="14"/>
      <c r="D143" s="14"/>
      <c r="E143"/>
      <c r="F143"/>
      <c r="G143"/>
    </row>
    <row r="144" spans="1:7" x14ac:dyDescent="0.2">
      <c r="A144" s="14"/>
      <c r="B144" s="14"/>
      <c r="C144" s="14"/>
      <c r="D144" s="14"/>
      <c r="E144"/>
      <c r="F144"/>
      <c r="G144"/>
    </row>
    <row r="145" spans="1:7" x14ac:dyDescent="0.2">
      <c r="A145" s="14"/>
      <c r="B145" s="14"/>
      <c r="C145" s="14"/>
      <c r="D145" s="14"/>
      <c r="E145"/>
      <c r="F145"/>
      <c r="G145"/>
    </row>
    <row r="146" spans="1:7" x14ac:dyDescent="0.2">
      <c r="A146" s="14"/>
      <c r="B146" s="14"/>
      <c r="C146" s="14"/>
      <c r="D146" s="14"/>
      <c r="E146"/>
      <c r="F146"/>
      <c r="G146"/>
    </row>
    <row r="147" spans="1:7" x14ac:dyDescent="0.2">
      <c r="A147" s="14"/>
      <c r="B147" s="14"/>
      <c r="C147" s="14"/>
      <c r="D147" s="14"/>
      <c r="E147"/>
      <c r="F147"/>
      <c r="G147"/>
    </row>
    <row r="148" spans="1:7" x14ac:dyDescent="0.2">
      <c r="A148" s="14"/>
      <c r="B148" s="14"/>
      <c r="C148" s="14"/>
      <c r="D148" s="14"/>
      <c r="E148"/>
      <c r="F148"/>
      <c r="G148"/>
    </row>
    <row r="149" spans="1:7" x14ac:dyDescent="0.2">
      <c r="A149" s="14"/>
      <c r="B149" s="14"/>
      <c r="C149" s="14"/>
      <c r="D149" s="14"/>
      <c r="E149"/>
      <c r="F149"/>
      <c r="G149"/>
    </row>
    <row r="150" spans="1:7" x14ac:dyDescent="0.2">
      <c r="A150" s="14"/>
      <c r="B150" s="14"/>
      <c r="C150" s="14"/>
      <c r="D150" s="14"/>
      <c r="E150"/>
      <c r="F150"/>
      <c r="G150"/>
    </row>
    <row r="151" spans="1:7" x14ac:dyDescent="0.2">
      <c r="A151" s="14"/>
      <c r="B151" s="14"/>
      <c r="C151" s="14"/>
      <c r="D151" s="14"/>
      <c r="E151"/>
      <c r="F151"/>
      <c r="G151"/>
    </row>
    <row r="152" spans="1:7" x14ac:dyDescent="0.2">
      <c r="A152" s="14"/>
      <c r="B152" s="14"/>
      <c r="C152" s="14"/>
      <c r="D152" s="14"/>
      <c r="E152"/>
      <c r="F152"/>
      <c r="G152"/>
    </row>
    <row r="153" spans="1:7" x14ac:dyDescent="0.2">
      <c r="A153" s="14"/>
      <c r="B153" s="14"/>
      <c r="C153" s="14"/>
      <c r="D153" s="14"/>
      <c r="E153"/>
      <c r="F153"/>
      <c r="G153"/>
    </row>
    <row r="154" spans="1:7" x14ac:dyDescent="0.2">
      <c r="A154" s="14"/>
      <c r="B154" s="14"/>
      <c r="C154" s="14"/>
      <c r="D154" s="14"/>
      <c r="E154"/>
      <c r="F154"/>
      <c r="G154"/>
    </row>
    <row r="155" spans="1:7" x14ac:dyDescent="0.2">
      <c r="A155" s="14"/>
      <c r="B155" s="14"/>
      <c r="C155" s="14"/>
      <c r="D155" s="14"/>
      <c r="E155"/>
      <c r="F155"/>
      <c r="G155"/>
    </row>
    <row r="156" spans="1:7" x14ac:dyDescent="0.2">
      <c r="A156" s="14"/>
      <c r="B156" s="14"/>
      <c r="C156" s="14"/>
      <c r="D156" s="14"/>
      <c r="E156"/>
      <c r="F156"/>
      <c r="G156"/>
    </row>
    <row r="157" spans="1:7" x14ac:dyDescent="0.2">
      <c r="A157" s="14"/>
      <c r="B157" s="14"/>
      <c r="C157" s="14"/>
      <c r="D157" s="14"/>
      <c r="E157"/>
      <c r="F157"/>
      <c r="G157"/>
    </row>
    <row r="158" spans="1:7" x14ac:dyDescent="0.2">
      <c r="A158" s="14"/>
      <c r="B158" s="14"/>
      <c r="C158" s="14"/>
      <c r="D158" s="14"/>
      <c r="E158"/>
      <c r="F158"/>
      <c r="G158"/>
    </row>
    <row r="159" spans="1:7" x14ac:dyDescent="0.2">
      <c r="A159" s="14"/>
      <c r="B159" s="14"/>
      <c r="C159" s="14"/>
      <c r="D159" s="14"/>
      <c r="E159"/>
      <c r="F159"/>
      <c r="G159"/>
    </row>
    <row r="160" spans="1:7" x14ac:dyDescent="0.2">
      <c r="A160" s="14"/>
      <c r="B160" s="14"/>
      <c r="C160" s="14"/>
      <c r="D160" s="14"/>
      <c r="E160"/>
      <c r="F160"/>
      <c r="G160"/>
    </row>
    <row r="161" spans="1:7" x14ac:dyDescent="0.2">
      <c r="A161" s="14"/>
      <c r="B161" s="14"/>
      <c r="C161" s="14"/>
      <c r="D161" s="14"/>
      <c r="E161"/>
      <c r="F161"/>
      <c r="G161"/>
    </row>
    <row r="162" spans="1:7" x14ac:dyDescent="0.2">
      <c r="A162" s="14"/>
      <c r="B162" s="14"/>
      <c r="C162" s="14"/>
      <c r="D162" s="14"/>
      <c r="E162"/>
      <c r="F162"/>
      <c r="G162"/>
    </row>
    <row r="163" spans="1:7" x14ac:dyDescent="0.2">
      <c r="A163" s="14"/>
      <c r="B163" s="14"/>
      <c r="C163" s="14"/>
      <c r="D163" s="14"/>
      <c r="E163"/>
      <c r="F163"/>
      <c r="G163"/>
    </row>
    <row r="164" spans="1:7" x14ac:dyDescent="0.2">
      <c r="A164" s="14"/>
      <c r="B164" s="14"/>
      <c r="C164" s="14"/>
      <c r="D164" s="14"/>
      <c r="E164"/>
      <c r="F164"/>
      <c r="G164"/>
    </row>
    <row r="165" spans="1:7" x14ac:dyDescent="0.2">
      <c r="A165" s="14"/>
      <c r="B165" s="14"/>
      <c r="C165" s="14"/>
      <c r="D165" s="14"/>
      <c r="E165"/>
      <c r="F165"/>
      <c r="G165"/>
    </row>
    <row r="166" spans="1:7" x14ac:dyDescent="0.2">
      <c r="A166" s="14"/>
      <c r="B166" s="14"/>
      <c r="C166" s="14"/>
      <c r="D166" s="14"/>
      <c r="E166"/>
      <c r="F166"/>
      <c r="G166"/>
    </row>
    <row r="167" spans="1:7" x14ac:dyDescent="0.2">
      <c r="A167" s="14"/>
      <c r="B167" s="14"/>
      <c r="C167" s="14"/>
      <c r="D167" s="14"/>
      <c r="E167"/>
      <c r="F167"/>
      <c r="G167"/>
    </row>
    <row r="168" spans="1:7" x14ac:dyDescent="0.2">
      <c r="A168" s="14"/>
      <c r="B168" s="14"/>
      <c r="C168" s="14"/>
      <c r="D168" s="14"/>
      <c r="E168"/>
      <c r="F168"/>
      <c r="G168"/>
    </row>
    <row r="169" spans="1:7" x14ac:dyDescent="0.2">
      <c r="A169" s="14"/>
      <c r="B169" s="14"/>
      <c r="C169" s="14"/>
      <c r="D169" s="14"/>
      <c r="E169"/>
      <c r="F169"/>
      <c r="G169"/>
    </row>
    <row r="170" spans="1:7" x14ac:dyDescent="0.2">
      <c r="A170" s="14"/>
      <c r="B170" s="14"/>
      <c r="C170" s="14"/>
      <c r="D170" s="14"/>
      <c r="E170"/>
      <c r="F170"/>
      <c r="G170"/>
    </row>
    <row r="171" spans="1:7" x14ac:dyDescent="0.2">
      <c r="A171" s="14"/>
      <c r="B171" s="14"/>
      <c r="C171" s="14"/>
      <c r="D171" s="14"/>
      <c r="E171"/>
      <c r="F171"/>
      <c r="G171"/>
    </row>
    <row r="172" spans="1:7" x14ac:dyDescent="0.2">
      <c r="A172" s="14"/>
      <c r="B172" s="14"/>
      <c r="C172" s="14"/>
      <c r="D172" s="14"/>
      <c r="E172"/>
      <c r="F172"/>
      <c r="G172"/>
    </row>
    <row r="173" spans="1:7" x14ac:dyDescent="0.2">
      <c r="A173" s="14"/>
      <c r="B173" s="14"/>
      <c r="C173" s="14"/>
      <c r="D173" s="14"/>
      <c r="E173"/>
      <c r="F173"/>
      <c r="G173"/>
    </row>
    <row r="174" spans="1:7" x14ac:dyDescent="0.2">
      <c r="A174" s="14"/>
      <c r="B174" s="14"/>
      <c r="C174" s="14"/>
      <c r="D174" s="14"/>
      <c r="E174"/>
      <c r="F174"/>
      <c r="G174"/>
    </row>
    <row r="175" spans="1:7" x14ac:dyDescent="0.2">
      <c r="A175" s="14"/>
      <c r="B175" s="14"/>
      <c r="C175" s="14"/>
      <c r="D175" s="14"/>
      <c r="E175"/>
      <c r="F175"/>
      <c r="G175"/>
    </row>
    <row r="176" spans="1:7" x14ac:dyDescent="0.2">
      <c r="A176" s="14"/>
      <c r="B176" s="14"/>
      <c r="C176" s="14"/>
      <c r="D176" s="14"/>
      <c r="E176"/>
      <c r="F176"/>
      <c r="G176"/>
    </row>
    <row r="177" spans="1:7" x14ac:dyDescent="0.2">
      <c r="A177"/>
      <c r="B177"/>
      <c r="C177"/>
      <c r="D177"/>
      <c r="E177"/>
      <c r="F177"/>
      <c r="G177"/>
    </row>
    <row r="178" spans="1:7" ht="15" customHeight="1" x14ac:dyDescent="0.2">
      <c r="A178"/>
      <c r="B178"/>
      <c r="C178"/>
      <c r="D178"/>
      <c r="E178"/>
      <c r="F178"/>
      <c r="G178"/>
    </row>
    <row r="179" spans="1:7" ht="15" customHeight="1" x14ac:dyDescent="0.2">
      <c r="A179"/>
      <c r="B179"/>
      <c r="C179"/>
      <c r="D179"/>
      <c r="E179"/>
      <c r="F179"/>
      <c r="G179"/>
    </row>
    <row r="180" spans="1:7" ht="15" customHeight="1" x14ac:dyDescent="0.2">
      <c r="A180"/>
      <c r="B180"/>
      <c r="C180"/>
      <c r="D180"/>
      <c r="E180"/>
      <c r="F180"/>
      <c r="G180"/>
    </row>
    <row r="181" spans="1:7" ht="15" customHeight="1" x14ac:dyDescent="0.2">
      <c r="A181"/>
      <c r="B181"/>
      <c r="C181"/>
      <c r="D181"/>
      <c r="E181"/>
      <c r="F181"/>
      <c r="G181"/>
    </row>
    <row r="182" spans="1:7" ht="15" customHeight="1" x14ac:dyDescent="0.2">
      <c r="A182"/>
      <c r="B182"/>
      <c r="C182"/>
      <c r="D182"/>
      <c r="E182"/>
      <c r="F182"/>
      <c r="G182"/>
    </row>
    <row r="183" spans="1:7" ht="15" customHeight="1" x14ac:dyDescent="0.2">
      <c r="A183"/>
      <c r="B183"/>
      <c r="C183"/>
      <c r="D183"/>
      <c r="E183"/>
      <c r="F183"/>
      <c r="G183"/>
    </row>
    <row r="184" spans="1:7" ht="15" customHeight="1" x14ac:dyDescent="0.2">
      <c r="A184"/>
      <c r="B184"/>
      <c r="C184"/>
      <c r="D184"/>
      <c r="E184"/>
      <c r="F184"/>
      <c r="G184"/>
    </row>
    <row r="185" spans="1:7" ht="15" customHeight="1" x14ac:dyDescent="0.2">
      <c r="A185"/>
      <c r="B185"/>
      <c r="C185"/>
      <c r="D185"/>
      <c r="E185"/>
      <c r="F185"/>
      <c r="G185"/>
    </row>
    <row r="186" spans="1:7" ht="15" customHeight="1" x14ac:dyDescent="0.2">
      <c r="A186"/>
      <c r="B186"/>
      <c r="C186"/>
      <c r="D186"/>
      <c r="E186"/>
      <c r="F186"/>
      <c r="G186"/>
    </row>
    <row r="187" spans="1:7" ht="15" customHeight="1" x14ac:dyDescent="0.2">
      <c r="A187"/>
      <c r="B187"/>
      <c r="C187"/>
      <c r="D187"/>
      <c r="E187"/>
      <c r="F187"/>
      <c r="G187"/>
    </row>
    <row r="188" spans="1:7" ht="15" customHeight="1" x14ac:dyDescent="0.2">
      <c r="A188"/>
      <c r="B188"/>
      <c r="C188"/>
      <c r="D188"/>
      <c r="E188"/>
      <c r="F188"/>
      <c r="G188"/>
    </row>
    <row r="189" spans="1:7" ht="15" customHeight="1" x14ac:dyDescent="0.2">
      <c r="A189"/>
      <c r="B189"/>
      <c r="C189"/>
      <c r="D189"/>
      <c r="E189"/>
      <c r="F189"/>
      <c r="G189"/>
    </row>
    <row r="190" spans="1:7" ht="15" customHeight="1" x14ac:dyDescent="0.2">
      <c r="A190"/>
      <c r="B190"/>
      <c r="C190"/>
      <c r="D190"/>
      <c r="E190"/>
      <c r="F190"/>
      <c r="G190"/>
    </row>
    <row r="191" spans="1:7" ht="15" customHeight="1" x14ac:dyDescent="0.2">
      <c r="A191"/>
      <c r="B191"/>
      <c r="C191"/>
      <c r="D191"/>
      <c r="E191"/>
      <c r="F191"/>
      <c r="G191"/>
    </row>
    <row r="192" spans="1:7" ht="15" customHeight="1" x14ac:dyDescent="0.2">
      <c r="A192"/>
      <c r="B192"/>
      <c r="C192"/>
      <c r="D192"/>
      <c r="E192"/>
      <c r="F192"/>
      <c r="G192"/>
    </row>
    <row r="193" spans="1:7" ht="15" customHeight="1" x14ac:dyDescent="0.2">
      <c r="A193"/>
      <c r="B193"/>
      <c r="C193"/>
      <c r="D193"/>
      <c r="E193"/>
      <c r="F193"/>
      <c r="G193"/>
    </row>
    <row r="194" spans="1:7" ht="15" customHeight="1" x14ac:dyDescent="0.2">
      <c r="A194"/>
      <c r="B194"/>
      <c r="C194"/>
      <c r="D194"/>
      <c r="E194"/>
      <c r="F194"/>
      <c r="G194"/>
    </row>
    <row r="195" spans="1:7" ht="15" customHeight="1" x14ac:dyDescent="0.2">
      <c r="A195"/>
      <c r="B195"/>
      <c r="C195"/>
      <c r="D195"/>
      <c r="E195"/>
      <c r="F195"/>
      <c r="G195"/>
    </row>
    <row r="196" spans="1:7" ht="15" customHeight="1" x14ac:dyDescent="0.2">
      <c r="A196"/>
      <c r="B196"/>
      <c r="C196"/>
      <c r="D196"/>
      <c r="E196"/>
      <c r="F196"/>
      <c r="G196"/>
    </row>
    <row r="197" spans="1:7" ht="15" customHeight="1" x14ac:dyDescent="0.2">
      <c r="A197"/>
      <c r="B197"/>
      <c r="C197"/>
      <c r="D197"/>
      <c r="E197"/>
      <c r="F197"/>
      <c r="G197"/>
    </row>
    <row r="198" spans="1:7" ht="15" customHeight="1" x14ac:dyDescent="0.2">
      <c r="A198"/>
      <c r="B198"/>
      <c r="C198"/>
      <c r="D198"/>
      <c r="E198"/>
      <c r="F198"/>
      <c r="G198"/>
    </row>
    <row r="199" spans="1:7" ht="15" customHeight="1" x14ac:dyDescent="0.2">
      <c r="A199"/>
      <c r="B199"/>
      <c r="C199"/>
      <c r="D199"/>
      <c r="E199"/>
      <c r="F199"/>
      <c r="G199"/>
    </row>
    <row r="200" spans="1:7" ht="15" customHeight="1" x14ac:dyDescent="0.2">
      <c r="A200"/>
      <c r="B200"/>
      <c r="C200"/>
      <c r="D200"/>
      <c r="E200"/>
      <c r="F200"/>
      <c r="G200"/>
    </row>
    <row r="201" spans="1:7" ht="15" customHeight="1" x14ac:dyDescent="0.2">
      <c r="A201"/>
      <c r="B201"/>
      <c r="C201"/>
      <c r="D201"/>
      <c r="E201"/>
      <c r="F201"/>
      <c r="G201"/>
    </row>
    <row r="202" spans="1:7" ht="15" customHeight="1" x14ac:dyDescent="0.2">
      <c r="A202"/>
      <c r="B202"/>
      <c r="C202"/>
      <c r="D202"/>
      <c r="E202"/>
      <c r="F202"/>
      <c r="G202"/>
    </row>
    <row r="203" spans="1:7" ht="15" customHeight="1" x14ac:dyDescent="0.2">
      <c r="A203"/>
      <c r="B203"/>
      <c r="C203"/>
      <c r="D203"/>
      <c r="E203"/>
      <c r="F203"/>
      <c r="G203"/>
    </row>
    <row r="204" spans="1:7" ht="15" customHeight="1" x14ac:dyDescent="0.2">
      <c r="A204"/>
      <c r="B204"/>
      <c r="C204"/>
      <c r="D204"/>
      <c r="E204"/>
      <c r="F204"/>
      <c r="G204"/>
    </row>
    <row r="205" spans="1:7" ht="15" customHeight="1" x14ac:dyDescent="0.2">
      <c r="A205"/>
      <c r="B205"/>
      <c r="C205"/>
      <c r="D205"/>
      <c r="E205"/>
      <c r="F205"/>
      <c r="G205"/>
    </row>
    <row r="206" spans="1:7" ht="15" customHeight="1" x14ac:dyDescent="0.2">
      <c r="A206"/>
      <c r="B206"/>
      <c r="C206"/>
      <c r="D206"/>
      <c r="E206"/>
      <c r="F206"/>
      <c r="G206"/>
    </row>
    <row r="207" spans="1:7" ht="15" customHeight="1" x14ac:dyDescent="0.2">
      <c r="A207"/>
      <c r="B207"/>
      <c r="C207"/>
      <c r="D207"/>
      <c r="E207"/>
      <c r="F207"/>
      <c r="G207"/>
    </row>
    <row r="208" spans="1:7" ht="15" customHeight="1" x14ac:dyDescent="0.2">
      <c r="A208"/>
      <c r="B208"/>
      <c r="C208"/>
      <c r="D208"/>
      <c r="E208"/>
      <c r="F208"/>
      <c r="G208"/>
    </row>
    <row r="209" spans="1:7" ht="15" customHeight="1" x14ac:dyDescent="0.2">
      <c r="A209"/>
      <c r="B209"/>
      <c r="C209"/>
      <c r="D209"/>
      <c r="E209"/>
      <c r="F209"/>
      <c r="G209"/>
    </row>
    <row r="210" spans="1:7" ht="15" customHeight="1" x14ac:dyDescent="0.2">
      <c r="A210"/>
      <c r="B210"/>
      <c r="C210"/>
      <c r="D210"/>
      <c r="E210"/>
      <c r="F210"/>
      <c r="G210"/>
    </row>
    <row r="211" spans="1:7" ht="15" customHeight="1" x14ac:dyDescent="0.2">
      <c r="A211"/>
      <c r="B211"/>
      <c r="C211"/>
      <c r="D211"/>
      <c r="E211"/>
      <c r="F211"/>
      <c r="G211"/>
    </row>
    <row r="212" spans="1:7" ht="15" customHeight="1" x14ac:dyDescent="0.2">
      <c r="A212"/>
      <c r="B212"/>
      <c r="C212"/>
      <c r="D212"/>
      <c r="E212"/>
      <c r="F212"/>
      <c r="G212"/>
    </row>
    <row r="213" spans="1:7" ht="15" customHeight="1" x14ac:dyDescent="0.2">
      <c r="A213"/>
      <c r="B213"/>
      <c r="C213"/>
      <c r="D213"/>
      <c r="E213"/>
      <c r="F213"/>
      <c r="G213"/>
    </row>
    <row r="214" spans="1:7" ht="15" customHeight="1" x14ac:dyDescent="0.2">
      <c r="A214"/>
      <c r="B214"/>
      <c r="C214"/>
      <c r="D214"/>
      <c r="E214"/>
      <c r="F214"/>
      <c r="G214"/>
    </row>
    <row r="215" spans="1:7" ht="15" customHeight="1" x14ac:dyDescent="0.2">
      <c r="A215"/>
      <c r="B215"/>
      <c r="C215"/>
      <c r="D215"/>
      <c r="E215"/>
      <c r="F215"/>
      <c r="G215"/>
    </row>
    <row r="216" spans="1:7" ht="15" customHeight="1" x14ac:dyDescent="0.2">
      <c r="A216"/>
      <c r="B216"/>
      <c r="C216"/>
      <c r="D216"/>
      <c r="E216"/>
      <c r="F216"/>
      <c r="G216"/>
    </row>
    <row r="217" spans="1:7" ht="15" customHeight="1" x14ac:dyDescent="0.2">
      <c r="A217"/>
      <c r="B217"/>
      <c r="C217"/>
      <c r="D217"/>
      <c r="E217"/>
      <c r="F217"/>
      <c r="G217"/>
    </row>
    <row r="218" spans="1:7" ht="15" customHeight="1" x14ac:dyDescent="0.2">
      <c r="A218"/>
      <c r="B218"/>
      <c r="C218"/>
      <c r="D218"/>
      <c r="E218"/>
      <c r="F218"/>
      <c r="G218"/>
    </row>
    <row r="219" spans="1:7" ht="15" customHeight="1" x14ac:dyDescent="0.2">
      <c r="A219"/>
      <c r="B219"/>
      <c r="C219"/>
      <c r="D219"/>
      <c r="E219"/>
      <c r="F219"/>
      <c r="G219"/>
    </row>
    <row r="220" spans="1:7" ht="15" customHeight="1" x14ac:dyDescent="0.2">
      <c r="A220"/>
      <c r="B220"/>
      <c r="C220"/>
      <c r="D220"/>
      <c r="E220"/>
      <c r="F220"/>
      <c r="G220"/>
    </row>
    <row r="221" spans="1:7" ht="15" customHeight="1" x14ac:dyDescent="0.2">
      <c r="A221"/>
      <c r="B221"/>
      <c r="C221"/>
      <c r="D221"/>
      <c r="E221"/>
      <c r="F221"/>
      <c r="G221"/>
    </row>
    <row r="222" spans="1:7" ht="15" customHeight="1" x14ac:dyDescent="0.2">
      <c r="A222"/>
      <c r="B222"/>
      <c r="C222"/>
      <c r="D222"/>
      <c r="E222"/>
      <c r="F222"/>
      <c r="G222"/>
    </row>
    <row r="223" spans="1:7" ht="15" customHeight="1" x14ac:dyDescent="0.2">
      <c r="A223"/>
      <c r="B223"/>
      <c r="C223"/>
      <c r="D223"/>
      <c r="E223"/>
      <c r="F223"/>
      <c r="G223"/>
    </row>
    <row r="224" spans="1:7" ht="15" customHeight="1" x14ac:dyDescent="0.2">
      <c r="A224"/>
      <c r="B224"/>
      <c r="C224"/>
      <c r="D224"/>
      <c r="E224"/>
      <c r="F224"/>
      <c r="G224"/>
    </row>
    <row r="225" spans="1:7" ht="15" customHeight="1" x14ac:dyDescent="0.2">
      <c r="A225"/>
      <c r="B225"/>
      <c r="C225"/>
      <c r="D225"/>
      <c r="E225"/>
      <c r="F225"/>
      <c r="G225"/>
    </row>
    <row r="226" spans="1:7" ht="15" customHeight="1" x14ac:dyDescent="0.2">
      <c r="A226"/>
      <c r="B226"/>
      <c r="C226"/>
      <c r="D226"/>
      <c r="E226"/>
      <c r="F226"/>
      <c r="G226"/>
    </row>
    <row r="227" spans="1:7" ht="15" customHeight="1" x14ac:dyDescent="0.2">
      <c r="A227"/>
      <c r="B227"/>
      <c r="C227"/>
      <c r="D227"/>
      <c r="E227"/>
      <c r="F227"/>
      <c r="G227"/>
    </row>
    <row r="228" spans="1:7" ht="15" customHeight="1" x14ac:dyDescent="0.2">
      <c r="A228"/>
      <c r="B228"/>
      <c r="C228"/>
      <c r="D228"/>
      <c r="E228"/>
      <c r="F228"/>
      <c r="G228"/>
    </row>
    <row r="229" spans="1:7" ht="15" customHeight="1" x14ac:dyDescent="0.2">
      <c r="A229"/>
      <c r="B229"/>
      <c r="C229"/>
      <c r="D229"/>
      <c r="E229"/>
      <c r="F229"/>
      <c r="G229"/>
    </row>
    <row r="230" spans="1:7" ht="15" customHeight="1" x14ac:dyDescent="0.2">
      <c r="A230"/>
      <c r="B230"/>
      <c r="C230"/>
      <c r="D230"/>
      <c r="E230"/>
      <c r="F230"/>
      <c r="G230"/>
    </row>
    <row r="231" spans="1:7" ht="15" customHeight="1" x14ac:dyDescent="0.2">
      <c r="A231"/>
      <c r="B231"/>
      <c r="C231"/>
      <c r="D231"/>
      <c r="E231"/>
      <c r="F231"/>
      <c r="G231"/>
    </row>
    <row r="232" spans="1:7" ht="15" customHeight="1" x14ac:dyDescent="0.2">
      <c r="A232"/>
      <c r="B232"/>
      <c r="C232"/>
      <c r="D232"/>
      <c r="E232"/>
      <c r="F232"/>
      <c r="G232"/>
    </row>
    <row r="233" spans="1:7" ht="15" customHeight="1" x14ac:dyDescent="0.2">
      <c r="A233"/>
      <c r="B233"/>
      <c r="C233"/>
      <c r="D233"/>
      <c r="E233"/>
      <c r="F233"/>
      <c r="G233"/>
    </row>
    <row r="234" spans="1:7" ht="15" customHeight="1" x14ac:dyDescent="0.2">
      <c r="A234"/>
      <c r="B234"/>
      <c r="C234"/>
      <c r="D234"/>
      <c r="E234"/>
      <c r="F234"/>
      <c r="G234"/>
    </row>
    <row r="235" spans="1:7" ht="15" customHeight="1" x14ac:dyDescent="0.2">
      <c r="A235"/>
      <c r="B235"/>
      <c r="C235"/>
      <c r="D235"/>
      <c r="E235"/>
      <c r="F235"/>
      <c r="G235"/>
    </row>
    <row r="236" spans="1:7" ht="15" customHeight="1" x14ac:dyDescent="0.2">
      <c r="A236"/>
      <c r="B236"/>
      <c r="C236"/>
      <c r="D236"/>
      <c r="E236"/>
      <c r="F236"/>
      <c r="G236"/>
    </row>
    <row r="237" spans="1:7" ht="15" customHeight="1" x14ac:dyDescent="0.2">
      <c r="A237"/>
      <c r="B237"/>
      <c r="C237"/>
      <c r="D237"/>
      <c r="E237"/>
      <c r="F237"/>
      <c r="G237"/>
    </row>
    <row r="238" spans="1:7" ht="15" customHeight="1" x14ac:dyDescent="0.2">
      <c r="A238"/>
      <c r="B238"/>
      <c r="C238"/>
      <c r="D238"/>
      <c r="E238"/>
      <c r="F238"/>
      <c r="G238"/>
    </row>
    <row r="239" spans="1:7" ht="15" customHeight="1" x14ac:dyDescent="0.2">
      <c r="A239"/>
      <c r="B239"/>
      <c r="C239"/>
      <c r="D239"/>
      <c r="E239"/>
      <c r="F239"/>
      <c r="G239"/>
    </row>
    <row r="240" spans="1:7" ht="15" customHeight="1" x14ac:dyDescent="0.2">
      <c r="A240"/>
      <c r="B240"/>
      <c r="C240"/>
      <c r="D240"/>
      <c r="E240"/>
      <c r="F240"/>
      <c r="G240"/>
    </row>
    <row r="241" spans="1:7" ht="15" customHeight="1" x14ac:dyDescent="0.2">
      <c r="A241"/>
      <c r="B241"/>
      <c r="C241"/>
      <c r="D241"/>
      <c r="E241"/>
      <c r="F241"/>
      <c r="G241"/>
    </row>
    <row r="242" spans="1:7" ht="15" customHeight="1" x14ac:dyDescent="0.2">
      <c r="A242"/>
      <c r="B242"/>
      <c r="C242"/>
      <c r="D242"/>
      <c r="E242"/>
      <c r="F242"/>
      <c r="G242"/>
    </row>
    <row r="243" spans="1:7" ht="15" customHeight="1" x14ac:dyDescent="0.2">
      <c r="A243"/>
      <c r="B243"/>
      <c r="C243"/>
      <c r="D243"/>
      <c r="E243"/>
      <c r="F243"/>
      <c r="G243"/>
    </row>
    <row r="244" spans="1:7" ht="15" customHeight="1" x14ac:dyDescent="0.2">
      <c r="A244"/>
      <c r="B244"/>
      <c r="C244"/>
      <c r="D244"/>
      <c r="E244"/>
      <c r="F244"/>
      <c r="G244"/>
    </row>
    <row r="245" spans="1:7" ht="15" customHeight="1" x14ac:dyDescent="0.2">
      <c r="A245"/>
      <c r="B245"/>
      <c r="C245"/>
      <c r="D245"/>
      <c r="E245"/>
      <c r="F245"/>
      <c r="G245"/>
    </row>
    <row r="246" spans="1:7" ht="15" customHeight="1" x14ac:dyDescent="0.2">
      <c r="A246"/>
      <c r="B246"/>
      <c r="C246"/>
      <c r="D246"/>
      <c r="E246"/>
      <c r="F246"/>
      <c r="G246"/>
    </row>
    <row r="247" spans="1:7" ht="15" customHeight="1" x14ac:dyDescent="0.2">
      <c r="A247"/>
      <c r="B247"/>
      <c r="C247"/>
      <c r="D247"/>
      <c r="E247"/>
      <c r="F247"/>
      <c r="G247"/>
    </row>
    <row r="248" spans="1:7" ht="15" customHeight="1" x14ac:dyDescent="0.2">
      <c r="A248"/>
      <c r="B248"/>
      <c r="C248"/>
      <c r="D248"/>
      <c r="E248"/>
      <c r="F248"/>
      <c r="G248"/>
    </row>
    <row r="249" spans="1:7" ht="15" customHeight="1" x14ac:dyDescent="0.2">
      <c r="A249"/>
      <c r="B249"/>
      <c r="C249"/>
      <c r="D249"/>
      <c r="E249"/>
      <c r="F249"/>
      <c r="G249"/>
    </row>
    <row r="250" spans="1:7" ht="15" customHeight="1" x14ac:dyDescent="0.2">
      <c r="A250"/>
      <c r="B250"/>
      <c r="C250"/>
      <c r="D250"/>
      <c r="E250"/>
      <c r="F250"/>
      <c r="G250"/>
    </row>
    <row r="251" spans="1:7" ht="15" customHeight="1" x14ac:dyDescent="0.2">
      <c r="A251"/>
      <c r="B251"/>
      <c r="C251"/>
      <c r="D251"/>
      <c r="E251"/>
      <c r="F251"/>
      <c r="G251"/>
    </row>
    <row r="252" spans="1:7" ht="15" customHeight="1" x14ac:dyDescent="0.2">
      <c r="A252"/>
      <c r="B252"/>
      <c r="C252"/>
      <c r="D252"/>
      <c r="E252"/>
      <c r="F252"/>
      <c r="G252"/>
    </row>
    <row r="253" spans="1:7" ht="15" customHeight="1" x14ac:dyDescent="0.2">
      <c r="A253"/>
      <c r="B253"/>
      <c r="C253"/>
      <c r="D253"/>
      <c r="E253"/>
      <c r="F253"/>
      <c r="G253"/>
    </row>
    <row r="254" spans="1:7" ht="15" customHeight="1" x14ac:dyDescent="0.2">
      <c r="A254"/>
      <c r="B254"/>
      <c r="C254"/>
      <c r="D254"/>
      <c r="E254"/>
      <c r="F254"/>
      <c r="G254"/>
    </row>
    <row r="255" spans="1:7" ht="15" customHeight="1" x14ac:dyDescent="0.2">
      <c r="A255"/>
      <c r="B255"/>
      <c r="C255"/>
      <c r="D255"/>
      <c r="E255"/>
      <c r="F255"/>
      <c r="G255"/>
    </row>
    <row r="256" spans="1:7" ht="15" customHeight="1" x14ac:dyDescent="0.2">
      <c r="A256"/>
      <c r="B256"/>
      <c r="C256"/>
      <c r="D256"/>
      <c r="E256"/>
      <c r="F256"/>
      <c r="G256"/>
    </row>
    <row r="257" spans="1:7" ht="15" customHeight="1" x14ac:dyDescent="0.2">
      <c r="A257"/>
      <c r="B257"/>
      <c r="C257"/>
      <c r="D257"/>
      <c r="E257"/>
      <c r="F257"/>
      <c r="G257"/>
    </row>
    <row r="258" spans="1:7" ht="15" customHeight="1" x14ac:dyDescent="0.2">
      <c r="A258"/>
      <c r="B258"/>
      <c r="C258"/>
      <c r="D258"/>
      <c r="E258"/>
      <c r="F258"/>
      <c r="G258"/>
    </row>
    <row r="259" spans="1:7" ht="15" customHeight="1" x14ac:dyDescent="0.2">
      <c r="A259"/>
      <c r="B259"/>
      <c r="C259"/>
      <c r="D259"/>
      <c r="E259"/>
      <c r="F259"/>
      <c r="G259"/>
    </row>
    <row r="260" spans="1:7" ht="15" customHeight="1" x14ac:dyDescent="0.2">
      <c r="A260"/>
      <c r="B260"/>
      <c r="C260"/>
      <c r="D260"/>
      <c r="E260"/>
      <c r="F260"/>
      <c r="G260"/>
    </row>
    <row r="261" spans="1:7" ht="15" customHeight="1" x14ac:dyDescent="0.2">
      <c r="A261"/>
      <c r="B261"/>
      <c r="C261"/>
      <c r="D261"/>
      <c r="E261"/>
      <c r="F261"/>
      <c r="G261"/>
    </row>
    <row r="262" spans="1:7" ht="15" customHeight="1" x14ac:dyDescent="0.2">
      <c r="A262"/>
      <c r="B262"/>
      <c r="C262"/>
      <c r="D262"/>
      <c r="E262"/>
      <c r="F262"/>
      <c r="G262"/>
    </row>
    <row r="263" spans="1:7" ht="15" customHeight="1" x14ac:dyDescent="0.2">
      <c r="A263"/>
      <c r="B263"/>
      <c r="C263"/>
      <c r="D263"/>
      <c r="E263"/>
      <c r="F263"/>
      <c r="G263"/>
    </row>
    <row r="264" spans="1:7" ht="15" customHeight="1" x14ac:dyDescent="0.2">
      <c r="A264"/>
      <c r="B264"/>
      <c r="C264"/>
      <c r="D264"/>
      <c r="E264"/>
      <c r="F264"/>
      <c r="G264"/>
    </row>
    <row r="265" spans="1:7" ht="15" customHeight="1" x14ac:dyDescent="0.2">
      <c r="A265"/>
      <c r="B265"/>
      <c r="C265"/>
      <c r="D265"/>
      <c r="E265"/>
      <c r="F265"/>
      <c r="G265"/>
    </row>
    <row r="266" spans="1:7" ht="15" customHeight="1" x14ac:dyDescent="0.2">
      <c r="A266"/>
      <c r="B266"/>
      <c r="C266"/>
      <c r="D266"/>
      <c r="E266"/>
      <c r="F266"/>
      <c r="G266"/>
    </row>
    <row r="267" spans="1:7" ht="15" customHeight="1" x14ac:dyDescent="0.2">
      <c r="A267"/>
      <c r="B267"/>
      <c r="C267"/>
      <c r="D267"/>
      <c r="E267"/>
      <c r="F267"/>
      <c r="G267"/>
    </row>
    <row r="268" spans="1:7" ht="15" customHeight="1" x14ac:dyDescent="0.2">
      <c r="A268"/>
      <c r="B268"/>
      <c r="C268"/>
      <c r="D268"/>
      <c r="E268"/>
      <c r="F268"/>
      <c r="G268"/>
    </row>
    <row r="269" spans="1:7" ht="15" customHeight="1" x14ac:dyDescent="0.2">
      <c r="A269"/>
      <c r="B269"/>
      <c r="C269"/>
      <c r="D269"/>
      <c r="E269"/>
      <c r="F269"/>
      <c r="G269"/>
    </row>
    <row r="270" spans="1:7" ht="15" customHeight="1" x14ac:dyDescent="0.2">
      <c r="A270"/>
      <c r="B270"/>
      <c r="C270"/>
      <c r="D270"/>
      <c r="E270"/>
      <c r="F270"/>
      <c r="G270"/>
    </row>
    <row r="271" spans="1:7" ht="15" customHeight="1" x14ac:dyDescent="0.2">
      <c r="A271"/>
      <c r="B271"/>
      <c r="C271"/>
      <c r="D271"/>
      <c r="E271"/>
      <c r="F271"/>
      <c r="G271"/>
    </row>
    <row r="272" spans="1:7" ht="15" customHeight="1" x14ac:dyDescent="0.2">
      <c r="A272"/>
      <c r="B272"/>
      <c r="C272"/>
      <c r="D272"/>
      <c r="E272"/>
      <c r="F272"/>
      <c r="G272"/>
    </row>
    <row r="273" spans="1:7" ht="15" customHeight="1" x14ac:dyDescent="0.2">
      <c r="A273"/>
      <c r="B273"/>
      <c r="C273"/>
      <c r="D273"/>
      <c r="E273"/>
      <c r="F273"/>
      <c r="G273"/>
    </row>
    <row r="274" spans="1:7" ht="15" customHeight="1" x14ac:dyDescent="0.2">
      <c r="A274"/>
      <c r="B274"/>
      <c r="C274"/>
      <c r="D274"/>
      <c r="E274"/>
      <c r="F274"/>
      <c r="G274"/>
    </row>
    <row r="275" spans="1:7" ht="15" customHeight="1" x14ac:dyDescent="0.2">
      <c r="A275"/>
      <c r="B275"/>
      <c r="C275"/>
      <c r="D275"/>
      <c r="E275"/>
      <c r="F275"/>
      <c r="G275"/>
    </row>
    <row r="276" spans="1:7" ht="15" customHeight="1" x14ac:dyDescent="0.2">
      <c r="A276"/>
      <c r="B276"/>
      <c r="C276"/>
      <c r="D276"/>
      <c r="E276"/>
      <c r="F276"/>
      <c r="G276"/>
    </row>
    <row r="277" spans="1:7" ht="15" customHeight="1" x14ac:dyDescent="0.2">
      <c r="A277"/>
      <c r="B277"/>
      <c r="C277"/>
      <c r="D277"/>
      <c r="E277"/>
      <c r="F277"/>
      <c r="G277"/>
    </row>
    <row r="278" spans="1:7" ht="15" customHeight="1" x14ac:dyDescent="0.2">
      <c r="A278"/>
      <c r="B278"/>
      <c r="C278"/>
      <c r="D278"/>
      <c r="E278"/>
      <c r="F278"/>
      <c r="G278"/>
    </row>
    <row r="279" spans="1:7" ht="15" customHeight="1" x14ac:dyDescent="0.2">
      <c r="A279"/>
      <c r="B279"/>
      <c r="C279"/>
      <c r="D279"/>
      <c r="E279"/>
      <c r="F279"/>
      <c r="G279"/>
    </row>
    <row r="280" spans="1:7" ht="15" customHeight="1" x14ac:dyDescent="0.2">
      <c r="A280"/>
      <c r="B280"/>
      <c r="C280"/>
      <c r="D280"/>
      <c r="E280"/>
      <c r="F280"/>
      <c r="G280"/>
    </row>
    <row r="281" spans="1:7" ht="15" customHeight="1" x14ac:dyDescent="0.2">
      <c r="A281"/>
      <c r="B281"/>
      <c r="C281"/>
      <c r="D281"/>
      <c r="E281"/>
      <c r="F281"/>
      <c r="G281"/>
    </row>
    <row r="282" spans="1:7" ht="15" customHeight="1" x14ac:dyDescent="0.2">
      <c r="A282"/>
      <c r="B282"/>
      <c r="C282"/>
      <c r="D282"/>
      <c r="E282"/>
      <c r="F282"/>
      <c r="G282"/>
    </row>
    <row r="283" spans="1:7" ht="15" customHeight="1" x14ac:dyDescent="0.2">
      <c r="A283"/>
      <c r="B283"/>
      <c r="C283"/>
      <c r="D283"/>
      <c r="E283"/>
      <c r="F283"/>
      <c r="G283"/>
    </row>
    <row r="284" spans="1:7" ht="15" customHeight="1" x14ac:dyDescent="0.2">
      <c r="A284"/>
      <c r="B284"/>
      <c r="C284"/>
      <c r="D284"/>
      <c r="E284"/>
      <c r="F284"/>
      <c r="G284"/>
    </row>
    <row r="285" spans="1:7" ht="15" customHeight="1" x14ac:dyDescent="0.2">
      <c r="A285"/>
      <c r="B285"/>
      <c r="C285"/>
      <c r="D285"/>
      <c r="E285"/>
      <c r="F285"/>
      <c r="G285"/>
    </row>
    <row r="286" spans="1:7" ht="15" customHeight="1" x14ac:dyDescent="0.2">
      <c r="A286"/>
      <c r="B286"/>
      <c r="C286"/>
      <c r="D286"/>
      <c r="E286"/>
      <c r="F286"/>
      <c r="G286"/>
    </row>
    <row r="287" spans="1:7" ht="15" customHeight="1" x14ac:dyDescent="0.2">
      <c r="A287"/>
      <c r="B287"/>
      <c r="C287"/>
      <c r="D287"/>
      <c r="E287"/>
      <c r="F287"/>
      <c r="G287"/>
    </row>
    <row r="288" spans="1:7" ht="15" customHeight="1" x14ac:dyDescent="0.2">
      <c r="A288"/>
      <c r="B288"/>
      <c r="C288"/>
      <c r="D288"/>
      <c r="E288"/>
      <c r="F288"/>
      <c r="G288"/>
    </row>
    <row r="289" spans="1:7" ht="15" customHeight="1" x14ac:dyDescent="0.2">
      <c r="A289"/>
      <c r="B289"/>
      <c r="C289"/>
      <c r="D289"/>
      <c r="E289"/>
      <c r="F289"/>
      <c r="G289"/>
    </row>
    <row r="290" spans="1:7" ht="15" customHeight="1" x14ac:dyDescent="0.2">
      <c r="A290"/>
      <c r="B290"/>
      <c r="C290"/>
      <c r="D290"/>
      <c r="E290"/>
      <c r="F290"/>
      <c r="G290"/>
    </row>
    <row r="291" spans="1:7" ht="15" customHeight="1" x14ac:dyDescent="0.2">
      <c r="A291"/>
      <c r="B291"/>
      <c r="C291"/>
      <c r="D291"/>
      <c r="E291"/>
      <c r="F291"/>
      <c r="G291"/>
    </row>
    <row r="292" spans="1:7" ht="15" customHeight="1" x14ac:dyDescent="0.2">
      <c r="A292"/>
      <c r="B292"/>
      <c r="C292"/>
      <c r="D292"/>
      <c r="E292"/>
      <c r="F292"/>
      <c r="G292"/>
    </row>
    <row r="293" spans="1:7" ht="15" customHeight="1" x14ac:dyDescent="0.2">
      <c r="A293"/>
      <c r="B293"/>
      <c r="C293"/>
      <c r="D293"/>
      <c r="E293"/>
      <c r="F293"/>
      <c r="G293"/>
    </row>
    <row r="294" spans="1:7" ht="15" customHeight="1" x14ac:dyDescent="0.2">
      <c r="A294"/>
      <c r="B294"/>
      <c r="C294"/>
      <c r="D294"/>
      <c r="E294"/>
      <c r="F294"/>
      <c r="G294"/>
    </row>
    <row r="295" spans="1:7" ht="15" customHeight="1" x14ac:dyDescent="0.2">
      <c r="A295"/>
      <c r="B295"/>
      <c r="C295"/>
      <c r="D295"/>
      <c r="E295"/>
      <c r="F295"/>
      <c r="G295"/>
    </row>
    <row r="296" spans="1:7" ht="15" customHeight="1" x14ac:dyDescent="0.2">
      <c r="A296"/>
      <c r="B296"/>
      <c r="C296"/>
      <c r="D296"/>
      <c r="E296"/>
      <c r="F296"/>
      <c r="G296"/>
    </row>
    <row r="297" spans="1:7" ht="15" customHeight="1" x14ac:dyDescent="0.2">
      <c r="A297"/>
      <c r="B297"/>
      <c r="C297"/>
      <c r="D297"/>
      <c r="E297"/>
      <c r="F297"/>
      <c r="G297"/>
    </row>
    <row r="298" spans="1:7" ht="15" customHeight="1" x14ac:dyDescent="0.2">
      <c r="A298"/>
      <c r="B298"/>
      <c r="C298"/>
      <c r="D298"/>
      <c r="E298"/>
      <c r="F298"/>
      <c r="G298"/>
    </row>
    <row r="299" spans="1:7" ht="15" customHeight="1" x14ac:dyDescent="0.2">
      <c r="A299"/>
      <c r="B299"/>
      <c r="C299"/>
      <c r="D299"/>
      <c r="E299"/>
      <c r="F299"/>
      <c r="G299"/>
    </row>
    <row r="300" spans="1:7" ht="15" customHeight="1" x14ac:dyDescent="0.2">
      <c r="A300"/>
      <c r="B300"/>
      <c r="C300"/>
      <c r="D300"/>
      <c r="E300"/>
      <c r="F300"/>
      <c r="G300"/>
    </row>
    <row r="301" spans="1:7" ht="15" customHeight="1" x14ac:dyDescent="0.2">
      <c r="A301"/>
      <c r="B301"/>
      <c r="C301"/>
      <c r="D301"/>
      <c r="E301"/>
      <c r="F301"/>
      <c r="G301"/>
    </row>
    <row r="302" spans="1:7" ht="15" customHeight="1" x14ac:dyDescent="0.2">
      <c r="A302"/>
      <c r="B302"/>
      <c r="C302"/>
      <c r="D302"/>
      <c r="E302"/>
      <c r="F302"/>
      <c r="G302"/>
    </row>
    <row r="303" spans="1:7" ht="15" customHeight="1" x14ac:dyDescent="0.2">
      <c r="A303"/>
      <c r="B303"/>
      <c r="C303"/>
      <c r="D303"/>
      <c r="E303"/>
      <c r="F303"/>
      <c r="G303"/>
    </row>
    <row r="304" spans="1:7" ht="15" customHeight="1" x14ac:dyDescent="0.2">
      <c r="A304"/>
      <c r="B304"/>
      <c r="C304"/>
      <c r="D304"/>
      <c r="E304"/>
      <c r="F304"/>
      <c r="G304"/>
    </row>
    <row r="305" spans="1:7" ht="15" customHeight="1" x14ac:dyDescent="0.2">
      <c r="A305"/>
      <c r="B305"/>
      <c r="C305"/>
      <c r="D305"/>
      <c r="E305"/>
      <c r="F305"/>
      <c r="G305"/>
    </row>
    <row r="306" spans="1:7" ht="15" customHeight="1" x14ac:dyDescent="0.2">
      <c r="A306"/>
      <c r="B306"/>
      <c r="C306"/>
      <c r="D306"/>
      <c r="E306"/>
      <c r="F306"/>
      <c r="G306"/>
    </row>
    <row r="307" spans="1:7" ht="15" customHeight="1" x14ac:dyDescent="0.2">
      <c r="A307"/>
      <c r="B307"/>
      <c r="C307"/>
      <c r="D307"/>
      <c r="E307"/>
      <c r="F307"/>
      <c r="G307"/>
    </row>
    <row r="308" spans="1:7" ht="15" customHeight="1" x14ac:dyDescent="0.2">
      <c r="A308"/>
      <c r="B308"/>
      <c r="C308"/>
      <c r="D308"/>
      <c r="E308"/>
      <c r="F308"/>
      <c r="G308"/>
    </row>
    <row r="309" spans="1:7" ht="15" customHeight="1" x14ac:dyDescent="0.2">
      <c r="A309"/>
      <c r="B309"/>
      <c r="C309"/>
      <c r="D309"/>
      <c r="E309"/>
      <c r="F309"/>
      <c r="G309"/>
    </row>
    <row r="310" spans="1:7" ht="15" customHeight="1" x14ac:dyDescent="0.2">
      <c r="A310"/>
      <c r="B310"/>
      <c r="C310"/>
      <c r="D310"/>
      <c r="E310"/>
      <c r="F310"/>
      <c r="G310"/>
    </row>
    <row r="311" spans="1:7" ht="15" customHeight="1" x14ac:dyDescent="0.2">
      <c r="A311"/>
      <c r="B311"/>
      <c r="C311"/>
      <c r="D311"/>
      <c r="E311"/>
      <c r="F311"/>
      <c r="G311"/>
    </row>
    <row r="312" spans="1:7" ht="15" customHeight="1" x14ac:dyDescent="0.2">
      <c r="A312"/>
      <c r="B312"/>
      <c r="C312"/>
      <c r="D312"/>
      <c r="E312"/>
      <c r="F312"/>
      <c r="G312"/>
    </row>
    <row r="313" spans="1:7" ht="15" customHeight="1" x14ac:dyDescent="0.2">
      <c r="A313"/>
      <c r="B313"/>
      <c r="C313"/>
      <c r="D313"/>
      <c r="E313"/>
      <c r="F313"/>
      <c r="G313"/>
    </row>
    <row r="314" spans="1:7" ht="15" customHeight="1" x14ac:dyDescent="0.2">
      <c r="A314"/>
      <c r="B314"/>
      <c r="C314"/>
      <c r="D314"/>
      <c r="E314"/>
      <c r="F314"/>
      <c r="G314"/>
    </row>
    <row r="315" spans="1:7" ht="15" customHeight="1" x14ac:dyDescent="0.2">
      <c r="A315"/>
      <c r="B315"/>
      <c r="C315"/>
      <c r="D315"/>
      <c r="E315"/>
      <c r="F315"/>
      <c r="G315"/>
    </row>
    <row r="316" spans="1:7" ht="15" customHeight="1" x14ac:dyDescent="0.2">
      <c r="A316"/>
      <c r="B316"/>
      <c r="C316"/>
      <c r="D316"/>
      <c r="E316"/>
      <c r="F316"/>
      <c r="G316"/>
    </row>
    <row r="317" spans="1:7" ht="15" customHeight="1" x14ac:dyDescent="0.2">
      <c r="A317"/>
      <c r="B317"/>
      <c r="C317"/>
      <c r="D317"/>
      <c r="E317"/>
      <c r="F317"/>
      <c r="G317"/>
    </row>
    <row r="318" spans="1:7" ht="15" customHeight="1" x14ac:dyDescent="0.2">
      <c r="A318"/>
      <c r="B318"/>
      <c r="C318"/>
      <c r="D318"/>
      <c r="E318"/>
      <c r="F318"/>
      <c r="G318"/>
    </row>
    <row r="319" spans="1:7" ht="15" customHeight="1" x14ac:dyDescent="0.2">
      <c r="A319"/>
      <c r="B319"/>
      <c r="C319"/>
      <c r="D319"/>
      <c r="E319"/>
      <c r="F319"/>
      <c r="G319"/>
    </row>
    <row r="320" spans="1:7" ht="15" customHeight="1" x14ac:dyDescent="0.2">
      <c r="A320"/>
      <c r="B320"/>
      <c r="C320"/>
      <c r="D320"/>
      <c r="E320"/>
      <c r="F320"/>
      <c r="G320"/>
    </row>
    <row r="321" spans="1:7" ht="15" customHeight="1" x14ac:dyDescent="0.2">
      <c r="A321"/>
      <c r="B321"/>
      <c r="C321"/>
      <c r="D321"/>
      <c r="E321"/>
      <c r="F321"/>
      <c r="G321"/>
    </row>
    <row r="322" spans="1:7" ht="15" customHeight="1" x14ac:dyDescent="0.2">
      <c r="A322"/>
      <c r="B322"/>
      <c r="C322"/>
      <c r="D322"/>
      <c r="E322"/>
      <c r="F322"/>
      <c r="G322"/>
    </row>
    <row r="323" spans="1:7" ht="15" customHeight="1" x14ac:dyDescent="0.2">
      <c r="A323"/>
      <c r="B323"/>
      <c r="C323"/>
      <c r="D323"/>
      <c r="E323"/>
      <c r="F323"/>
      <c r="G323"/>
    </row>
    <row r="324" spans="1:7" ht="15" customHeight="1" x14ac:dyDescent="0.2">
      <c r="A324"/>
      <c r="B324"/>
      <c r="C324"/>
      <c r="D324"/>
      <c r="E324"/>
      <c r="F324"/>
      <c r="G324"/>
    </row>
    <row r="325" spans="1:7" ht="15" customHeight="1" x14ac:dyDescent="0.2">
      <c r="A325"/>
      <c r="B325"/>
      <c r="C325"/>
      <c r="D325"/>
      <c r="E325"/>
      <c r="F325"/>
      <c r="G325"/>
    </row>
    <row r="326" spans="1:7" ht="15" customHeight="1" x14ac:dyDescent="0.2">
      <c r="A326"/>
      <c r="B326"/>
      <c r="C326"/>
      <c r="D326"/>
      <c r="E326"/>
      <c r="F326"/>
      <c r="G326"/>
    </row>
    <row r="327" spans="1:7" ht="15" customHeight="1" x14ac:dyDescent="0.2">
      <c r="A327"/>
      <c r="B327"/>
      <c r="C327"/>
      <c r="D327"/>
      <c r="E327"/>
      <c r="F327"/>
      <c r="G327"/>
    </row>
    <row r="328" spans="1:7" ht="15" customHeight="1" x14ac:dyDescent="0.2">
      <c r="A328"/>
      <c r="B328"/>
      <c r="C328"/>
      <c r="D328"/>
      <c r="E328"/>
      <c r="F328"/>
      <c r="G328"/>
    </row>
    <row r="329" spans="1:7" ht="15" customHeight="1" x14ac:dyDescent="0.2">
      <c r="A329"/>
      <c r="B329"/>
      <c r="C329"/>
      <c r="D329"/>
      <c r="E329"/>
      <c r="F329"/>
      <c r="G329"/>
    </row>
    <row r="330" spans="1:7" ht="15" customHeight="1" x14ac:dyDescent="0.2">
      <c r="A330"/>
      <c r="B330"/>
      <c r="C330"/>
      <c r="D330"/>
      <c r="E330"/>
      <c r="F330"/>
      <c r="G330"/>
    </row>
    <row r="331" spans="1:7" ht="15" customHeight="1" x14ac:dyDescent="0.2">
      <c r="A331"/>
      <c r="B331"/>
      <c r="C331"/>
      <c r="D331"/>
      <c r="E331"/>
      <c r="F331"/>
      <c r="G331"/>
    </row>
    <row r="332" spans="1:7" ht="15" customHeight="1" x14ac:dyDescent="0.2">
      <c r="A332"/>
      <c r="B332"/>
      <c r="C332"/>
      <c r="D332"/>
      <c r="E332"/>
      <c r="F332"/>
      <c r="G332"/>
    </row>
    <row r="333" spans="1:7" ht="15" customHeight="1" x14ac:dyDescent="0.2">
      <c r="A333"/>
      <c r="B333"/>
      <c r="C333"/>
      <c r="D333"/>
      <c r="E333"/>
      <c r="F333"/>
      <c r="G333"/>
    </row>
    <row r="334" spans="1:7" ht="15" customHeight="1" x14ac:dyDescent="0.2">
      <c r="A334"/>
      <c r="B334"/>
      <c r="C334"/>
      <c r="D334"/>
      <c r="E334"/>
      <c r="F334"/>
      <c r="G334"/>
    </row>
    <row r="335" spans="1:7" ht="15" customHeight="1" x14ac:dyDescent="0.2">
      <c r="A335"/>
      <c r="B335"/>
      <c r="C335"/>
      <c r="D335"/>
      <c r="E335"/>
      <c r="F335"/>
      <c r="G335"/>
    </row>
    <row r="336" spans="1:7" ht="15" customHeight="1" x14ac:dyDescent="0.2">
      <c r="A336"/>
      <c r="B336"/>
      <c r="C336"/>
      <c r="D336"/>
      <c r="E336"/>
      <c r="F336"/>
      <c r="G336"/>
    </row>
    <row r="337" spans="1:7" ht="15" customHeight="1" x14ac:dyDescent="0.2">
      <c r="A337"/>
      <c r="B337"/>
      <c r="C337"/>
      <c r="D337"/>
      <c r="E337"/>
      <c r="F337"/>
      <c r="G337"/>
    </row>
    <row r="338" spans="1:7" ht="15" customHeight="1" x14ac:dyDescent="0.2">
      <c r="A338"/>
      <c r="B338"/>
      <c r="C338"/>
      <c r="D338"/>
      <c r="E338"/>
      <c r="F338"/>
      <c r="G338"/>
    </row>
    <row r="339" spans="1:7" ht="15" customHeight="1" x14ac:dyDescent="0.2">
      <c r="A339"/>
      <c r="B339"/>
      <c r="C339"/>
      <c r="D339"/>
      <c r="E339"/>
      <c r="F339"/>
      <c r="G339"/>
    </row>
    <row r="340" spans="1:7" ht="15" customHeight="1" x14ac:dyDescent="0.2">
      <c r="A340"/>
      <c r="B340"/>
      <c r="C340"/>
      <c r="D340"/>
      <c r="E340"/>
      <c r="F340"/>
      <c r="G340"/>
    </row>
    <row r="341" spans="1:7" ht="15" customHeight="1" x14ac:dyDescent="0.2">
      <c r="A341"/>
      <c r="B341"/>
      <c r="C341"/>
      <c r="D341"/>
      <c r="E341"/>
      <c r="F341"/>
      <c r="G341"/>
    </row>
    <row r="342" spans="1:7" ht="15" customHeight="1" x14ac:dyDescent="0.2">
      <c r="A342"/>
      <c r="B342"/>
      <c r="C342"/>
      <c r="D342"/>
      <c r="E342"/>
      <c r="F342"/>
      <c r="G342"/>
    </row>
    <row r="343" spans="1:7" ht="15" customHeight="1" x14ac:dyDescent="0.2">
      <c r="A343"/>
      <c r="B343"/>
      <c r="C343"/>
      <c r="D343"/>
      <c r="E343"/>
      <c r="F343"/>
      <c r="G343"/>
    </row>
    <row r="344" spans="1:7" ht="15" customHeight="1" x14ac:dyDescent="0.2">
      <c r="A344"/>
      <c r="B344"/>
      <c r="C344"/>
      <c r="D344"/>
      <c r="E344"/>
      <c r="F344"/>
      <c r="G344"/>
    </row>
    <row r="345" spans="1:7" ht="15" customHeight="1" x14ac:dyDescent="0.2">
      <c r="A345"/>
      <c r="B345"/>
      <c r="C345"/>
      <c r="D345"/>
      <c r="E345"/>
      <c r="F345"/>
      <c r="G345"/>
    </row>
    <row r="346" spans="1:7" ht="15" customHeight="1" x14ac:dyDescent="0.2">
      <c r="A346"/>
      <c r="B346"/>
      <c r="C346"/>
      <c r="D346"/>
      <c r="E346"/>
      <c r="F346"/>
      <c r="G346"/>
    </row>
    <row r="347" spans="1:7" ht="15" customHeight="1" x14ac:dyDescent="0.2">
      <c r="A347"/>
      <c r="B347"/>
      <c r="C347"/>
      <c r="D347"/>
      <c r="E347"/>
      <c r="F347"/>
      <c r="G347"/>
    </row>
    <row r="348" spans="1:7" ht="15" customHeight="1" x14ac:dyDescent="0.2">
      <c r="A348"/>
      <c r="B348"/>
      <c r="C348"/>
      <c r="D348"/>
      <c r="E348"/>
      <c r="F348"/>
      <c r="G348"/>
    </row>
    <row r="349" spans="1:7" ht="15" customHeight="1" x14ac:dyDescent="0.2">
      <c r="A349"/>
      <c r="B349"/>
      <c r="C349"/>
      <c r="D349"/>
      <c r="E349"/>
      <c r="F349"/>
      <c r="G349"/>
    </row>
    <row r="350" spans="1:7" ht="15" customHeight="1" x14ac:dyDescent="0.2">
      <c r="A350"/>
      <c r="B350"/>
      <c r="C350"/>
      <c r="D350"/>
      <c r="E350"/>
      <c r="F350"/>
      <c r="G350"/>
    </row>
    <row r="351" spans="1:7" ht="15" customHeight="1" x14ac:dyDescent="0.2">
      <c r="A351"/>
      <c r="B351"/>
      <c r="C351"/>
      <c r="D351"/>
      <c r="E351"/>
      <c r="F351"/>
      <c r="G351"/>
    </row>
    <row r="352" spans="1:7" ht="15" customHeight="1" x14ac:dyDescent="0.2">
      <c r="A352"/>
      <c r="B352"/>
      <c r="C352"/>
      <c r="D352"/>
      <c r="E352"/>
      <c r="F352"/>
      <c r="G352"/>
    </row>
    <row r="353" spans="1:7" ht="15" customHeight="1" x14ac:dyDescent="0.2">
      <c r="A353"/>
      <c r="B353"/>
      <c r="C353"/>
      <c r="D353"/>
      <c r="E353"/>
      <c r="F353"/>
      <c r="G353"/>
    </row>
    <row r="354" spans="1:7" ht="15" customHeight="1" x14ac:dyDescent="0.2">
      <c r="A354"/>
      <c r="B354"/>
      <c r="C354"/>
      <c r="D354"/>
      <c r="E354"/>
      <c r="F354"/>
      <c r="G354"/>
    </row>
    <row r="355" spans="1:7" ht="15" customHeight="1" x14ac:dyDescent="0.2">
      <c r="A355"/>
      <c r="B355"/>
      <c r="C355"/>
      <c r="D355"/>
      <c r="E355"/>
      <c r="F355"/>
      <c r="G355"/>
    </row>
    <row r="356" spans="1:7" ht="15" customHeight="1" x14ac:dyDescent="0.2">
      <c r="A356"/>
      <c r="B356"/>
      <c r="C356"/>
      <c r="D356"/>
      <c r="E356"/>
      <c r="F356"/>
      <c r="G356"/>
    </row>
    <row r="357" spans="1:7" ht="15" customHeight="1" x14ac:dyDescent="0.2">
      <c r="A357"/>
      <c r="B357"/>
      <c r="C357"/>
      <c r="D357"/>
      <c r="E357"/>
      <c r="F357"/>
      <c r="G357"/>
    </row>
    <row r="358" spans="1:7" ht="15" customHeight="1" x14ac:dyDescent="0.2">
      <c r="A358"/>
      <c r="B358"/>
      <c r="C358"/>
      <c r="D358"/>
      <c r="E358"/>
      <c r="F358"/>
      <c r="G358"/>
    </row>
    <row r="359" spans="1:7" ht="15" customHeight="1" x14ac:dyDescent="0.2">
      <c r="A359"/>
      <c r="B359"/>
      <c r="C359"/>
      <c r="D359"/>
      <c r="E359"/>
      <c r="F359"/>
      <c r="G359"/>
    </row>
    <row r="360" spans="1:7" ht="15" customHeight="1" x14ac:dyDescent="0.2">
      <c r="A360"/>
      <c r="B360"/>
      <c r="C360"/>
      <c r="D360"/>
      <c r="E360"/>
      <c r="F360"/>
      <c r="G360"/>
    </row>
    <row r="361" spans="1:7" ht="15" customHeight="1" x14ac:dyDescent="0.2">
      <c r="A361"/>
      <c r="B361"/>
      <c r="C361"/>
      <c r="D361"/>
      <c r="E361"/>
      <c r="F361"/>
      <c r="G361"/>
    </row>
    <row r="362" spans="1:7" ht="15" customHeight="1" x14ac:dyDescent="0.2">
      <c r="A362"/>
      <c r="B362"/>
      <c r="C362"/>
      <c r="D362"/>
      <c r="E362"/>
      <c r="F362"/>
      <c r="G362"/>
    </row>
    <row r="363" spans="1:7" ht="15" customHeight="1" x14ac:dyDescent="0.2">
      <c r="A363"/>
      <c r="B363"/>
      <c r="C363"/>
      <c r="D363"/>
      <c r="E363"/>
      <c r="F363"/>
      <c r="G363"/>
    </row>
    <row r="364" spans="1:7" ht="15" customHeight="1" x14ac:dyDescent="0.2">
      <c r="A364"/>
      <c r="B364"/>
      <c r="C364"/>
      <c r="D364"/>
      <c r="E364"/>
      <c r="F364"/>
      <c r="G364"/>
    </row>
    <row r="365" spans="1:7" ht="15" customHeight="1" x14ac:dyDescent="0.2">
      <c r="A365"/>
      <c r="B365"/>
      <c r="C365"/>
      <c r="D365"/>
      <c r="E365"/>
      <c r="F365"/>
      <c r="G365"/>
    </row>
    <row r="366" spans="1:7" ht="15" customHeight="1" x14ac:dyDescent="0.2">
      <c r="A366"/>
      <c r="B366"/>
      <c r="C366"/>
      <c r="D366"/>
      <c r="E366"/>
      <c r="F366"/>
      <c r="G366"/>
    </row>
    <row r="367" spans="1:7" ht="15" customHeight="1" x14ac:dyDescent="0.2">
      <c r="A367"/>
      <c r="B367"/>
      <c r="C367"/>
      <c r="D367"/>
      <c r="E367"/>
      <c r="F367"/>
      <c r="G367"/>
    </row>
    <row r="368" spans="1:7" ht="15" customHeight="1" x14ac:dyDescent="0.2">
      <c r="A368"/>
      <c r="B368"/>
      <c r="C368"/>
      <c r="D368"/>
      <c r="E368"/>
      <c r="F368"/>
      <c r="G368"/>
    </row>
    <row r="369" spans="1:7" ht="15" customHeight="1" x14ac:dyDescent="0.2">
      <c r="A369"/>
      <c r="B369"/>
      <c r="C369"/>
      <c r="D369"/>
      <c r="E369"/>
      <c r="F369"/>
      <c r="G369"/>
    </row>
    <row r="370" spans="1:7" ht="15" customHeight="1" x14ac:dyDescent="0.2">
      <c r="A370"/>
      <c r="B370"/>
      <c r="C370"/>
      <c r="D370"/>
      <c r="E370"/>
      <c r="F370"/>
      <c r="G370"/>
    </row>
    <row r="371" spans="1:7" ht="15" customHeight="1" x14ac:dyDescent="0.2">
      <c r="A371"/>
      <c r="B371"/>
      <c r="C371"/>
      <c r="D371"/>
      <c r="E371"/>
      <c r="F371"/>
      <c r="G371"/>
    </row>
    <row r="372" spans="1:7" ht="15" customHeight="1" x14ac:dyDescent="0.2">
      <c r="A372"/>
      <c r="B372"/>
      <c r="C372"/>
      <c r="D372"/>
      <c r="E372"/>
      <c r="F372"/>
      <c r="G372"/>
    </row>
    <row r="373" spans="1:7" ht="15" customHeight="1" x14ac:dyDescent="0.2">
      <c r="A373"/>
      <c r="B373"/>
      <c r="C373"/>
      <c r="D373"/>
      <c r="E373"/>
      <c r="F373"/>
      <c r="G373"/>
    </row>
    <row r="374" spans="1:7" ht="15" customHeight="1" x14ac:dyDescent="0.2">
      <c r="A374"/>
      <c r="B374"/>
      <c r="C374"/>
      <c r="D374"/>
      <c r="E374"/>
      <c r="F374"/>
      <c r="G374"/>
    </row>
    <row r="375" spans="1:7" ht="15" customHeight="1" x14ac:dyDescent="0.2">
      <c r="A375"/>
      <c r="B375"/>
      <c r="C375"/>
      <c r="D375"/>
      <c r="E375"/>
      <c r="F375"/>
      <c r="G375"/>
    </row>
    <row r="376" spans="1:7" ht="15" customHeight="1" x14ac:dyDescent="0.2">
      <c r="A376"/>
      <c r="B376"/>
      <c r="C376"/>
      <c r="D376"/>
      <c r="E376"/>
      <c r="F376"/>
      <c r="G376"/>
    </row>
    <row r="377" spans="1:7" ht="15" customHeight="1" x14ac:dyDescent="0.2">
      <c r="A377"/>
      <c r="B377"/>
      <c r="C377"/>
      <c r="D377"/>
      <c r="E377"/>
      <c r="F377"/>
      <c r="G377"/>
    </row>
    <row r="378" spans="1:7" ht="15" customHeight="1" x14ac:dyDescent="0.2">
      <c r="A378"/>
      <c r="B378"/>
      <c r="C378"/>
      <c r="D378"/>
      <c r="E378"/>
      <c r="F378"/>
      <c r="G378"/>
    </row>
    <row r="379" spans="1:7" ht="15" customHeight="1" x14ac:dyDescent="0.2">
      <c r="A379"/>
      <c r="B379"/>
      <c r="C379"/>
      <c r="D379"/>
      <c r="E379"/>
      <c r="F379"/>
      <c r="G379"/>
    </row>
    <row r="380" spans="1:7" ht="15" customHeight="1" x14ac:dyDescent="0.2">
      <c r="A380"/>
      <c r="B380"/>
      <c r="C380"/>
      <c r="D380"/>
      <c r="E380"/>
      <c r="F380"/>
      <c r="G380"/>
    </row>
    <row r="381" spans="1:7" ht="15" customHeight="1" x14ac:dyDescent="0.2">
      <c r="A381"/>
      <c r="B381"/>
      <c r="C381"/>
      <c r="D381"/>
      <c r="E381"/>
      <c r="F381"/>
      <c r="G381"/>
    </row>
    <row r="382" spans="1:7" ht="15" customHeight="1" x14ac:dyDescent="0.2">
      <c r="A382"/>
      <c r="B382"/>
      <c r="C382"/>
      <c r="D382"/>
      <c r="E382"/>
      <c r="F382"/>
      <c r="G382"/>
    </row>
    <row r="383" spans="1:7" ht="15" customHeight="1" x14ac:dyDescent="0.2">
      <c r="A383"/>
      <c r="B383"/>
      <c r="C383"/>
      <c r="D383"/>
      <c r="E383"/>
      <c r="F383"/>
      <c r="G383"/>
    </row>
    <row r="384" spans="1:7" ht="15" customHeight="1" x14ac:dyDescent="0.2">
      <c r="A384"/>
      <c r="B384"/>
      <c r="C384"/>
      <c r="D384"/>
      <c r="E384"/>
      <c r="F384"/>
      <c r="G384"/>
    </row>
    <row r="385" spans="1:7" ht="15" customHeight="1" x14ac:dyDescent="0.2">
      <c r="A385"/>
      <c r="B385"/>
      <c r="C385"/>
      <c r="D385"/>
      <c r="E385"/>
      <c r="F385"/>
      <c r="G385"/>
    </row>
    <row r="386" spans="1:7" ht="15" customHeight="1" x14ac:dyDescent="0.2">
      <c r="A386"/>
      <c r="B386"/>
      <c r="C386"/>
      <c r="D386"/>
      <c r="E386"/>
      <c r="F386"/>
      <c r="G386"/>
    </row>
    <row r="387" spans="1:7" ht="15" customHeight="1" x14ac:dyDescent="0.2">
      <c r="A387"/>
      <c r="B387"/>
      <c r="C387"/>
      <c r="D387"/>
      <c r="E387"/>
      <c r="F387"/>
      <c r="G387"/>
    </row>
    <row r="388" spans="1:7" ht="15" customHeight="1" x14ac:dyDescent="0.2">
      <c r="A388"/>
      <c r="B388"/>
      <c r="C388"/>
      <c r="D388"/>
      <c r="E388"/>
      <c r="F388"/>
      <c r="G388"/>
    </row>
    <row r="389" spans="1:7" ht="15" customHeight="1" x14ac:dyDescent="0.2">
      <c r="A389"/>
      <c r="B389"/>
      <c r="C389"/>
      <c r="D389"/>
      <c r="E389"/>
      <c r="F389"/>
      <c r="G389"/>
    </row>
    <row r="390" spans="1:7" ht="15" customHeight="1" x14ac:dyDescent="0.2">
      <c r="A390"/>
      <c r="B390"/>
      <c r="C390"/>
      <c r="D390"/>
      <c r="E390"/>
      <c r="F390"/>
      <c r="G390"/>
    </row>
    <row r="391" spans="1:7" ht="15" customHeight="1" x14ac:dyDescent="0.2">
      <c r="A391"/>
      <c r="B391"/>
      <c r="C391"/>
      <c r="D391"/>
      <c r="E391"/>
      <c r="F391"/>
      <c r="G391"/>
    </row>
    <row r="392" spans="1:7" ht="15" customHeight="1" x14ac:dyDescent="0.2">
      <c r="A392"/>
      <c r="B392"/>
      <c r="C392"/>
      <c r="D392"/>
      <c r="E392"/>
      <c r="F392"/>
      <c r="G392"/>
    </row>
    <row r="393" spans="1:7" ht="15" customHeight="1" x14ac:dyDescent="0.2">
      <c r="A393"/>
      <c r="B393"/>
      <c r="C393"/>
      <c r="D393"/>
      <c r="E393"/>
      <c r="F393"/>
      <c r="G393"/>
    </row>
    <row r="394" spans="1:7" ht="15" customHeight="1" x14ac:dyDescent="0.2">
      <c r="A394"/>
      <c r="B394"/>
      <c r="C394"/>
      <c r="D394"/>
      <c r="E394"/>
      <c r="F394"/>
      <c r="G394"/>
    </row>
    <row r="395" spans="1:7" ht="15" customHeight="1" x14ac:dyDescent="0.2">
      <c r="A395"/>
      <c r="B395"/>
      <c r="C395"/>
      <c r="D395"/>
      <c r="E395"/>
      <c r="F395"/>
      <c r="G395"/>
    </row>
    <row r="396" spans="1:7" ht="15" customHeight="1" x14ac:dyDescent="0.2">
      <c r="A396"/>
      <c r="B396"/>
      <c r="C396"/>
      <c r="D396"/>
      <c r="E396"/>
      <c r="F396"/>
      <c r="G396"/>
    </row>
    <row r="397" spans="1:7" ht="15" customHeight="1" x14ac:dyDescent="0.2">
      <c r="A397"/>
      <c r="B397"/>
      <c r="C397"/>
      <c r="D397"/>
      <c r="E397"/>
      <c r="F397"/>
      <c r="G397"/>
    </row>
    <row r="398" spans="1:7" ht="15" customHeight="1" x14ac:dyDescent="0.2">
      <c r="A398"/>
      <c r="B398"/>
      <c r="C398"/>
      <c r="D398"/>
      <c r="E398"/>
      <c r="F398"/>
      <c r="G398"/>
    </row>
    <row r="399" spans="1:7" ht="15" customHeight="1" x14ac:dyDescent="0.2">
      <c r="A399"/>
      <c r="B399"/>
      <c r="C399"/>
      <c r="D399"/>
      <c r="E399"/>
      <c r="F399"/>
      <c r="G399"/>
    </row>
    <row r="400" spans="1:7" ht="15" customHeight="1" x14ac:dyDescent="0.2">
      <c r="A400"/>
      <c r="B400"/>
      <c r="C400"/>
      <c r="D400"/>
      <c r="E400"/>
      <c r="F400"/>
      <c r="G400"/>
    </row>
    <row r="401" spans="1:7" ht="15" customHeight="1" x14ac:dyDescent="0.2">
      <c r="A401"/>
      <c r="B401"/>
      <c r="C401"/>
      <c r="D401"/>
      <c r="E401"/>
      <c r="F401"/>
      <c r="G401"/>
    </row>
    <row r="402" spans="1:7" ht="15" customHeight="1" x14ac:dyDescent="0.2">
      <c r="A402"/>
      <c r="B402"/>
      <c r="C402"/>
      <c r="D402"/>
      <c r="E402"/>
      <c r="F402"/>
      <c r="G402"/>
    </row>
    <row r="403" spans="1:7" ht="15" customHeight="1" x14ac:dyDescent="0.2">
      <c r="A403"/>
      <c r="B403"/>
      <c r="C403"/>
      <c r="D403"/>
      <c r="E403"/>
      <c r="F403"/>
      <c r="G403"/>
    </row>
    <row r="404" spans="1:7" ht="15" customHeight="1" x14ac:dyDescent="0.2">
      <c r="A404"/>
      <c r="B404"/>
      <c r="C404"/>
      <c r="D404"/>
      <c r="E404"/>
      <c r="F404"/>
      <c r="G404"/>
    </row>
    <row r="405" spans="1:7" ht="15" customHeight="1" x14ac:dyDescent="0.2">
      <c r="A405"/>
      <c r="B405"/>
      <c r="C405"/>
      <c r="D405"/>
      <c r="E405"/>
      <c r="F405"/>
      <c r="G405"/>
    </row>
    <row r="406" spans="1:7" ht="15" customHeight="1" x14ac:dyDescent="0.2">
      <c r="A406"/>
      <c r="B406"/>
      <c r="C406"/>
      <c r="D406"/>
      <c r="E406"/>
      <c r="F406"/>
      <c r="G406"/>
    </row>
    <row r="407" spans="1:7" ht="15" customHeight="1" x14ac:dyDescent="0.2">
      <c r="A407"/>
      <c r="B407"/>
      <c r="C407"/>
      <c r="D407"/>
      <c r="E407"/>
      <c r="F407"/>
      <c r="G407"/>
    </row>
    <row r="408" spans="1:7" ht="15" customHeight="1" x14ac:dyDescent="0.2">
      <c r="A408"/>
      <c r="B408"/>
      <c r="C408"/>
      <c r="D408"/>
      <c r="E408"/>
      <c r="F408"/>
      <c r="G408"/>
    </row>
    <row r="409" spans="1:7" ht="15" customHeight="1" x14ac:dyDescent="0.2">
      <c r="A409"/>
      <c r="B409"/>
      <c r="C409"/>
      <c r="D409"/>
      <c r="E409"/>
      <c r="F409"/>
      <c r="G409"/>
    </row>
    <row r="410" spans="1:7" ht="15" customHeight="1" x14ac:dyDescent="0.2">
      <c r="A410"/>
      <c r="B410"/>
      <c r="C410"/>
      <c r="D410"/>
      <c r="E410"/>
      <c r="F410"/>
      <c r="G410"/>
    </row>
    <row r="411" spans="1:7" ht="15" customHeight="1" x14ac:dyDescent="0.2">
      <c r="A411"/>
      <c r="B411"/>
      <c r="C411"/>
      <c r="D411"/>
      <c r="E411"/>
      <c r="F411"/>
      <c r="G411"/>
    </row>
    <row r="412" spans="1:7" ht="15" customHeight="1" x14ac:dyDescent="0.2">
      <c r="A412"/>
      <c r="B412"/>
      <c r="C412"/>
      <c r="D412"/>
      <c r="E412"/>
      <c r="F412"/>
      <c r="G412"/>
    </row>
    <row r="413" spans="1:7" ht="15" customHeight="1" x14ac:dyDescent="0.2">
      <c r="A413"/>
      <c r="B413"/>
      <c r="C413"/>
      <c r="D413"/>
      <c r="E413"/>
      <c r="F413"/>
      <c r="G413"/>
    </row>
    <row r="414" spans="1:7" ht="15" customHeight="1" x14ac:dyDescent="0.2">
      <c r="A414"/>
      <c r="B414"/>
      <c r="C414"/>
      <c r="D414"/>
      <c r="E414"/>
      <c r="F414"/>
      <c r="G414"/>
    </row>
    <row r="415" spans="1:7" ht="15" customHeight="1" x14ac:dyDescent="0.2">
      <c r="A415"/>
      <c r="B415"/>
      <c r="C415"/>
      <c r="D415"/>
      <c r="E415"/>
      <c r="F415"/>
      <c r="G415"/>
    </row>
    <row r="416" spans="1:7" ht="15" customHeight="1" x14ac:dyDescent="0.2">
      <c r="A416"/>
      <c r="B416"/>
      <c r="C416"/>
      <c r="D416"/>
      <c r="E416"/>
      <c r="F416"/>
      <c r="G416"/>
    </row>
    <row r="417" spans="1:7" ht="15" customHeight="1" x14ac:dyDescent="0.2">
      <c r="A417"/>
      <c r="B417"/>
      <c r="C417"/>
      <c r="D417"/>
      <c r="E417"/>
      <c r="F417"/>
      <c r="G417"/>
    </row>
    <row r="418" spans="1:7" ht="15" customHeight="1" x14ac:dyDescent="0.2">
      <c r="A418"/>
      <c r="B418"/>
      <c r="C418"/>
      <c r="D418"/>
      <c r="E418"/>
      <c r="F418"/>
      <c r="G418"/>
    </row>
    <row r="419" spans="1:7" ht="15" customHeight="1" x14ac:dyDescent="0.2">
      <c r="A419"/>
      <c r="B419"/>
      <c r="C419"/>
      <c r="D419"/>
      <c r="E419"/>
      <c r="F419"/>
      <c r="G419"/>
    </row>
    <row r="420" spans="1:7" ht="15" customHeight="1" x14ac:dyDescent="0.2">
      <c r="A420"/>
      <c r="B420"/>
      <c r="C420"/>
      <c r="D420"/>
      <c r="E420"/>
      <c r="F420"/>
      <c r="G420"/>
    </row>
    <row r="421" spans="1:7" ht="15" customHeight="1" x14ac:dyDescent="0.2">
      <c r="A421"/>
      <c r="B421"/>
      <c r="C421"/>
      <c r="D421"/>
      <c r="E421"/>
      <c r="F421"/>
      <c r="G421"/>
    </row>
    <row r="422" spans="1:7" ht="15" customHeight="1" x14ac:dyDescent="0.2">
      <c r="A422"/>
      <c r="B422"/>
      <c r="C422"/>
      <c r="D422"/>
      <c r="E422"/>
      <c r="F422"/>
      <c r="G422"/>
    </row>
    <row r="423" spans="1:7" ht="15" customHeight="1" x14ac:dyDescent="0.2">
      <c r="A423"/>
      <c r="B423"/>
      <c r="C423"/>
      <c r="D423"/>
      <c r="E423"/>
      <c r="F423"/>
      <c r="G423"/>
    </row>
    <row r="424" spans="1:7" ht="15" customHeight="1" x14ac:dyDescent="0.2">
      <c r="A424"/>
      <c r="B424"/>
      <c r="C424"/>
      <c r="D424"/>
      <c r="E424"/>
      <c r="F424"/>
      <c r="G424"/>
    </row>
    <row r="425" spans="1:7" ht="15" customHeight="1" x14ac:dyDescent="0.2">
      <c r="A425"/>
      <c r="B425"/>
      <c r="C425"/>
      <c r="D425"/>
      <c r="E425"/>
      <c r="F425"/>
      <c r="G425"/>
    </row>
    <row r="426" spans="1:7" ht="15" customHeight="1" x14ac:dyDescent="0.2">
      <c r="A426"/>
      <c r="B426"/>
      <c r="C426"/>
      <c r="D426"/>
      <c r="E426"/>
      <c r="F426"/>
      <c r="G426"/>
    </row>
    <row r="427" spans="1:7" ht="15" customHeight="1" x14ac:dyDescent="0.2">
      <c r="A427"/>
      <c r="B427"/>
      <c r="C427"/>
      <c r="D427"/>
      <c r="E427"/>
      <c r="F427"/>
      <c r="G427"/>
    </row>
    <row r="428" spans="1:7" ht="15" customHeight="1" x14ac:dyDescent="0.2">
      <c r="A428"/>
      <c r="B428"/>
      <c r="C428"/>
      <c r="D428"/>
      <c r="E428"/>
      <c r="F428"/>
      <c r="G428"/>
    </row>
    <row r="429" spans="1:7" ht="15" customHeight="1" x14ac:dyDescent="0.2">
      <c r="A429"/>
      <c r="B429"/>
      <c r="C429"/>
      <c r="D429"/>
      <c r="E429"/>
      <c r="F429"/>
      <c r="G429"/>
    </row>
    <row r="430" spans="1:7" ht="15" customHeight="1" x14ac:dyDescent="0.2">
      <c r="A430"/>
      <c r="B430"/>
      <c r="C430"/>
      <c r="D430"/>
      <c r="E430"/>
      <c r="F430"/>
      <c r="G430"/>
    </row>
    <row r="431" spans="1:7" ht="15" customHeight="1" x14ac:dyDescent="0.2">
      <c r="A431"/>
      <c r="B431"/>
      <c r="C431"/>
      <c r="D431"/>
      <c r="E431"/>
      <c r="F431"/>
      <c r="G431"/>
    </row>
    <row r="432" spans="1:7" ht="15" customHeight="1" x14ac:dyDescent="0.2">
      <c r="A432"/>
      <c r="B432"/>
      <c r="C432"/>
      <c r="D432"/>
      <c r="E432"/>
      <c r="F432"/>
      <c r="G432"/>
    </row>
    <row r="433" spans="1:7" ht="15" customHeight="1" x14ac:dyDescent="0.2">
      <c r="A433"/>
      <c r="B433"/>
      <c r="C433"/>
      <c r="D433"/>
      <c r="E433"/>
      <c r="F433"/>
      <c r="G433"/>
    </row>
    <row r="434" spans="1:7" ht="15" customHeight="1" x14ac:dyDescent="0.2">
      <c r="A434"/>
      <c r="B434"/>
      <c r="C434"/>
      <c r="D434"/>
      <c r="E434"/>
      <c r="F434"/>
      <c r="G434"/>
    </row>
    <row r="435" spans="1:7" ht="15" customHeight="1" x14ac:dyDescent="0.2">
      <c r="A435"/>
      <c r="B435"/>
      <c r="C435"/>
      <c r="D435"/>
      <c r="E435"/>
      <c r="F435"/>
      <c r="G435"/>
    </row>
    <row r="436" spans="1:7" ht="15" customHeight="1" x14ac:dyDescent="0.2">
      <c r="A436"/>
      <c r="B436"/>
      <c r="C436"/>
      <c r="D436"/>
      <c r="E436"/>
      <c r="F436"/>
      <c r="G436"/>
    </row>
    <row r="437" spans="1:7" ht="15" customHeight="1" x14ac:dyDescent="0.2">
      <c r="A437"/>
      <c r="B437"/>
      <c r="C437"/>
      <c r="D437"/>
      <c r="E437"/>
      <c r="F437"/>
      <c r="G437"/>
    </row>
    <row r="438" spans="1:7" ht="15" customHeight="1" x14ac:dyDescent="0.2">
      <c r="A438"/>
      <c r="B438"/>
      <c r="C438"/>
      <c r="D438"/>
      <c r="E438"/>
      <c r="F438"/>
      <c r="G438"/>
    </row>
    <row r="439" spans="1:7" ht="15" customHeight="1" x14ac:dyDescent="0.2">
      <c r="A439"/>
      <c r="B439"/>
      <c r="C439"/>
      <c r="D439"/>
      <c r="E439"/>
      <c r="F439"/>
      <c r="G439"/>
    </row>
    <row r="440" spans="1:7" ht="15" customHeight="1" x14ac:dyDescent="0.2">
      <c r="A440"/>
      <c r="B440"/>
      <c r="C440"/>
      <c r="D440"/>
      <c r="E440"/>
      <c r="F440"/>
      <c r="G440"/>
    </row>
    <row r="441" spans="1:7" ht="15" customHeight="1" x14ac:dyDescent="0.2">
      <c r="A441"/>
      <c r="B441"/>
      <c r="C441"/>
      <c r="D441"/>
      <c r="E441"/>
      <c r="F441"/>
      <c r="G441"/>
    </row>
    <row r="442" spans="1:7" ht="15" customHeight="1" x14ac:dyDescent="0.2">
      <c r="A442"/>
      <c r="B442"/>
      <c r="C442"/>
      <c r="D442"/>
      <c r="E442"/>
      <c r="F442"/>
      <c r="G442"/>
    </row>
    <row r="443" spans="1:7" ht="15" customHeight="1" x14ac:dyDescent="0.2">
      <c r="A443"/>
      <c r="B443"/>
      <c r="C443"/>
      <c r="D443"/>
      <c r="E443"/>
      <c r="F443"/>
      <c r="G443"/>
    </row>
    <row r="444" spans="1:7" ht="15" customHeight="1" x14ac:dyDescent="0.2">
      <c r="A444"/>
      <c r="B444"/>
      <c r="C444"/>
      <c r="D444"/>
      <c r="E444"/>
      <c r="F444"/>
      <c r="G444"/>
    </row>
    <row r="445" spans="1:7" ht="15" customHeight="1" x14ac:dyDescent="0.2">
      <c r="A445"/>
      <c r="B445"/>
      <c r="C445"/>
      <c r="D445"/>
      <c r="E445"/>
      <c r="F445"/>
      <c r="G445"/>
    </row>
    <row r="446" spans="1:7" ht="15" customHeight="1" x14ac:dyDescent="0.2">
      <c r="A446"/>
      <c r="B446"/>
      <c r="C446"/>
      <c r="D446"/>
      <c r="E446"/>
      <c r="F446"/>
      <c r="G446"/>
    </row>
    <row r="447" spans="1:7" ht="15" customHeight="1" x14ac:dyDescent="0.2">
      <c r="A447"/>
      <c r="B447"/>
      <c r="C447"/>
      <c r="D447"/>
      <c r="E447"/>
      <c r="F447"/>
      <c r="G447"/>
    </row>
    <row r="448" spans="1:7" ht="15" customHeight="1" x14ac:dyDescent="0.2">
      <c r="A448"/>
      <c r="B448"/>
      <c r="C448"/>
      <c r="D448"/>
      <c r="E448"/>
      <c r="F448"/>
      <c r="G448"/>
    </row>
    <row r="449" spans="1:7" ht="15" customHeight="1" x14ac:dyDescent="0.2">
      <c r="A449"/>
      <c r="B449"/>
      <c r="C449"/>
      <c r="D449"/>
      <c r="E449"/>
      <c r="F449"/>
      <c r="G449"/>
    </row>
    <row r="450" spans="1:7" ht="15" customHeight="1" x14ac:dyDescent="0.2">
      <c r="A450"/>
      <c r="B450"/>
      <c r="C450"/>
      <c r="D450"/>
      <c r="E450"/>
      <c r="F450"/>
      <c r="G450"/>
    </row>
    <row r="451" spans="1:7" ht="15" customHeight="1" x14ac:dyDescent="0.2">
      <c r="A451"/>
      <c r="B451"/>
      <c r="C451"/>
      <c r="D451"/>
      <c r="E451"/>
      <c r="F451"/>
      <c r="G451"/>
    </row>
    <row r="452" spans="1:7" ht="15" customHeight="1" x14ac:dyDescent="0.2">
      <c r="A452"/>
      <c r="B452"/>
      <c r="C452"/>
      <c r="D452"/>
      <c r="E452"/>
      <c r="F452"/>
      <c r="G452"/>
    </row>
    <row r="453" spans="1:7" ht="15" customHeight="1" x14ac:dyDescent="0.2">
      <c r="A453"/>
      <c r="B453"/>
      <c r="C453"/>
      <c r="D453"/>
      <c r="E453"/>
      <c r="F453"/>
      <c r="G453"/>
    </row>
    <row r="454" spans="1:7" ht="15" customHeight="1" x14ac:dyDescent="0.2">
      <c r="A454"/>
      <c r="B454"/>
      <c r="C454"/>
      <c r="D454"/>
      <c r="E454"/>
      <c r="F454"/>
      <c r="G454"/>
    </row>
    <row r="455" spans="1:7" ht="15" customHeight="1" x14ac:dyDescent="0.2">
      <c r="A455"/>
      <c r="B455"/>
      <c r="C455"/>
      <c r="D455"/>
      <c r="E455"/>
      <c r="F455"/>
      <c r="G455"/>
    </row>
    <row r="456" spans="1:7" ht="15" customHeight="1" x14ac:dyDescent="0.2">
      <c r="A456"/>
      <c r="B456"/>
      <c r="C456"/>
      <c r="D456"/>
      <c r="E456"/>
      <c r="F456"/>
      <c r="G456"/>
    </row>
    <row r="457" spans="1:7" ht="15" customHeight="1" x14ac:dyDescent="0.2">
      <c r="A457"/>
      <c r="B457"/>
      <c r="C457"/>
      <c r="D457"/>
      <c r="E457"/>
      <c r="F457"/>
      <c r="G457"/>
    </row>
    <row r="458" spans="1:7" ht="15" customHeight="1" x14ac:dyDescent="0.2">
      <c r="A458"/>
      <c r="B458"/>
      <c r="C458"/>
      <c r="D458"/>
      <c r="E458"/>
      <c r="F458"/>
      <c r="G458"/>
    </row>
    <row r="459" spans="1:7" ht="15" customHeight="1" x14ac:dyDescent="0.2">
      <c r="A459"/>
      <c r="B459"/>
      <c r="C459"/>
      <c r="D459"/>
      <c r="E459"/>
      <c r="F459"/>
      <c r="G459"/>
    </row>
    <row r="460" spans="1:7" ht="15" customHeight="1" x14ac:dyDescent="0.2">
      <c r="A460"/>
      <c r="B460"/>
      <c r="C460"/>
      <c r="D460"/>
      <c r="E460"/>
      <c r="F460"/>
      <c r="G460"/>
    </row>
    <row r="461" spans="1:7" ht="15" customHeight="1" x14ac:dyDescent="0.2">
      <c r="A461"/>
      <c r="B461"/>
      <c r="C461"/>
      <c r="D461"/>
      <c r="E461"/>
      <c r="F461"/>
      <c r="G461"/>
    </row>
    <row r="462" spans="1:7" ht="15" customHeight="1" x14ac:dyDescent="0.2">
      <c r="A462"/>
      <c r="B462"/>
      <c r="C462"/>
      <c r="D462"/>
      <c r="E462"/>
      <c r="F462"/>
      <c r="G462"/>
    </row>
    <row r="463" spans="1:7" ht="15" customHeight="1" x14ac:dyDescent="0.2">
      <c r="A463"/>
      <c r="B463"/>
      <c r="C463"/>
      <c r="D463"/>
      <c r="E463"/>
      <c r="F463"/>
      <c r="G463"/>
    </row>
    <row r="464" spans="1:7" ht="15" customHeight="1" x14ac:dyDescent="0.2">
      <c r="A464"/>
      <c r="B464"/>
      <c r="C464"/>
      <c r="D464"/>
      <c r="E464"/>
      <c r="F464"/>
      <c r="G464"/>
    </row>
    <row r="465" spans="1:7" ht="15" customHeight="1" x14ac:dyDescent="0.2">
      <c r="A465"/>
      <c r="B465"/>
      <c r="C465"/>
      <c r="D465"/>
      <c r="E465"/>
      <c r="F465"/>
      <c r="G465"/>
    </row>
    <row r="466" spans="1:7" ht="15" customHeight="1" x14ac:dyDescent="0.2">
      <c r="A466"/>
      <c r="B466"/>
      <c r="C466"/>
      <c r="D466"/>
      <c r="E466"/>
      <c r="F466"/>
      <c r="G466"/>
    </row>
    <row r="467" spans="1:7" ht="15" customHeight="1" x14ac:dyDescent="0.2">
      <c r="A467"/>
      <c r="B467"/>
      <c r="C467"/>
      <c r="D467"/>
      <c r="E467"/>
      <c r="F467"/>
      <c r="G467"/>
    </row>
    <row r="468" spans="1:7" ht="15" customHeight="1" x14ac:dyDescent="0.2">
      <c r="A468"/>
      <c r="B468"/>
      <c r="C468"/>
      <c r="D468"/>
      <c r="E468"/>
      <c r="F468"/>
      <c r="G468"/>
    </row>
    <row r="469" spans="1:7" ht="15" customHeight="1" x14ac:dyDescent="0.2">
      <c r="A469"/>
      <c r="B469"/>
      <c r="C469"/>
      <c r="D469"/>
      <c r="E469"/>
      <c r="F469"/>
      <c r="G469"/>
    </row>
    <row r="470" spans="1:7" ht="15" customHeight="1" x14ac:dyDescent="0.2">
      <c r="A470"/>
      <c r="B470"/>
      <c r="C470"/>
      <c r="D470"/>
      <c r="E470"/>
      <c r="F470"/>
      <c r="G470"/>
    </row>
    <row r="471" spans="1:7" ht="15" customHeight="1" x14ac:dyDescent="0.2">
      <c r="A471"/>
      <c r="B471"/>
      <c r="C471"/>
      <c r="D471"/>
      <c r="E471"/>
      <c r="F471"/>
      <c r="G471"/>
    </row>
    <row r="472" spans="1:7" ht="15" customHeight="1" x14ac:dyDescent="0.2">
      <c r="A472"/>
      <c r="B472"/>
      <c r="C472"/>
      <c r="D472"/>
      <c r="E472"/>
      <c r="F472"/>
      <c r="G472"/>
    </row>
    <row r="473" spans="1:7" ht="15" customHeight="1" x14ac:dyDescent="0.2">
      <c r="A473"/>
      <c r="B473"/>
      <c r="C473"/>
      <c r="D473"/>
      <c r="E473"/>
      <c r="F473"/>
      <c r="G473"/>
    </row>
    <row r="474" spans="1:7" ht="15" customHeight="1" x14ac:dyDescent="0.2">
      <c r="A474"/>
      <c r="B474"/>
      <c r="C474"/>
      <c r="D474"/>
      <c r="E474"/>
      <c r="F474"/>
      <c r="G474"/>
    </row>
    <row r="475" spans="1:7" ht="15" customHeight="1" x14ac:dyDescent="0.2">
      <c r="A475"/>
      <c r="B475"/>
      <c r="C475"/>
      <c r="D475"/>
      <c r="E475"/>
      <c r="F475"/>
      <c r="G475"/>
    </row>
    <row r="476" spans="1:7" ht="15" customHeight="1" x14ac:dyDescent="0.2">
      <c r="A476"/>
      <c r="B476"/>
      <c r="C476"/>
      <c r="D476"/>
      <c r="E476"/>
      <c r="F476"/>
      <c r="G476"/>
    </row>
    <row r="477" spans="1:7" ht="15" customHeight="1" x14ac:dyDescent="0.2">
      <c r="A477"/>
      <c r="B477"/>
      <c r="C477"/>
      <c r="D477"/>
      <c r="E477"/>
      <c r="F477"/>
      <c r="G477"/>
    </row>
    <row r="478" spans="1:7" ht="15" customHeight="1" x14ac:dyDescent="0.2">
      <c r="A478"/>
      <c r="B478"/>
      <c r="C478"/>
      <c r="D478"/>
      <c r="E478"/>
      <c r="F478"/>
      <c r="G478"/>
    </row>
    <row r="479" spans="1:7" ht="15" customHeight="1" x14ac:dyDescent="0.2">
      <c r="A479"/>
      <c r="B479"/>
      <c r="C479"/>
      <c r="D479"/>
      <c r="E479"/>
      <c r="F479"/>
      <c r="G479"/>
    </row>
    <row r="480" spans="1:7" ht="15" customHeight="1" x14ac:dyDescent="0.2">
      <c r="A480"/>
      <c r="B480"/>
      <c r="C480"/>
      <c r="D480"/>
      <c r="E480"/>
      <c r="F480"/>
      <c r="G480"/>
    </row>
    <row r="481" spans="1:7" ht="15" customHeight="1" x14ac:dyDescent="0.2">
      <c r="A481"/>
      <c r="B481"/>
      <c r="C481"/>
      <c r="D481"/>
      <c r="E481"/>
      <c r="F481"/>
      <c r="G481"/>
    </row>
    <row r="482" spans="1:7" ht="15" customHeight="1" x14ac:dyDescent="0.2">
      <c r="A482"/>
      <c r="B482"/>
      <c r="C482"/>
      <c r="D482"/>
      <c r="E482"/>
      <c r="F482"/>
      <c r="G482"/>
    </row>
    <row r="483" spans="1:7" ht="15" customHeight="1" x14ac:dyDescent="0.2">
      <c r="A483"/>
      <c r="B483"/>
      <c r="C483"/>
      <c r="D483"/>
      <c r="E483"/>
      <c r="F483"/>
      <c r="G483"/>
    </row>
    <row r="484" spans="1:7" ht="15" customHeight="1" x14ac:dyDescent="0.2">
      <c r="A484"/>
      <c r="B484"/>
      <c r="C484"/>
      <c r="D484"/>
      <c r="E484"/>
      <c r="F484"/>
      <c r="G484"/>
    </row>
    <row r="485" spans="1:7" ht="15" customHeight="1" x14ac:dyDescent="0.2">
      <c r="A485"/>
      <c r="B485"/>
      <c r="C485"/>
      <c r="D485"/>
      <c r="E485"/>
      <c r="F485"/>
      <c r="G485"/>
    </row>
    <row r="486" spans="1:7" ht="15" customHeight="1" x14ac:dyDescent="0.2">
      <c r="A486"/>
      <c r="B486"/>
      <c r="C486"/>
      <c r="D486"/>
      <c r="E486"/>
      <c r="F486"/>
      <c r="G486"/>
    </row>
    <row r="487" spans="1:7" ht="15" customHeight="1" x14ac:dyDescent="0.2">
      <c r="A487"/>
      <c r="B487"/>
      <c r="C487"/>
      <c r="D487"/>
      <c r="E487"/>
      <c r="F487"/>
      <c r="G487"/>
    </row>
    <row r="488" spans="1:7" ht="15" customHeight="1" x14ac:dyDescent="0.2">
      <c r="A488"/>
      <c r="B488"/>
      <c r="C488"/>
      <c r="D488"/>
      <c r="E488"/>
      <c r="F488"/>
      <c r="G488"/>
    </row>
    <row r="489" spans="1:7" ht="15" customHeight="1" x14ac:dyDescent="0.2">
      <c r="A489"/>
      <c r="B489"/>
      <c r="C489"/>
      <c r="D489"/>
      <c r="E489"/>
      <c r="F489"/>
      <c r="G489"/>
    </row>
    <row r="490" spans="1:7" ht="15" customHeight="1" x14ac:dyDescent="0.2">
      <c r="A490"/>
      <c r="B490"/>
      <c r="C490"/>
      <c r="D490"/>
      <c r="E490"/>
      <c r="F490"/>
      <c r="G490"/>
    </row>
    <row r="491" spans="1:7" ht="15" customHeight="1" x14ac:dyDescent="0.2">
      <c r="A491"/>
      <c r="B491"/>
      <c r="C491"/>
      <c r="D491"/>
      <c r="E491"/>
      <c r="F491"/>
      <c r="G491"/>
    </row>
    <row r="492" spans="1:7" ht="15" customHeight="1" x14ac:dyDescent="0.2">
      <c r="A492"/>
      <c r="B492"/>
      <c r="C492"/>
      <c r="D492"/>
      <c r="E492"/>
      <c r="F492"/>
      <c r="G492"/>
    </row>
    <row r="493" spans="1:7" ht="15" customHeight="1" x14ac:dyDescent="0.2">
      <c r="A493"/>
      <c r="B493"/>
      <c r="C493"/>
      <c r="D493"/>
      <c r="E493"/>
      <c r="F493"/>
      <c r="G493"/>
    </row>
    <row r="494" spans="1:7" ht="15" customHeight="1" x14ac:dyDescent="0.2">
      <c r="A494"/>
      <c r="B494"/>
      <c r="C494"/>
      <c r="D494"/>
      <c r="E494"/>
      <c r="F494"/>
      <c r="G494"/>
    </row>
    <row r="495" spans="1:7" ht="15" customHeight="1" x14ac:dyDescent="0.2">
      <c r="A495"/>
      <c r="B495"/>
      <c r="C495"/>
      <c r="D495"/>
      <c r="E495"/>
      <c r="F495"/>
      <c r="G495"/>
    </row>
    <row r="496" spans="1:7" ht="15" customHeight="1" x14ac:dyDescent="0.2">
      <c r="A496"/>
      <c r="B496"/>
      <c r="C496"/>
      <c r="D496"/>
      <c r="E496"/>
      <c r="F496"/>
      <c r="G496"/>
    </row>
    <row r="497" spans="1:7" ht="15" customHeight="1" x14ac:dyDescent="0.2">
      <c r="A497"/>
      <c r="B497"/>
      <c r="C497"/>
      <c r="D497"/>
      <c r="E497"/>
      <c r="F497"/>
      <c r="G497"/>
    </row>
    <row r="498" spans="1:7" ht="15" customHeight="1" x14ac:dyDescent="0.2">
      <c r="A498"/>
      <c r="B498"/>
      <c r="C498"/>
      <c r="D498"/>
      <c r="E498"/>
      <c r="F498"/>
      <c r="G498"/>
    </row>
    <row r="499" spans="1:7" ht="15" customHeight="1" x14ac:dyDescent="0.2">
      <c r="A499"/>
      <c r="B499"/>
      <c r="C499"/>
      <c r="D499"/>
      <c r="E499"/>
      <c r="F499"/>
      <c r="G499"/>
    </row>
    <row r="500" spans="1:7" ht="15" customHeight="1" x14ac:dyDescent="0.2">
      <c r="A500"/>
      <c r="B500"/>
      <c r="C500"/>
      <c r="D500"/>
      <c r="E500"/>
      <c r="F500"/>
      <c r="G500"/>
    </row>
    <row r="501" spans="1:7" ht="15" customHeight="1" x14ac:dyDescent="0.2">
      <c r="A501"/>
      <c r="B501"/>
      <c r="C501"/>
      <c r="D501"/>
      <c r="E501"/>
      <c r="F501"/>
      <c r="G501"/>
    </row>
    <row r="502" spans="1:7" ht="15" customHeight="1" x14ac:dyDescent="0.2">
      <c r="A502"/>
      <c r="B502"/>
      <c r="C502"/>
      <c r="D502"/>
      <c r="E502"/>
      <c r="F502"/>
      <c r="G502"/>
    </row>
    <row r="503" spans="1:7" ht="15" customHeight="1" x14ac:dyDescent="0.2">
      <c r="A503"/>
      <c r="B503"/>
      <c r="C503"/>
      <c r="D503"/>
      <c r="E503"/>
      <c r="F503"/>
      <c r="G503"/>
    </row>
    <row r="504" spans="1:7" ht="15" customHeight="1" x14ac:dyDescent="0.2">
      <c r="A504"/>
      <c r="B504"/>
      <c r="C504"/>
      <c r="D504"/>
      <c r="E504"/>
      <c r="F504"/>
      <c r="G504"/>
    </row>
    <row r="505" spans="1:7" ht="15" customHeight="1" x14ac:dyDescent="0.2">
      <c r="A505"/>
      <c r="B505"/>
      <c r="C505"/>
      <c r="D505"/>
      <c r="E505"/>
      <c r="F505"/>
      <c r="G505"/>
    </row>
    <row r="506" spans="1:7" ht="15" customHeight="1" x14ac:dyDescent="0.2">
      <c r="A506"/>
      <c r="B506"/>
      <c r="C506"/>
      <c r="D506"/>
      <c r="E506"/>
      <c r="F506"/>
      <c r="G506"/>
    </row>
    <row r="507" spans="1:7" ht="15" customHeight="1" x14ac:dyDescent="0.2">
      <c r="A507"/>
      <c r="B507"/>
      <c r="C507"/>
      <c r="D507"/>
      <c r="E507"/>
      <c r="F507"/>
      <c r="G507"/>
    </row>
    <row r="508" spans="1:7" ht="15" customHeight="1" x14ac:dyDescent="0.2">
      <c r="A508"/>
      <c r="B508"/>
      <c r="C508"/>
      <c r="D508"/>
      <c r="E508"/>
      <c r="F508"/>
      <c r="G508"/>
    </row>
    <row r="509" spans="1:7" ht="15" customHeight="1" x14ac:dyDescent="0.2">
      <c r="A509"/>
      <c r="B509"/>
      <c r="C509"/>
      <c r="D509"/>
      <c r="E509"/>
      <c r="F509"/>
      <c r="G509"/>
    </row>
    <row r="510" spans="1:7" ht="15" customHeight="1" x14ac:dyDescent="0.2">
      <c r="A510"/>
      <c r="B510"/>
      <c r="C510"/>
      <c r="D510"/>
      <c r="E510"/>
      <c r="F510"/>
      <c r="G510"/>
    </row>
    <row r="511" spans="1:7" ht="15" customHeight="1" x14ac:dyDescent="0.2">
      <c r="A511"/>
      <c r="B511"/>
      <c r="C511"/>
      <c r="D511"/>
      <c r="E511"/>
      <c r="F511"/>
      <c r="G511"/>
    </row>
    <row r="512" spans="1:7" ht="15" customHeight="1" x14ac:dyDescent="0.2">
      <c r="A512"/>
      <c r="B512"/>
      <c r="C512"/>
      <c r="D512"/>
      <c r="E512"/>
      <c r="F512"/>
      <c r="G512"/>
    </row>
    <row r="513" spans="1:7" ht="15" customHeight="1" x14ac:dyDescent="0.2">
      <c r="A513"/>
      <c r="B513"/>
      <c r="C513"/>
      <c r="D513"/>
      <c r="E513"/>
      <c r="F513"/>
      <c r="G513"/>
    </row>
    <row r="514" spans="1:7" ht="15" customHeight="1" x14ac:dyDescent="0.2">
      <c r="A514"/>
      <c r="B514"/>
      <c r="C514"/>
      <c r="D514"/>
      <c r="E514"/>
      <c r="F514"/>
      <c r="G514"/>
    </row>
    <row r="515" spans="1:7" ht="15" customHeight="1" x14ac:dyDescent="0.2">
      <c r="A515"/>
      <c r="B515"/>
      <c r="C515"/>
      <c r="D515"/>
      <c r="E515"/>
      <c r="F515"/>
      <c r="G515"/>
    </row>
    <row r="516" spans="1:7" ht="15" customHeight="1" x14ac:dyDescent="0.2">
      <c r="A516"/>
      <c r="B516"/>
      <c r="C516"/>
      <c r="D516"/>
      <c r="E516"/>
      <c r="F516"/>
      <c r="G516"/>
    </row>
    <row r="517" spans="1:7" ht="15" customHeight="1" x14ac:dyDescent="0.2">
      <c r="A517"/>
      <c r="B517"/>
      <c r="C517"/>
      <c r="D517"/>
      <c r="E517"/>
      <c r="F517"/>
      <c r="G517"/>
    </row>
    <row r="518" spans="1:7" ht="15" customHeight="1" x14ac:dyDescent="0.2">
      <c r="A518"/>
      <c r="B518"/>
      <c r="C518"/>
      <c r="D518"/>
      <c r="E518"/>
      <c r="F518"/>
      <c r="G518"/>
    </row>
    <row r="519" spans="1:7" ht="15" customHeight="1" x14ac:dyDescent="0.2">
      <c r="A519"/>
      <c r="B519"/>
      <c r="C519"/>
      <c r="D519"/>
      <c r="E519"/>
      <c r="F519"/>
      <c r="G519"/>
    </row>
    <row r="520" spans="1:7" ht="15" customHeight="1" x14ac:dyDescent="0.2">
      <c r="A520"/>
      <c r="B520"/>
      <c r="C520"/>
      <c r="D520"/>
      <c r="E520"/>
      <c r="F520"/>
      <c r="G520"/>
    </row>
    <row r="521" spans="1:7" ht="15" customHeight="1" x14ac:dyDescent="0.2">
      <c r="A521"/>
      <c r="B521"/>
      <c r="C521"/>
      <c r="D521"/>
      <c r="E521"/>
      <c r="F521"/>
      <c r="G521"/>
    </row>
    <row r="522" spans="1:7" ht="15" customHeight="1" x14ac:dyDescent="0.2">
      <c r="A522"/>
      <c r="B522"/>
      <c r="C522"/>
      <c r="D522"/>
      <c r="E522"/>
      <c r="F522"/>
      <c r="G522"/>
    </row>
    <row r="523" spans="1:7" ht="15" customHeight="1" x14ac:dyDescent="0.2">
      <c r="A523"/>
      <c r="B523"/>
      <c r="C523"/>
      <c r="D523"/>
      <c r="E523"/>
      <c r="F523"/>
      <c r="G523"/>
    </row>
    <row r="524" spans="1:7" ht="15" customHeight="1" x14ac:dyDescent="0.2">
      <c r="A524"/>
      <c r="B524"/>
      <c r="C524"/>
      <c r="D524"/>
      <c r="E524"/>
      <c r="F524"/>
      <c r="G524"/>
    </row>
    <row r="525" spans="1:7" ht="15" customHeight="1" x14ac:dyDescent="0.2">
      <c r="A525"/>
      <c r="B525"/>
      <c r="C525"/>
      <c r="D525"/>
      <c r="E525"/>
      <c r="F525"/>
      <c r="G525"/>
    </row>
    <row r="526" spans="1:7" ht="15" customHeight="1" x14ac:dyDescent="0.2">
      <c r="A526"/>
      <c r="B526"/>
      <c r="C526"/>
      <c r="D526"/>
      <c r="E526"/>
      <c r="F526"/>
      <c r="G526"/>
    </row>
    <row r="527" spans="1:7" ht="15" customHeight="1" x14ac:dyDescent="0.2">
      <c r="A527"/>
      <c r="B527"/>
      <c r="C527"/>
      <c r="D527"/>
      <c r="E527"/>
      <c r="F527"/>
      <c r="G527"/>
    </row>
    <row r="528" spans="1:7" ht="15" customHeight="1" x14ac:dyDescent="0.2">
      <c r="A528"/>
      <c r="B528"/>
      <c r="C528"/>
      <c r="D528"/>
      <c r="E528"/>
      <c r="F528"/>
      <c r="G528"/>
    </row>
    <row r="529" spans="1:7" ht="15" customHeight="1" x14ac:dyDescent="0.2">
      <c r="A529"/>
      <c r="B529"/>
      <c r="C529"/>
      <c r="D529"/>
      <c r="E529"/>
      <c r="F529"/>
      <c r="G529"/>
    </row>
    <row r="530" spans="1:7" ht="15" customHeight="1" x14ac:dyDescent="0.2">
      <c r="A530"/>
      <c r="B530"/>
      <c r="C530"/>
      <c r="D530"/>
      <c r="E530"/>
      <c r="F530"/>
      <c r="G530"/>
    </row>
    <row r="531" spans="1:7" ht="15" customHeight="1" x14ac:dyDescent="0.2">
      <c r="A531"/>
      <c r="B531"/>
      <c r="C531"/>
      <c r="D531"/>
      <c r="E531"/>
      <c r="F531"/>
      <c r="G531"/>
    </row>
    <row r="532" spans="1:7" ht="15" customHeight="1" x14ac:dyDescent="0.2">
      <c r="A532"/>
      <c r="B532"/>
      <c r="C532"/>
      <c r="D532"/>
      <c r="E532"/>
      <c r="F532"/>
      <c r="G532"/>
    </row>
    <row r="533" spans="1:7" ht="15" customHeight="1" x14ac:dyDescent="0.2">
      <c r="A533"/>
      <c r="B533"/>
      <c r="C533"/>
      <c r="D533"/>
      <c r="E533"/>
      <c r="F533"/>
      <c r="G533"/>
    </row>
    <row r="534" spans="1:7" ht="15" customHeight="1" x14ac:dyDescent="0.2">
      <c r="A534"/>
      <c r="B534"/>
      <c r="C534"/>
      <c r="D534"/>
      <c r="E534"/>
      <c r="F534"/>
      <c r="G534"/>
    </row>
    <row r="535" spans="1:7" ht="15" customHeight="1" x14ac:dyDescent="0.2">
      <c r="A535"/>
      <c r="B535"/>
      <c r="C535"/>
      <c r="D535"/>
      <c r="E535"/>
      <c r="F535"/>
      <c r="G535"/>
    </row>
    <row r="536" spans="1:7" ht="15" customHeight="1" x14ac:dyDescent="0.2">
      <c r="A536"/>
      <c r="B536"/>
      <c r="C536"/>
      <c r="D536"/>
      <c r="E536"/>
      <c r="F536"/>
      <c r="G536"/>
    </row>
    <row r="537" spans="1:7" ht="15" customHeight="1" x14ac:dyDescent="0.2">
      <c r="A537"/>
      <c r="B537"/>
      <c r="C537"/>
      <c r="D537"/>
      <c r="E537"/>
      <c r="F537"/>
      <c r="G537"/>
    </row>
    <row r="538" spans="1:7" ht="15" customHeight="1" x14ac:dyDescent="0.2">
      <c r="A538"/>
      <c r="B538"/>
      <c r="C538"/>
      <c r="D538"/>
      <c r="E538"/>
      <c r="F538"/>
      <c r="G538"/>
    </row>
    <row r="539" spans="1:7" ht="15" customHeight="1" x14ac:dyDescent="0.2">
      <c r="A539"/>
      <c r="B539"/>
      <c r="C539"/>
      <c r="D539"/>
      <c r="E539"/>
      <c r="F539"/>
      <c r="G539"/>
    </row>
    <row r="540" spans="1:7" ht="15" customHeight="1" x14ac:dyDescent="0.2">
      <c r="A540"/>
      <c r="B540"/>
      <c r="C540"/>
      <c r="D540"/>
      <c r="E540"/>
      <c r="F540"/>
      <c r="G540"/>
    </row>
    <row r="541" spans="1:7" ht="15" customHeight="1" x14ac:dyDescent="0.2">
      <c r="A541"/>
      <c r="B541"/>
      <c r="C541"/>
      <c r="D541"/>
      <c r="E541"/>
      <c r="F541"/>
      <c r="G541"/>
    </row>
    <row r="542" spans="1:7" ht="15" customHeight="1" x14ac:dyDescent="0.2">
      <c r="A542"/>
      <c r="B542"/>
      <c r="C542"/>
      <c r="D542"/>
      <c r="E542"/>
      <c r="F542"/>
      <c r="G542"/>
    </row>
    <row r="543" spans="1:7" ht="15" customHeight="1" x14ac:dyDescent="0.2">
      <c r="A543"/>
      <c r="B543"/>
      <c r="C543"/>
      <c r="D543"/>
      <c r="E543"/>
      <c r="F543"/>
      <c r="G543"/>
    </row>
    <row r="544" spans="1:7" ht="15" customHeight="1" x14ac:dyDescent="0.2">
      <c r="A544"/>
      <c r="B544"/>
      <c r="C544"/>
      <c r="D544"/>
      <c r="E544"/>
      <c r="F544"/>
      <c r="G544"/>
    </row>
    <row r="545" spans="1:7" ht="15" customHeight="1" x14ac:dyDescent="0.2">
      <c r="A545"/>
      <c r="B545"/>
      <c r="C545"/>
      <c r="D545"/>
      <c r="E545"/>
      <c r="F545"/>
      <c r="G545"/>
    </row>
    <row r="546" spans="1:7" ht="15" customHeight="1" x14ac:dyDescent="0.2">
      <c r="A546"/>
      <c r="B546"/>
      <c r="C546"/>
      <c r="D546"/>
      <c r="E546"/>
      <c r="F546"/>
      <c r="G546"/>
    </row>
    <row r="547" spans="1:7" ht="15" customHeight="1" x14ac:dyDescent="0.2">
      <c r="A547"/>
      <c r="B547"/>
      <c r="C547"/>
      <c r="D547"/>
      <c r="E547"/>
      <c r="F547"/>
      <c r="G547"/>
    </row>
    <row r="548" spans="1:7" ht="15" customHeight="1" x14ac:dyDescent="0.2">
      <c r="A548"/>
      <c r="B548"/>
      <c r="C548"/>
      <c r="D548"/>
      <c r="E548"/>
      <c r="F548"/>
      <c r="G548"/>
    </row>
    <row r="549" spans="1:7" ht="15" customHeight="1" x14ac:dyDescent="0.2">
      <c r="A549"/>
      <c r="B549"/>
      <c r="C549"/>
      <c r="D549"/>
      <c r="E549"/>
      <c r="F549"/>
      <c r="G549"/>
    </row>
    <row r="550" spans="1:7" ht="15" customHeight="1" x14ac:dyDescent="0.2">
      <c r="A550"/>
      <c r="B550"/>
      <c r="C550"/>
      <c r="D550"/>
      <c r="E550"/>
      <c r="F550"/>
      <c r="G550"/>
    </row>
    <row r="551" spans="1:7" ht="15" customHeight="1" x14ac:dyDescent="0.2">
      <c r="A551"/>
      <c r="B551"/>
      <c r="C551"/>
      <c r="D551"/>
      <c r="E551"/>
      <c r="F551"/>
      <c r="G551"/>
    </row>
    <row r="552" spans="1:7" ht="15" customHeight="1" x14ac:dyDescent="0.2">
      <c r="A552"/>
      <c r="B552"/>
      <c r="C552"/>
      <c r="D552"/>
      <c r="E552"/>
      <c r="F552"/>
      <c r="G552"/>
    </row>
    <row r="553" spans="1:7" ht="15" customHeight="1" x14ac:dyDescent="0.2">
      <c r="A553"/>
      <c r="B553"/>
      <c r="C553"/>
      <c r="D553"/>
      <c r="E553"/>
      <c r="F553"/>
      <c r="G553"/>
    </row>
    <row r="554" spans="1:7" ht="15" customHeight="1" x14ac:dyDescent="0.2">
      <c r="A554"/>
      <c r="B554"/>
      <c r="C554"/>
      <c r="D554"/>
      <c r="E554"/>
      <c r="F554"/>
      <c r="G554"/>
    </row>
    <row r="555" spans="1:7" ht="15" customHeight="1" x14ac:dyDescent="0.2">
      <c r="A555"/>
      <c r="B555"/>
      <c r="C555"/>
      <c r="D555"/>
      <c r="E555"/>
      <c r="F555"/>
      <c r="G555"/>
    </row>
    <row r="556" spans="1:7" ht="15" customHeight="1" x14ac:dyDescent="0.2">
      <c r="A556"/>
      <c r="B556"/>
      <c r="C556"/>
      <c r="D556"/>
      <c r="E556"/>
      <c r="F556"/>
      <c r="G556"/>
    </row>
    <row r="557" spans="1:7" ht="15" customHeight="1" x14ac:dyDescent="0.2">
      <c r="A557"/>
      <c r="B557"/>
      <c r="C557"/>
      <c r="D557"/>
      <c r="E557"/>
      <c r="F557"/>
      <c r="G557"/>
    </row>
    <row r="558" spans="1:7" ht="15" customHeight="1" x14ac:dyDescent="0.2">
      <c r="A558"/>
      <c r="B558"/>
      <c r="C558"/>
      <c r="D558"/>
      <c r="E558"/>
      <c r="F558"/>
      <c r="G558"/>
    </row>
    <row r="559" spans="1:7" ht="15" customHeight="1" x14ac:dyDescent="0.2">
      <c r="A559"/>
      <c r="B559"/>
      <c r="C559"/>
      <c r="D559"/>
      <c r="E559"/>
      <c r="F559"/>
      <c r="G559"/>
    </row>
    <row r="560" spans="1:7" ht="15" customHeight="1" x14ac:dyDescent="0.2">
      <c r="A560"/>
      <c r="B560"/>
      <c r="C560"/>
      <c r="D560"/>
      <c r="E560"/>
      <c r="F560"/>
      <c r="G560"/>
    </row>
    <row r="561" spans="1:7" ht="15" customHeight="1" x14ac:dyDescent="0.2">
      <c r="A561"/>
      <c r="B561"/>
      <c r="C561"/>
      <c r="D561"/>
      <c r="E561"/>
      <c r="F561"/>
      <c r="G561"/>
    </row>
    <row r="562" spans="1:7" ht="15" customHeight="1" x14ac:dyDescent="0.2">
      <c r="A562"/>
      <c r="B562"/>
      <c r="C562"/>
      <c r="D562"/>
      <c r="E562"/>
      <c r="F562"/>
      <c r="G562"/>
    </row>
    <row r="563" spans="1:7" ht="15" customHeight="1" x14ac:dyDescent="0.2">
      <c r="A563"/>
      <c r="B563"/>
      <c r="C563"/>
      <c r="D563"/>
      <c r="E563"/>
      <c r="F563"/>
      <c r="G563"/>
    </row>
    <row r="564" spans="1:7" ht="15" customHeight="1" x14ac:dyDescent="0.2">
      <c r="A564"/>
      <c r="B564"/>
      <c r="C564"/>
      <c r="D564"/>
      <c r="E564"/>
      <c r="F564"/>
      <c r="G564"/>
    </row>
    <row r="565" spans="1:7" ht="15" customHeight="1" x14ac:dyDescent="0.2">
      <c r="A565"/>
      <c r="B565"/>
      <c r="C565"/>
      <c r="D565"/>
      <c r="E565"/>
      <c r="F565"/>
      <c r="G565"/>
    </row>
    <row r="566" spans="1:7" ht="15" customHeight="1" x14ac:dyDescent="0.2">
      <c r="A566"/>
      <c r="B566"/>
      <c r="C566"/>
      <c r="D566"/>
      <c r="E566"/>
      <c r="F566"/>
      <c r="G566"/>
    </row>
    <row r="567" spans="1:7" ht="15" customHeight="1" x14ac:dyDescent="0.2">
      <c r="A567"/>
      <c r="B567"/>
      <c r="C567"/>
      <c r="D567"/>
      <c r="E567"/>
      <c r="F567"/>
      <c r="G567"/>
    </row>
    <row r="568" spans="1:7" ht="15" customHeight="1" x14ac:dyDescent="0.2">
      <c r="A568"/>
      <c r="B568"/>
      <c r="C568"/>
      <c r="D568"/>
      <c r="E568"/>
      <c r="F568"/>
      <c r="G568"/>
    </row>
    <row r="569" spans="1:7" ht="15" customHeight="1" x14ac:dyDescent="0.2">
      <c r="A569"/>
      <c r="B569"/>
      <c r="C569"/>
      <c r="D569"/>
      <c r="E569"/>
      <c r="F569"/>
      <c r="G569"/>
    </row>
    <row r="570" spans="1:7" ht="15" customHeight="1" x14ac:dyDescent="0.2">
      <c r="A570"/>
      <c r="B570"/>
      <c r="C570"/>
      <c r="D570"/>
      <c r="E570"/>
      <c r="F570"/>
      <c r="G570"/>
    </row>
    <row r="571" spans="1:7" ht="15" customHeight="1" x14ac:dyDescent="0.2">
      <c r="A571"/>
      <c r="B571"/>
      <c r="C571"/>
      <c r="D571"/>
      <c r="E571"/>
      <c r="F571"/>
      <c r="G571"/>
    </row>
    <row r="572" spans="1:7" ht="15" customHeight="1" x14ac:dyDescent="0.2">
      <c r="A572"/>
      <c r="B572"/>
      <c r="C572"/>
      <c r="D572"/>
      <c r="E572"/>
      <c r="F572"/>
      <c r="G572"/>
    </row>
    <row r="573" spans="1:7" ht="15" customHeight="1" x14ac:dyDescent="0.2">
      <c r="A573"/>
      <c r="B573"/>
      <c r="C573"/>
      <c r="D573"/>
      <c r="E573"/>
      <c r="F573"/>
      <c r="G573"/>
    </row>
    <row r="574" spans="1:7" ht="15" customHeight="1" x14ac:dyDescent="0.2">
      <c r="A574"/>
      <c r="B574"/>
      <c r="C574"/>
      <c r="D574"/>
      <c r="E574"/>
      <c r="F574"/>
      <c r="G574"/>
    </row>
    <row r="575" spans="1:7" ht="15" customHeight="1" x14ac:dyDescent="0.2">
      <c r="A575"/>
      <c r="B575"/>
      <c r="C575"/>
      <c r="D575"/>
      <c r="E575"/>
      <c r="F575"/>
      <c r="G575"/>
    </row>
    <row r="576" spans="1:7" ht="15" customHeight="1" x14ac:dyDescent="0.2">
      <c r="A576"/>
      <c r="B576"/>
      <c r="C576"/>
      <c r="D576"/>
      <c r="E576"/>
      <c r="F576"/>
      <c r="G576"/>
    </row>
    <row r="577" spans="1:7" ht="15" customHeight="1" x14ac:dyDescent="0.2">
      <c r="A577"/>
      <c r="B577"/>
      <c r="C577"/>
      <c r="D577"/>
      <c r="E577"/>
      <c r="F577"/>
      <c r="G577"/>
    </row>
    <row r="578" spans="1:7" ht="15" customHeight="1" x14ac:dyDescent="0.2">
      <c r="A578"/>
      <c r="B578"/>
      <c r="C578"/>
      <c r="D578"/>
      <c r="E578"/>
      <c r="F578"/>
      <c r="G578"/>
    </row>
    <row r="579" spans="1:7" ht="15" customHeight="1" x14ac:dyDescent="0.2">
      <c r="A579"/>
      <c r="B579"/>
      <c r="C579"/>
      <c r="D579"/>
      <c r="E579"/>
      <c r="F579"/>
      <c r="G579"/>
    </row>
    <row r="580" spans="1:7" ht="15" customHeight="1" x14ac:dyDescent="0.2">
      <c r="A580"/>
      <c r="B580"/>
      <c r="C580"/>
      <c r="D580"/>
      <c r="E580"/>
      <c r="F580"/>
      <c r="G580"/>
    </row>
    <row r="581" spans="1:7" ht="15" customHeight="1" x14ac:dyDescent="0.2">
      <c r="A581"/>
      <c r="B581"/>
      <c r="C581"/>
      <c r="D581"/>
      <c r="E581"/>
      <c r="F581"/>
      <c r="G581"/>
    </row>
    <row r="582" spans="1:7" ht="15" customHeight="1" x14ac:dyDescent="0.2">
      <c r="A582"/>
      <c r="B582"/>
      <c r="C582"/>
      <c r="D582"/>
      <c r="E582"/>
      <c r="F582"/>
      <c r="G582"/>
    </row>
    <row r="583" spans="1:7" ht="15" customHeight="1" x14ac:dyDescent="0.2">
      <c r="A583"/>
      <c r="B583"/>
      <c r="C583"/>
      <c r="D583"/>
      <c r="E583"/>
      <c r="F583"/>
      <c r="G583"/>
    </row>
    <row r="584" spans="1:7" ht="15" customHeight="1" x14ac:dyDescent="0.2">
      <c r="A584"/>
      <c r="B584"/>
      <c r="C584"/>
      <c r="D584"/>
      <c r="E584"/>
      <c r="F584"/>
      <c r="G584"/>
    </row>
    <row r="585" spans="1:7" ht="15" customHeight="1" x14ac:dyDescent="0.2">
      <c r="A585"/>
      <c r="B585"/>
      <c r="C585"/>
      <c r="D585"/>
      <c r="E585"/>
      <c r="F585"/>
      <c r="G585"/>
    </row>
    <row r="586" spans="1:7" ht="15" customHeight="1" x14ac:dyDescent="0.2">
      <c r="A586"/>
      <c r="B586"/>
      <c r="C586"/>
      <c r="D586"/>
      <c r="E586"/>
      <c r="F586"/>
      <c r="G586"/>
    </row>
    <row r="587" spans="1:7" ht="15" customHeight="1" x14ac:dyDescent="0.2">
      <c r="A587"/>
      <c r="B587"/>
      <c r="C587"/>
      <c r="D587"/>
      <c r="E587"/>
      <c r="F587"/>
      <c r="G587"/>
    </row>
    <row r="588" spans="1:7" ht="15" customHeight="1" x14ac:dyDescent="0.2">
      <c r="A588"/>
      <c r="B588"/>
      <c r="C588"/>
      <c r="D588"/>
      <c r="E588"/>
      <c r="F588"/>
      <c r="G588"/>
    </row>
    <row r="589" spans="1:7" ht="15" customHeight="1" x14ac:dyDescent="0.2">
      <c r="A589"/>
      <c r="B589"/>
      <c r="C589"/>
      <c r="D589"/>
      <c r="E589"/>
      <c r="F589"/>
      <c r="G589"/>
    </row>
    <row r="590" spans="1:7" ht="15" customHeight="1" x14ac:dyDescent="0.2">
      <c r="A590"/>
      <c r="B590"/>
      <c r="C590"/>
      <c r="D590"/>
      <c r="E590"/>
      <c r="F590"/>
      <c r="G590"/>
    </row>
    <row r="591" spans="1:7" ht="15" customHeight="1" x14ac:dyDescent="0.2">
      <c r="A591"/>
      <c r="B591"/>
      <c r="C591"/>
      <c r="D591"/>
      <c r="E591"/>
      <c r="F591"/>
      <c r="G591"/>
    </row>
    <row r="592" spans="1:7" ht="15" customHeight="1" x14ac:dyDescent="0.2">
      <c r="A592"/>
      <c r="B592"/>
      <c r="C592"/>
      <c r="D592"/>
      <c r="E592"/>
      <c r="F592"/>
      <c r="G592"/>
    </row>
    <row r="593" spans="1:7" ht="15" customHeight="1" x14ac:dyDescent="0.2">
      <c r="A593"/>
      <c r="B593"/>
      <c r="C593"/>
      <c r="D593"/>
      <c r="E593"/>
      <c r="F593"/>
      <c r="G593"/>
    </row>
    <row r="594" spans="1:7" ht="15" customHeight="1" x14ac:dyDescent="0.2">
      <c r="A594"/>
      <c r="B594"/>
      <c r="C594"/>
      <c r="D594"/>
      <c r="E594"/>
      <c r="F594"/>
      <c r="G594"/>
    </row>
    <row r="595" spans="1:7" ht="15" customHeight="1" x14ac:dyDescent="0.2">
      <c r="A595"/>
      <c r="B595"/>
      <c r="C595"/>
      <c r="D595"/>
      <c r="E595"/>
      <c r="F595"/>
      <c r="G595"/>
    </row>
    <row r="596" spans="1:7" ht="15" customHeight="1" x14ac:dyDescent="0.2">
      <c r="A596"/>
      <c r="B596"/>
      <c r="C596"/>
      <c r="D596"/>
      <c r="E596"/>
      <c r="F596"/>
      <c r="G596"/>
    </row>
    <row r="597" spans="1:7" ht="15" customHeight="1" x14ac:dyDescent="0.2">
      <c r="A597"/>
      <c r="B597"/>
      <c r="C597"/>
      <c r="D597"/>
      <c r="E597"/>
      <c r="F597"/>
      <c r="G597"/>
    </row>
    <row r="598" spans="1:7" ht="15" customHeight="1" x14ac:dyDescent="0.2">
      <c r="A598"/>
      <c r="B598"/>
      <c r="C598"/>
      <c r="D598"/>
      <c r="E598"/>
      <c r="F598"/>
      <c r="G598"/>
    </row>
    <row r="599" spans="1:7" ht="15" customHeight="1" x14ac:dyDescent="0.2">
      <c r="A599"/>
      <c r="B599"/>
      <c r="C599"/>
      <c r="D599"/>
      <c r="E599"/>
      <c r="F599"/>
      <c r="G599"/>
    </row>
    <row r="600" spans="1:7" ht="15" customHeight="1" x14ac:dyDescent="0.2">
      <c r="A600"/>
      <c r="B600"/>
      <c r="C600"/>
      <c r="D600"/>
      <c r="E600"/>
      <c r="F600"/>
      <c r="G600"/>
    </row>
    <row r="601" spans="1:7" ht="15" customHeight="1" x14ac:dyDescent="0.2">
      <c r="A601"/>
      <c r="B601"/>
      <c r="C601"/>
      <c r="D601"/>
      <c r="E601"/>
      <c r="F601"/>
      <c r="G601"/>
    </row>
    <row r="602" spans="1:7" ht="15" customHeight="1" x14ac:dyDescent="0.2">
      <c r="A602"/>
      <c r="B602"/>
      <c r="C602"/>
      <c r="D602"/>
      <c r="E602"/>
      <c r="F602"/>
      <c r="G602"/>
    </row>
    <row r="603" spans="1:7" ht="15" customHeight="1" x14ac:dyDescent="0.2">
      <c r="A603"/>
      <c r="B603"/>
      <c r="C603"/>
      <c r="D603"/>
      <c r="E603"/>
      <c r="F603"/>
      <c r="G603"/>
    </row>
    <row r="604" spans="1:7" ht="15" customHeight="1" x14ac:dyDescent="0.2">
      <c r="A604"/>
      <c r="B604"/>
      <c r="C604"/>
      <c r="D604"/>
      <c r="E604"/>
      <c r="F604"/>
      <c r="G604"/>
    </row>
    <row r="605" spans="1:7" ht="15" customHeight="1" x14ac:dyDescent="0.2">
      <c r="A605"/>
      <c r="B605"/>
      <c r="C605"/>
      <c r="D605"/>
      <c r="E605"/>
      <c r="F605"/>
      <c r="G605"/>
    </row>
    <row r="606" spans="1:7" ht="15" customHeight="1" x14ac:dyDescent="0.2">
      <c r="A606"/>
      <c r="B606"/>
      <c r="C606"/>
      <c r="D606"/>
      <c r="E606"/>
      <c r="F606"/>
      <c r="G606"/>
    </row>
    <row r="607" spans="1:7" ht="15" customHeight="1" x14ac:dyDescent="0.2">
      <c r="A607"/>
      <c r="B607"/>
      <c r="C607"/>
      <c r="D607"/>
      <c r="E607"/>
      <c r="F607"/>
      <c r="G607"/>
    </row>
    <row r="608" spans="1:7" ht="15" customHeight="1" x14ac:dyDescent="0.2">
      <c r="A608"/>
      <c r="B608"/>
      <c r="C608"/>
      <c r="D608"/>
      <c r="E608"/>
      <c r="F608"/>
      <c r="G608"/>
    </row>
    <row r="609" spans="1:7" ht="15" customHeight="1" x14ac:dyDescent="0.2">
      <c r="A609"/>
      <c r="B609"/>
      <c r="C609"/>
      <c r="D609"/>
      <c r="E609"/>
      <c r="F609"/>
      <c r="G609"/>
    </row>
    <row r="610" spans="1:7" ht="15" customHeight="1" x14ac:dyDescent="0.2">
      <c r="A610"/>
      <c r="B610"/>
      <c r="C610"/>
      <c r="D610"/>
      <c r="E610"/>
      <c r="F610"/>
      <c r="G610"/>
    </row>
    <row r="611" spans="1:7" ht="15" customHeight="1" x14ac:dyDescent="0.2">
      <c r="A611"/>
      <c r="B611"/>
      <c r="C611"/>
      <c r="D611"/>
      <c r="E611"/>
      <c r="F611"/>
      <c r="G611"/>
    </row>
    <row r="612" spans="1:7" ht="15" customHeight="1" x14ac:dyDescent="0.2">
      <c r="A612"/>
      <c r="B612"/>
      <c r="C612"/>
      <c r="D612"/>
      <c r="E612"/>
      <c r="F612"/>
      <c r="G612"/>
    </row>
    <row r="613" spans="1:7" ht="15" customHeight="1" x14ac:dyDescent="0.2">
      <c r="A613"/>
      <c r="B613"/>
      <c r="C613"/>
      <c r="D613"/>
      <c r="E613"/>
      <c r="F613"/>
      <c r="G613"/>
    </row>
    <row r="614" spans="1:7" ht="15" customHeight="1" x14ac:dyDescent="0.2">
      <c r="A614"/>
      <c r="B614"/>
      <c r="C614"/>
      <c r="D614"/>
      <c r="E614"/>
      <c r="F614"/>
      <c r="G614"/>
    </row>
    <row r="615" spans="1:7" ht="15" customHeight="1" x14ac:dyDescent="0.2">
      <c r="A615"/>
      <c r="B615"/>
      <c r="C615"/>
      <c r="D615"/>
      <c r="E615"/>
      <c r="F615"/>
      <c r="G615"/>
    </row>
    <row r="616" spans="1:7" ht="15" customHeight="1" x14ac:dyDescent="0.2">
      <c r="A616"/>
      <c r="B616"/>
      <c r="C616"/>
      <c r="D616"/>
      <c r="E616"/>
      <c r="F616"/>
      <c r="G616"/>
    </row>
    <row r="617" spans="1:7" ht="15" customHeight="1" x14ac:dyDescent="0.2">
      <c r="A617"/>
      <c r="B617"/>
      <c r="C617"/>
      <c r="D617"/>
      <c r="E617"/>
      <c r="F617"/>
      <c r="G617"/>
    </row>
    <row r="618" spans="1:7" ht="15" customHeight="1" x14ac:dyDescent="0.2">
      <c r="A618"/>
      <c r="B618"/>
      <c r="C618"/>
      <c r="D618"/>
      <c r="E618"/>
      <c r="F618"/>
      <c r="G618"/>
    </row>
    <row r="619" spans="1:7" ht="15" customHeight="1" x14ac:dyDescent="0.2">
      <c r="A619"/>
      <c r="B619"/>
      <c r="C619"/>
      <c r="D619"/>
      <c r="E619"/>
      <c r="F619"/>
      <c r="G619"/>
    </row>
    <row r="620" spans="1:7" ht="15" customHeight="1" x14ac:dyDescent="0.2">
      <c r="A620"/>
      <c r="B620"/>
      <c r="C620"/>
      <c r="D620"/>
      <c r="E620"/>
      <c r="F620"/>
      <c r="G620"/>
    </row>
    <row r="621" spans="1:7" ht="15" customHeight="1" x14ac:dyDescent="0.2">
      <c r="A621"/>
      <c r="B621"/>
      <c r="C621"/>
      <c r="D621"/>
      <c r="E621"/>
      <c r="F621"/>
      <c r="G621"/>
    </row>
    <row r="622" spans="1:7" ht="15" customHeight="1" x14ac:dyDescent="0.2">
      <c r="A622"/>
      <c r="B622"/>
      <c r="C622"/>
      <c r="D622"/>
      <c r="E622"/>
      <c r="F622"/>
      <c r="G622"/>
    </row>
    <row r="623" spans="1:7" ht="15" customHeight="1" x14ac:dyDescent="0.2">
      <c r="A623"/>
      <c r="B623"/>
      <c r="C623"/>
      <c r="D623"/>
      <c r="E623"/>
      <c r="F623"/>
      <c r="G623"/>
    </row>
    <row r="624" spans="1:7" ht="15" customHeight="1" x14ac:dyDescent="0.2">
      <c r="A624"/>
      <c r="B624"/>
      <c r="C624"/>
      <c r="D624"/>
      <c r="E624"/>
      <c r="F624"/>
      <c r="G624"/>
    </row>
    <row r="625" spans="1:7" ht="15" customHeight="1" x14ac:dyDescent="0.2">
      <c r="A625"/>
      <c r="B625"/>
      <c r="C625"/>
      <c r="D625"/>
      <c r="E625"/>
      <c r="F625"/>
      <c r="G625"/>
    </row>
    <row r="626" spans="1:7" ht="15" customHeight="1" x14ac:dyDescent="0.2">
      <c r="A626"/>
      <c r="B626"/>
      <c r="C626"/>
      <c r="D626"/>
      <c r="E626"/>
      <c r="F626"/>
      <c r="G626"/>
    </row>
    <row r="627" spans="1:7" ht="15" customHeight="1" x14ac:dyDescent="0.2">
      <c r="A627"/>
      <c r="B627"/>
      <c r="C627"/>
      <c r="D627"/>
      <c r="E627"/>
      <c r="F627"/>
      <c r="G627"/>
    </row>
    <row r="628" spans="1:7" ht="15" customHeight="1" x14ac:dyDescent="0.2">
      <c r="A628"/>
      <c r="B628"/>
      <c r="C628"/>
      <c r="D628"/>
      <c r="E628"/>
      <c r="F628"/>
      <c r="G628"/>
    </row>
    <row r="629" spans="1:7" ht="15" customHeight="1" x14ac:dyDescent="0.2">
      <c r="A629"/>
      <c r="B629"/>
      <c r="C629"/>
      <c r="D629"/>
      <c r="E629"/>
      <c r="F629"/>
      <c r="G629"/>
    </row>
    <row r="630" spans="1:7" ht="15" customHeight="1" x14ac:dyDescent="0.2">
      <c r="A630"/>
      <c r="B630"/>
      <c r="C630"/>
      <c r="D630"/>
      <c r="E630"/>
      <c r="F630"/>
      <c r="G630"/>
    </row>
    <row r="631" spans="1:7" ht="15" customHeight="1" x14ac:dyDescent="0.2">
      <c r="A631"/>
      <c r="B631"/>
      <c r="C631"/>
      <c r="D631"/>
      <c r="E631"/>
      <c r="F631"/>
      <c r="G631"/>
    </row>
    <row r="632" spans="1:7" ht="15" customHeight="1" x14ac:dyDescent="0.2">
      <c r="A632"/>
      <c r="B632"/>
      <c r="C632"/>
      <c r="D632"/>
      <c r="E632"/>
      <c r="F632"/>
      <c r="G632"/>
    </row>
    <row r="633" spans="1:7" ht="15" customHeight="1" x14ac:dyDescent="0.2">
      <c r="A633"/>
      <c r="B633"/>
      <c r="C633"/>
      <c r="D633"/>
      <c r="E633"/>
      <c r="F633"/>
      <c r="G633"/>
    </row>
    <row r="634" spans="1:7" ht="15" customHeight="1" x14ac:dyDescent="0.2">
      <c r="A634"/>
      <c r="B634"/>
      <c r="C634"/>
      <c r="D634"/>
      <c r="E634"/>
      <c r="F634"/>
      <c r="G634"/>
    </row>
    <row r="635" spans="1:7" ht="15" customHeight="1" x14ac:dyDescent="0.2">
      <c r="A635"/>
      <c r="B635"/>
      <c r="C635"/>
      <c r="D635"/>
      <c r="E635"/>
      <c r="F635"/>
      <c r="G635"/>
    </row>
    <row r="636" spans="1:7" ht="15" customHeight="1" x14ac:dyDescent="0.2">
      <c r="A636"/>
      <c r="B636"/>
      <c r="C636"/>
      <c r="D636"/>
      <c r="E636"/>
      <c r="F636"/>
      <c r="G636"/>
    </row>
    <row r="637" spans="1:7" ht="15" customHeight="1" x14ac:dyDescent="0.2">
      <c r="A637"/>
      <c r="B637"/>
      <c r="C637"/>
      <c r="D637"/>
      <c r="E637"/>
      <c r="F637"/>
      <c r="G637"/>
    </row>
    <row r="638" spans="1:7" ht="15" customHeight="1" x14ac:dyDescent="0.2">
      <c r="A638"/>
      <c r="B638"/>
      <c r="C638"/>
      <c r="D638"/>
      <c r="E638"/>
      <c r="F638"/>
      <c r="G638"/>
    </row>
    <row r="639" spans="1:7" ht="15" customHeight="1" x14ac:dyDescent="0.2">
      <c r="A639"/>
      <c r="B639"/>
      <c r="C639"/>
      <c r="D639"/>
      <c r="E639"/>
      <c r="F639"/>
      <c r="G639"/>
    </row>
    <row r="640" spans="1:7" ht="15" customHeight="1" x14ac:dyDescent="0.2">
      <c r="A640"/>
      <c r="B640"/>
      <c r="C640"/>
      <c r="D640"/>
      <c r="E640"/>
      <c r="F640"/>
      <c r="G640"/>
    </row>
    <row r="641" spans="1:7" ht="15" customHeight="1" x14ac:dyDescent="0.2">
      <c r="A641"/>
      <c r="B641"/>
      <c r="C641"/>
      <c r="D641"/>
      <c r="E641"/>
      <c r="F641"/>
      <c r="G641"/>
    </row>
    <row r="642" spans="1:7" ht="15" customHeight="1" x14ac:dyDescent="0.2">
      <c r="A642"/>
      <c r="B642"/>
      <c r="C642"/>
      <c r="D642"/>
      <c r="E642"/>
      <c r="F642"/>
      <c r="G642"/>
    </row>
    <row r="643" spans="1:7" ht="15" customHeight="1" x14ac:dyDescent="0.2">
      <c r="A643"/>
      <c r="B643"/>
      <c r="C643"/>
      <c r="D643"/>
      <c r="E643"/>
      <c r="F643"/>
      <c r="G643"/>
    </row>
    <row r="644" spans="1:7" ht="15" customHeight="1" x14ac:dyDescent="0.2">
      <c r="A644"/>
      <c r="B644"/>
      <c r="C644"/>
      <c r="D644"/>
      <c r="E644"/>
      <c r="F644"/>
      <c r="G644"/>
    </row>
    <row r="645" spans="1:7" ht="15" customHeight="1" x14ac:dyDescent="0.2">
      <c r="A645"/>
      <c r="B645"/>
      <c r="C645"/>
      <c r="D645"/>
      <c r="E645"/>
      <c r="F645"/>
      <c r="G645"/>
    </row>
    <row r="646" spans="1:7" ht="15" customHeight="1" x14ac:dyDescent="0.2">
      <c r="A646"/>
      <c r="B646"/>
      <c r="C646"/>
      <c r="D646"/>
      <c r="E646"/>
      <c r="F646"/>
      <c r="G646"/>
    </row>
    <row r="647" spans="1:7" ht="15" customHeight="1" x14ac:dyDescent="0.2">
      <c r="A647"/>
      <c r="B647"/>
      <c r="C647"/>
      <c r="D647"/>
      <c r="E647"/>
      <c r="F647"/>
      <c r="G647"/>
    </row>
    <row r="648" spans="1:7" ht="15" customHeight="1" x14ac:dyDescent="0.2">
      <c r="A648"/>
      <c r="B648"/>
      <c r="C648"/>
      <c r="D648"/>
      <c r="E648"/>
      <c r="F648"/>
      <c r="G648"/>
    </row>
    <row r="649" spans="1:7" ht="15" customHeight="1" x14ac:dyDescent="0.2">
      <c r="A649"/>
      <c r="B649"/>
      <c r="C649"/>
      <c r="D649"/>
      <c r="E649"/>
      <c r="F649"/>
      <c r="G649"/>
    </row>
    <row r="650" spans="1:7" ht="15" customHeight="1" x14ac:dyDescent="0.2">
      <c r="A650"/>
      <c r="B650"/>
      <c r="C650"/>
      <c r="D650"/>
      <c r="E650"/>
      <c r="F650"/>
      <c r="G650"/>
    </row>
    <row r="651" spans="1:7" ht="15" customHeight="1" x14ac:dyDescent="0.2">
      <c r="A651"/>
      <c r="B651"/>
      <c r="C651"/>
      <c r="D651"/>
      <c r="E651"/>
      <c r="F651"/>
      <c r="G651"/>
    </row>
    <row r="652" spans="1:7" ht="15" customHeight="1" x14ac:dyDescent="0.2">
      <c r="A652"/>
      <c r="B652"/>
      <c r="C652"/>
      <c r="D652"/>
      <c r="E652"/>
      <c r="F652"/>
      <c r="G652"/>
    </row>
    <row r="653" spans="1:7" ht="15" customHeight="1" x14ac:dyDescent="0.2">
      <c r="A653"/>
      <c r="B653"/>
      <c r="C653"/>
      <c r="D653"/>
      <c r="E653"/>
      <c r="F653"/>
      <c r="G653"/>
    </row>
    <row r="654" spans="1:7" ht="15" customHeight="1" x14ac:dyDescent="0.2">
      <c r="A654"/>
      <c r="B654"/>
      <c r="C654"/>
      <c r="D654"/>
      <c r="E654"/>
      <c r="F654"/>
      <c r="G654"/>
    </row>
    <row r="655" spans="1:7" ht="15" customHeight="1" x14ac:dyDescent="0.2">
      <c r="A655"/>
      <c r="B655"/>
      <c r="C655"/>
      <c r="D655"/>
      <c r="E655"/>
      <c r="F655"/>
      <c r="G655"/>
    </row>
    <row r="656" spans="1:7" ht="15" customHeight="1" x14ac:dyDescent="0.2">
      <c r="A656"/>
      <c r="B656"/>
      <c r="C656"/>
      <c r="D656"/>
      <c r="E656"/>
      <c r="F656"/>
      <c r="G656"/>
    </row>
    <row r="657" spans="1:7" ht="15" customHeight="1" x14ac:dyDescent="0.2">
      <c r="A657"/>
      <c r="B657"/>
      <c r="C657"/>
      <c r="D657"/>
      <c r="E657"/>
      <c r="F657"/>
      <c r="G657"/>
    </row>
    <row r="658" spans="1:7" ht="15" customHeight="1" x14ac:dyDescent="0.2">
      <c r="A658"/>
      <c r="B658"/>
      <c r="C658"/>
      <c r="D658"/>
      <c r="E658"/>
      <c r="F658"/>
      <c r="G658"/>
    </row>
    <row r="659" spans="1:7" ht="15" customHeight="1" x14ac:dyDescent="0.2">
      <c r="A659"/>
      <c r="B659"/>
      <c r="C659"/>
      <c r="D659"/>
      <c r="E659"/>
      <c r="F659"/>
      <c r="G659"/>
    </row>
    <row r="660" spans="1:7" ht="15" customHeight="1" x14ac:dyDescent="0.2">
      <c r="A660"/>
      <c r="B660"/>
      <c r="C660"/>
      <c r="D660"/>
      <c r="E660"/>
      <c r="F660"/>
      <c r="G660"/>
    </row>
    <row r="661" spans="1:7" ht="15" customHeight="1" x14ac:dyDescent="0.2">
      <c r="A661"/>
      <c r="B661"/>
      <c r="C661"/>
      <c r="D661"/>
      <c r="E661"/>
      <c r="F661"/>
      <c r="G661"/>
    </row>
    <row r="662" spans="1:7" ht="15" customHeight="1" x14ac:dyDescent="0.2">
      <c r="A662"/>
      <c r="B662"/>
      <c r="C662"/>
      <c r="D662"/>
      <c r="E662"/>
      <c r="F662"/>
      <c r="G662"/>
    </row>
    <row r="663" spans="1:7" ht="15" customHeight="1" x14ac:dyDescent="0.2">
      <c r="A663"/>
      <c r="B663"/>
      <c r="C663"/>
      <c r="D663"/>
      <c r="E663"/>
      <c r="F663"/>
      <c r="G663"/>
    </row>
    <row r="664" spans="1:7" ht="15" customHeight="1" x14ac:dyDescent="0.2">
      <c r="A664"/>
      <c r="B664"/>
      <c r="C664"/>
      <c r="D664"/>
      <c r="E664"/>
      <c r="F664"/>
      <c r="G664"/>
    </row>
    <row r="665" spans="1:7" ht="15" customHeight="1" x14ac:dyDescent="0.2">
      <c r="A665"/>
      <c r="B665"/>
      <c r="C665"/>
      <c r="D665"/>
      <c r="E665"/>
      <c r="F665"/>
      <c r="G665"/>
    </row>
    <row r="666" spans="1:7" ht="15" customHeight="1" x14ac:dyDescent="0.2">
      <c r="A666"/>
      <c r="B666"/>
      <c r="C666"/>
      <c r="D666"/>
      <c r="E666"/>
      <c r="F666"/>
      <c r="G666"/>
    </row>
    <row r="667" spans="1:7" ht="15" customHeight="1" x14ac:dyDescent="0.2">
      <c r="A667"/>
      <c r="B667"/>
      <c r="C667"/>
      <c r="D667"/>
      <c r="E667"/>
      <c r="F667"/>
      <c r="G667"/>
    </row>
    <row r="668" spans="1:7" ht="15" customHeight="1" x14ac:dyDescent="0.2">
      <c r="A668"/>
      <c r="B668"/>
      <c r="C668"/>
      <c r="D668"/>
      <c r="E668"/>
      <c r="F668"/>
      <c r="G668"/>
    </row>
    <row r="669" spans="1:7" ht="15" customHeight="1" x14ac:dyDescent="0.2">
      <c r="A669"/>
      <c r="B669"/>
      <c r="C669"/>
      <c r="D669"/>
      <c r="E669"/>
      <c r="F669"/>
      <c r="G669"/>
    </row>
    <row r="670" spans="1:7" ht="15" customHeight="1" x14ac:dyDescent="0.2">
      <c r="A670"/>
      <c r="B670"/>
      <c r="C670"/>
      <c r="D670"/>
      <c r="E670"/>
      <c r="F670"/>
      <c r="G670"/>
    </row>
    <row r="671" spans="1:7" ht="15" customHeight="1" x14ac:dyDescent="0.2">
      <c r="A671"/>
      <c r="B671"/>
      <c r="C671"/>
      <c r="D671"/>
      <c r="E671"/>
      <c r="F671"/>
      <c r="G671"/>
    </row>
    <row r="672" spans="1:7" ht="15" customHeight="1" x14ac:dyDescent="0.2">
      <c r="A672"/>
      <c r="B672"/>
      <c r="C672"/>
      <c r="D672"/>
      <c r="E672"/>
      <c r="F672"/>
      <c r="G672"/>
    </row>
    <row r="673" spans="1:7" ht="15" customHeight="1" x14ac:dyDescent="0.2">
      <c r="A673"/>
      <c r="B673"/>
      <c r="C673"/>
      <c r="D673"/>
      <c r="E673"/>
      <c r="F673"/>
      <c r="G673"/>
    </row>
    <row r="674" spans="1:7" ht="15" customHeight="1" x14ac:dyDescent="0.2">
      <c r="A674"/>
      <c r="B674"/>
      <c r="C674"/>
      <c r="D674"/>
      <c r="E674"/>
      <c r="F674"/>
      <c r="G674"/>
    </row>
    <row r="675" spans="1:7" ht="15" customHeight="1" x14ac:dyDescent="0.2">
      <c r="A675"/>
      <c r="B675"/>
      <c r="C675"/>
      <c r="D675"/>
      <c r="E675"/>
      <c r="F675"/>
      <c r="G675"/>
    </row>
    <row r="676" spans="1:7" ht="15" customHeight="1" x14ac:dyDescent="0.2">
      <c r="A676"/>
      <c r="B676"/>
      <c r="C676"/>
      <c r="D676"/>
      <c r="E676"/>
      <c r="F676"/>
      <c r="G676"/>
    </row>
    <row r="677" spans="1:7" ht="15" customHeight="1" x14ac:dyDescent="0.2">
      <c r="A677"/>
      <c r="B677"/>
      <c r="C677"/>
      <c r="D677"/>
      <c r="E677"/>
      <c r="F677"/>
      <c r="G677"/>
    </row>
    <row r="678" spans="1:7" ht="15" customHeight="1" x14ac:dyDescent="0.2">
      <c r="A678"/>
      <c r="B678"/>
      <c r="C678"/>
      <c r="D678"/>
      <c r="E678"/>
      <c r="F678"/>
      <c r="G678"/>
    </row>
    <row r="679" spans="1:7" ht="15" customHeight="1" x14ac:dyDescent="0.2">
      <c r="A679"/>
      <c r="B679"/>
      <c r="C679"/>
      <c r="D679"/>
      <c r="E679"/>
      <c r="F679"/>
      <c r="G679"/>
    </row>
    <row r="680" spans="1:7" ht="15" customHeight="1" x14ac:dyDescent="0.2">
      <c r="A680"/>
      <c r="B680"/>
      <c r="C680"/>
      <c r="D680"/>
      <c r="E680"/>
      <c r="F680"/>
      <c r="G680"/>
    </row>
    <row r="681" spans="1:7" ht="15" customHeight="1" x14ac:dyDescent="0.2">
      <c r="A681"/>
      <c r="B681"/>
      <c r="C681"/>
      <c r="D681"/>
      <c r="E681"/>
      <c r="F681"/>
      <c r="G681"/>
    </row>
    <row r="682" spans="1:7" ht="15" customHeight="1" x14ac:dyDescent="0.2">
      <c r="A682"/>
      <c r="B682"/>
      <c r="C682"/>
      <c r="D682"/>
      <c r="E682"/>
      <c r="F682"/>
      <c r="G682"/>
    </row>
    <row r="683" spans="1:7" ht="15" customHeight="1" x14ac:dyDescent="0.2">
      <c r="A683"/>
      <c r="B683"/>
      <c r="C683"/>
      <c r="D683"/>
      <c r="E683"/>
      <c r="F683"/>
      <c r="G683"/>
    </row>
    <row r="684" spans="1:7" ht="15" customHeight="1" x14ac:dyDescent="0.2">
      <c r="A684"/>
      <c r="B684"/>
      <c r="C684"/>
      <c r="D684"/>
      <c r="E684"/>
      <c r="F684"/>
      <c r="G684"/>
    </row>
    <row r="685" spans="1:7" ht="15" customHeight="1" x14ac:dyDescent="0.2">
      <c r="A685"/>
      <c r="B685"/>
      <c r="C685"/>
      <c r="D685"/>
      <c r="E685"/>
      <c r="F685"/>
      <c r="G685"/>
    </row>
    <row r="686" spans="1:7" ht="15" customHeight="1" x14ac:dyDescent="0.2">
      <c r="A686"/>
      <c r="B686"/>
      <c r="C686"/>
      <c r="D686"/>
      <c r="E686"/>
      <c r="F686"/>
      <c r="G686"/>
    </row>
    <row r="687" spans="1:7" ht="15" customHeight="1" x14ac:dyDescent="0.2">
      <c r="A687"/>
      <c r="B687"/>
      <c r="C687"/>
      <c r="D687"/>
      <c r="E687"/>
      <c r="F687"/>
      <c r="G687"/>
    </row>
    <row r="688" spans="1:7" ht="15" customHeight="1" x14ac:dyDescent="0.2">
      <c r="A688"/>
      <c r="B688"/>
      <c r="C688"/>
      <c r="D688"/>
      <c r="E688"/>
      <c r="F688"/>
      <c r="G688"/>
    </row>
    <row r="689" spans="1:7" ht="15" customHeight="1" x14ac:dyDescent="0.2">
      <c r="A689"/>
      <c r="B689"/>
      <c r="C689"/>
      <c r="D689"/>
      <c r="E689"/>
      <c r="F689"/>
      <c r="G689"/>
    </row>
    <row r="690" spans="1:7" ht="15" customHeight="1" x14ac:dyDescent="0.2">
      <c r="A690"/>
      <c r="B690"/>
      <c r="C690"/>
      <c r="D690"/>
      <c r="E690"/>
      <c r="F690"/>
      <c r="G690"/>
    </row>
    <row r="691" spans="1:7" ht="15" customHeight="1" x14ac:dyDescent="0.2">
      <c r="A691"/>
      <c r="B691"/>
      <c r="C691"/>
      <c r="D691"/>
      <c r="E691"/>
      <c r="F691"/>
      <c r="G691"/>
    </row>
    <row r="692" spans="1:7" ht="15" customHeight="1" x14ac:dyDescent="0.2">
      <c r="A692"/>
      <c r="B692"/>
      <c r="C692"/>
      <c r="D692"/>
      <c r="E692"/>
      <c r="F692"/>
      <c r="G692"/>
    </row>
    <row r="693" spans="1:7" ht="15" customHeight="1" x14ac:dyDescent="0.2">
      <c r="A693"/>
      <c r="B693"/>
      <c r="C693"/>
      <c r="D693"/>
      <c r="E693"/>
      <c r="F693"/>
      <c r="G693"/>
    </row>
    <row r="694" spans="1:7" ht="15" customHeight="1" x14ac:dyDescent="0.2">
      <c r="A694"/>
      <c r="B694"/>
      <c r="C694"/>
      <c r="D694"/>
      <c r="E694"/>
      <c r="F694"/>
      <c r="G694"/>
    </row>
    <row r="695" spans="1:7" ht="15" customHeight="1" x14ac:dyDescent="0.2">
      <c r="A695"/>
      <c r="B695"/>
      <c r="C695"/>
      <c r="D695"/>
      <c r="E695"/>
      <c r="F695"/>
      <c r="G695"/>
    </row>
    <row r="696" spans="1:7" ht="15" customHeight="1" x14ac:dyDescent="0.2">
      <c r="A696"/>
      <c r="B696"/>
      <c r="C696"/>
      <c r="D696"/>
      <c r="E696"/>
      <c r="F696"/>
      <c r="G696"/>
    </row>
    <row r="697" spans="1:7" ht="15" customHeight="1" x14ac:dyDescent="0.2">
      <c r="A697"/>
      <c r="B697"/>
      <c r="C697"/>
      <c r="D697"/>
      <c r="E697"/>
      <c r="F697"/>
      <c r="G697"/>
    </row>
    <row r="698" spans="1:7" ht="15" customHeight="1" x14ac:dyDescent="0.2">
      <c r="A698"/>
      <c r="B698"/>
      <c r="C698"/>
      <c r="D698"/>
      <c r="E698"/>
      <c r="F698"/>
      <c r="G698"/>
    </row>
    <row r="699" spans="1:7" ht="15" customHeight="1" x14ac:dyDescent="0.2">
      <c r="A699"/>
      <c r="B699"/>
      <c r="C699"/>
      <c r="D699"/>
      <c r="E699"/>
      <c r="F699"/>
      <c r="G699"/>
    </row>
    <row r="700" spans="1:7" ht="15" customHeight="1" x14ac:dyDescent="0.2">
      <c r="A700"/>
      <c r="B700"/>
      <c r="C700"/>
      <c r="D700"/>
      <c r="E700"/>
      <c r="F700"/>
      <c r="G700"/>
    </row>
    <row r="701" spans="1:7" ht="15" customHeight="1" x14ac:dyDescent="0.2">
      <c r="A701"/>
      <c r="B701"/>
      <c r="C701"/>
      <c r="D701"/>
      <c r="E701"/>
      <c r="F701"/>
      <c r="G701"/>
    </row>
    <row r="702" spans="1:7" ht="15" customHeight="1" x14ac:dyDescent="0.2">
      <c r="A702"/>
      <c r="B702"/>
      <c r="C702"/>
      <c r="D702"/>
      <c r="E702"/>
      <c r="F702"/>
      <c r="G702"/>
    </row>
    <row r="703" spans="1:7" ht="15" customHeight="1" x14ac:dyDescent="0.2">
      <c r="A703"/>
      <c r="B703"/>
      <c r="C703"/>
      <c r="D703"/>
      <c r="E703"/>
      <c r="F703"/>
      <c r="G703"/>
    </row>
    <row r="704" spans="1:7" ht="15" customHeight="1" x14ac:dyDescent="0.2">
      <c r="A704"/>
      <c r="B704"/>
      <c r="C704"/>
      <c r="D704"/>
      <c r="E704"/>
      <c r="F704"/>
      <c r="G704"/>
    </row>
    <row r="705" spans="1:7" ht="15" customHeight="1" x14ac:dyDescent="0.2">
      <c r="A705"/>
      <c r="B705"/>
      <c r="C705"/>
      <c r="D705"/>
      <c r="E705"/>
      <c r="F705"/>
      <c r="G705"/>
    </row>
    <row r="706" spans="1:7" ht="15" customHeight="1" x14ac:dyDescent="0.2">
      <c r="A706"/>
      <c r="B706"/>
      <c r="C706"/>
      <c r="D706"/>
      <c r="E706"/>
      <c r="F706"/>
      <c r="G706"/>
    </row>
    <row r="707" spans="1:7" ht="15" customHeight="1" x14ac:dyDescent="0.2">
      <c r="A707"/>
      <c r="B707"/>
      <c r="C707"/>
      <c r="D707"/>
      <c r="E707"/>
      <c r="F707"/>
      <c r="G707"/>
    </row>
    <row r="708" spans="1:7" ht="15" customHeight="1" x14ac:dyDescent="0.2">
      <c r="A708"/>
      <c r="B708"/>
      <c r="C708"/>
      <c r="D708"/>
      <c r="E708"/>
      <c r="F708"/>
      <c r="G708"/>
    </row>
    <row r="709" spans="1:7" ht="15" customHeight="1" x14ac:dyDescent="0.2">
      <c r="A709"/>
      <c r="B709"/>
      <c r="C709"/>
      <c r="D709"/>
      <c r="E709"/>
      <c r="F709"/>
      <c r="G709"/>
    </row>
    <row r="710" spans="1:7" ht="15" customHeight="1" x14ac:dyDescent="0.2">
      <c r="A710"/>
      <c r="B710"/>
      <c r="C710"/>
      <c r="D710"/>
      <c r="E710"/>
      <c r="F710"/>
      <c r="G710"/>
    </row>
    <row r="711" spans="1:7" ht="15" customHeight="1" x14ac:dyDescent="0.2">
      <c r="A711"/>
      <c r="B711"/>
      <c r="C711"/>
      <c r="D711"/>
      <c r="E711"/>
      <c r="F711"/>
      <c r="G711"/>
    </row>
    <row r="712" spans="1:7" ht="15" customHeight="1" x14ac:dyDescent="0.2">
      <c r="A712"/>
      <c r="B712"/>
      <c r="C712"/>
      <c r="D712"/>
      <c r="E712"/>
      <c r="F712"/>
      <c r="G712"/>
    </row>
    <row r="713" spans="1:7" ht="15" customHeight="1" x14ac:dyDescent="0.2">
      <c r="A713"/>
      <c r="B713"/>
      <c r="C713"/>
      <c r="D713"/>
      <c r="E713"/>
      <c r="F713"/>
      <c r="G713"/>
    </row>
    <row r="714" spans="1:7" ht="15" customHeight="1" x14ac:dyDescent="0.2">
      <c r="A714"/>
      <c r="B714"/>
      <c r="C714"/>
      <c r="D714"/>
      <c r="E714"/>
      <c r="F714"/>
      <c r="G714"/>
    </row>
    <row r="715" spans="1:7" ht="15" customHeight="1" x14ac:dyDescent="0.2">
      <c r="A715"/>
      <c r="B715"/>
      <c r="C715"/>
      <c r="D715"/>
      <c r="E715"/>
      <c r="F715"/>
      <c r="G715"/>
    </row>
    <row r="716" spans="1:7" ht="15" customHeight="1" x14ac:dyDescent="0.2">
      <c r="A716"/>
      <c r="B716"/>
      <c r="C716"/>
      <c r="D716"/>
      <c r="E716"/>
      <c r="F716"/>
      <c r="G716"/>
    </row>
    <row r="717" spans="1:7" ht="15" customHeight="1" x14ac:dyDescent="0.2">
      <c r="A717"/>
      <c r="B717"/>
      <c r="C717"/>
      <c r="D717"/>
      <c r="E717"/>
      <c r="F717"/>
      <c r="G717"/>
    </row>
    <row r="718" spans="1:7" ht="15" customHeight="1" x14ac:dyDescent="0.2">
      <c r="A718"/>
      <c r="B718"/>
      <c r="C718"/>
      <c r="D718"/>
      <c r="E718"/>
      <c r="F718"/>
      <c r="G718"/>
    </row>
    <row r="719" spans="1:7" ht="15" customHeight="1" x14ac:dyDescent="0.2">
      <c r="A719"/>
      <c r="B719"/>
      <c r="C719"/>
      <c r="D719"/>
      <c r="E719"/>
      <c r="F719"/>
      <c r="G719"/>
    </row>
    <row r="720" spans="1:7" ht="15" customHeight="1" x14ac:dyDescent="0.2">
      <c r="A720"/>
      <c r="B720"/>
      <c r="C720"/>
      <c r="D720"/>
      <c r="E720"/>
      <c r="F720"/>
      <c r="G720"/>
    </row>
    <row r="721" spans="1:7" ht="15" customHeight="1" x14ac:dyDescent="0.2">
      <c r="A721"/>
      <c r="B721"/>
      <c r="C721"/>
      <c r="D721"/>
      <c r="E721"/>
      <c r="F721"/>
      <c r="G721"/>
    </row>
    <row r="722" spans="1:7" ht="15" customHeight="1" x14ac:dyDescent="0.2">
      <c r="A722"/>
      <c r="B722"/>
      <c r="C722"/>
      <c r="D722"/>
      <c r="E722"/>
      <c r="F722"/>
      <c r="G722"/>
    </row>
    <row r="723" spans="1:7" ht="15" customHeight="1" x14ac:dyDescent="0.2">
      <c r="A723"/>
      <c r="B723"/>
      <c r="C723"/>
      <c r="D723"/>
      <c r="E723"/>
      <c r="F723"/>
      <c r="G723"/>
    </row>
    <row r="724" spans="1:7" ht="15" customHeight="1" x14ac:dyDescent="0.2">
      <c r="A724"/>
      <c r="B724"/>
      <c r="C724"/>
      <c r="D724"/>
      <c r="E724"/>
      <c r="F724"/>
      <c r="G724"/>
    </row>
    <row r="725" spans="1:7" ht="15" customHeight="1" x14ac:dyDescent="0.2">
      <c r="A725"/>
      <c r="B725"/>
      <c r="C725"/>
      <c r="D725"/>
      <c r="E725"/>
      <c r="F725"/>
      <c r="G725"/>
    </row>
    <row r="726" spans="1:7" ht="15" customHeight="1" x14ac:dyDescent="0.2">
      <c r="A726"/>
      <c r="B726"/>
      <c r="C726"/>
      <c r="D726"/>
      <c r="E726"/>
      <c r="F726"/>
      <c r="G726"/>
    </row>
    <row r="727" spans="1:7" ht="15" customHeight="1" x14ac:dyDescent="0.2">
      <c r="A727"/>
      <c r="B727"/>
      <c r="C727"/>
      <c r="D727"/>
      <c r="E727"/>
      <c r="F727"/>
      <c r="G727"/>
    </row>
    <row r="728" spans="1:7" ht="15" customHeight="1" x14ac:dyDescent="0.2">
      <c r="A728"/>
      <c r="B728"/>
      <c r="C728"/>
      <c r="D728"/>
      <c r="E728"/>
      <c r="F728"/>
      <c r="G728"/>
    </row>
    <row r="729" spans="1:7" ht="15" customHeight="1" x14ac:dyDescent="0.2">
      <c r="A729"/>
      <c r="B729"/>
      <c r="C729"/>
      <c r="D729"/>
      <c r="E729"/>
      <c r="F729"/>
      <c r="G729"/>
    </row>
    <row r="730" spans="1:7" ht="15" customHeight="1" x14ac:dyDescent="0.2">
      <c r="A730"/>
      <c r="B730"/>
      <c r="C730"/>
      <c r="D730"/>
      <c r="E730"/>
      <c r="F730"/>
      <c r="G730"/>
    </row>
    <row r="731" spans="1:7" ht="15" customHeight="1" x14ac:dyDescent="0.2">
      <c r="A731"/>
      <c r="B731"/>
      <c r="C731"/>
      <c r="D731"/>
      <c r="E731"/>
      <c r="F731"/>
      <c r="G731"/>
    </row>
    <row r="732" spans="1:7" ht="15" customHeight="1" x14ac:dyDescent="0.2">
      <c r="A732"/>
      <c r="B732"/>
      <c r="C732"/>
      <c r="D732"/>
      <c r="E732"/>
      <c r="F732"/>
      <c r="G732"/>
    </row>
    <row r="733" spans="1:7" ht="15" customHeight="1" x14ac:dyDescent="0.2">
      <c r="A733"/>
      <c r="B733"/>
      <c r="C733"/>
      <c r="D733"/>
      <c r="E733"/>
      <c r="F733"/>
      <c r="G733"/>
    </row>
    <row r="734" spans="1:7" ht="15" customHeight="1" x14ac:dyDescent="0.2">
      <c r="A734"/>
      <c r="B734"/>
      <c r="C734"/>
      <c r="D734"/>
      <c r="E734"/>
      <c r="F734"/>
      <c r="G734"/>
    </row>
    <row r="735" spans="1:7" ht="15" customHeight="1" x14ac:dyDescent="0.2">
      <c r="A735"/>
      <c r="B735"/>
      <c r="C735"/>
      <c r="D735"/>
      <c r="E735"/>
      <c r="F735"/>
      <c r="G735"/>
    </row>
    <row r="736" spans="1:7" ht="15" customHeight="1" x14ac:dyDescent="0.2">
      <c r="A736"/>
      <c r="B736"/>
      <c r="C736"/>
      <c r="D736"/>
      <c r="E736"/>
      <c r="F736"/>
      <c r="G736"/>
    </row>
    <row r="737" spans="1:7" ht="15" customHeight="1" x14ac:dyDescent="0.2">
      <c r="A737"/>
      <c r="B737"/>
      <c r="C737"/>
      <c r="D737"/>
      <c r="E737"/>
      <c r="F737"/>
      <c r="G737"/>
    </row>
    <row r="738" spans="1:7" ht="15" customHeight="1" x14ac:dyDescent="0.2">
      <c r="A738"/>
      <c r="B738"/>
      <c r="C738"/>
      <c r="D738"/>
      <c r="E738"/>
      <c r="F738"/>
      <c r="G738"/>
    </row>
    <row r="739" spans="1:7" ht="15" customHeight="1" x14ac:dyDescent="0.2">
      <c r="A739"/>
      <c r="B739"/>
      <c r="C739"/>
      <c r="D739"/>
      <c r="E739"/>
      <c r="F739"/>
      <c r="G739"/>
    </row>
    <row r="740" spans="1:7" ht="15" customHeight="1" x14ac:dyDescent="0.2">
      <c r="A740"/>
      <c r="B740"/>
      <c r="C740"/>
      <c r="D740"/>
      <c r="E740"/>
      <c r="F740"/>
      <c r="G740"/>
    </row>
    <row r="741" spans="1:7" ht="15" customHeight="1" x14ac:dyDescent="0.2">
      <c r="A741"/>
      <c r="B741"/>
      <c r="C741"/>
      <c r="D741"/>
      <c r="E741"/>
      <c r="F741"/>
      <c r="G741"/>
    </row>
    <row r="742" spans="1:7" ht="15" customHeight="1" x14ac:dyDescent="0.2">
      <c r="A742"/>
      <c r="B742"/>
      <c r="C742"/>
      <c r="D742"/>
      <c r="E742"/>
      <c r="F742"/>
      <c r="G742"/>
    </row>
    <row r="743" spans="1:7" ht="15" customHeight="1" x14ac:dyDescent="0.2">
      <c r="A743"/>
      <c r="B743"/>
      <c r="C743"/>
      <c r="D743"/>
      <c r="E743"/>
      <c r="F743"/>
      <c r="G743"/>
    </row>
    <row r="744" spans="1:7" ht="15" customHeight="1" x14ac:dyDescent="0.2">
      <c r="A744"/>
      <c r="B744"/>
      <c r="C744"/>
      <c r="D744"/>
      <c r="E744"/>
      <c r="F744"/>
      <c r="G744"/>
    </row>
    <row r="745" spans="1:7" ht="15" customHeight="1" x14ac:dyDescent="0.2">
      <c r="A745"/>
      <c r="B745"/>
      <c r="C745"/>
      <c r="D745"/>
      <c r="E745"/>
      <c r="F745"/>
      <c r="G745"/>
    </row>
    <row r="746" spans="1:7" ht="15" customHeight="1" x14ac:dyDescent="0.2">
      <c r="A746"/>
      <c r="B746"/>
      <c r="C746"/>
      <c r="D746"/>
      <c r="E746"/>
      <c r="F746"/>
      <c r="G746"/>
    </row>
    <row r="747" spans="1:7" ht="15" customHeight="1" x14ac:dyDescent="0.2">
      <c r="A747"/>
      <c r="B747"/>
      <c r="C747"/>
      <c r="D747"/>
      <c r="E747"/>
      <c r="F747"/>
      <c r="G747"/>
    </row>
    <row r="748" spans="1:7" ht="15" customHeight="1" x14ac:dyDescent="0.2">
      <c r="A748"/>
      <c r="B748"/>
      <c r="C748"/>
      <c r="D748"/>
      <c r="E748"/>
      <c r="F748"/>
      <c r="G748"/>
    </row>
    <row r="749" spans="1:7" ht="15" customHeight="1" x14ac:dyDescent="0.2">
      <c r="A749"/>
      <c r="B749"/>
      <c r="C749"/>
      <c r="D749"/>
      <c r="E749"/>
      <c r="F749"/>
      <c r="G749"/>
    </row>
    <row r="750" spans="1:7" ht="15" customHeight="1" x14ac:dyDescent="0.2">
      <c r="A750"/>
      <c r="B750"/>
      <c r="C750"/>
      <c r="D750"/>
      <c r="E750"/>
      <c r="F750"/>
      <c r="G750"/>
    </row>
    <row r="751" spans="1:7" ht="15" customHeight="1" x14ac:dyDescent="0.2">
      <c r="A751"/>
      <c r="B751"/>
      <c r="C751"/>
      <c r="D751"/>
      <c r="E751"/>
      <c r="F751"/>
      <c r="G751"/>
    </row>
    <row r="752" spans="1:7" ht="15" customHeight="1" x14ac:dyDescent="0.2">
      <c r="A752"/>
      <c r="B752"/>
      <c r="C752"/>
      <c r="D752"/>
      <c r="E752"/>
      <c r="F752"/>
      <c r="G752"/>
    </row>
    <row r="753" spans="1:7" ht="15" customHeight="1" x14ac:dyDescent="0.2">
      <c r="A753"/>
      <c r="B753"/>
      <c r="C753"/>
      <c r="D753"/>
      <c r="E753"/>
      <c r="F753"/>
      <c r="G753"/>
    </row>
    <row r="754" spans="1:7" ht="15" customHeight="1" x14ac:dyDescent="0.2">
      <c r="A754"/>
      <c r="B754"/>
      <c r="C754"/>
      <c r="D754"/>
      <c r="E754"/>
      <c r="F754"/>
      <c r="G754"/>
    </row>
    <row r="755" spans="1:7" ht="15" customHeight="1" x14ac:dyDescent="0.2">
      <c r="A755"/>
      <c r="B755"/>
      <c r="C755"/>
      <c r="D755"/>
      <c r="E755"/>
      <c r="F755"/>
      <c r="G755"/>
    </row>
    <row r="756" spans="1:7" ht="15" customHeight="1" x14ac:dyDescent="0.2">
      <c r="A756"/>
      <c r="B756"/>
      <c r="C756"/>
      <c r="D756"/>
      <c r="E756"/>
      <c r="F756"/>
      <c r="G756"/>
    </row>
    <row r="757" spans="1:7" ht="15" customHeight="1" x14ac:dyDescent="0.2">
      <c r="A757"/>
      <c r="B757"/>
      <c r="C757"/>
      <c r="D757"/>
      <c r="E757"/>
      <c r="F757"/>
      <c r="G757"/>
    </row>
    <row r="758" spans="1:7" ht="15" customHeight="1" x14ac:dyDescent="0.2">
      <c r="A758"/>
      <c r="B758"/>
      <c r="C758"/>
      <c r="D758"/>
      <c r="E758"/>
      <c r="F758"/>
      <c r="G758"/>
    </row>
    <row r="759" spans="1:7" ht="15" customHeight="1" x14ac:dyDescent="0.2">
      <c r="A759"/>
      <c r="B759"/>
      <c r="C759"/>
      <c r="D759"/>
      <c r="E759"/>
      <c r="F759"/>
      <c r="G759"/>
    </row>
    <row r="760" spans="1:7" ht="15" customHeight="1" x14ac:dyDescent="0.2">
      <c r="A760"/>
      <c r="B760"/>
      <c r="C760"/>
      <c r="D760"/>
      <c r="E760"/>
      <c r="F760"/>
      <c r="G760"/>
    </row>
    <row r="761" spans="1:7" ht="15" customHeight="1" x14ac:dyDescent="0.2">
      <c r="A761"/>
      <c r="B761"/>
      <c r="C761"/>
      <c r="D761"/>
      <c r="E761"/>
      <c r="F761"/>
      <c r="G761"/>
    </row>
    <row r="762" spans="1:7" ht="15" customHeight="1" x14ac:dyDescent="0.2">
      <c r="A762"/>
      <c r="B762"/>
      <c r="C762"/>
      <c r="D762"/>
      <c r="E762"/>
      <c r="F762"/>
      <c r="G762"/>
    </row>
    <row r="763" spans="1:7" ht="15" customHeight="1" x14ac:dyDescent="0.2">
      <c r="A763"/>
      <c r="B763"/>
      <c r="C763"/>
      <c r="D763"/>
      <c r="E763"/>
      <c r="F763"/>
      <c r="G763"/>
    </row>
    <row r="764" spans="1:7" ht="15" customHeight="1" x14ac:dyDescent="0.2">
      <c r="A764"/>
      <c r="B764"/>
      <c r="C764"/>
      <c r="D764"/>
      <c r="E764"/>
      <c r="F764"/>
      <c r="G764"/>
    </row>
    <row r="765" spans="1:7" ht="15" customHeight="1" x14ac:dyDescent="0.2">
      <c r="A765"/>
      <c r="B765"/>
      <c r="C765"/>
      <c r="D765"/>
      <c r="E765"/>
      <c r="F765"/>
      <c r="G765"/>
    </row>
    <row r="766" spans="1:7" ht="15" customHeight="1" x14ac:dyDescent="0.2">
      <c r="A766"/>
      <c r="B766"/>
      <c r="C766"/>
      <c r="D766"/>
      <c r="E766"/>
      <c r="F766"/>
      <c r="G766"/>
    </row>
    <row r="767" spans="1:7" ht="15" customHeight="1" x14ac:dyDescent="0.2">
      <c r="A767"/>
      <c r="B767"/>
      <c r="C767"/>
      <c r="D767"/>
      <c r="E767"/>
      <c r="F767"/>
      <c r="G767"/>
    </row>
    <row r="768" spans="1:7" ht="15" customHeight="1" x14ac:dyDescent="0.2">
      <c r="A768"/>
      <c r="B768"/>
      <c r="C768"/>
      <c r="D768"/>
      <c r="E768"/>
      <c r="F768"/>
      <c r="G768"/>
    </row>
    <row r="769" spans="1:7" ht="15" customHeight="1" x14ac:dyDescent="0.2">
      <c r="A769"/>
      <c r="B769"/>
      <c r="C769"/>
      <c r="D769"/>
      <c r="E769"/>
      <c r="F769"/>
      <c r="G769"/>
    </row>
    <row r="770" spans="1:7" ht="15" customHeight="1" x14ac:dyDescent="0.2">
      <c r="A770"/>
      <c r="B770"/>
      <c r="C770"/>
      <c r="D770"/>
      <c r="E770"/>
      <c r="F770"/>
      <c r="G770"/>
    </row>
    <row r="771" spans="1:7" ht="15" customHeight="1" x14ac:dyDescent="0.2">
      <c r="A771"/>
      <c r="B771"/>
      <c r="C771"/>
      <c r="D771"/>
      <c r="E771"/>
      <c r="F771"/>
      <c r="G771"/>
    </row>
    <row r="772" spans="1:7" ht="15" customHeight="1" x14ac:dyDescent="0.2">
      <c r="A772"/>
      <c r="B772"/>
      <c r="C772"/>
      <c r="D772"/>
      <c r="E772"/>
      <c r="F772"/>
      <c r="G772"/>
    </row>
    <row r="773" spans="1:7" ht="15" customHeight="1" x14ac:dyDescent="0.2">
      <c r="A773"/>
      <c r="B773"/>
      <c r="C773"/>
      <c r="D773"/>
      <c r="E773"/>
      <c r="F773"/>
      <c r="G773"/>
    </row>
    <row r="774" spans="1:7" ht="15" customHeight="1" x14ac:dyDescent="0.2">
      <c r="A774"/>
      <c r="B774"/>
      <c r="C774"/>
      <c r="D774"/>
      <c r="E774"/>
      <c r="F774"/>
      <c r="G774"/>
    </row>
    <row r="775" spans="1:7" ht="15" customHeight="1" x14ac:dyDescent="0.2">
      <c r="A775"/>
      <c r="B775"/>
      <c r="C775"/>
      <c r="D775"/>
      <c r="E775"/>
      <c r="F775"/>
      <c r="G775"/>
    </row>
    <row r="776" spans="1:7" ht="15" customHeight="1" x14ac:dyDescent="0.2">
      <c r="A776"/>
      <c r="B776"/>
      <c r="C776"/>
      <c r="D776"/>
      <c r="E776"/>
      <c r="F776"/>
      <c r="G776"/>
    </row>
    <row r="777" spans="1:7" ht="15" customHeight="1" x14ac:dyDescent="0.2">
      <c r="A777"/>
      <c r="B777"/>
      <c r="C777"/>
      <c r="D777"/>
      <c r="E777"/>
      <c r="F777"/>
      <c r="G777"/>
    </row>
    <row r="778" spans="1:7" ht="15" customHeight="1" x14ac:dyDescent="0.2">
      <c r="A778"/>
      <c r="B778"/>
      <c r="C778"/>
      <c r="D778"/>
      <c r="E778"/>
      <c r="F778"/>
      <c r="G778"/>
    </row>
    <row r="779" spans="1:7" ht="15" customHeight="1" x14ac:dyDescent="0.2">
      <c r="A779"/>
      <c r="B779"/>
      <c r="C779"/>
      <c r="D779"/>
      <c r="E779"/>
      <c r="F779"/>
      <c r="G779"/>
    </row>
    <row r="780" spans="1:7" ht="15" customHeight="1" x14ac:dyDescent="0.2">
      <c r="A780"/>
      <c r="B780"/>
      <c r="C780"/>
      <c r="D780"/>
      <c r="E780"/>
      <c r="F780"/>
      <c r="G780"/>
    </row>
    <row r="781" spans="1:7" ht="15" customHeight="1" x14ac:dyDescent="0.2">
      <c r="A781"/>
      <c r="B781"/>
      <c r="C781"/>
      <c r="D781"/>
      <c r="E781"/>
      <c r="F781"/>
      <c r="G781"/>
    </row>
    <row r="782" spans="1:7" ht="15" customHeight="1" x14ac:dyDescent="0.2">
      <c r="A782"/>
      <c r="B782"/>
      <c r="C782"/>
      <c r="D782"/>
      <c r="E782"/>
      <c r="F782"/>
      <c r="G782"/>
    </row>
    <row r="783" spans="1:7" ht="15" customHeight="1" x14ac:dyDescent="0.2">
      <c r="A783"/>
      <c r="B783"/>
      <c r="C783"/>
      <c r="D783"/>
      <c r="E783"/>
      <c r="F783"/>
      <c r="G783"/>
    </row>
    <row r="784" spans="1:7" ht="15" customHeight="1" x14ac:dyDescent="0.2">
      <c r="A784"/>
      <c r="B784"/>
      <c r="C784"/>
      <c r="D784"/>
      <c r="E784"/>
      <c r="F784"/>
      <c r="G784"/>
    </row>
    <row r="785" spans="1:7" ht="15" customHeight="1" x14ac:dyDescent="0.2">
      <c r="A785"/>
      <c r="B785"/>
      <c r="C785"/>
      <c r="D785"/>
      <c r="E785"/>
      <c r="F785"/>
      <c r="G785"/>
    </row>
    <row r="786" spans="1:7" ht="15" customHeight="1" x14ac:dyDescent="0.2">
      <c r="A786"/>
      <c r="B786"/>
      <c r="C786"/>
      <c r="D786"/>
      <c r="E786"/>
      <c r="F786"/>
      <c r="G786"/>
    </row>
    <row r="787" spans="1:7" ht="15" customHeight="1" x14ac:dyDescent="0.2">
      <c r="A787"/>
      <c r="B787"/>
      <c r="C787"/>
      <c r="D787"/>
      <c r="E787"/>
      <c r="F787"/>
      <c r="G787"/>
    </row>
    <row r="788" spans="1:7" ht="15" customHeight="1" x14ac:dyDescent="0.2">
      <c r="A788"/>
      <c r="B788"/>
      <c r="C788"/>
      <c r="D788"/>
      <c r="E788"/>
      <c r="F788"/>
      <c r="G788"/>
    </row>
    <row r="789" spans="1:7" ht="15" customHeight="1" x14ac:dyDescent="0.2">
      <c r="A789"/>
      <c r="B789"/>
      <c r="C789"/>
      <c r="D789"/>
      <c r="E789"/>
      <c r="F789"/>
      <c r="G789"/>
    </row>
    <row r="790" spans="1:7" ht="15" customHeight="1" x14ac:dyDescent="0.2">
      <c r="A790"/>
      <c r="B790"/>
      <c r="C790"/>
      <c r="D790"/>
      <c r="E790"/>
      <c r="F790"/>
      <c r="G790"/>
    </row>
    <row r="791" spans="1:7" ht="15" customHeight="1" x14ac:dyDescent="0.2">
      <c r="A791"/>
      <c r="B791"/>
      <c r="C791"/>
      <c r="D791"/>
      <c r="E791"/>
      <c r="F791"/>
      <c r="G791"/>
    </row>
    <row r="792" spans="1:7" ht="15" customHeight="1" x14ac:dyDescent="0.2">
      <c r="A792"/>
      <c r="B792"/>
      <c r="C792"/>
      <c r="D792"/>
      <c r="E792"/>
      <c r="F792"/>
      <c r="G792"/>
    </row>
    <row r="793" spans="1:7" ht="15" customHeight="1" x14ac:dyDescent="0.2">
      <c r="A793"/>
      <c r="B793"/>
      <c r="C793"/>
      <c r="D793"/>
      <c r="E793"/>
      <c r="F793"/>
      <c r="G793"/>
    </row>
    <row r="794" spans="1:7" ht="15" customHeight="1" x14ac:dyDescent="0.2">
      <c r="A794"/>
      <c r="B794"/>
      <c r="C794"/>
      <c r="D794"/>
      <c r="E794"/>
      <c r="F794"/>
      <c r="G794"/>
    </row>
    <row r="795" spans="1:7" ht="15" customHeight="1" x14ac:dyDescent="0.2">
      <c r="A795"/>
      <c r="B795"/>
      <c r="C795"/>
      <c r="D795"/>
      <c r="E795"/>
      <c r="F795"/>
      <c r="G795"/>
    </row>
    <row r="796" spans="1:7" ht="15" customHeight="1" x14ac:dyDescent="0.2">
      <c r="A796"/>
      <c r="B796"/>
      <c r="C796"/>
      <c r="D796"/>
      <c r="E796"/>
      <c r="F796"/>
      <c r="G796"/>
    </row>
    <row r="797" spans="1:7" ht="15" customHeight="1" x14ac:dyDescent="0.2">
      <c r="A797"/>
      <c r="B797"/>
      <c r="C797"/>
      <c r="D797"/>
      <c r="E797"/>
      <c r="F797"/>
      <c r="G797"/>
    </row>
    <row r="798" spans="1:7" ht="15" customHeight="1" x14ac:dyDescent="0.2">
      <c r="A798"/>
      <c r="B798"/>
      <c r="C798"/>
      <c r="D798"/>
      <c r="E798"/>
      <c r="F798"/>
      <c r="G798"/>
    </row>
    <row r="799" spans="1:7" ht="15" customHeight="1" x14ac:dyDescent="0.2">
      <c r="A799"/>
      <c r="B799"/>
      <c r="C799"/>
      <c r="D799"/>
      <c r="E799"/>
      <c r="F799"/>
      <c r="G799"/>
    </row>
    <row r="800" spans="1:7" ht="15" customHeight="1" x14ac:dyDescent="0.2">
      <c r="A800"/>
      <c r="B800"/>
      <c r="C800"/>
      <c r="D800"/>
      <c r="E800"/>
      <c r="F800"/>
      <c r="G800"/>
    </row>
    <row r="801" spans="1:7" ht="15" customHeight="1" x14ac:dyDescent="0.2">
      <c r="A801"/>
      <c r="B801"/>
      <c r="C801"/>
      <c r="D801"/>
      <c r="E801"/>
      <c r="F801"/>
      <c r="G801"/>
    </row>
    <row r="802" spans="1:7" ht="15" customHeight="1" x14ac:dyDescent="0.2">
      <c r="A802"/>
      <c r="B802"/>
      <c r="C802"/>
      <c r="D802"/>
      <c r="E802"/>
      <c r="F802"/>
      <c r="G802"/>
    </row>
    <row r="803" spans="1:7" ht="15" customHeight="1" x14ac:dyDescent="0.2">
      <c r="A803"/>
      <c r="B803"/>
      <c r="C803"/>
      <c r="D803"/>
      <c r="E803"/>
      <c r="F803"/>
      <c r="G803"/>
    </row>
    <row r="804" spans="1:7" ht="15" customHeight="1" x14ac:dyDescent="0.2">
      <c r="A804"/>
      <c r="B804"/>
      <c r="C804"/>
      <c r="D804"/>
      <c r="E804"/>
      <c r="F804"/>
      <c r="G804"/>
    </row>
    <row r="805" spans="1:7" ht="15" customHeight="1" x14ac:dyDescent="0.2">
      <c r="A805"/>
      <c r="B805"/>
      <c r="C805"/>
      <c r="D805"/>
      <c r="E805"/>
      <c r="F805"/>
      <c r="G805"/>
    </row>
    <row r="806" spans="1:7" ht="15" customHeight="1" x14ac:dyDescent="0.2">
      <c r="A806"/>
      <c r="B806"/>
      <c r="C806"/>
      <c r="D806"/>
      <c r="E806"/>
      <c r="F806"/>
      <c r="G806"/>
    </row>
    <row r="807" spans="1:7" ht="15" customHeight="1" x14ac:dyDescent="0.2">
      <c r="A807"/>
      <c r="B807"/>
      <c r="C807"/>
      <c r="D807"/>
      <c r="E807"/>
      <c r="F807"/>
      <c r="G807"/>
    </row>
    <row r="808" spans="1:7" ht="15" customHeight="1" x14ac:dyDescent="0.2">
      <c r="A808"/>
      <c r="B808"/>
      <c r="C808"/>
      <c r="D808"/>
      <c r="E808"/>
      <c r="F808"/>
      <c r="G808"/>
    </row>
    <row r="809" spans="1:7" ht="15" customHeight="1" x14ac:dyDescent="0.2">
      <c r="A809"/>
      <c r="B809"/>
      <c r="C809"/>
      <c r="D809"/>
      <c r="E809"/>
      <c r="F809"/>
      <c r="G809"/>
    </row>
    <row r="810" spans="1:7" ht="15" customHeight="1" x14ac:dyDescent="0.2">
      <c r="A810"/>
      <c r="B810"/>
      <c r="C810"/>
      <c r="D810"/>
      <c r="E810"/>
      <c r="F810"/>
      <c r="G810"/>
    </row>
    <row r="811" spans="1:7" ht="15" customHeight="1" x14ac:dyDescent="0.2">
      <c r="A811"/>
      <c r="B811"/>
      <c r="C811"/>
      <c r="D811"/>
      <c r="E811"/>
      <c r="F811"/>
      <c r="G811"/>
    </row>
    <row r="812" spans="1:7" ht="15" customHeight="1" x14ac:dyDescent="0.2">
      <c r="A812"/>
      <c r="B812"/>
      <c r="C812"/>
      <c r="D812"/>
      <c r="E812"/>
      <c r="F812"/>
      <c r="G812"/>
    </row>
    <row r="813" spans="1:7" ht="15" customHeight="1" x14ac:dyDescent="0.2">
      <c r="A813"/>
      <c r="B813"/>
      <c r="C813"/>
      <c r="D813"/>
      <c r="E813"/>
      <c r="F813"/>
      <c r="G813"/>
    </row>
    <row r="814" spans="1:7" ht="15" customHeight="1" x14ac:dyDescent="0.2">
      <c r="A814"/>
      <c r="B814"/>
      <c r="C814"/>
      <c r="D814"/>
      <c r="E814"/>
      <c r="F814"/>
      <c r="G814"/>
    </row>
    <row r="815" spans="1:7" ht="15" customHeight="1" x14ac:dyDescent="0.2">
      <c r="A815"/>
      <c r="B815"/>
      <c r="C815"/>
      <c r="D815"/>
      <c r="E815"/>
      <c r="F815"/>
      <c r="G815"/>
    </row>
    <row r="816" spans="1:7" ht="15" customHeight="1" x14ac:dyDescent="0.2">
      <c r="A816"/>
      <c r="B816"/>
      <c r="C816"/>
      <c r="D816"/>
      <c r="E816"/>
      <c r="F816"/>
      <c r="G816"/>
    </row>
    <row r="817" spans="1:7" ht="15" customHeight="1" x14ac:dyDescent="0.2">
      <c r="A817"/>
      <c r="B817"/>
      <c r="C817"/>
      <c r="D817"/>
      <c r="E817"/>
      <c r="F817"/>
      <c r="G817"/>
    </row>
    <row r="818" spans="1:7" ht="15" customHeight="1" x14ac:dyDescent="0.2">
      <c r="A818"/>
      <c r="B818"/>
      <c r="C818"/>
      <c r="D818"/>
      <c r="E818"/>
      <c r="F818"/>
      <c r="G818"/>
    </row>
    <row r="819" spans="1:7" ht="15" customHeight="1" x14ac:dyDescent="0.2">
      <c r="A819"/>
      <c r="B819"/>
      <c r="C819"/>
      <c r="D819"/>
      <c r="E819"/>
      <c r="F819"/>
      <c r="G819"/>
    </row>
    <row r="820" spans="1:7" ht="15" customHeight="1" x14ac:dyDescent="0.2">
      <c r="A820"/>
      <c r="B820"/>
      <c r="C820"/>
      <c r="D820"/>
      <c r="E820"/>
      <c r="F820"/>
      <c r="G820"/>
    </row>
    <row r="821" spans="1:7" ht="15" customHeight="1" x14ac:dyDescent="0.2">
      <c r="A821"/>
      <c r="B821"/>
      <c r="C821"/>
      <c r="D821"/>
      <c r="E821"/>
      <c r="F821"/>
      <c r="G821"/>
    </row>
    <row r="822" spans="1:7" ht="15" customHeight="1" x14ac:dyDescent="0.2">
      <c r="A822"/>
      <c r="B822"/>
      <c r="C822"/>
      <c r="D822"/>
      <c r="E822"/>
      <c r="F822"/>
      <c r="G822"/>
    </row>
    <row r="823" spans="1:7" ht="15" customHeight="1" x14ac:dyDescent="0.2">
      <c r="A823"/>
      <c r="B823"/>
      <c r="C823"/>
      <c r="D823"/>
      <c r="E823"/>
      <c r="F823"/>
      <c r="G823"/>
    </row>
    <row r="824" spans="1:7" ht="15" customHeight="1" x14ac:dyDescent="0.2">
      <c r="A824"/>
      <c r="B824"/>
      <c r="C824"/>
      <c r="D824"/>
      <c r="E824"/>
      <c r="F824"/>
      <c r="G824"/>
    </row>
    <row r="825" spans="1:7" ht="15" customHeight="1" x14ac:dyDescent="0.2">
      <c r="A825"/>
      <c r="B825"/>
      <c r="C825"/>
      <c r="D825"/>
      <c r="E825"/>
      <c r="F825"/>
      <c r="G825"/>
    </row>
    <row r="826" spans="1:7" ht="15" customHeight="1" x14ac:dyDescent="0.2">
      <c r="A826"/>
      <c r="B826"/>
      <c r="C826"/>
      <c r="D826"/>
      <c r="E826"/>
      <c r="F826"/>
      <c r="G826"/>
    </row>
    <row r="827" spans="1:7" ht="15" customHeight="1" x14ac:dyDescent="0.2">
      <c r="A827"/>
      <c r="B827"/>
      <c r="C827"/>
      <c r="D827"/>
      <c r="E827"/>
      <c r="F827"/>
      <c r="G827"/>
    </row>
    <row r="828" spans="1:7" ht="15" customHeight="1" x14ac:dyDescent="0.2">
      <c r="A828"/>
      <c r="B828"/>
      <c r="C828"/>
      <c r="D828"/>
      <c r="E828"/>
      <c r="F828"/>
      <c r="G828"/>
    </row>
    <row r="829" spans="1:7" ht="15" customHeight="1" x14ac:dyDescent="0.2">
      <c r="A829"/>
      <c r="B829"/>
      <c r="C829"/>
      <c r="D829"/>
      <c r="E829"/>
      <c r="F829"/>
      <c r="G829"/>
    </row>
    <row r="830" spans="1:7" ht="15" customHeight="1" x14ac:dyDescent="0.2">
      <c r="A830"/>
      <c r="B830"/>
      <c r="C830"/>
      <c r="D830"/>
      <c r="E830"/>
      <c r="F830"/>
      <c r="G830"/>
    </row>
    <row r="831" spans="1:7" ht="15" customHeight="1" x14ac:dyDescent="0.2">
      <c r="A831"/>
      <c r="B831"/>
      <c r="C831"/>
      <c r="D831"/>
      <c r="E831"/>
      <c r="F831"/>
      <c r="G831"/>
    </row>
    <row r="832" spans="1:7" ht="15" customHeight="1" x14ac:dyDescent="0.2">
      <c r="A832"/>
      <c r="B832"/>
      <c r="C832"/>
      <c r="D832"/>
      <c r="E832"/>
      <c r="F832"/>
      <c r="G832"/>
    </row>
    <row r="833" spans="1:7" ht="15" customHeight="1" x14ac:dyDescent="0.2">
      <c r="A833"/>
      <c r="B833"/>
      <c r="C833"/>
      <c r="D833"/>
      <c r="E833"/>
      <c r="F833"/>
      <c r="G833"/>
    </row>
    <row r="834" spans="1:7" ht="15" customHeight="1" x14ac:dyDescent="0.2">
      <c r="A834"/>
      <c r="B834"/>
      <c r="C834"/>
      <c r="D834"/>
      <c r="E834"/>
      <c r="F834"/>
      <c r="G834"/>
    </row>
    <row r="835" spans="1:7" ht="15" customHeight="1" x14ac:dyDescent="0.2">
      <c r="A835"/>
      <c r="B835"/>
      <c r="C835"/>
      <c r="D835"/>
      <c r="E835"/>
      <c r="F835"/>
      <c r="G835"/>
    </row>
    <row r="836" spans="1:7" ht="15" customHeight="1" x14ac:dyDescent="0.2">
      <c r="A836"/>
      <c r="B836"/>
      <c r="C836"/>
      <c r="D836"/>
      <c r="E836"/>
      <c r="F836"/>
      <c r="G836"/>
    </row>
    <row r="837" spans="1:7" ht="15" customHeight="1" x14ac:dyDescent="0.2">
      <c r="A837"/>
      <c r="B837"/>
      <c r="C837"/>
      <c r="D837"/>
      <c r="E837"/>
      <c r="F837"/>
      <c r="G837"/>
    </row>
    <row r="838" spans="1:7" ht="15" customHeight="1" x14ac:dyDescent="0.2">
      <c r="A838"/>
      <c r="B838"/>
      <c r="C838"/>
      <c r="D838"/>
      <c r="E838"/>
      <c r="F838"/>
      <c r="G838"/>
    </row>
    <row r="839" spans="1:7" ht="15" customHeight="1" x14ac:dyDescent="0.2">
      <c r="A839"/>
      <c r="B839"/>
      <c r="C839"/>
      <c r="D839"/>
      <c r="E839"/>
      <c r="F839"/>
      <c r="G839"/>
    </row>
    <row r="840" spans="1:7" ht="15" customHeight="1" x14ac:dyDescent="0.2">
      <c r="A840"/>
      <c r="B840"/>
      <c r="C840"/>
      <c r="D840"/>
      <c r="E840"/>
      <c r="F840"/>
      <c r="G840"/>
    </row>
    <row r="841" spans="1:7" ht="15" customHeight="1" x14ac:dyDescent="0.2">
      <c r="A841"/>
      <c r="B841"/>
      <c r="C841"/>
      <c r="D841"/>
      <c r="E841"/>
      <c r="F841"/>
      <c r="G841"/>
    </row>
    <row r="842" spans="1:7" ht="15" customHeight="1" x14ac:dyDescent="0.2">
      <c r="A842"/>
      <c r="B842"/>
      <c r="C842"/>
      <c r="D842"/>
      <c r="E842"/>
      <c r="F842"/>
      <c r="G842"/>
    </row>
    <row r="843" spans="1:7" ht="15" customHeight="1" x14ac:dyDescent="0.2">
      <c r="A843"/>
      <c r="B843"/>
      <c r="C843"/>
      <c r="D843"/>
      <c r="E843"/>
      <c r="F843"/>
      <c r="G843"/>
    </row>
    <row r="844" spans="1:7" ht="15" customHeight="1" x14ac:dyDescent="0.2">
      <c r="A844"/>
      <c r="B844"/>
      <c r="C844"/>
      <c r="D844"/>
      <c r="E844"/>
      <c r="F844"/>
      <c r="G844"/>
    </row>
    <row r="845" spans="1:7" ht="15" customHeight="1" x14ac:dyDescent="0.2">
      <c r="A845"/>
      <c r="B845"/>
      <c r="C845"/>
      <c r="D845"/>
      <c r="E845"/>
      <c r="F845"/>
      <c r="G845"/>
    </row>
    <row r="846" spans="1:7" ht="15" customHeight="1" x14ac:dyDescent="0.2">
      <c r="A846"/>
      <c r="B846"/>
      <c r="C846"/>
      <c r="D846"/>
      <c r="E846"/>
      <c r="F846"/>
      <c r="G846"/>
    </row>
    <row r="847" spans="1:7" ht="15" customHeight="1" x14ac:dyDescent="0.2">
      <c r="A847"/>
      <c r="B847"/>
      <c r="C847"/>
      <c r="D847"/>
      <c r="E847"/>
      <c r="F847"/>
      <c r="G847"/>
    </row>
    <row r="848" spans="1:7" ht="15" customHeight="1" x14ac:dyDescent="0.2">
      <c r="A848"/>
      <c r="B848"/>
      <c r="C848"/>
      <c r="D848"/>
      <c r="E848"/>
      <c r="F848"/>
      <c r="G848"/>
    </row>
    <row r="849" spans="1:7" ht="15" customHeight="1" x14ac:dyDescent="0.2">
      <c r="A849"/>
      <c r="B849"/>
      <c r="C849"/>
      <c r="D849"/>
      <c r="E849"/>
      <c r="F849"/>
      <c r="G849"/>
    </row>
    <row r="850" spans="1:7" ht="15" customHeight="1" x14ac:dyDescent="0.2">
      <c r="A850"/>
      <c r="B850"/>
      <c r="C850"/>
      <c r="D850"/>
      <c r="E850"/>
      <c r="F850"/>
      <c r="G850"/>
    </row>
    <row r="851" spans="1:7" ht="15" customHeight="1" x14ac:dyDescent="0.2">
      <c r="A851"/>
      <c r="B851"/>
      <c r="C851"/>
      <c r="D851"/>
      <c r="E851"/>
      <c r="F851"/>
      <c r="G851"/>
    </row>
    <row r="852" spans="1:7" ht="15" customHeight="1" x14ac:dyDescent="0.2">
      <c r="A852"/>
      <c r="B852"/>
      <c r="C852"/>
      <c r="D852"/>
      <c r="E852"/>
      <c r="F852"/>
      <c r="G852"/>
    </row>
    <row r="853" spans="1:7" ht="15" customHeight="1" x14ac:dyDescent="0.2">
      <c r="A853"/>
      <c r="B853"/>
      <c r="C853"/>
      <c r="D853"/>
      <c r="E853"/>
      <c r="F853"/>
      <c r="G853"/>
    </row>
    <row r="854" spans="1:7" ht="15" customHeight="1" x14ac:dyDescent="0.2">
      <c r="A854"/>
      <c r="B854"/>
      <c r="C854"/>
      <c r="D854"/>
      <c r="E854"/>
      <c r="F854"/>
      <c r="G854"/>
    </row>
    <row r="855" spans="1:7" ht="15" customHeight="1" x14ac:dyDescent="0.2">
      <c r="A855"/>
      <c r="B855"/>
      <c r="C855"/>
      <c r="D855"/>
      <c r="E855"/>
      <c r="F855"/>
      <c r="G855"/>
    </row>
    <row r="856" spans="1:7" ht="15" customHeight="1" x14ac:dyDescent="0.2">
      <c r="A856"/>
      <c r="B856"/>
      <c r="C856"/>
      <c r="D856"/>
      <c r="E856"/>
      <c r="F856"/>
      <c r="G856"/>
    </row>
    <row r="857" spans="1:7" ht="15" customHeight="1" x14ac:dyDescent="0.2">
      <c r="A857"/>
      <c r="B857"/>
      <c r="C857"/>
      <c r="D857"/>
      <c r="E857"/>
      <c r="F857"/>
      <c r="G857"/>
    </row>
    <row r="858" spans="1:7" ht="15" customHeight="1" x14ac:dyDescent="0.2">
      <c r="A858"/>
      <c r="B858"/>
      <c r="C858"/>
      <c r="D858"/>
      <c r="E858"/>
      <c r="F858"/>
      <c r="G858"/>
    </row>
    <row r="859" spans="1:7" ht="15" customHeight="1" x14ac:dyDescent="0.2">
      <c r="A859"/>
      <c r="B859"/>
      <c r="C859"/>
      <c r="D859"/>
      <c r="E859"/>
      <c r="F859"/>
      <c r="G859"/>
    </row>
    <row r="860" spans="1:7" ht="15" customHeight="1" x14ac:dyDescent="0.2">
      <c r="A860"/>
      <c r="B860"/>
      <c r="C860"/>
      <c r="D860"/>
      <c r="E860"/>
      <c r="F860"/>
      <c r="G860"/>
    </row>
    <row r="861" spans="1:7" ht="15" customHeight="1" x14ac:dyDescent="0.2">
      <c r="A861"/>
      <c r="B861"/>
      <c r="C861"/>
      <c r="D861"/>
      <c r="E861"/>
      <c r="F861"/>
      <c r="G861"/>
    </row>
    <row r="862" spans="1:7" ht="15" customHeight="1" x14ac:dyDescent="0.2">
      <c r="A862"/>
      <c r="B862"/>
      <c r="C862"/>
      <c r="D862"/>
      <c r="E862"/>
      <c r="F862"/>
      <c r="G862"/>
    </row>
    <row r="863" spans="1:7" ht="15" customHeight="1" x14ac:dyDescent="0.2">
      <c r="A863"/>
      <c r="B863"/>
      <c r="C863"/>
      <c r="D863"/>
      <c r="E863"/>
      <c r="F863"/>
      <c r="G863"/>
    </row>
    <row r="864" spans="1:7" ht="15" customHeight="1" x14ac:dyDescent="0.2">
      <c r="A864"/>
      <c r="B864"/>
      <c r="C864"/>
      <c r="D864"/>
      <c r="E864"/>
      <c r="F864"/>
      <c r="G864"/>
    </row>
    <row r="865" spans="1:7" ht="15" customHeight="1" x14ac:dyDescent="0.2">
      <c r="A865"/>
      <c r="B865"/>
      <c r="C865"/>
      <c r="D865"/>
      <c r="E865"/>
      <c r="F865"/>
      <c r="G865"/>
    </row>
    <row r="866" spans="1:7" ht="15" customHeight="1" x14ac:dyDescent="0.2">
      <c r="A866"/>
      <c r="B866"/>
      <c r="C866"/>
      <c r="D866"/>
      <c r="E866"/>
      <c r="F866"/>
      <c r="G866"/>
    </row>
    <row r="867" spans="1:7" ht="15" customHeight="1" x14ac:dyDescent="0.2">
      <c r="A867"/>
      <c r="B867"/>
      <c r="C867"/>
      <c r="D867"/>
      <c r="E867"/>
      <c r="F867"/>
      <c r="G867"/>
    </row>
    <row r="868" spans="1:7" ht="15" customHeight="1" x14ac:dyDescent="0.2">
      <c r="A868"/>
      <c r="B868"/>
      <c r="C868"/>
      <c r="D868"/>
      <c r="E868"/>
      <c r="F868"/>
      <c r="G868"/>
    </row>
    <row r="869" spans="1:7" ht="15" customHeight="1" x14ac:dyDescent="0.2">
      <c r="A869"/>
      <c r="B869"/>
      <c r="C869"/>
      <c r="D869"/>
      <c r="E869"/>
      <c r="F869"/>
      <c r="G869"/>
    </row>
    <row r="870" spans="1:7" ht="15" customHeight="1" x14ac:dyDescent="0.2">
      <c r="A870"/>
      <c r="B870"/>
      <c r="C870"/>
      <c r="D870"/>
      <c r="E870"/>
      <c r="F870"/>
      <c r="G870"/>
    </row>
    <row r="871" spans="1:7" ht="15" customHeight="1" x14ac:dyDescent="0.2">
      <c r="A871"/>
      <c r="B871"/>
      <c r="C871"/>
      <c r="D871"/>
      <c r="E871"/>
      <c r="F871"/>
      <c r="G871"/>
    </row>
    <row r="872" spans="1:7" ht="15" customHeight="1" x14ac:dyDescent="0.2">
      <c r="A872"/>
      <c r="B872"/>
      <c r="C872"/>
      <c r="D872"/>
      <c r="E872"/>
      <c r="F872"/>
      <c r="G872"/>
    </row>
    <row r="873" spans="1:7" ht="15" customHeight="1" x14ac:dyDescent="0.2">
      <c r="A873"/>
      <c r="B873"/>
      <c r="C873"/>
      <c r="D873"/>
      <c r="E873"/>
      <c r="F873"/>
      <c r="G873"/>
    </row>
    <row r="874" spans="1:7" ht="15" customHeight="1" x14ac:dyDescent="0.2">
      <c r="A874"/>
      <c r="B874"/>
      <c r="C874"/>
      <c r="D874"/>
      <c r="E874"/>
      <c r="F874"/>
      <c r="G874"/>
    </row>
    <row r="875" spans="1:7" ht="15" customHeight="1" x14ac:dyDescent="0.2">
      <c r="A875"/>
      <c r="B875"/>
      <c r="C875"/>
      <c r="D875"/>
      <c r="E875"/>
      <c r="F875"/>
      <c r="G875"/>
    </row>
    <row r="876" spans="1:7" ht="15" customHeight="1" x14ac:dyDescent="0.2">
      <c r="A876"/>
      <c r="B876"/>
      <c r="C876"/>
      <c r="D876"/>
      <c r="E876"/>
      <c r="F876"/>
      <c r="G876"/>
    </row>
    <row r="877" spans="1:7" ht="15" customHeight="1" x14ac:dyDescent="0.2">
      <c r="A877"/>
      <c r="B877"/>
      <c r="C877"/>
      <c r="D877"/>
      <c r="E877"/>
      <c r="F877"/>
      <c r="G877"/>
    </row>
    <row r="878" spans="1:7" ht="15" customHeight="1" x14ac:dyDescent="0.2">
      <c r="A878"/>
      <c r="B878"/>
      <c r="C878"/>
      <c r="D878"/>
      <c r="E878"/>
      <c r="F878"/>
      <c r="G878"/>
    </row>
    <row r="879" spans="1:7" ht="15" customHeight="1" x14ac:dyDescent="0.2">
      <c r="A879"/>
      <c r="B879"/>
      <c r="C879"/>
      <c r="D879"/>
      <c r="E879"/>
      <c r="F879"/>
      <c r="G879"/>
    </row>
    <row r="880" spans="1:7" ht="15" customHeight="1" x14ac:dyDescent="0.2">
      <c r="A880"/>
      <c r="B880"/>
      <c r="C880"/>
      <c r="D880"/>
      <c r="E880"/>
      <c r="F880"/>
      <c r="G880"/>
    </row>
    <row r="881" spans="1:7" ht="15" customHeight="1" x14ac:dyDescent="0.2">
      <c r="A881"/>
      <c r="B881"/>
      <c r="C881"/>
      <c r="D881"/>
      <c r="E881"/>
      <c r="F881"/>
      <c r="G881"/>
    </row>
    <row r="882" spans="1:7" ht="15" customHeight="1" x14ac:dyDescent="0.2">
      <c r="A882"/>
      <c r="B882"/>
      <c r="C882"/>
      <c r="D882"/>
      <c r="E882"/>
      <c r="F882"/>
      <c r="G882"/>
    </row>
    <row r="883" spans="1:7" ht="15" customHeight="1" x14ac:dyDescent="0.2">
      <c r="A883"/>
      <c r="B883"/>
      <c r="C883"/>
      <c r="D883"/>
      <c r="E883"/>
      <c r="F883"/>
      <c r="G883"/>
    </row>
    <row r="884" spans="1:7" ht="15" customHeight="1" x14ac:dyDescent="0.2">
      <c r="A884"/>
      <c r="B884"/>
      <c r="C884"/>
      <c r="D884"/>
      <c r="E884"/>
      <c r="F884"/>
      <c r="G884"/>
    </row>
    <row r="885" spans="1:7" ht="15" customHeight="1" x14ac:dyDescent="0.2">
      <c r="A885"/>
      <c r="B885"/>
      <c r="C885"/>
      <c r="D885"/>
      <c r="E885"/>
      <c r="F885"/>
      <c r="G885"/>
    </row>
    <row r="886" spans="1:7" ht="15" customHeight="1" x14ac:dyDescent="0.2">
      <c r="A886"/>
      <c r="B886"/>
      <c r="C886"/>
      <c r="D886"/>
      <c r="E886"/>
      <c r="F886"/>
      <c r="G886"/>
    </row>
    <row r="887" spans="1:7" ht="15" customHeight="1" x14ac:dyDescent="0.2">
      <c r="A887"/>
      <c r="B887"/>
      <c r="C887"/>
      <c r="D887"/>
      <c r="E887"/>
      <c r="F887"/>
      <c r="G887"/>
    </row>
    <row r="888" spans="1:7" ht="15" customHeight="1" x14ac:dyDescent="0.2">
      <c r="A888"/>
      <c r="B888"/>
      <c r="C888"/>
      <c r="D888"/>
      <c r="E888"/>
      <c r="F888"/>
      <c r="G888"/>
    </row>
    <row r="889" spans="1:7" ht="15" customHeight="1" x14ac:dyDescent="0.2">
      <c r="A889"/>
      <c r="B889"/>
      <c r="C889"/>
      <c r="D889"/>
      <c r="E889"/>
      <c r="F889"/>
      <c r="G889"/>
    </row>
    <row r="890" spans="1:7" ht="15" customHeight="1" x14ac:dyDescent="0.2">
      <c r="A890"/>
      <c r="B890"/>
      <c r="C890"/>
      <c r="D890"/>
      <c r="E890"/>
      <c r="F890"/>
      <c r="G890"/>
    </row>
    <row r="891" spans="1:7" ht="15" customHeight="1" x14ac:dyDescent="0.2">
      <c r="A891"/>
      <c r="B891"/>
      <c r="C891"/>
      <c r="D891"/>
      <c r="E891"/>
      <c r="F891"/>
      <c r="G891"/>
    </row>
    <row r="892" spans="1:7" ht="15" customHeight="1" x14ac:dyDescent="0.2">
      <c r="A892"/>
      <c r="B892"/>
      <c r="C892"/>
      <c r="D892"/>
      <c r="E892"/>
      <c r="F892"/>
      <c r="G892"/>
    </row>
    <row r="893" spans="1:7" ht="15" customHeight="1" x14ac:dyDescent="0.2">
      <c r="A893"/>
      <c r="B893"/>
      <c r="C893"/>
      <c r="D893"/>
      <c r="E893"/>
      <c r="F893"/>
      <c r="G893"/>
    </row>
    <row r="894" spans="1:7" ht="15" customHeight="1" x14ac:dyDescent="0.2">
      <c r="A894"/>
      <c r="B894"/>
      <c r="C894"/>
      <c r="D894"/>
      <c r="E894"/>
      <c r="F894"/>
      <c r="G894"/>
    </row>
    <row r="895" spans="1:7" ht="15" customHeight="1" x14ac:dyDescent="0.2">
      <c r="A895"/>
      <c r="B895"/>
      <c r="C895"/>
      <c r="D895"/>
      <c r="E895"/>
      <c r="F895"/>
      <c r="G895"/>
    </row>
    <row r="896" spans="1:7" ht="15" customHeight="1" x14ac:dyDescent="0.2">
      <c r="A896"/>
      <c r="B896"/>
      <c r="C896"/>
      <c r="D896"/>
      <c r="E896"/>
      <c r="F896"/>
      <c r="G896"/>
    </row>
    <row r="897" spans="1:7" ht="15" customHeight="1" x14ac:dyDescent="0.2">
      <c r="A897"/>
      <c r="B897"/>
      <c r="C897"/>
      <c r="D897"/>
      <c r="E897"/>
      <c r="F897"/>
      <c r="G897"/>
    </row>
    <row r="898" spans="1:7" ht="15" customHeight="1" x14ac:dyDescent="0.2">
      <c r="A898"/>
      <c r="B898"/>
      <c r="C898"/>
      <c r="D898"/>
      <c r="E898"/>
      <c r="F898"/>
      <c r="G898"/>
    </row>
    <row r="899" spans="1:7" ht="15" customHeight="1" x14ac:dyDescent="0.2">
      <c r="A899"/>
      <c r="B899"/>
      <c r="C899"/>
      <c r="D899"/>
      <c r="E899"/>
      <c r="F899"/>
      <c r="G899"/>
    </row>
    <row r="900" spans="1:7" ht="15" customHeight="1" x14ac:dyDescent="0.2">
      <c r="A900"/>
      <c r="B900"/>
      <c r="C900"/>
      <c r="D900"/>
      <c r="E900"/>
      <c r="F900"/>
      <c r="G900"/>
    </row>
    <row r="901" spans="1:7" ht="15" customHeight="1" x14ac:dyDescent="0.2">
      <c r="A901"/>
      <c r="B901"/>
      <c r="C901"/>
      <c r="D901"/>
      <c r="E901"/>
      <c r="F901"/>
      <c r="G901"/>
    </row>
    <row r="902" spans="1:7" ht="15" customHeight="1" x14ac:dyDescent="0.2">
      <c r="A902"/>
      <c r="B902"/>
      <c r="C902"/>
      <c r="D902"/>
      <c r="E902"/>
      <c r="F902"/>
      <c r="G902"/>
    </row>
    <row r="903" spans="1:7" ht="15" customHeight="1" x14ac:dyDescent="0.2">
      <c r="A903"/>
      <c r="B903"/>
      <c r="C903"/>
      <c r="D903"/>
      <c r="E903"/>
      <c r="F903"/>
      <c r="G903"/>
    </row>
    <row r="904" spans="1:7" ht="15" customHeight="1" x14ac:dyDescent="0.2">
      <c r="A904"/>
      <c r="B904"/>
      <c r="C904"/>
      <c r="D904"/>
      <c r="E904"/>
      <c r="F904"/>
      <c r="G904"/>
    </row>
    <row r="905" spans="1:7" ht="15" customHeight="1" x14ac:dyDescent="0.2">
      <c r="A905"/>
      <c r="B905"/>
      <c r="C905"/>
      <c r="D905"/>
      <c r="E905"/>
      <c r="F905"/>
      <c r="G905"/>
    </row>
    <row r="906" spans="1:7" ht="15" customHeight="1" x14ac:dyDescent="0.2">
      <c r="A906"/>
      <c r="B906"/>
      <c r="C906"/>
      <c r="D906"/>
      <c r="E906"/>
      <c r="F906"/>
      <c r="G906"/>
    </row>
    <row r="907" spans="1:7" ht="15" customHeight="1" x14ac:dyDescent="0.2">
      <c r="A907"/>
      <c r="B907"/>
      <c r="C907"/>
      <c r="D907"/>
      <c r="E907"/>
      <c r="F907"/>
      <c r="G907"/>
    </row>
    <row r="908" spans="1:7" ht="15" customHeight="1" x14ac:dyDescent="0.2">
      <c r="A908"/>
      <c r="B908"/>
      <c r="C908"/>
      <c r="D908"/>
      <c r="E908"/>
      <c r="F908"/>
      <c r="G908"/>
    </row>
    <row r="909" spans="1:7" ht="15" customHeight="1" x14ac:dyDescent="0.2">
      <c r="A909"/>
      <c r="B909"/>
      <c r="C909"/>
      <c r="D909"/>
      <c r="E909"/>
      <c r="F909"/>
      <c r="G909"/>
    </row>
    <row r="910" spans="1:7" ht="15" customHeight="1" x14ac:dyDescent="0.2">
      <c r="A910"/>
      <c r="B910"/>
      <c r="C910"/>
      <c r="D910"/>
      <c r="E910"/>
      <c r="F910"/>
      <c r="G910"/>
    </row>
    <row r="911" spans="1:7" ht="15" customHeight="1" x14ac:dyDescent="0.2">
      <c r="A911"/>
      <c r="B911"/>
      <c r="C911"/>
      <c r="D911"/>
      <c r="E911"/>
      <c r="F911"/>
      <c r="G911"/>
    </row>
    <row r="912" spans="1:7" ht="15" customHeight="1" x14ac:dyDescent="0.2">
      <c r="A912"/>
      <c r="B912"/>
      <c r="C912"/>
      <c r="D912"/>
      <c r="E912"/>
      <c r="F912"/>
      <c r="G912"/>
    </row>
    <row r="913" spans="1:7" ht="15" customHeight="1" x14ac:dyDescent="0.2">
      <c r="A913"/>
      <c r="B913"/>
      <c r="C913"/>
      <c r="D913"/>
      <c r="E913"/>
      <c r="F913"/>
      <c r="G913"/>
    </row>
    <row r="914" spans="1:7" ht="15" customHeight="1" x14ac:dyDescent="0.2">
      <c r="A914"/>
      <c r="B914"/>
      <c r="C914"/>
      <c r="D914"/>
      <c r="E914"/>
      <c r="F914"/>
      <c r="G914"/>
    </row>
    <row r="915" spans="1:7" ht="15" customHeight="1" x14ac:dyDescent="0.2">
      <c r="A915"/>
      <c r="B915"/>
      <c r="C915"/>
      <c r="D915"/>
      <c r="E915"/>
      <c r="F915"/>
      <c r="G915"/>
    </row>
    <row r="916" spans="1:7" ht="15" customHeight="1" x14ac:dyDescent="0.2">
      <c r="A916"/>
      <c r="B916"/>
      <c r="C916"/>
      <c r="D916"/>
      <c r="E916"/>
      <c r="F916"/>
      <c r="G916"/>
    </row>
    <row r="917" spans="1:7" ht="15" customHeight="1" x14ac:dyDescent="0.2">
      <c r="A917"/>
      <c r="B917"/>
      <c r="C917"/>
      <c r="D917"/>
      <c r="E917"/>
      <c r="F917"/>
      <c r="G917"/>
    </row>
    <row r="918" spans="1:7" ht="15" customHeight="1" x14ac:dyDescent="0.2">
      <c r="A918"/>
      <c r="B918"/>
      <c r="C918"/>
      <c r="D918"/>
      <c r="E918"/>
      <c r="F918"/>
      <c r="G918"/>
    </row>
    <row r="919" spans="1:7" ht="15" customHeight="1" x14ac:dyDescent="0.2">
      <c r="A919"/>
      <c r="B919"/>
      <c r="C919"/>
      <c r="D919"/>
      <c r="E919"/>
      <c r="F919"/>
      <c r="G919"/>
    </row>
    <row r="920" spans="1:7" ht="15" customHeight="1" x14ac:dyDescent="0.2">
      <c r="A920"/>
      <c r="B920"/>
      <c r="C920"/>
      <c r="D920"/>
      <c r="E920"/>
      <c r="F920"/>
      <c r="G920"/>
    </row>
    <row r="921" spans="1:7" ht="15" customHeight="1" x14ac:dyDescent="0.2">
      <c r="A921"/>
      <c r="B921"/>
      <c r="C921"/>
      <c r="D921"/>
      <c r="E921"/>
      <c r="F921"/>
      <c r="G921"/>
    </row>
    <row r="922" spans="1:7" ht="15" customHeight="1" x14ac:dyDescent="0.2">
      <c r="A922"/>
      <c r="B922"/>
      <c r="C922"/>
      <c r="D922"/>
      <c r="E922"/>
      <c r="F922"/>
      <c r="G922"/>
    </row>
    <row r="923" spans="1:7" ht="15" customHeight="1" x14ac:dyDescent="0.2">
      <c r="A923"/>
      <c r="B923"/>
      <c r="C923"/>
      <c r="D923"/>
      <c r="E923"/>
      <c r="F923"/>
      <c r="G923"/>
    </row>
    <row r="924" spans="1:7" ht="15" customHeight="1" x14ac:dyDescent="0.2">
      <c r="A924"/>
      <c r="B924"/>
      <c r="C924"/>
      <c r="D924"/>
      <c r="E924"/>
      <c r="F924"/>
      <c r="G924"/>
    </row>
    <row r="925" spans="1:7" ht="15" customHeight="1" x14ac:dyDescent="0.2">
      <c r="A925"/>
      <c r="B925"/>
      <c r="C925"/>
      <c r="D925"/>
      <c r="E925"/>
      <c r="F925"/>
      <c r="G925"/>
    </row>
    <row r="926" spans="1:7" ht="15" customHeight="1" x14ac:dyDescent="0.2">
      <c r="A926"/>
      <c r="B926"/>
      <c r="C926"/>
      <c r="D926"/>
      <c r="E926"/>
      <c r="F926"/>
      <c r="G926"/>
    </row>
    <row r="927" spans="1:7" ht="15" customHeight="1" x14ac:dyDescent="0.2">
      <c r="A927"/>
      <c r="B927"/>
      <c r="C927"/>
      <c r="D927"/>
      <c r="E927"/>
      <c r="F927"/>
      <c r="G927"/>
    </row>
    <row r="928" spans="1:7" ht="15" customHeight="1" x14ac:dyDescent="0.2">
      <c r="A928"/>
      <c r="B928"/>
      <c r="C928"/>
      <c r="D928"/>
      <c r="E928"/>
      <c r="F928"/>
      <c r="G928"/>
    </row>
    <row r="929" spans="1:7" ht="15" customHeight="1" x14ac:dyDescent="0.2">
      <c r="A929"/>
      <c r="B929"/>
      <c r="C929"/>
      <c r="D929"/>
      <c r="E929"/>
      <c r="F929"/>
      <c r="G929"/>
    </row>
    <row r="930" spans="1:7" ht="15" customHeight="1" x14ac:dyDescent="0.2">
      <c r="A930"/>
      <c r="B930"/>
      <c r="C930"/>
      <c r="D930"/>
      <c r="E930"/>
      <c r="F930"/>
      <c r="G930"/>
    </row>
    <row r="931" spans="1:7" ht="15" customHeight="1" x14ac:dyDescent="0.2">
      <c r="A931"/>
      <c r="B931"/>
      <c r="C931"/>
      <c r="D931"/>
      <c r="E931"/>
      <c r="F931"/>
      <c r="G931"/>
    </row>
    <row r="932" spans="1:7" ht="15" customHeight="1" x14ac:dyDescent="0.2">
      <c r="A932"/>
      <c r="B932"/>
      <c r="C932"/>
      <c r="D932"/>
      <c r="E932"/>
      <c r="F932"/>
      <c r="G932"/>
    </row>
    <row r="933" spans="1:7" ht="15" customHeight="1" x14ac:dyDescent="0.2">
      <c r="A933"/>
      <c r="B933"/>
      <c r="C933"/>
      <c r="D933"/>
      <c r="E933"/>
      <c r="F933"/>
      <c r="G933"/>
    </row>
  </sheetData>
  <customSheetViews>
    <customSheetView guid="{42E2132E-130A-11D4-8702-444553540000}" scale="60" fitToPage="1" showRuler="0">
      <pageMargins left="0" right="0" top="0" bottom="0" header="0" footer="0"/>
      <pageSetup scale="41" orientation="portrait" r:id="rId1"/>
      <headerFooter alignWithMargins="0"/>
    </customSheetView>
  </customSheetViews>
  <phoneticPr fontId="0" type="noConversion"/>
  <pageMargins left="0.75" right="0.75" top="1" bottom="1" header="0.5" footer="0.5"/>
  <pageSetup scale="75" orientation="portrait" r:id="rId2"/>
  <headerFooter alignWithMargins="0"/>
  <customProperties>
    <customPr name="_pios_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5"/>
  <sheetViews>
    <sheetView view="pageBreakPreview" zoomScale="80" zoomScaleNormal="100" zoomScaleSheetLayoutView="80" workbookViewId="0">
      <selection activeCell="J41" sqref="J41"/>
    </sheetView>
  </sheetViews>
  <sheetFormatPr defaultRowHeight="12.75" x14ac:dyDescent="0.2"/>
  <cols>
    <col min="1" max="1" width="4.7109375" customWidth="1"/>
    <col min="2" max="2" width="1.7109375" customWidth="1"/>
    <col min="3" max="3" width="16.85546875" customWidth="1"/>
    <col min="4" max="4" width="1.7109375" customWidth="1"/>
    <col min="5" max="5" width="15.7109375" customWidth="1"/>
    <col min="6" max="6" width="1.7109375" customWidth="1"/>
    <col min="7" max="7" width="14.140625" customWidth="1"/>
    <col min="8" max="8" width="1.7109375" customWidth="1"/>
    <col min="9" max="9" width="13.7109375" customWidth="1"/>
    <col min="10" max="10" width="1.7109375" customWidth="1"/>
    <col min="11" max="11" width="13.7109375" customWidth="1"/>
    <col min="12" max="12" width="1.7109375" customWidth="1"/>
    <col min="13" max="13" width="16.28515625" customWidth="1"/>
    <col min="14" max="14" width="1.7109375" customWidth="1"/>
    <col min="15" max="15" width="15" customWidth="1"/>
    <col min="16" max="16" width="1.7109375" customWidth="1"/>
    <col min="17" max="17" width="15.7109375" customWidth="1"/>
    <col min="18" max="18" width="1.7109375" customWidth="1"/>
    <col min="19" max="20" width="6.140625" customWidth="1"/>
    <col min="21" max="21" width="21.42578125" customWidth="1"/>
    <col min="22" max="22" width="4.5703125" customWidth="1"/>
    <col min="23" max="23" width="12.28515625" customWidth="1"/>
  </cols>
  <sheetData>
    <row r="1" spans="1:19" ht="15" x14ac:dyDescent="0.25">
      <c r="A1" s="42" t="str">
        <f>Linkin!A1</f>
        <v>Kentucky American Water Company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5" x14ac:dyDescent="0.25">
      <c r="A2" s="42" t="str">
        <f>Linkin!A3</f>
        <v>Case No. 2025-00122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  <c r="S2" s="43"/>
    </row>
    <row r="3" spans="1:19" ht="15" x14ac:dyDescent="0.25">
      <c r="A3" s="42" t="str">
        <f>Linkin!E38</f>
        <v>Cost of Capital Summary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43"/>
    </row>
    <row r="4" spans="1:19" ht="15" x14ac:dyDescent="0.25">
      <c r="A4" s="45" t="str">
        <f>Linkin!C12</f>
        <v>13-Month Average For Forecast Period Ending December 31, 2026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3"/>
      <c r="S4" s="43"/>
    </row>
    <row r="5" spans="1:19" ht="15" x14ac:dyDescent="0.25">
      <c r="A5" s="4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15" x14ac:dyDescent="0.25">
      <c r="A6" s="83" t="s">
        <v>83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6" t="s">
        <v>69</v>
      </c>
      <c r="R6" s="40"/>
    </row>
    <row r="7" spans="1:19" ht="15" x14ac:dyDescent="0.25">
      <c r="A7" s="44" t="str">
        <f>Linkin!A17</f>
        <v>Type of Filing: _____ Original  __X__ Updated  _____ Revised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57" t="s">
        <v>259</v>
      </c>
      <c r="R7" s="40"/>
    </row>
    <row r="8" spans="1:19" ht="15" x14ac:dyDescent="0.25">
      <c r="A8" s="44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82" t="str">
        <f>Linkin!G38</f>
        <v>Witness Responsible:   Jennifer Gonzales</v>
      </c>
      <c r="R8" s="40"/>
    </row>
    <row r="9" spans="1:19" ht="15" x14ac:dyDescent="0.25">
      <c r="A9" s="44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82" t="s">
        <v>84</v>
      </c>
      <c r="R9" s="40"/>
    </row>
    <row r="10" spans="1:19" ht="15" x14ac:dyDescent="0.25">
      <c r="A10" s="44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ht="15" x14ac:dyDescent="0.25">
      <c r="A11" s="44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ht="15" x14ac:dyDescent="0.25">
      <c r="A12" s="4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ht="15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ht="15" x14ac:dyDescent="0.25">
      <c r="A14" s="44"/>
      <c r="B14" s="44"/>
      <c r="C14" s="44"/>
      <c r="D14" s="44"/>
      <c r="E14" s="44"/>
      <c r="F14" s="44"/>
      <c r="G14" s="48" t="s">
        <v>85</v>
      </c>
      <c r="H14" s="48"/>
      <c r="I14" s="44"/>
      <c r="J14" s="44"/>
      <c r="K14" s="44"/>
      <c r="L14" s="44"/>
      <c r="M14" s="44"/>
      <c r="N14" s="44"/>
      <c r="O14" s="44"/>
      <c r="P14" s="44"/>
      <c r="Q14" s="48" t="s">
        <v>85</v>
      </c>
      <c r="R14" s="44"/>
      <c r="S14" s="44"/>
    </row>
    <row r="15" spans="1:19" ht="15" x14ac:dyDescent="0.25">
      <c r="A15" s="49" t="s">
        <v>86</v>
      </c>
      <c r="B15" s="40"/>
      <c r="C15" s="49" t="s">
        <v>87</v>
      </c>
      <c r="D15" s="44"/>
      <c r="E15" s="40"/>
      <c r="F15" s="40"/>
      <c r="G15" s="49" t="s">
        <v>88</v>
      </c>
      <c r="H15" s="49"/>
      <c r="I15" s="40"/>
      <c r="J15" s="40"/>
      <c r="K15" s="40"/>
      <c r="L15" s="40"/>
      <c r="M15" s="49" t="s">
        <v>89</v>
      </c>
      <c r="N15" s="49"/>
      <c r="O15" s="40"/>
      <c r="P15" s="40"/>
      <c r="Q15" s="49" t="s">
        <v>90</v>
      </c>
      <c r="R15" s="40"/>
      <c r="S15" s="40"/>
    </row>
    <row r="16" spans="1:19" ht="15.75" thickBot="1" x14ac:dyDescent="0.3">
      <c r="A16" s="50" t="s">
        <v>91</v>
      </c>
      <c r="B16" s="44"/>
      <c r="C16" s="50" t="s">
        <v>92</v>
      </c>
      <c r="D16" s="44"/>
      <c r="E16" s="50" t="s">
        <v>93</v>
      </c>
      <c r="F16" s="44"/>
      <c r="G16" s="50" t="s">
        <v>55</v>
      </c>
      <c r="H16" s="48"/>
      <c r="I16" s="50" t="s">
        <v>94</v>
      </c>
      <c r="J16" s="48"/>
      <c r="K16" s="50" t="s">
        <v>95</v>
      </c>
      <c r="L16" s="48"/>
      <c r="M16" s="50" t="s">
        <v>92</v>
      </c>
      <c r="N16" s="48"/>
      <c r="O16" s="50" t="s">
        <v>57</v>
      </c>
      <c r="P16" s="48"/>
      <c r="Q16" s="50" t="s">
        <v>96</v>
      </c>
      <c r="R16" s="44"/>
      <c r="S16" s="48"/>
    </row>
    <row r="17" spans="1:23" ht="15" x14ac:dyDescent="0.25">
      <c r="A17" s="48">
        <v>1</v>
      </c>
      <c r="B17" s="40"/>
      <c r="C17" s="40"/>
      <c r="D17" s="4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23" ht="15" x14ac:dyDescent="0.25">
      <c r="A18" s="48">
        <f>A17+1</f>
        <v>2</v>
      </c>
      <c r="B18" s="40"/>
      <c r="C18" s="44" t="s">
        <v>59</v>
      </c>
      <c r="D18" s="44"/>
      <c r="E18" s="49" t="str">
        <f>Linkin!C26</f>
        <v>W/P - 7-3</v>
      </c>
      <c r="F18" s="40"/>
      <c r="G18" s="68">
        <f>'Sch J WPs'!AH393</f>
        <v>8914663.3791061454</v>
      </c>
      <c r="H18" s="51"/>
      <c r="I18" s="74">
        <f>ROUND(G18/$G$26,5)</f>
        <v>1.306E-2</v>
      </c>
      <c r="J18" s="51"/>
      <c r="K18" s="68">
        <f>ROUND(I18*$G$32,5)</f>
        <v>8.3599999999999994E-3</v>
      </c>
      <c r="L18" s="51"/>
      <c r="M18" s="68">
        <f>G18+K18</f>
        <v>8914663.3874661457</v>
      </c>
      <c r="N18" s="51"/>
      <c r="O18" s="52">
        <f>'Sch J WPs'!AH396</f>
        <v>4.1583538461538463E-2</v>
      </c>
      <c r="P18" s="52"/>
      <c r="Q18" s="52">
        <f>ROUND(O18*I18,4)</f>
        <v>5.0000000000000001E-4</v>
      </c>
      <c r="R18" s="40"/>
      <c r="S18" s="115"/>
      <c r="T18" s="121"/>
      <c r="U18" s="41"/>
      <c r="V18" s="41"/>
      <c r="W18" s="41"/>
    </row>
    <row r="19" spans="1:23" ht="15" x14ac:dyDescent="0.25">
      <c r="A19" s="48">
        <f t="shared" ref="A19:A32" si="0">A18+1</f>
        <v>3</v>
      </c>
      <c r="B19" s="40"/>
      <c r="C19" s="40"/>
      <c r="D19" s="40"/>
      <c r="E19" s="49"/>
      <c r="F19" s="40"/>
      <c r="G19" s="44"/>
      <c r="H19" s="40"/>
      <c r="I19" s="74"/>
      <c r="J19" s="40"/>
      <c r="K19" s="44"/>
      <c r="L19" s="40"/>
      <c r="M19" s="44"/>
      <c r="N19" s="40"/>
      <c r="O19" s="52"/>
      <c r="P19" s="52"/>
      <c r="Q19" s="52"/>
      <c r="R19" s="40"/>
      <c r="S19" s="115"/>
      <c r="U19" s="40" t="s">
        <v>97</v>
      </c>
      <c r="V19" s="41"/>
      <c r="W19" s="41"/>
    </row>
    <row r="20" spans="1:23" ht="15" x14ac:dyDescent="0.25">
      <c r="A20" s="48">
        <f t="shared" si="0"/>
        <v>4</v>
      </c>
      <c r="B20" s="40"/>
      <c r="C20" s="44" t="s">
        <v>60</v>
      </c>
      <c r="D20" s="40"/>
      <c r="E20" s="49" t="str">
        <f>Linkin!C27</f>
        <v>W/P - 7-4</v>
      </c>
      <c r="F20" s="40"/>
      <c r="G20" s="44">
        <f>'Sch J WPs'!BB40</f>
        <v>314834744.0867008</v>
      </c>
      <c r="H20" s="53"/>
      <c r="I20" s="74">
        <f>ROUND(G20/$G$26,5)</f>
        <v>0.46107999999999999</v>
      </c>
      <c r="J20" s="53"/>
      <c r="K20" s="127">
        <f>ROUND(I20*$G$32,5)</f>
        <v>0.29509000000000002</v>
      </c>
      <c r="L20" s="53"/>
      <c r="M20" s="44">
        <f>G20+K20</f>
        <v>314834744.38179082</v>
      </c>
      <c r="N20" s="53"/>
      <c r="O20" s="52">
        <f>'Sch J WPs'!AL43</f>
        <v>4.6892616768924249E-2</v>
      </c>
      <c r="P20" s="52"/>
      <c r="Q20" s="52">
        <f>ROUND(O20*I20,4)</f>
        <v>2.1600000000000001E-2</v>
      </c>
      <c r="R20" s="40"/>
      <c r="S20" s="115"/>
      <c r="T20" s="121"/>
      <c r="U20" s="40"/>
      <c r="V20" s="41"/>
      <c r="W20" s="74"/>
    </row>
    <row r="21" spans="1:23" ht="15" x14ac:dyDescent="0.25">
      <c r="A21" s="48">
        <f t="shared" si="0"/>
        <v>5</v>
      </c>
      <c r="B21" s="40"/>
      <c r="C21" s="40"/>
      <c r="D21" s="40"/>
      <c r="E21" s="49"/>
      <c r="F21" s="40"/>
      <c r="G21" s="44"/>
      <c r="H21" s="40"/>
      <c r="I21" s="74"/>
      <c r="J21" s="40"/>
      <c r="K21" s="44"/>
      <c r="L21" s="40"/>
      <c r="M21" s="44"/>
      <c r="N21" s="40"/>
      <c r="O21" s="52"/>
      <c r="P21" s="52"/>
      <c r="Q21" s="52"/>
      <c r="R21" s="40"/>
      <c r="S21" s="115"/>
      <c r="U21" s="44" t="s">
        <v>98</v>
      </c>
      <c r="V21" s="41"/>
      <c r="W21" s="74">
        <f>Q26</f>
        <v>7.8600000000000003E-2</v>
      </c>
    </row>
    <row r="22" spans="1:23" ht="15" x14ac:dyDescent="0.25">
      <c r="A22" s="48">
        <f t="shared" si="0"/>
        <v>6</v>
      </c>
      <c r="B22" s="40"/>
      <c r="C22" s="44" t="s">
        <v>13</v>
      </c>
      <c r="D22" s="40"/>
      <c r="E22" s="49" t="str">
        <f>Linkin!C28</f>
        <v>W/P - 7-5</v>
      </c>
      <c r="F22" s="40"/>
      <c r="G22" s="44">
        <f>'Sch J WPs'!AX297</f>
        <v>2245973.7738461541</v>
      </c>
      <c r="H22" s="53"/>
      <c r="I22" s="74">
        <f>ROUND(G22/$G$26,5)</f>
        <v>3.29E-3</v>
      </c>
      <c r="J22" s="53"/>
      <c r="K22" s="44">
        <f>ROUND(I22*$G$32,5)</f>
        <v>2.1099999999999999E-3</v>
      </c>
      <c r="L22" s="53"/>
      <c r="M22" s="44">
        <f>G22+K22</f>
        <v>2245973.7759561539</v>
      </c>
      <c r="N22" s="53"/>
      <c r="O22" s="52">
        <f>'Sch J WPs'!AN301</f>
        <v>8.5000000000000006E-2</v>
      </c>
      <c r="P22" s="52"/>
      <c r="Q22" s="52">
        <f>ROUND(O22*I22,4)</f>
        <v>2.9999999999999997E-4</v>
      </c>
      <c r="R22" s="40"/>
      <c r="S22" s="115"/>
      <c r="T22" s="121"/>
      <c r="U22" s="40"/>
      <c r="V22" s="41"/>
      <c r="W22" s="40"/>
    </row>
    <row r="23" spans="1:23" ht="15" x14ac:dyDescent="0.25">
      <c r="A23" s="48">
        <f t="shared" si="0"/>
        <v>7</v>
      </c>
      <c r="B23" s="40"/>
      <c r="C23" s="40"/>
      <c r="D23" s="40"/>
      <c r="E23" s="49"/>
      <c r="F23" s="40"/>
      <c r="G23" s="44"/>
      <c r="H23" s="40"/>
      <c r="I23" s="74"/>
      <c r="J23" s="40"/>
      <c r="K23" s="44"/>
      <c r="L23" s="40"/>
      <c r="M23" s="44"/>
      <c r="N23" s="40"/>
      <c r="O23" s="52"/>
      <c r="P23" s="52"/>
      <c r="Q23" s="52"/>
      <c r="R23" s="40"/>
      <c r="S23" s="115"/>
      <c r="U23" s="44" t="s">
        <v>99</v>
      </c>
      <c r="V23" s="41"/>
      <c r="W23" s="74">
        <f>Q18+Q20</f>
        <v>2.2100000000000002E-2</v>
      </c>
    </row>
    <row r="24" spans="1:23" ht="15" x14ac:dyDescent="0.25">
      <c r="A24" s="48">
        <f t="shared" si="0"/>
        <v>8</v>
      </c>
      <c r="B24" s="40"/>
      <c r="C24" s="44" t="s">
        <v>11</v>
      </c>
      <c r="D24" s="40"/>
      <c r="E24" s="49" t="str">
        <f>Linkin!C29</f>
        <v>W/P - 7-6</v>
      </c>
      <c r="F24" s="40"/>
      <c r="G24" s="128">
        <f>'Sch J WPs'!AH423</f>
        <v>356818464.94526547</v>
      </c>
      <c r="H24" s="53"/>
      <c r="I24" s="129">
        <f>1-SUM(I18:I22)</f>
        <v>0.52256999999999998</v>
      </c>
      <c r="J24" s="53"/>
      <c r="K24" s="130">
        <f>ROUND(I24*$G$32,5)</f>
        <v>0.33444000000000002</v>
      </c>
      <c r="L24" s="53"/>
      <c r="M24" s="128">
        <f>G24+K24</f>
        <v>356818465.27970546</v>
      </c>
      <c r="N24" s="53"/>
      <c r="O24" s="74">
        <v>0.1075</v>
      </c>
      <c r="P24" s="52"/>
      <c r="Q24" s="131">
        <f>ROUND(O24*I24,4)</f>
        <v>5.62E-2</v>
      </c>
      <c r="R24" s="40"/>
      <c r="S24" s="115"/>
      <c r="T24" s="121"/>
    </row>
    <row r="25" spans="1:23" ht="15" x14ac:dyDescent="0.25">
      <c r="A25" s="48">
        <f t="shared" si="0"/>
        <v>9</v>
      </c>
      <c r="B25" s="40"/>
      <c r="C25" s="40"/>
      <c r="D25" s="40"/>
      <c r="E25" s="49"/>
      <c r="F25" s="40"/>
      <c r="G25" s="44"/>
      <c r="H25" s="40"/>
      <c r="I25" s="52"/>
      <c r="J25" s="40"/>
      <c r="K25" s="44"/>
      <c r="L25" s="40"/>
      <c r="M25" s="44"/>
      <c r="N25" s="40"/>
      <c r="O25" s="52"/>
      <c r="P25" s="52"/>
      <c r="Q25" s="52"/>
      <c r="R25" s="40"/>
      <c r="S25" s="115"/>
    </row>
    <row r="26" spans="1:23" ht="15.75" thickBot="1" x14ac:dyDescent="0.3">
      <c r="A26" s="48">
        <f t="shared" si="0"/>
        <v>10</v>
      </c>
      <c r="B26" s="40"/>
      <c r="C26" s="44" t="s">
        <v>100</v>
      </c>
      <c r="D26" s="40"/>
      <c r="E26" s="49"/>
      <c r="F26" s="40"/>
      <c r="G26" s="69">
        <f>SUM(G18:G24)</f>
        <v>682813846.18491864</v>
      </c>
      <c r="H26" s="51"/>
      <c r="I26" s="154">
        <f>SUM(I18:I24)</f>
        <v>1</v>
      </c>
      <c r="J26" s="51"/>
      <c r="K26" s="97">
        <f>SUM(K18:K24)</f>
        <v>0.64</v>
      </c>
      <c r="L26" s="51"/>
      <c r="M26" s="69">
        <f>SUM(M18:M24)</f>
        <v>682813846.82491851</v>
      </c>
      <c r="N26" s="51"/>
      <c r="O26" s="52"/>
      <c r="P26" s="52"/>
      <c r="Q26" s="55">
        <f>SUM(Q18:Q24)</f>
        <v>7.8600000000000003E-2</v>
      </c>
      <c r="R26" s="40"/>
      <c r="S26" s="115"/>
      <c r="T26" s="121"/>
    </row>
    <row r="27" spans="1:23" ht="15.75" thickTop="1" x14ac:dyDescent="0.25">
      <c r="A27" s="48">
        <f t="shared" si="0"/>
        <v>11</v>
      </c>
      <c r="B27" s="40"/>
      <c r="C27" s="40"/>
      <c r="D27" s="40"/>
      <c r="E27" s="153"/>
      <c r="F27" s="40"/>
      <c r="G27" s="155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115"/>
    </row>
    <row r="28" spans="1:23" ht="15" x14ac:dyDescent="0.25">
      <c r="A28" s="48">
        <f t="shared" si="0"/>
        <v>12</v>
      </c>
      <c r="B28" s="40"/>
      <c r="C28" s="40"/>
      <c r="D28" s="40"/>
      <c r="E28" s="40"/>
      <c r="F28" s="40"/>
      <c r="G28" s="124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</row>
    <row r="29" spans="1:23" ht="15" x14ac:dyDescent="0.25">
      <c r="A29" s="48">
        <f t="shared" si="0"/>
        <v>13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56"/>
      <c r="N29" s="56"/>
      <c r="O29" s="40"/>
      <c r="P29" s="40"/>
      <c r="Q29" s="40"/>
      <c r="R29" s="40"/>
      <c r="S29" s="40"/>
    </row>
    <row r="30" spans="1:23" ht="15" x14ac:dyDescent="0.25">
      <c r="A30" s="48">
        <f t="shared" si="0"/>
        <v>14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56"/>
      <c r="N30" s="56"/>
      <c r="O30" s="40"/>
      <c r="P30" s="40"/>
      <c r="R30" s="40"/>
      <c r="S30" s="40"/>
    </row>
    <row r="31" spans="1:23" ht="15" x14ac:dyDescent="0.25">
      <c r="A31" s="48">
        <f t="shared" si="0"/>
        <v>15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23" ht="15.75" thickBot="1" x14ac:dyDescent="0.3">
      <c r="A32" s="48">
        <f t="shared" si="0"/>
        <v>16</v>
      </c>
      <c r="B32" s="40"/>
      <c r="C32" s="44" t="s">
        <v>102</v>
      </c>
      <c r="D32" s="40"/>
      <c r="E32" s="49" t="str">
        <f>Linkin!C30</f>
        <v>W/P - 7-7</v>
      </c>
      <c r="F32" s="40"/>
      <c r="G32" s="97">
        <f>'Sch J WPs'!AH450</f>
        <v>0.64000000000216928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7" ht="13.5" thickTop="1" x14ac:dyDescent="0.2"/>
    <row r="36" spans="1:17" ht="15" x14ac:dyDescent="0.25">
      <c r="A36" s="17"/>
      <c r="L36" s="51"/>
      <c r="P36" s="52"/>
      <c r="Q36" s="52"/>
    </row>
    <row r="37" spans="1:17" ht="15" x14ac:dyDescent="0.25">
      <c r="A37" s="44"/>
      <c r="B37" s="44"/>
      <c r="C37" s="44"/>
      <c r="D37" s="44"/>
      <c r="E37" s="44"/>
      <c r="F37" s="44"/>
      <c r="L37" s="40"/>
      <c r="P37" s="52"/>
      <c r="Q37" s="52"/>
    </row>
    <row r="38" spans="1:17" ht="15" x14ac:dyDescent="0.25">
      <c r="A38" s="49"/>
      <c r="B38" s="40"/>
      <c r="C38" s="49"/>
      <c r="D38" s="44"/>
      <c r="E38" s="40"/>
      <c r="F38" s="40"/>
      <c r="L38" s="53"/>
      <c r="P38" s="52"/>
      <c r="Q38" s="52"/>
    </row>
    <row r="39" spans="1:17" ht="15" x14ac:dyDescent="0.25">
      <c r="A39" s="48"/>
      <c r="B39" s="44"/>
      <c r="C39" s="48"/>
      <c r="D39" s="44"/>
      <c r="E39" s="48"/>
      <c r="F39" s="44"/>
      <c r="L39" s="40"/>
      <c r="P39" s="52"/>
      <c r="Q39" s="52"/>
    </row>
    <row r="40" spans="1:17" ht="15" x14ac:dyDescent="0.25">
      <c r="A40" s="48"/>
      <c r="B40" s="40"/>
      <c r="C40" s="40"/>
      <c r="D40" s="44"/>
      <c r="E40" s="40"/>
      <c r="F40" s="40"/>
      <c r="L40" s="53"/>
      <c r="P40" s="52"/>
      <c r="Q40" s="52"/>
    </row>
    <row r="41" spans="1:17" ht="15" x14ac:dyDescent="0.25">
      <c r="A41" s="48"/>
      <c r="B41" s="40"/>
      <c r="C41" s="44"/>
      <c r="D41" s="44"/>
      <c r="E41" s="49"/>
      <c r="F41" s="40"/>
      <c r="L41" s="40"/>
      <c r="P41" s="52"/>
      <c r="Q41" s="52"/>
    </row>
    <row r="42" spans="1:17" ht="15" x14ac:dyDescent="0.25">
      <c r="A42" s="48"/>
      <c r="B42" s="40"/>
      <c r="C42" s="40"/>
      <c r="D42" s="40"/>
      <c r="E42" s="49"/>
      <c r="F42" s="40"/>
      <c r="L42" s="53"/>
      <c r="P42" s="52"/>
      <c r="Q42" s="52"/>
    </row>
    <row r="43" spans="1:17" ht="15" x14ac:dyDescent="0.25">
      <c r="A43" s="48"/>
      <c r="B43" s="40"/>
      <c r="C43" s="44"/>
      <c r="D43" s="40"/>
      <c r="E43" s="49"/>
      <c r="F43" s="40"/>
      <c r="L43" s="40"/>
      <c r="P43" s="52"/>
      <c r="Q43" s="52"/>
    </row>
    <row r="44" spans="1:17" ht="15" x14ac:dyDescent="0.25">
      <c r="A44" s="48"/>
      <c r="B44" s="40"/>
      <c r="C44" s="40"/>
      <c r="D44" s="40"/>
      <c r="E44" s="49"/>
      <c r="F44" s="40"/>
      <c r="L44" s="51"/>
      <c r="P44" s="52"/>
      <c r="Q44" s="52"/>
    </row>
    <row r="45" spans="1:17" ht="15" x14ac:dyDescent="0.25">
      <c r="A45" s="48"/>
      <c r="B45" s="40"/>
      <c r="C45" s="44"/>
      <c r="D45" s="40"/>
      <c r="E45" s="49"/>
      <c r="F45" s="40"/>
      <c r="L45" s="53"/>
      <c r="P45" s="52"/>
      <c r="Q45" s="52"/>
    </row>
    <row r="46" spans="1:17" ht="15" x14ac:dyDescent="0.25">
      <c r="A46" s="48"/>
      <c r="B46" s="40"/>
      <c r="C46" s="40"/>
      <c r="D46" s="40"/>
      <c r="E46" s="49"/>
      <c r="F46" s="40"/>
      <c r="L46" s="40"/>
      <c r="P46" s="52"/>
      <c r="Q46" s="52"/>
    </row>
    <row r="47" spans="1:17" ht="15" x14ac:dyDescent="0.25">
      <c r="A47" s="48"/>
      <c r="B47" s="40"/>
      <c r="C47" s="44"/>
      <c r="D47" s="40"/>
      <c r="E47" s="49"/>
      <c r="F47" s="40"/>
      <c r="G47" s="44"/>
      <c r="H47" s="53"/>
      <c r="I47" s="52"/>
      <c r="J47" s="53"/>
      <c r="K47" s="44"/>
      <c r="L47" s="53"/>
      <c r="P47" s="52"/>
      <c r="Q47" s="52"/>
    </row>
    <row r="48" spans="1:17" ht="15" x14ac:dyDescent="0.25">
      <c r="A48" s="48"/>
      <c r="B48" s="40"/>
      <c r="C48" s="40"/>
      <c r="D48" s="40"/>
      <c r="E48" s="49"/>
      <c r="F48" s="40"/>
      <c r="G48" s="44"/>
      <c r="H48" s="40"/>
      <c r="I48" s="52"/>
      <c r="J48" s="40"/>
      <c r="K48" s="44"/>
      <c r="L48" s="40"/>
      <c r="M48" s="44"/>
      <c r="N48" s="40"/>
      <c r="O48" s="52"/>
      <c r="P48" s="52"/>
      <c r="Q48" s="52"/>
    </row>
    <row r="49" spans="1:17" ht="15" x14ac:dyDescent="0.25">
      <c r="A49" s="48"/>
      <c r="B49" s="40"/>
      <c r="C49" s="44"/>
      <c r="D49" s="40"/>
      <c r="E49" s="49"/>
      <c r="F49" s="40"/>
      <c r="G49" s="68"/>
      <c r="H49" s="51"/>
      <c r="I49" s="52"/>
      <c r="J49" s="51"/>
      <c r="K49" s="68"/>
      <c r="L49" s="51"/>
      <c r="M49" s="68"/>
      <c r="N49" s="51"/>
      <c r="O49" s="52"/>
      <c r="P49" s="52"/>
      <c r="Q49" s="52"/>
    </row>
    <row r="50" spans="1:17" ht="15" x14ac:dyDescent="0.25">
      <c r="A50" s="4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</row>
    <row r="51" spans="1:17" ht="15" x14ac:dyDescent="0.25">
      <c r="A51" s="4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  <row r="52" spans="1:17" ht="15" x14ac:dyDescent="0.25">
      <c r="A52" s="4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56"/>
      <c r="N52" s="56"/>
      <c r="O52" s="40"/>
      <c r="P52" s="40"/>
      <c r="Q52" s="40"/>
    </row>
    <row r="53" spans="1:17" ht="15" x14ac:dyDescent="0.25">
      <c r="A53" s="4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56"/>
      <c r="N53" s="56"/>
      <c r="O53" s="40"/>
      <c r="P53" s="40"/>
      <c r="Q53" s="40"/>
    </row>
    <row r="54" spans="1:17" ht="15" x14ac:dyDescent="0.25">
      <c r="A54" s="4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</row>
    <row r="55" spans="1:17" ht="15" x14ac:dyDescent="0.25">
      <c r="A55" s="48"/>
      <c r="B55" s="40"/>
      <c r="C55" s="44"/>
      <c r="D55" s="40"/>
      <c r="E55" s="49"/>
      <c r="F55" s="40"/>
      <c r="G55" s="68"/>
      <c r="H55" s="40"/>
      <c r="I55" s="40"/>
      <c r="J55" s="40"/>
      <c r="K55" s="40"/>
      <c r="L55" s="40"/>
      <c r="M55" s="40"/>
      <c r="N55" s="40"/>
      <c r="O55" s="40"/>
      <c r="P55" s="40"/>
      <c r="Q55" s="40"/>
    </row>
  </sheetData>
  <printOptions horizontalCentered="1"/>
  <pageMargins left="0.75" right="0.75" top="1" bottom="0.5" header="0.3" footer="0.3"/>
  <pageSetup scale="85" orientation="landscape" verticalDpi="120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autoPageBreaks="0"/>
  </sheetPr>
  <dimension ref="A1:BL98"/>
  <sheetViews>
    <sheetView view="pageBreakPreview" zoomScale="80" zoomScaleNormal="100" zoomScaleSheetLayoutView="80" workbookViewId="0">
      <selection activeCell="U30" sqref="U30"/>
    </sheetView>
  </sheetViews>
  <sheetFormatPr defaultColWidth="16.7109375" defaultRowHeight="14.25" x14ac:dyDescent="0.2"/>
  <cols>
    <col min="1" max="1" width="4.7109375" style="41" customWidth="1"/>
    <col min="2" max="2" width="1.7109375" style="41" customWidth="1"/>
    <col min="3" max="3" width="16.85546875" style="41" customWidth="1"/>
    <col min="4" max="4" width="1.7109375" style="41" customWidth="1"/>
    <col min="5" max="5" width="15.7109375" style="41" customWidth="1"/>
    <col min="6" max="6" width="1.7109375" style="41" customWidth="1"/>
    <col min="7" max="7" width="14.140625" style="41" customWidth="1"/>
    <col min="8" max="8" width="1.7109375" style="41" customWidth="1"/>
    <col min="9" max="9" width="13.7109375" style="41" customWidth="1"/>
    <col min="10" max="10" width="1.7109375" style="41" customWidth="1"/>
    <col min="11" max="11" width="13.7109375" style="41" customWidth="1"/>
    <col min="12" max="12" width="1.7109375" style="41" customWidth="1"/>
    <col min="13" max="13" width="16.28515625" style="41" customWidth="1"/>
    <col min="14" max="14" width="1.7109375" style="41" customWidth="1"/>
    <col min="15" max="15" width="8.5703125" style="41" customWidth="1"/>
    <col min="16" max="16" width="1.7109375" style="41" customWidth="1"/>
    <col min="17" max="17" width="15.7109375" style="41" customWidth="1"/>
    <col min="18" max="18" width="1.7109375" style="41" customWidth="1"/>
    <col min="19" max="19" width="15.28515625" style="41" bestFit="1" customWidth="1"/>
    <col min="20" max="16384" width="16.7109375" style="41"/>
  </cols>
  <sheetData>
    <row r="1" spans="1:19" ht="15" x14ac:dyDescent="0.25">
      <c r="A1" s="42" t="str">
        <f>Linkin!A1</f>
        <v>Kentucky American Water Company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</row>
    <row r="2" spans="1:19" ht="15" x14ac:dyDescent="0.25">
      <c r="A2" s="42" t="str">
        <f>Linkin!A3</f>
        <v>Case No. 2025-00122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  <c r="S2" s="43"/>
    </row>
    <row r="3" spans="1:19" ht="15" x14ac:dyDescent="0.25">
      <c r="A3" s="42" t="str">
        <f>Linkin!E39</f>
        <v>Cost of Capital Summary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43"/>
    </row>
    <row r="4" spans="1:19" ht="15" x14ac:dyDescent="0.25">
      <c r="A4" s="42" t="str">
        <f>Linkin!C11</f>
        <v>As of December 31, 2026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3"/>
    </row>
    <row r="5" spans="1:19" ht="15" x14ac:dyDescent="0.25">
      <c r="A5" s="45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15" x14ac:dyDescent="0.25">
      <c r="A6" s="83" t="s">
        <v>83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6" t="s">
        <v>103</v>
      </c>
      <c r="R6" s="43"/>
    </row>
    <row r="7" spans="1:19" ht="15" x14ac:dyDescent="0.25">
      <c r="A7" s="44" t="str">
        <f>Linkin!A17</f>
        <v>Type of Filing: _____ Original  __X__ Updated  _____ Revised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57" t="s">
        <v>260</v>
      </c>
      <c r="R7" s="40"/>
    </row>
    <row r="8" spans="1:19" ht="15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86" t="str">
        <f>Linkin!G39</f>
        <v>Witness Responsible:   Jennifer Gonzales</v>
      </c>
      <c r="R8" s="40"/>
    </row>
    <row r="9" spans="1:19" ht="15" x14ac:dyDescent="0.25">
      <c r="A9" s="44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82" t="s">
        <v>104</v>
      </c>
      <c r="R9" s="40"/>
    </row>
    <row r="10" spans="1:19" ht="15" x14ac:dyDescent="0.25">
      <c r="A10" s="44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6"/>
    </row>
    <row r="11" spans="1:19" ht="15" x14ac:dyDescent="0.25">
      <c r="A11" s="44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ht="15" x14ac:dyDescent="0.25">
      <c r="A12" s="4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ht="15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ht="15" x14ac:dyDescent="0.25">
      <c r="A14" s="44"/>
      <c r="B14" s="44"/>
      <c r="C14" s="44"/>
      <c r="D14" s="44"/>
      <c r="E14" s="44"/>
      <c r="F14" s="44"/>
      <c r="G14" s="48" t="s">
        <v>105</v>
      </c>
      <c r="H14" s="48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8"/>
    </row>
    <row r="15" spans="1:19" ht="15" x14ac:dyDescent="0.25">
      <c r="A15" s="49" t="s">
        <v>86</v>
      </c>
      <c r="B15" s="40"/>
      <c r="C15" s="49" t="s">
        <v>87</v>
      </c>
      <c r="D15" s="40"/>
      <c r="E15" s="40"/>
      <c r="F15" s="40"/>
      <c r="G15" s="49" t="s">
        <v>106</v>
      </c>
      <c r="H15" s="49"/>
      <c r="I15" s="40"/>
      <c r="J15" s="40"/>
      <c r="K15" s="40"/>
      <c r="L15" s="40"/>
      <c r="M15" s="49" t="s">
        <v>89</v>
      </c>
      <c r="N15" s="49"/>
      <c r="O15" s="40"/>
      <c r="P15" s="40"/>
      <c r="Q15" s="49" t="s">
        <v>107</v>
      </c>
      <c r="R15" s="40"/>
      <c r="S15" s="49"/>
    </row>
    <row r="16" spans="1:19" ht="15.75" thickBot="1" x14ac:dyDescent="0.3">
      <c r="A16" s="50" t="s">
        <v>91</v>
      </c>
      <c r="B16" s="44"/>
      <c r="C16" s="50" t="s">
        <v>92</v>
      </c>
      <c r="D16" s="44"/>
      <c r="E16" s="50" t="s">
        <v>93</v>
      </c>
      <c r="F16" s="44"/>
      <c r="G16" s="50" t="s">
        <v>108</v>
      </c>
      <c r="H16" s="48"/>
      <c r="I16" s="50" t="s">
        <v>94</v>
      </c>
      <c r="J16" s="48"/>
      <c r="K16" s="50" t="s">
        <v>95</v>
      </c>
      <c r="L16" s="48"/>
      <c r="M16" s="50" t="s">
        <v>92</v>
      </c>
      <c r="N16" s="48"/>
      <c r="O16" s="50" t="s">
        <v>57</v>
      </c>
      <c r="P16" s="48"/>
      <c r="Q16" s="50" t="s">
        <v>96</v>
      </c>
      <c r="R16" s="44"/>
      <c r="S16" s="48"/>
    </row>
    <row r="17" spans="1:64" ht="15" x14ac:dyDescent="0.25">
      <c r="A17" s="48">
        <v>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64" ht="15" x14ac:dyDescent="0.25">
      <c r="A18" s="48">
        <f>A17+1</f>
        <v>2</v>
      </c>
      <c r="B18" s="40"/>
      <c r="C18" s="44" t="s">
        <v>59</v>
      </c>
      <c r="D18" s="40"/>
      <c r="E18" s="48" t="s">
        <v>109</v>
      </c>
      <c r="F18" s="40"/>
      <c r="G18" s="68">
        <f>'Sch J-3'!G21</f>
        <v>16412973.364313511</v>
      </c>
      <c r="H18" s="51"/>
      <c r="I18" s="52">
        <f>ROUND(G18/$G$26,5)</f>
        <v>2.3060000000000001E-2</v>
      </c>
      <c r="J18" s="51"/>
      <c r="K18" s="68">
        <f>ROUND(I18*$G$32,0)</f>
        <v>0</v>
      </c>
      <c r="L18" s="51"/>
      <c r="M18" s="68">
        <f>G18+K18</f>
        <v>16412973.364313511</v>
      </c>
      <c r="N18" s="51"/>
      <c r="O18" s="52">
        <f>'Sch J-3'!G24</f>
        <v>4.1512E-2</v>
      </c>
      <c r="P18" s="52"/>
      <c r="Q18" s="52">
        <f>ROUND(O18*I18,4)</f>
        <v>1E-3</v>
      </c>
      <c r="R18" s="40"/>
      <c r="S18" s="100"/>
    </row>
    <row r="19" spans="1:64" ht="15" x14ac:dyDescent="0.25">
      <c r="A19" s="48">
        <f t="shared" ref="A19:A32" si="0">A18+1</f>
        <v>3</v>
      </c>
      <c r="B19" s="40"/>
      <c r="C19" s="40"/>
      <c r="D19" s="40"/>
      <c r="E19" s="40"/>
      <c r="F19" s="40"/>
      <c r="G19" s="44"/>
      <c r="H19" s="40"/>
      <c r="I19" s="52"/>
      <c r="J19" s="40"/>
      <c r="K19" s="44"/>
      <c r="L19" s="40"/>
      <c r="M19" s="44"/>
      <c r="N19" s="40"/>
      <c r="O19" s="52"/>
      <c r="P19" s="52"/>
      <c r="Q19" s="52"/>
      <c r="R19" s="40"/>
      <c r="S19" s="100"/>
    </row>
    <row r="20" spans="1:64" ht="15" x14ac:dyDescent="0.25">
      <c r="A20" s="48">
        <f t="shared" si="0"/>
        <v>4</v>
      </c>
      <c r="B20" s="40"/>
      <c r="C20" s="44" t="s">
        <v>60</v>
      </c>
      <c r="D20" s="40"/>
      <c r="E20" s="48" t="s">
        <v>110</v>
      </c>
      <c r="F20" s="40"/>
      <c r="G20" s="44">
        <f>'Sch J-4'!AC50</f>
        <v>323301054.37168545</v>
      </c>
      <c r="H20" s="53"/>
      <c r="I20" s="52">
        <f>ROUND(G20/$G$26,5)</f>
        <v>0.45413999999999999</v>
      </c>
      <c r="J20" s="53"/>
      <c r="K20" s="44">
        <f>ROUND(I20*$G$32,0)</f>
        <v>0</v>
      </c>
      <c r="L20" s="53"/>
      <c r="M20" s="44">
        <f>G20+K20</f>
        <v>323301054.37168545</v>
      </c>
      <c r="N20" s="53"/>
      <c r="O20" s="52">
        <f>'Sch J-4'!I53</f>
        <v>4.7600000000000003E-2</v>
      </c>
      <c r="P20" s="52"/>
      <c r="Q20" s="52">
        <f>ROUND(O20*I20,4)</f>
        <v>2.1600000000000001E-2</v>
      </c>
      <c r="R20" s="40"/>
      <c r="S20" s="100"/>
    </row>
    <row r="21" spans="1:64" ht="15" x14ac:dyDescent="0.25">
      <c r="A21" s="48">
        <f t="shared" si="0"/>
        <v>5</v>
      </c>
      <c r="B21" s="40"/>
      <c r="C21" s="40"/>
      <c r="D21" s="40"/>
      <c r="E21" s="40"/>
      <c r="F21" s="40"/>
      <c r="G21" s="44"/>
      <c r="H21" s="40"/>
      <c r="I21" s="52"/>
      <c r="J21" s="40"/>
      <c r="K21" s="44"/>
      <c r="L21" s="40"/>
      <c r="M21" s="44"/>
      <c r="N21" s="40"/>
      <c r="O21" s="52"/>
      <c r="P21" s="52"/>
      <c r="Q21" s="52"/>
      <c r="R21" s="40"/>
      <c r="S21" s="100"/>
    </row>
    <row r="22" spans="1:64" ht="15" x14ac:dyDescent="0.25">
      <c r="A22" s="48">
        <f t="shared" si="0"/>
        <v>6</v>
      </c>
      <c r="B22" s="40"/>
      <c r="C22" s="44" t="s">
        <v>13</v>
      </c>
      <c r="D22" s="40"/>
      <c r="E22" s="48" t="s">
        <v>258</v>
      </c>
      <c r="F22" s="40"/>
      <c r="G22" s="44">
        <f>'Sch J-5'!O27</f>
        <v>2246137.2000000002</v>
      </c>
      <c r="H22" s="53"/>
      <c r="I22" s="52">
        <f>ROUND(G22/$G$26,5)</f>
        <v>3.16E-3</v>
      </c>
      <c r="J22" s="53"/>
      <c r="K22" s="44">
        <f>ROUND(I22*$G$32,0)</f>
        <v>0</v>
      </c>
      <c r="L22" s="53"/>
      <c r="M22" s="44">
        <f>G22+K22</f>
        <v>2246137.2000000002</v>
      </c>
      <c r="N22" s="53"/>
      <c r="O22" s="52">
        <f>'Sch J-5'!G30</f>
        <v>8.5000000000000006E-2</v>
      </c>
      <c r="P22" s="52"/>
      <c r="Q22" s="52">
        <f>ROUND(O22*I22,4)</f>
        <v>2.9999999999999997E-4</v>
      </c>
      <c r="R22" s="40"/>
      <c r="S22" s="100"/>
    </row>
    <row r="23" spans="1:64" ht="15" x14ac:dyDescent="0.25">
      <c r="A23" s="48">
        <f t="shared" si="0"/>
        <v>7</v>
      </c>
      <c r="B23" s="40"/>
      <c r="C23" s="40"/>
      <c r="D23" s="40"/>
      <c r="E23" s="40"/>
      <c r="F23" s="40"/>
      <c r="G23" s="44"/>
      <c r="H23" s="40"/>
      <c r="I23" s="52"/>
      <c r="J23" s="40"/>
      <c r="K23" s="44"/>
      <c r="L23" s="40"/>
      <c r="M23" s="44"/>
      <c r="N23" s="40"/>
      <c r="O23" s="52"/>
      <c r="P23" s="52"/>
      <c r="Q23" s="52"/>
      <c r="R23" s="40"/>
      <c r="S23" s="100"/>
    </row>
    <row r="24" spans="1:64" ht="15" x14ac:dyDescent="0.25">
      <c r="A24" s="48">
        <f t="shared" si="0"/>
        <v>8</v>
      </c>
      <c r="B24" s="40"/>
      <c r="C24" s="44" t="s">
        <v>11</v>
      </c>
      <c r="D24" s="40"/>
      <c r="E24" s="48" t="str">
        <f>Linkin!C29</f>
        <v>W/P - 7-6</v>
      </c>
      <c r="F24" s="40"/>
      <c r="G24" s="128">
        <f>'Sch J WPs'!AG423</f>
        <v>369937924.67808682</v>
      </c>
      <c r="H24" s="53"/>
      <c r="I24" s="129">
        <f>1-SUM(I18:I22)</f>
        <v>0.51963999999999999</v>
      </c>
      <c r="J24" s="53"/>
      <c r="K24" s="130">
        <f>G32-SUM(K18:K22)</f>
        <v>0.64000000000216917</v>
      </c>
      <c r="L24" s="53"/>
      <c r="M24" s="128">
        <f>G24+K24</f>
        <v>369937925.3180868</v>
      </c>
      <c r="N24" s="53"/>
      <c r="O24" s="52">
        <v>0.1075</v>
      </c>
      <c r="P24" s="52"/>
      <c r="Q24" s="131">
        <f>ROUND(O24*I24,4)</f>
        <v>5.5899999999999998E-2</v>
      </c>
      <c r="R24" s="40"/>
      <c r="S24" s="100"/>
    </row>
    <row r="25" spans="1:64" ht="15" x14ac:dyDescent="0.25">
      <c r="A25" s="48">
        <f t="shared" si="0"/>
        <v>9</v>
      </c>
      <c r="B25" s="40"/>
      <c r="C25" s="40"/>
      <c r="D25" s="40"/>
      <c r="E25" s="40"/>
      <c r="F25" s="40"/>
      <c r="G25" s="44"/>
      <c r="H25" s="40"/>
      <c r="I25" s="52"/>
      <c r="J25" s="40"/>
      <c r="K25" s="44"/>
      <c r="L25" s="40"/>
      <c r="M25" s="44"/>
      <c r="N25" s="40"/>
      <c r="O25" s="52"/>
      <c r="P25" s="52"/>
      <c r="Q25" s="52"/>
      <c r="R25" s="40"/>
      <c r="S25" s="100"/>
    </row>
    <row r="26" spans="1:64" ht="15.75" thickBot="1" x14ac:dyDescent="0.3">
      <c r="A26" s="48">
        <f t="shared" si="0"/>
        <v>10</v>
      </c>
      <c r="B26" s="40"/>
      <c r="C26" s="44" t="s">
        <v>100</v>
      </c>
      <c r="D26" s="40"/>
      <c r="E26" s="40"/>
      <c r="F26" s="40"/>
      <c r="G26" s="69">
        <f>SUM(G18:G24)</f>
        <v>711898089.61408567</v>
      </c>
      <c r="H26" s="51"/>
      <c r="I26" s="55">
        <f>SUM(I18:I24)</f>
        <v>1</v>
      </c>
      <c r="J26" s="51"/>
      <c r="K26" s="97">
        <f>SUM(K18:K24)</f>
        <v>0.64000000000216917</v>
      </c>
      <c r="L26" s="51"/>
      <c r="M26" s="69">
        <f>SUM(M18:M24)</f>
        <v>711898090.25408578</v>
      </c>
      <c r="N26" s="51"/>
      <c r="O26" s="52"/>
      <c r="P26" s="52"/>
      <c r="Q26" s="55">
        <f>SUM(Q18:Q24)</f>
        <v>7.8800000000000009E-2</v>
      </c>
      <c r="R26" s="40"/>
      <c r="S26" s="100"/>
      <c r="BK26" s="41" t="e">
        <f>#REF!</f>
        <v>#REF!</v>
      </c>
      <c r="BL26" s="41" t="e">
        <f>BK26-#REF!</f>
        <v>#REF!</v>
      </c>
    </row>
    <row r="27" spans="1:64" ht="15.75" thickTop="1" x14ac:dyDescent="0.25">
      <c r="A27" s="48">
        <f t="shared" si="0"/>
        <v>11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BK27" s="41" t="e">
        <f>#REF!</f>
        <v>#REF!</v>
      </c>
      <c r="BL27" s="41" t="e">
        <f>BK27-#REF!</f>
        <v>#REF!</v>
      </c>
    </row>
    <row r="28" spans="1:64" ht="15" x14ac:dyDescent="0.25">
      <c r="A28" s="48">
        <f t="shared" si="0"/>
        <v>12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BK28" s="41" t="e">
        <f>#REF!</f>
        <v>#REF!</v>
      </c>
      <c r="BL28" s="41" t="e">
        <f>BK28-#REF!</f>
        <v>#REF!</v>
      </c>
    </row>
    <row r="29" spans="1:64" ht="15" x14ac:dyDescent="0.25">
      <c r="A29" s="48">
        <f t="shared" si="0"/>
        <v>13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BK29" s="41" t="e">
        <f>#REF!</f>
        <v>#REF!</v>
      </c>
      <c r="BL29" s="41" t="e">
        <f>BK29-#REF!</f>
        <v>#REF!</v>
      </c>
    </row>
    <row r="30" spans="1:64" ht="15" x14ac:dyDescent="0.25">
      <c r="A30" s="48">
        <f t="shared" si="0"/>
        <v>14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56"/>
      <c r="N30" s="56"/>
      <c r="O30" s="40"/>
      <c r="P30" s="40"/>
      <c r="Q30" s="40"/>
      <c r="R30" s="40"/>
      <c r="S30" s="40"/>
      <c r="BK30" s="41" t="e">
        <f>#REF!</f>
        <v>#REF!</v>
      </c>
      <c r="BL30" s="41" t="e">
        <f>BK30-#REF!</f>
        <v>#REF!</v>
      </c>
    </row>
    <row r="31" spans="1:64" ht="15" x14ac:dyDescent="0.25">
      <c r="A31" s="48">
        <f t="shared" si="0"/>
        <v>15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BK31" s="41" t="e">
        <f>#REF!</f>
        <v>#REF!</v>
      </c>
      <c r="BL31" s="41" t="e">
        <f>BK31-#REF!</f>
        <v>#REF!</v>
      </c>
    </row>
    <row r="32" spans="1:64" ht="15.75" thickBot="1" x14ac:dyDescent="0.3">
      <c r="A32" s="48">
        <f t="shared" si="0"/>
        <v>16</v>
      </c>
      <c r="B32" s="40"/>
      <c r="C32" s="44" t="s">
        <v>111</v>
      </c>
      <c r="D32" s="40"/>
      <c r="E32" s="84" t="str">
        <f>Linkin!C30</f>
        <v>W/P - 7-7</v>
      </c>
      <c r="F32" s="40"/>
      <c r="G32" s="97">
        <f>'Sch J WPs'!AG450</f>
        <v>0.64000000000216917</v>
      </c>
      <c r="H32" s="40"/>
      <c r="I32" s="52"/>
      <c r="J32" s="40"/>
      <c r="K32" s="40"/>
      <c r="L32" s="40"/>
      <c r="M32" s="40"/>
      <c r="N32" s="40"/>
      <c r="O32" s="40"/>
      <c r="P32" s="40"/>
      <c r="Q32" s="40"/>
      <c r="R32" s="40"/>
      <c r="S32" s="40"/>
      <c r="BK32" s="41" t="e">
        <f>#REF!</f>
        <v>#REF!</v>
      </c>
      <c r="BL32" s="41" t="e">
        <f>BK32-#REF!</f>
        <v>#REF!</v>
      </c>
    </row>
    <row r="33" spans="1:64" ht="15.75" thickTop="1" x14ac:dyDescent="0.25">
      <c r="A33" s="4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BK33" s="41" t="e">
        <f>#REF!</f>
        <v>#REF!</v>
      </c>
      <c r="BL33" s="41" t="e">
        <f>BK33-#REF!</f>
        <v>#REF!</v>
      </c>
    </row>
    <row r="34" spans="1:64" ht="15" x14ac:dyDescent="0.25">
      <c r="A34" s="4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BK34" s="41" t="e">
        <f>#REF!</f>
        <v>#REF!</v>
      </c>
      <c r="BL34" s="41" t="e">
        <f>BK34-#REF!</f>
        <v>#REF!</v>
      </c>
    </row>
    <row r="35" spans="1:64" ht="15" x14ac:dyDescent="0.25">
      <c r="A35" s="4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BK35" s="41" t="e">
        <f>#REF!</f>
        <v>#REF!</v>
      </c>
      <c r="BL35" s="41" t="e">
        <f>BK35-#REF!</f>
        <v>#REF!</v>
      </c>
    </row>
    <row r="36" spans="1:64" ht="15" x14ac:dyDescent="0.25">
      <c r="A36" s="4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BK36" s="41" t="e">
        <f>#REF!</f>
        <v>#REF!</v>
      </c>
      <c r="BL36" s="41" t="e">
        <f>BK36-#REF!</f>
        <v>#REF!</v>
      </c>
    </row>
    <row r="37" spans="1:64" ht="15" x14ac:dyDescent="0.25">
      <c r="A37" s="4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BK37" s="41" t="e">
        <f>#REF!</f>
        <v>#REF!</v>
      </c>
      <c r="BL37" s="41" t="e">
        <f>BK37-#REF!</f>
        <v>#REF!</v>
      </c>
    </row>
    <row r="38" spans="1:64" ht="15" x14ac:dyDescent="0.25">
      <c r="A38" s="4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BK38" s="41" t="e">
        <f>#REF!</f>
        <v>#REF!</v>
      </c>
      <c r="BL38" s="41" t="e">
        <f>BK38-#REF!</f>
        <v>#REF!</v>
      </c>
    </row>
    <row r="39" spans="1:64" ht="15" x14ac:dyDescent="0.25">
      <c r="A39" s="42" t="str">
        <f>A1</f>
        <v>Kentucky American Water Company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</row>
    <row r="40" spans="1:64" ht="15" x14ac:dyDescent="0.25">
      <c r="A40" s="42" t="str">
        <f>A2</f>
        <v>Case No. 2025-00122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64" ht="15" x14ac:dyDescent="0.25">
      <c r="A41" s="42" t="str">
        <f>Linkin!E40</f>
        <v>Cost of Capital Summary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</row>
    <row r="42" spans="1:64" ht="15" x14ac:dyDescent="0.25">
      <c r="A42" s="42" t="str">
        <f>Linkin!C6</f>
        <v>As of August 2025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</row>
    <row r="43" spans="1:64" ht="15" hidden="1" x14ac:dyDescent="0.25">
      <c r="A43" s="4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64" ht="15" hidden="1" x14ac:dyDescent="0.25">
      <c r="A44" s="83" t="s">
        <v>112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6" t="s">
        <v>103</v>
      </c>
      <c r="R44" s="40"/>
    </row>
    <row r="45" spans="1:64" ht="15" hidden="1" x14ac:dyDescent="0.25">
      <c r="A45" s="40" t="str">
        <f>Linkin!A17</f>
        <v>Type of Filing: _____ Original  __X__ Updated  _____ Revised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82" t="e">
        <f ca="1">RIGHT(CELL("filename",$A$1),LEN(CELL("filename",$A$1))-SEARCH("\Capital",CELL("filename",$A$1),1))</f>
        <v>#VALUE!</v>
      </c>
      <c r="R45" s="40"/>
    </row>
    <row r="46" spans="1:64" ht="15" hidden="1" x14ac:dyDescent="0.2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86" t="str">
        <f>Linkin!G40</f>
        <v>Witness Responsible:   Jennifer Gonzales</v>
      </c>
      <c r="R46" s="40"/>
    </row>
    <row r="47" spans="1:64" ht="15" hidden="1" x14ac:dyDescent="0.25">
      <c r="A47" s="44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82" t="s">
        <v>113</v>
      </c>
      <c r="R47" s="40"/>
    </row>
    <row r="48" spans="1:64" ht="15" hidden="1" x14ac:dyDescent="0.25">
      <c r="A48" s="44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19" ht="15" hidden="1" x14ac:dyDescent="0.25">
      <c r="A49" s="44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  <row r="50" spans="1:19" ht="15" hidden="1" x14ac:dyDescent="0.25">
      <c r="A50" s="44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ht="15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</row>
    <row r="52" spans="1:19" ht="15" x14ac:dyDescent="0.25">
      <c r="A52" s="83" t="s">
        <v>257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6" t="s">
        <v>103</v>
      </c>
      <c r="R52" s="43"/>
    </row>
    <row r="53" spans="1:19" ht="15" x14ac:dyDescent="0.25">
      <c r="A53" s="44" t="str">
        <f>Linkin!A17</f>
        <v>Type of Filing: _____ Original  __X__ Updated  _____ Revised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57" t="s">
        <v>260</v>
      </c>
      <c r="R53" s="40"/>
    </row>
    <row r="54" spans="1:19" ht="1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86" t="str">
        <f>Q8</f>
        <v>Witness Responsible:   Jennifer Gonzales</v>
      </c>
      <c r="R54" s="40"/>
    </row>
    <row r="55" spans="1:19" ht="15" x14ac:dyDescent="0.25">
      <c r="A55" s="44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51" t="s">
        <v>113</v>
      </c>
      <c r="R55" s="40"/>
    </row>
    <row r="56" spans="1:19" ht="15" x14ac:dyDescent="0.25">
      <c r="A56" s="44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6"/>
    </row>
    <row r="57" spans="1:19" ht="15" x14ac:dyDescent="0.25">
      <c r="A57" s="44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</row>
    <row r="58" spans="1:19" ht="15" x14ac:dyDescent="0.25">
      <c r="A58" s="44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</row>
    <row r="59" spans="1:19" ht="15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</row>
    <row r="60" spans="1:19" ht="15" x14ac:dyDescent="0.25">
      <c r="A60" s="44"/>
      <c r="B60" s="44"/>
      <c r="C60" s="44"/>
      <c r="D60" s="44"/>
      <c r="E60" s="44"/>
      <c r="F60" s="44"/>
      <c r="G60" s="48" t="s">
        <v>105</v>
      </c>
      <c r="H60" s="48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spans="1:19" ht="15" x14ac:dyDescent="0.25">
      <c r="A61" s="49" t="s">
        <v>86</v>
      </c>
      <c r="B61" s="40"/>
      <c r="C61" s="49" t="s">
        <v>87</v>
      </c>
      <c r="D61" s="40"/>
      <c r="E61" s="40"/>
      <c r="F61" s="40"/>
      <c r="G61" s="49" t="s">
        <v>106</v>
      </c>
      <c r="H61" s="49"/>
      <c r="I61" s="40"/>
      <c r="J61" s="40"/>
      <c r="K61" s="40"/>
      <c r="L61" s="40"/>
      <c r="M61" s="49" t="s">
        <v>89</v>
      </c>
      <c r="N61" s="49"/>
      <c r="O61" s="40"/>
      <c r="P61" s="40"/>
      <c r="Q61" s="49" t="s">
        <v>107</v>
      </c>
      <c r="R61" s="40"/>
      <c r="S61" s="40"/>
    </row>
    <row r="62" spans="1:19" ht="15.75" thickBot="1" x14ac:dyDescent="0.3">
      <c r="A62" s="50" t="s">
        <v>91</v>
      </c>
      <c r="B62" s="44"/>
      <c r="C62" s="50" t="s">
        <v>92</v>
      </c>
      <c r="D62" s="44"/>
      <c r="E62" s="50" t="s">
        <v>93</v>
      </c>
      <c r="F62" s="44"/>
      <c r="G62" s="50" t="s">
        <v>108</v>
      </c>
      <c r="H62" s="48"/>
      <c r="I62" s="50" t="s">
        <v>94</v>
      </c>
      <c r="J62" s="48"/>
      <c r="K62" s="50" t="s">
        <v>95</v>
      </c>
      <c r="L62" s="48"/>
      <c r="M62" s="50" t="s">
        <v>92</v>
      </c>
      <c r="N62" s="48"/>
      <c r="O62" s="50" t="s">
        <v>57</v>
      </c>
      <c r="P62" s="48"/>
      <c r="Q62" s="50" t="s">
        <v>96</v>
      </c>
      <c r="R62" s="44"/>
      <c r="S62" s="48"/>
    </row>
    <row r="63" spans="1:19" ht="15" x14ac:dyDescent="0.25">
      <c r="A63" s="48">
        <v>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</row>
    <row r="64" spans="1:19" ht="15" x14ac:dyDescent="0.25">
      <c r="A64" s="48">
        <f>A63+1</f>
        <v>2</v>
      </c>
      <c r="B64" s="40"/>
      <c r="C64" s="44" t="s">
        <v>59</v>
      </c>
      <c r="D64" s="40"/>
      <c r="E64" s="48" t="s">
        <v>109</v>
      </c>
      <c r="F64" s="40"/>
      <c r="G64" s="68">
        <f>'Sch J-3'!G51</f>
        <v>15704767.890000001</v>
      </c>
      <c r="H64" s="51"/>
      <c r="I64" s="52">
        <f>ROUND(G64/$G$72,5)</f>
        <v>2.4060000000000002E-2</v>
      </c>
      <c r="J64" s="51"/>
      <c r="K64" s="68">
        <f>ROUND(I64*$G$78,0)</f>
        <v>0</v>
      </c>
      <c r="L64" s="51"/>
      <c r="M64" s="68">
        <f>G64+K64</f>
        <v>15704767.890000001</v>
      </c>
      <c r="N64" s="51"/>
      <c r="O64" s="52">
        <f>'Sch J-3'!G54</f>
        <v>4.5469660999999995E-2</v>
      </c>
      <c r="P64" s="52"/>
      <c r="Q64" s="52">
        <f>ROUND(O64*I64,4)</f>
        <v>1.1000000000000001E-3</v>
      </c>
      <c r="R64" s="40"/>
      <c r="S64" s="115"/>
    </row>
    <row r="65" spans="1:19" ht="15" x14ac:dyDescent="0.25">
      <c r="A65" s="48">
        <f t="shared" ref="A65:A78" si="1">A64+1</f>
        <v>3</v>
      </c>
      <c r="B65" s="40"/>
      <c r="C65" s="40"/>
      <c r="D65" s="40"/>
      <c r="E65" s="40"/>
      <c r="F65" s="40"/>
      <c r="G65" s="44"/>
      <c r="H65" s="40"/>
      <c r="I65" s="52"/>
      <c r="J65" s="40"/>
      <c r="K65" s="44"/>
      <c r="L65" s="40"/>
      <c r="M65" s="44"/>
      <c r="N65" s="40"/>
      <c r="O65" s="52"/>
      <c r="P65" s="52"/>
      <c r="Q65" s="52"/>
      <c r="R65" s="40"/>
      <c r="S65" s="115"/>
    </row>
    <row r="66" spans="1:19" ht="15" x14ac:dyDescent="0.25">
      <c r="A66" s="48">
        <f t="shared" si="1"/>
        <v>4</v>
      </c>
      <c r="B66" s="40"/>
      <c r="C66" s="44" t="s">
        <v>60</v>
      </c>
      <c r="D66" s="40"/>
      <c r="E66" s="48" t="s">
        <v>110</v>
      </c>
      <c r="F66" s="40"/>
      <c r="G66" s="44">
        <f>'Sch J-4'!AC105</f>
        <v>292250543.8014701</v>
      </c>
      <c r="H66" s="53"/>
      <c r="I66" s="52">
        <f>ROUND(G66/$G$72,5)</f>
        <v>0.44778000000000001</v>
      </c>
      <c r="J66" s="53"/>
      <c r="K66" s="44">
        <f>ROUND(I66*$G$78,0)</f>
        <v>0</v>
      </c>
      <c r="L66" s="53"/>
      <c r="M66" s="44">
        <f>G66+K66</f>
        <v>292250543.8014701</v>
      </c>
      <c r="N66" s="53"/>
      <c r="O66" s="52">
        <f>'Sch J-4'!I108</f>
        <v>4.5499999999999999E-2</v>
      </c>
      <c r="P66" s="52"/>
      <c r="Q66" s="52">
        <f>ROUND(O66*I66,4)</f>
        <v>2.0400000000000001E-2</v>
      </c>
      <c r="R66" s="40"/>
      <c r="S66" s="115"/>
    </row>
    <row r="67" spans="1:19" ht="15" x14ac:dyDescent="0.25">
      <c r="A67" s="48">
        <f t="shared" si="1"/>
        <v>5</v>
      </c>
      <c r="B67" s="40"/>
      <c r="C67" s="40"/>
      <c r="D67" s="40"/>
      <c r="E67" s="40"/>
      <c r="F67" s="40"/>
      <c r="G67" s="44"/>
      <c r="H67" s="40"/>
      <c r="I67" s="52"/>
      <c r="J67" s="40"/>
      <c r="K67" s="44"/>
      <c r="L67" s="40"/>
      <c r="M67" s="44"/>
      <c r="N67" s="40"/>
      <c r="O67" s="52"/>
      <c r="P67" s="52"/>
      <c r="Q67" s="52"/>
      <c r="R67" s="40"/>
      <c r="S67" s="115"/>
    </row>
    <row r="68" spans="1:19" ht="15" x14ac:dyDescent="0.25">
      <c r="A68" s="48">
        <f t="shared" si="1"/>
        <v>6</v>
      </c>
      <c r="B68" s="40"/>
      <c r="C68" s="44" t="s">
        <v>13</v>
      </c>
      <c r="D68" s="40"/>
      <c r="E68" s="48" t="s">
        <v>258</v>
      </c>
      <c r="F68" s="40"/>
      <c r="G68" s="44">
        <f>'Sch J-5'!O66</f>
        <v>2245654.35</v>
      </c>
      <c r="H68" s="53"/>
      <c r="I68" s="52">
        <f>ROUND(G68/$G$72,5)</f>
        <v>3.4399999999999999E-3</v>
      </c>
      <c r="J68" s="53"/>
      <c r="K68" s="44">
        <f>ROUND(I68*$G$78,0)</f>
        <v>0</v>
      </c>
      <c r="L68" s="53"/>
      <c r="M68" s="44">
        <f>G68+K68</f>
        <v>2245654.35</v>
      </c>
      <c r="N68" s="53"/>
      <c r="O68" s="52">
        <f>'Sch J-5'!G69</f>
        <v>8.5000000000000006E-2</v>
      </c>
      <c r="P68" s="52"/>
      <c r="Q68" s="52">
        <f>ROUND(O68*I68,4)</f>
        <v>2.9999999999999997E-4</v>
      </c>
      <c r="R68" s="40"/>
      <c r="S68" s="115"/>
    </row>
    <row r="69" spans="1:19" ht="15" x14ac:dyDescent="0.25">
      <c r="A69" s="48">
        <f t="shared" si="1"/>
        <v>7</v>
      </c>
      <c r="B69" s="40"/>
      <c r="C69" s="40"/>
      <c r="D69" s="40"/>
      <c r="E69" s="40"/>
      <c r="F69" s="40"/>
      <c r="G69" s="44"/>
      <c r="H69" s="40"/>
      <c r="I69" s="52"/>
      <c r="J69" s="40"/>
      <c r="K69" s="44"/>
      <c r="L69" s="40"/>
      <c r="M69" s="44"/>
      <c r="N69" s="40"/>
      <c r="O69" s="52"/>
      <c r="P69" s="52"/>
      <c r="Q69" s="52"/>
      <c r="R69" s="40"/>
      <c r="S69" s="115"/>
    </row>
    <row r="70" spans="1:19" ht="15" x14ac:dyDescent="0.25">
      <c r="A70" s="48">
        <f t="shared" si="1"/>
        <v>8</v>
      </c>
      <c r="B70" s="40"/>
      <c r="C70" s="44" t="s">
        <v>11</v>
      </c>
      <c r="D70" s="40"/>
      <c r="E70" s="48" t="str">
        <f>Linkin!C29</f>
        <v>W/P - 7-6</v>
      </c>
      <c r="F70" s="40"/>
      <c r="G70" s="128">
        <f>'Sch J WPs'!Q423</f>
        <v>342467542.65000015</v>
      </c>
      <c r="H70" s="53"/>
      <c r="I70" s="129">
        <f>ROUND(G70/$G$72,5)</f>
        <v>0.52471999999999996</v>
      </c>
      <c r="J70" s="53"/>
      <c r="K70" s="130">
        <f>G78-SUM(K64:K68)</f>
        <v>0.64000000000216917</v>
      </c>
      <c r="L70" s="53"/>
      <c r="M70" s="128">
        <f>G70+K70</f>
        <v>342467543.29000014</v>
      </c>
      <c r="N70" s="53"/>
      <c r="O70" s="52">
        <v>0.1075</v>
      </c>
      <c r="P70" s="52"/>
      <c r="Q70" s="131">
        <f>ROUND(O70*I70,4)</f>
        <v>5.6399999999999999E-2</v>
      </c>
      <c r="R70" s="40"/>
      <c r="S70" s="115"/>
    </row>
    <row r="71" spans="1:19" ht="15" x14ac:dyDescent="0.25">
      <c r="A71" s="48">
        <f t="shared" si="1"/>
        <v>9</v>
      </c>
      <c r="B71" s="40"/>
      <c r="C71" s="40"/>
      <c r="D71" s="40"/>
      <c r="E71" s="40"/>
      <c r="F71" s="40"/>
      <c r="G71" s="44"/>
      <c r="H71" s="40"/>
      <c r="I71" s="52"/>
      <c r="J71" s="40"/>
      <c r="K71" s="127"/>
      <c r="L71" s="40"/>
      <c r="M71" s="44"/>
      <c r="N71" s="40"/>
      <c r="O71" s="52"/>
      <c r="P71" s="52"/>
      <c r="Q71" s="52"/>
      <c r="R71" s="40"/>
      <c r="S71" s="115"/>
    </row>
    <row r="72" spans="1:19" ht="15.75" thickBot="1" x14ac:dyDescent="0.3">
      <c r="A72" s="48">
        <f t="shared" si="1"/>
        <v>10</v>
      </c>
      <c r="B72" s="40"/>
      <c r="C72" s="44" t="s">
        <v>100</v>
      </c>
      <c r="D72" s="40"/>
      <c r="E72" s="40"/>
      <c r="F72" s="40"/>
      <c r="G72" s="69">
        <f>SUM(G64:G70)</f>
        <v>652668508.69147027</v>
      </c>
      <c r="H72" s="51"/>
      <c r="I72" s="55">
        <f>SUM(I64:I70)</f>
        <v>1</v>
      </c>
      <c r="J72" s="51"/>
      <c r="K72" s="150">
        <f>SUM(K64:K70)</f>
        <v>0.64000000000216917</v>
      </c>
      <c r="L72" s="51"/>
      <c r="M72" s="69">
        <f>SUM(M64:M70)</f>
        <v>652668509.33147025</v>
      </c>
      <c r="N72" s="51"/>
      <c r="O72" s="52"/>
      <c r="P72" s="52"/>
      <c r="Q72" s="55">
        <f>SUM(Q64:Q70)</f>
        <v>7.8200000000000006E-2</v>
      </c>
      <c r="R72" s="40"/>
      <c r="S72" s="115"/>
    </row>
    <row r="73" spans="1:19" ht="15.75" thickTop="1" x14ac:dyDescent="0.25">
      <c r="A73" s="48">
        <f t="shared" si="1"/>
        <v>11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</row>
    <row r="74" spans="1:19" ht="15" x14ac:dyDescent="0.25">
      <c r="A74" s="48">
        <f t="shared" si="1"/>
        <v>12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</row>
    <row r="75" spans="1:19" ht="15" x14ac:dyDescent="0.25">
      <c r="A75" s="48">
        <f t="shared" si="1"/>
        <v>13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19" ht="15" x14ac:dyDescent="0.25">
      <c r="A76" s="48">
        <f t="shared" si="1"/>
        <v>14</v>
      </c>
      <c r="B76" s="40"/>
      <c r="C76" s="40"/>
      <c r="D76" s="40"/>
      <c r="E76" s="40"/>
      <c r="F76" s="40"/>
      <c r="G76" s="56"/>
      <c r="H76" s="56"/>
      <c r="I76" s="40"/>
      <c r="J76" s="40"/>
      <c r="K76" s="40"/>
      <c r="L76" s="40"/>
      <c r="M76" s="56"/>
      <c r="N76" s="56"/>
      <c r="O76" s="40"/>
      <c r="P76" s="40"/>
      <c r="Q76" s="40"/>
      <c r="R76" s="40"/>
      <c r="S76" s="40"/>
    </row>
    <row r="77" spans="1:19" ht="15" x14ac:dyDescent="0.25">
      <c r="A77" s="48">
        <f t="shared" si="1"/>
        <v>15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56"/>
      <c r="N77" s="56"/>
      <c r="O77" s="40"/>
      <c r="P77" s="40"/>
      <c r="Q77" s="40"/>
      <c r="R77" s="40"/>
      <c r="S77" s="40"/>
    </row>
    <row r="78" spans="1:19" ht="15.75" thickBot="1" x14ac:dyDescent="0.3">
      <c r="A78" s="48">
        <f t="shared" si="1"/>
        <v>16</v>
      </c>
      <c r="B78" s="40"/>
      <c r="C78" s="44" t="s">
        <v>102</v>
      </c>
      <c r="D78" s="40"/>
      <c r="E78" s="85" t="str">
        <f>Linkin!C30</f>
        <v>W/P - 7-7</v>
      </c>
      <c r="F78" s="40"/>
      <c r="G78" s="69">
        <f>'Sch J WPs'!Q450</f>
        <v>0.64000000000216917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</row>
    <row r="79" spans="1:19" ht="15.75" thickTop="1" x14ac:dyDescent="0.25">
      <c r="A79" s="4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</row>
    <row r="80" spans="1:19" ht="15" x14ac:dyDescent="0.25">
      <c r="A80" s="4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1:19" ht="15" x14ac:dyDescent="0.25">
      <c r="A81" s="4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</row>
    <row r="82" spans="1:19" ht="15" x14ac:dyDescent="0.25">
      <c r="A82" s="48"/>
      <c r="B82" s="40"/>
      <c r="C82" s="40"/>
      <c r="D82" s="40"/>
      <c r="E82" s="40"/>
      <c r="F82" s="40"/>
      <c r="G82" s="40"/>
      <c r="H82" s="40"/>
      <c r="I82" s="40"/>
      <c r="J82" s="40"/>
      <c r="K82" s="40" t="s">
        <v>101</v>
      </c>
      <c r="L82" s="40"/>
      <c r="M82" s="40"/>
      <c r="N82" s="40"/>
      <c r="O82" s="40"/>
      <c r="P82" s="40"/>
      <c r="Q82" s="40"/>
      <c r="R82" s="40"/>
      <c r="S82" s="40"/>
    </row>
    <row r="83" spans="1:19" ht="15" x14ac:dyDescent="0.25">
      <c r="A83" s="4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</row>
    <row r="84" spans="1:19" ht="15" x14ac:dyDescent="0.25">
      <c r="A84" s="4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</row>
    <row r="85" spans="1:19" ht="15" x14ac:dyDescent="0.25">
      <c r="A85" s="4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1:19" ht="15" x14ac:dyDescent="0.25">
      <c r="A86" s="4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</row>
    <row r="87" spans="1:19" ht="15" x14ac:dyDescent="0.25">
      <c r="A87" s="4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</row>
    <row r="88" spans="1:19" ht="15" x14ac:dyDescent="0.25">
      <c r="A88" s="4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</row>
    <row r="89" spans="1:19" ht="15" x14ac:dyDescent="0.25">
      <c r="A89" s="4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</row>
    <row r="90" spans="1:19" ht="15" x14ac:dyDescent="0.25">
      <c r="A90" s="4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</row>
    <row r="91" spans="1:19" ht="15" x14ac:dyDescent="0.25">
      <c r="A91" s="4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</row>
    <row r="92" spans="1:19" ht="15" x14ac:dyDescent="0.25">
      <c r="A92" s="4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19" ht="15" x14ac:dyDescent="0.25">
      <c r="A93" s="4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</row>
    <row r="94" spans="1:19" ht="15" x14ac:dyDescent="0.25">
      <c r="A94" s="4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  <row r="95" spans="1:19" ht="15" x14ac:dyDescent="0.25">
      <c r="A95" s="4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</row>
    <row r="96" spans="1:19" ht="15" x14ac:dyDescent="0.25">
      <c r="A96" s="4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</row>
    <row r="97" spans="1:19" ht="15" x14ac:dyDescent="0.25">
      <c r="A97" s="4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</row>
    <row r="98" spans="1:19" ht="15" x14ac:dyDescent="0.25">
      <c r="A98" s="4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</sheetData>
  <customSheetViews>
    <customSheetView guid="{3504B966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1"/>
      <headerFooter alignWithMargins="0"/>
    </customSheetView>
    <customSheetView guid="{3504B956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2"/>
      <headerFooter alignWithMargins="0"/>
    </customSheetView>
    <customSheetView guid="{3504B955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3"/>
      <headerFooter alignWithMargins="0"/>
    </customSheetView>
    <customSheetView guid="{3504B954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4"/>
      <headerFooter alignWithMargins="0"/>
    </customSheetView>
    <customSheetView guid="{3504B953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5"/>
      <headerFooter alignWithMargins="0"/>
    </customSheetView>
    <customSheetView guid="{3504B952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6"/>
      <headerFooter alignWithMargins="0"/>
    </customSheetView>
    <customSheetView guid="{3504B951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7"/>
      <headerFooter alignWithMargins="0"/>
    </customSheetView>
    <customSheetView guid="{3504B950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8"/>
      <headerFooter alignWithMargins="0"/>
    </customSheetView>
    <customSheetView guid="{3504B94E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9"/>
      <headerFooter alignWithMargins="0"/>
    </customSheetView>
    <customSheetView guid="{3504B94D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10"/>
      <headerFooter alignWithMargins="0"/>
    </customSheetView>
    <customSheetView guid="{3504B94C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11"/>
      <headerFooter alignWithMargins="0"/>
    </customSheetView>
    <customSheetView guid="{3504B94B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12"/>
      <headerFooter alignWithMargins="0"/>
    </customSheetView>
    <customSheetView guid="{3504B94A-F634-11D2-9451-0008C780B76A}" scale="75" showPageBreaks="1" printArea="1" showRuler="0" topLeftCell="J1">
      <selection activeCell="O131" activeCellId="5" sqref="O441 O379 O317 O255 O193 O131"/>
      <pageMargins left="0" right="0" top="0" bottom="0" header="0" footer="0"/>
      <printOptions horizontalCentered="1"/>
      <pageSetup scale="64" orientation="landscape" r:id="rId13"/>
      <headerFooter alignWithMargins="0"/>
    </customSheetView>
    <customSheetView guid="{42E2132E-130A-11D4-8702-444553540000}" scale="87" printArea="1" showRuler="0">
      <rowBreaks count="8" manualBreakCount="8">
        <brk id="62" max="14" man="1"/>
        <brk id="124" max="14" man="1"/>
        <brk id="186" max="14" man="1"/>
        <brk id="248" max="14" man="1"/>
        <brk id="310" max="14" man="1"/>
        <brk id="372" max="14" man="1"/>
        <brk id="434" max="14" man="1"/>
        <brk id="496" max="14" man="1"/>
      </rowBreaks>
      <pageMargins left="0" right="0" top="0" bottom="0" header="0" footer="0"/>
      <printOptions horizontalCentered="1"/>
      <pageSetup scale="61" orientation="landscape" r:id="rId14"/>
      <headerFooter alignWithMargins="0">
        <oddFooter>&amp;L&amp;D       &amp;T&amp;C&amp;F        &amp;A&amp;RPage &amp;P of &amp;N</oddFooter>
      </headerFooter>
    </customSheetView>
  </customSheetViews>
  <phoneticPr fontId="0" type="noConversion"/>
  <printOptions horizontalCentered="1"/>
  <pageMargins left="0.75" right="0.75" top="1" bottom="0.5" header="0" footer="0.25"/>
  <pageSetup scale="85" orientation="landscape" r:id="rId15"/>
  <headerFooter alignWithMargins="0"/>
  <rowBreaks count="1" manualBreakCount="1">
    <brk id="38" max="17" man="1"/>
  </rowBreaks>
  <customProperties>
    <customPr name="_pios_id" r:id="rId16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:N95"/>
  <sheetViews>
    <sheetView view="pageBreakPreview" zoomScale="80" zoomScaleNormal="100" zoomScaleSheetLayoutView="80" workbookViewId="0">
      <selection activeCell="C1" sqref="C1"/>
    </sheetView>
  </sheetViews>
  <sheetFormatPr defaultColWidth="16.7109375" defaultRowHeight="14.25" x14ac:dyDescent="0.2"/>
  <cols>
    <col min="1" max="1" width="4.7109375" style="41" customWidth="1"/>
    <col min="2" max="2" width="1.7109375" style="41" customWidth="1"/>
    <col min="3" max="3" width="32.140625" style="41" bestFit="1" customWidth="1"/>
    <col min="4" max="4" width="1.7109375" style="41" customWidth="1"/>
    <col min="5" max="5" width="10.140625" style="41" bestFit="1" customWidth="1"/>
    <col min="6" max="6" width="1.7109375" style="41" customWidth="1"/>
    <col min="7" max="7" width="13" style="41" customWidth="1"/>
    <col min="8" max="8" width="1.7109375" style="41" customWidth="1"/>
    <col min="9" max="9" width="8.140625" style="41" customWidth="1"/>
    <col min="10" max="10" width="1.7109375" style="41" customWidth="1"/>
    <col min="11" max="12" width="13.28515625" style="41" customWidth="1"/>
    <col min="13" max="13" width="15.7109375" style="41" customWidth="1"/>
    <col min="14" max="14" width="14.42578125" style="41" bestFit="1" customWidth="1"/>
    <col min="15" max="18" width="16.7109375" style="41"/>
    <col min="19" max="19" width="15" style="41" customWidth="1"/>
    <col min="20" max="16384" width="16.7109375" style="41"/>
  </cols>
  <sheetData>
    <row r="1" spans="1:14" ht="15" x14ac:dyDescent="0.25">
      <c r="A1" s="42" t="str">
        <f>Linkin!A1</f>
        <v>Kentucky American Water Company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14" ht="15" x14ac:dyDescent="0.25">
      <c r="A2" s="42" t="str">
        <f>Linkin!A3</f>
        <v>Case No. 2025-00122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15" x14ac:dyDescent="0.25">
      <c r="A3" s="42" t="str">
        <f>Linkin!E41</f>
        <v>Embedded Cost of Short-Term Debt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4" ht="15" x14ac:dyDescent="0.25">
      <c r="A4" s="42" t="str">
        <f>Linkin!C11</f>
        <v>As of December 31, 2026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15" x14ac:dyDescent="0.25">
      <c r="A5" s="42"/>
      <c r="B5" s="160"/>
      <c r="C5" s="42"/>
      <c r="D5" s="42"/>
      <c r="E5" s="42"/>
      <c r="F5" s="42"/>
      <c r="G5" s="43"/>
      <c r="H5" s="43"/>
      <c r="I5" s="43"/>
      <c r="J5" s="43"/>
      <c r="K5" s="43"/>
      <c r="L5" s="43"/>
      <c r="M5" s="43"/>
      <c r="N5" s="43"/>
    </row>
    <row r="6" spans="1:14" ht="15" x14ac:dyDescent="0.25">
      <c r="A6" s="83" t="s">
        <v>83</v>
      </c>
      <c r="B6" s="160"/>
      <c r="C6" s="42"/>
      <c r="D6" s="42"/>
      <c r="E6" s="42"/>
      <c r="F6" s="42"/>
      <c r="G6" s="43"/>
      <c r="H6" s="43"/>
      <c r="I6" s="43"/>
      <c r="J6" s="43"/>
      <c r="K6" s="43"/>
      <c r="L6" s="43"/>
      <c r="M6" s="46" t="s">
        <v>114</v>
      </c>
    </row>
    <row r="7" spans="1:14" ht="15" x14ac:dyDescent="0.25">
      <c r="A7" s="40" t="str">
        <f>Linkin!A17</f>
        <v>Type of Filing: _____ Original  __X__ Updated  _____ Revised</v>
      </c>
      <c r="B7" s="160"/>
      <c r="C7" s="42"/>
      <c r="D7" s="42"/>
      <c r="E7" s="42"/>
      <c r="F7" s="42"/>
      <c r="G7" s="43"/>
      <c r="H7" s="43"/>
      <c r="I7" s="43"/>
      <c r="J7" s="43"/>
      <c r="K7" s="43"/>
      <c r="L7" s="43"/>
      <c r="M7" s="86" t="s">
        <v>261</v>
      </c>
    </row>
    <row r="8" spans="1:14" ht="15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6" t="str">
        <f>Linkin!G41</f>
        <v>Witness Responsible:   Jennifer Gonzales</v>
      </c>
    </row>
    <row r="9" spans="1:14" ht="15" x14ac:dyDescent="0.25">
      <c r="A9" s="44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86" t="s">
        <v>104</v>
      </c>
    </row>
    <row r="10" spans="1:14" ht="15" x14ac:dyDescent="0.25">
      <c r="A10" s="44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6"/>
    </row>
    <row r="11" spans="1:14" ht="15" x14ac:dyDescent="0.25">
      <c r="A11" s="44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6"/>
    </row>
    <row r="12" spans="1:14" ht="15" x14ac:dyDescent="0.25">
      <c r="A12" s="4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5" x14ac:dyDescent="0.25">
      <c r="A13" s="44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5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5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5" x14ac:dyDescent="0.25">
      <c r="A16" s="49" t="s">
        <v>86</v>
      </c>
      <c r="B16" s="40"/>
      <c r="C16" s="40"/>
      <c r="D16" s="40"/>
      <c r="E16" s="40"/>
      <c r="F16" s="40"/>
      <c r="G16" s="49" t="s">
        <v>108</v>
      </c>
      <c r="H16" s="40"/>
      <c r="I16" s="49" t="s">
        <v>115</v>
      </c>
      <c r="J16" s="40"/>
      <c r="K16" s="49" t="s">
        <v>115</v>
      </c>
      <c r="L16" s="49"/>
      <c r="M16" s="40"/>
      <c r="N16" s="40"/>
    </row>
    <row r="17" spans="1:14" ht="15.75" thickBot="1" x14ac:dyDescent="0.3">
      <c r="A17" s="50" t="s">
        <v>91</v>
      </c>
      <c r="B17" s="44"/>
      <c r="C17" s="50" t="s">
        <v>116</v>
      </c>
      <c r="D17" s="44"/>
      <c r="E17" s="50" t="s">
        <v>93</v>
      </c>
      <c r="F17" s="44"/>
      <c r="G17" s="50" t="s">
        <v>117</v>
      </c>
      <c r="H17" s="48"/>
      <c r="I17" s="50" t="s">
        <v>118</v>
      </c>
      <c r="J17" s="48"/>
      <c r="K17" s="50" t="s">
        <v>119</v>
      </c>
      <c r="L17" s="48"/>
      <c r="M17" s="48"/>
      <c r="N17" s="44"/>
    </row>
    <row r="18" spans="1:14" ht="15" x14ac:dyDescent="0.25">
      <c r="A18" s="48">
        <v>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5" x14ac:dyDescent="0.25">
      <c r="A19" s="48">
        <f>A18+1</f>
        <v>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5" x14ac:dyDescent="0.25">
      <c r="A20" s="48">
        <f t="shared" ref="A20:A24" si="0">A19+1</f>
        <v>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5.75" thickBot="1" x14ac:dyDescent="0.3">
      <c r="A21" s="48">
        <f t="shared" si="0"/>
        <v>4</v>
      </c>
      <c r="B21" s="40"/>
      <c r="C21" s="44" t="s">
        <v>120</v>
      </c>
      <c r="D21" s="44"/>
      <c r="E21" s="48" t="str">
        <f>Linkin!C26</f>
        <v>W/P - 7-3</v>
      </c>
      <c r="F21" s="44"/>
      <c r="G21" s="62">
        <f>'Sch J WPs'!AG393</f>
        <v>16412973.364313511</v>
      </c>
      <c r="H21" s="40"/>
      <c r="I21" s="55">
        <f>'Sch J WPs'!AG396</f>
        <v>4.1512E-2</v>
      </c>
      <c r="J21" s="40"/>
      <c r="K21" s="62">
        <f>ROUND(I21*G21,0)</f>
        <v>681335</v>
      </c>
      <c r="L21" s="56"/>
      <c r="M21" s="40"/>
      <c r="N21" s="40"/>
    </row>
    <row r="22" spans="1:14" ht="15.75" thickTop="1" x14ac:dyDescent="0.25">
      <c r="A22" s="48">
        <f t="shared" si="0"/>
        <v>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5" x14ac:dyDescent="0.25">
      <c r="A23" s="48">
        <f t="shared" si="0"/>
        <v>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5.75" thickBot="1" x14ac:dyDescent="0.3">
      <c r="A24" s="48">
        <f t="shared" si="0"/>
        <v>7</v>
      </c>
      <c r="B24" s="40"/>
      <c r="C24" s="44" t="s">
        <v>121</v>
      </c>
      <c r="D24" s="44"/>
      <c r="E24" s="44"/>
      <c r="F24" s="44"/>
      <c r="G24" s="55">
        <f>I21</f>
        <v>4.1512E-2</v>
      </c>
      <c r="H24" s="40"/>
      <c r="I24" s="40"/>
      <c r="J24" s="40"/>
      <c r="K24" s="40"/>
      <c r="L24" s="40"/>
      <c r="M24" s="40"/>
      <c r="N24" s="40"/>
    </row>
    <row r="25" spans="1:14" ht="15.75" thickTop="1" x14ac:dyDescent="0.25">
      <c r="A25" s="4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15" x14ac:dyDescent="0.25">
      <c r="A26" s="48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ht="15" x14ac:dyDescent="0.25">
      <c r="A27" s="4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ht="15" x14ac:dyDescent="0.25">
      <c r="A28" s="4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ht="15" x14ac:dyDescent="0.25">
      <c r="A29" s="4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ht="15" x14ac:dyDescent="0.25">
      <c r="A30" s="4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15" x14ac:dyDescent="0.25">
      <c r="A31" s="42" t="str">
        <f>A1</f>
        <v>Kentucky American Water Company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</row>
    <row r="32" spans="1:14" ht="15" x14ac:dyDescent="0.25">
      <c r="A32" s="42" t="str">
        <f>A2</f>
        <v>Case No. 2025-00122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</row>
    <row r="33" spans="1:14" ht="15" x14ac:dyDescent="0.25">
      <c r="A33" s="42" t="str">
        <f>Linkin!E42</f>
        <v>Embedded Cost of Short-Term Debt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</row>
    <row r="34" spans="1:14" ht="15" x14ac:dyDescent="0.25">
      <c r="A34" s="42" t="str">
        <f>Linkin!C6</f>
        <v>As of August 2025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3"/>
    </row>
    <row r="35" spans="1:14" ht="15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ht="15" x14ac:dyDescent="0.25">
      <c r="A36" s="83" t="s">
        <v>112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6" t="s">
        <v>114</v>
      </c>
    </row>
    <row r="37" spans="1:14" ht="15" x14ac:dyDescent="0.25">
      <c r="A37" s="44" t="str">
        <f>Linkin!A17</f>
        <v>Type of Filing: _____ Original  __X__ Updated  _____ Revised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86" t="str">
        <f>M7</f>
        <v>KAW_R_PSCHDR_NUM002_100625_Attachment  Sch J-3</v>
      </c>
    </row>
    <row r="38" spans="1:14" ht="15" x14ac:dyDescent="0.2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86" t="str">
        <f>Linkin!G42</f>
        <v>Witness Responsible:   Jennifer Gonzales</v>
      </c>
    </row>
    <row r="39" spans="1:14" ht="15" x14ac:dyDescent="0.25">
      <c r="A39" s="44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86" t="s">
        <v>113</v>
      </c>
    </row>
    <row r="40" spans="1:14" ht="15" x14ac:dyDescent="0.25">
      <c r="A40" s="44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6"/>
    </row>
    <row r="41" spans="1:14" ht="15" x14ac:dyDescent="0.25">
      <c r="A41" s="44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6"/>
    </row>
    <row r="42" spans="1:14" ht="15" x14ac:dyDescent="0.25">
      <c r="A42" s="44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4" ht="15" x14ac:dyDescent="0.25">
      <c r="A43" s="44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1:14" ht="15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4" ht="15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4" ht="15" x14ac:dyDescent="0.25">
      <c r="A46" s="49" t="s">
        <v>86</v>
      </c>
      <c r="B46" s="40"/>
      <c r="C46" s="40"/>
      <c r="D46" s="40"/>
      <c r="E46" s="40"/>
      <c r="F46" s="40"/>
      <c r="G46" s="49" t="s">
        <v>108</v>
      </c>
      <c r="H46" s="40"/>
      <c r="I46" s="49" t="s">
        <v>115</v>
      </c>
      <c r="J46" s="40"/>
      <c r="K46" s="49" t="s">
        <v>115</v>
      </c>
      <c r="L46" s="49"/>
      <c r="M46" s="40"/>
      <c r="N46" s="40"/>
    </row>
    <row r="47" spans="1:14" ht="15.75" thickBot="1" x14ac:dyDescent="0.3">
      <c r="A47" s="50" t="s">
        <v>91</v>
      </c>
      <c r="B47" s="44"/>
      <c r="C47" s="50" t="s">
        <v>116</v>
      </c>
      <c r="D47" s="44"/>
      <c r="E47" s="50" t="s">
        <v>93</v>
      </c>
      <c r="F47" s="44"/>
      <c r="G47" s="50" t="s">
        <v>117</v>
      </c>
      <c r="H47" s="48"/>
      <c r="I47" s="50" t="s">
        <v>118</v>
      </c>
      <c r="J47" s="48"/>
      <c r="K47" s="50" t="s">
        <v>119</v>
      </c>
      <c r="L47" s="48"/>
      <c r="M47" s="48"/>
      <c r="N47" s="44"/>
    </row>
    <row r="48" spans="1:14" ht="15" x14ac:dyDescent="0.25">
      <c r="A48" s="48">
        <v>1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</row>
    <row r="49" spans="1:14" ht="15" x14ac:dyDescent="0.25">
      <c r="A49" s="48">
        <f>A48+1</f>
        <v>2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1:14" ht="15" x14ac:dyDescent="0.25">
      <c r="A50" s="48">
        <f t="shared" ref="A50:A54" si="1">A49+1</f>
        <v>3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1:14" ht="15.75" thickBot="1" x14ac:dyDescent="0.3">
      <c r="A51" s="48">
        <f t="shared" si="1"/>
        <v>4</v>
      </c>
      <c r="B51" s="40"/>
      <c r="C51" s="44" t="s">
        <v>120</v>
      </c>
      <c r="D51" s="44"/>
      <c r="E51" s="48" t="str">
        <f>Linkin!C26</f>
        <v>W/P - 7-3</v>
      </c>
      <c r="F51" s="44"/>
      <c r="G51" s="62">
        <f>'Sch J WPs'!Q393</f>
        <v>15704767.890000001</v>
      </c>
      <c r="H51" s="40"/>
      <c r="I51" s="55">
        <f>'Sch J WPs'!Q396</f>
        <v>4.5469660999999995E-2</v>
      </c>
      <c r="J51" s="40"/>
      <c r="K51" s="62">
        <f>ROUND(I51*G51,0)</f>
        <v>714090</v>
      </c>
      <c r="L51" s="56"/>
      <c r="M51" s="40"/>
      <c r="N51" s="40"/>
    </row>
    <row r="52" spans="1:14" ht="15.75" thickTop="1" x14ac:dyDescent="0.25">
      <c r="A52" s="48">
        <f t="shared" si="1"/>
        <v>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</row>
    <row r="53" spans="1:14" ht="15" x14ac:dyDescent="0.25">
      <c r="A53" s="48">
        <f t="shared" si="1"/>
        <v>6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</row>
    <row r="54" spans="1:14" ht="15.75" thickBot="1" x14ac:dyDescent="0.3">
      <c r="A54" s="48">
        <f t="shared" si="1"/>
        <v>7</v>
      </c>
      <c r="B54" s="40"/>
      <c r="C54" s="44" t="s">
        <v>121</v>
      </c>
      <c r="D54" s="44"/>
      <c r="E54" s="44"/>
      <c r="F54" s="44"/>
      <c r="G54" s="55">
        <f>I51</f>
        <v>4.5469660999999995E-2</v>
      </c>
      <c r="H54" s="40"/>
      <c r="I54" s="40"/>
      <c r="J54" s="40"/>
      <c r="K54" s="40"/>
      <c r="L54" s="40"/>
      <c r="M54" s="40"/>
      <c r="N54" s="40"/>
    </row>
    <row r="55" spans="1:14" ht="15.75" thickTop="1" x14ac:dyDescent="0.25">
      <c r="A55" s="4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</row>
    <row r="56" spans="1:14" ht="15" x14ac:dyDescent="0.25">
      <c r="A56" s="4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</row>
    <row r="57" spans="1:14" ht="15" x14ac:dyDescent="0.25">
      <c r="A57" s="4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x14ac:dyDescent="0.25">
      <c r="A58" s="4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x14ac:dyDescent="0.25">
      <c r="A59" s="4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ht="15" x14ac:dyDescent="0.25">
      <c r="A60" s="4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4" ht="15" x14ac:dyDescent="0.25">
      <c r="A61" s="4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1:14" ht="15" x14ac:dyDescent="0.25">
      <c r="A62" s="4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</row>
    <row r="63" spans="1:14" ht="15" x14ac:dyDescent="0.25">
      <c r="A63" s="4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</row>
    <row r="64" spans="1:14" ht="15" x14ac:dyDescent="0.25">
      <c r="A64" s="4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</row>
    <row r="65" spans="1:14" ht="15" x14ac:dyDescent="0.25">
      <c r="A65" s="4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6" spans="1:14" ht="15" x14ac:dyDescent="0.25">
      <c r="A66" s="4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1:14" ht="15" x14ac:dyDescent="0.25">
      <c r="A67" s="4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</row>
    <row r="68" spans="1:14" ht="15" x14ac:dyDescent="0.25">
      <c r="A68" s="4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1:14" ht="15" x14ac:dyDescent="0.25">
      <c r="A69" s="4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</row>
    <row r="70" spans="1:14" ht="15" x14ac:dyDescent="0.25">
      <c r="A70" s="4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</row>
    <row r="71" spans="1:14" ht="15" x14ac:dyDescent="0.25">
      <c r="A71" s="4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</row>
    <row r="72" spans="1:14" ht="15" x14ac:dyDescent="0.25">
      <c r="A72" s="4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</row>
    <row r="73" spans="1:14" ht="15" x14ac:dyDescent="0.25">
      <c r="A73" s="4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</row>
    <row r="74" spans="1:14" ht="15" x14ac:dyDescent="0.25">
      <c r="A74" s="4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</row>
    <row r="75" spans="1:14" ht="15" x14ac:dyDescent="0.25">
      <c r="A75" s="4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</row>
    <row r="76" spans="1:14" ht="15" x14ac:dyDescent="0.25">
      <c r="A76" s="4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</row>
    <row r="77" spans="1:14" ht="15" x14ac:dyDescent="0.25">
      <c r="A77" s="4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</row>
    <row r="78" spans="1:14" ht="15" x14ac:dyDescent="0.25">
      <c r="A78" s="4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</row>
    <row r="79" spans="1:14" ht="15" x14ac:dyDescent="0.25">
      <c r="A79" s="4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</row>
    <row r="80" spans="1:14" ht="15" x14ac:dyDescent="0.25">
      <c r="A80" s="4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</row>
    <row r="81" spans="1:14" ht="15" x14ac:dyDescent="0.25">
      <c r="A81" s="4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</row>
    <row r="82" spans="1:14" ht="15" x14ac:dyDescent="0.25">
      <c r="A82" s="4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</row>
    <row r="83" spans="1:14" ht="15" x14ac:dyDescent="0.25">
      <c r="A83" s="4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</row>
    <row r="84" spans="1:14" ht="15" x14ac:dyDescent="0.25">
      <c r="A84" s="4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</row>
    <row r="85" spans="1:14" ht="15" x14ac:dyDescent="0.25">
      <c r="A85" s="4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ht="15" x14ac:dyDescent="0.25">
      <c r="A86" s="4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 ht="15" x14ac:dyDescent="0.25">
      <c r="A87" s="4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4" ht="15" x14ac:dyDescent="0.25">
      <c r="A88" s="4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ht="15" x14ac:dyDescent="0.25">
      <c r="A89" s="4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</row>
    <row r="90" spans="1:14" ht="15" x14ac:dyDescent="0.25">
      <c r="A90" s="4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</row>
    <row r="91" spans="1:14" ht="15" x14ac:dyDescent="0.25">
      <c r="A91" s="4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</row>
    <row r="92" spans="1:14" ht="15" x14ac:dyDescent="0.25">
      <c r="A92" s="4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</row>
    <row r="93" spans="1:14" x14ac:dyDescent="0.2">
      <c r="A93" s="47"/>
    </row>
    <row r="94" spans="1:14" x14ac:dyDescent="0.2">
      <c r="A94" s="47"/>
    </row>
    <row r="95" spans="1:14" x14ac:dyDescent="0.2">
      <c r="A95" s="47"/>
    </row>
  </sheetData>
  <printOptions horizontalCentered="1"/>
  <pageMargins left="0.75" right="0.75" top="1" bottom="0.5" header="0" footer="0.25"/>
  <pageSetup orientation="landscape" r:id="rId1"/>
  <headerFooter alignWithMargins="0"/>
  <rowBreaks count="1" manualBreakCount="1">
    <brk id="30" max="11" man="1"/>
  </rowBreaks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autoPageBreaks="0"/>
  </sheetPr>
  <dimension ref="A1:AD121"/>
  <sheetViews>
    <sheetView view="pageBreakPreview" zoomScale="80" zoomScaleNormal="90" zoomScaleSheetLayoutView="80" workbookViewId="0">
      <selection activeCell="AC40" sqref="AC40"/>
    </sheetView>
  </sheetViews>
  <sheetFormatPr defaultColWidth="16.7109375" defaultRowHeight="14.25" x14ac:dyDescent="0.2"/>
  <cols>
    <col min="1" max="1" width="7" style="41" customWidth="1"/>
    <col min="2" max="2" width="1.7109375" style="41" customWidth="1"/>
    <col min="3" max="3" width="34.28515625" style="41" customWidth="1"/>
    <col min="4" max="4" width="1.7109375" style="41" customWidth="1"/>
    <col min="5" max="5" width="17.85546875" style="41" bestFit="1" customWidth="1"/>
    <col min="6" max="6" width="1.7109375" style="41" customWidth="1"/>
    <col min="7" max="7" width="12.5703125" style="41" customWidth="1"/>
    <col min="8" max="8" width="1.7109375" style="41" customWidth="1"/>
    <col min="9" max="9" width="18.85546875" style="41" customWidth="1"/>
    <col min="10" max="10" width="1.7109375" style="41" customWidth="1"/>
    <col min="11" max="11" width="8.42578125" style="41" bestFit="1" customWidth="1"/>
    <col min="12" max="12" width="1.85546875" style="41" customWidth="1"/>
    <col min="13" max="13" width="10" style="41" bestFit="1" customWidth="1"/>
    <col min="14" max="14" width="1.7109375" style="41" customWidth="1"/>
    <col min="15" max="15" width="10.42578125" style="41" bestFit="1" customWidth="1"/>
    <col min="16" max="16" width="1.7109375" style="41" customWidth="1"/>
    <col min="17" max="17" width="14" style="41" bestFit="1" customWidth="1"/>
    <col min="18" max="18" width="1.7109375" style="41" customWidth="1"/>
    <col min="19" max="19" width="16.140625" style="41" customWidth="1"/>
    <col min="20" max="20" width="1.7109375" style="41" customWidth="1"/>
    <col min="21" max="21" width="14" style="41" bestFit="1" customWidth="1"/>
    <col min="22" max="22" width="1.7109375" style="41" customWidth="1"/>
    <col min="23" max="23" width="14" style="41" bestFit="1" customWidth="1"/>
    <col min="24" max="24" width="1.7109375" style="41" customWidth="1"/>
    <col min="25" max="25" width="14" style="41" bestFit="1" customWidth="1"/>
    <col min="26" max="26" width="1.7109375" style="41" customWidth="1"/>
    <col min="27" max="27" width="11.28515625" style="41" bestFit="1" customWidth="1"/>
    <col min="28" max="28" width="1.7109375" style="41" customWidth="1"/>
    <col min="29" max="29" width="25" style="41" customWidth="1"/>
    <col min="30" max="30" width="8.42578125" style="41" customWidth="1"/>
    <col min="31" max="16384" width="16.7109375" style="41"/>
  </cols>
  <sheetData>
    <row r="1" spans="1:29" ht="15" x14ac:dyDescent="0.25">
      <c r="A1" s="42" t="str">
        <f>Linkin!A1</f>
        <v>Kentucky American Water Company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5" x14ac:dyDescent="0.25">
      <c r="A2" s="42" t="str">
        <f>Linkin!A3</f>
        <v>Case No. 2025-00122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ht="15" x14ac:dyDescent="0.25">
      <c r="A3" s="42" t="str">
        <f>Linkin!E43</f>
        <v>Embedded Cost of Long-Term Debt</v>
      </c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ht="15" x14ac:dyDescent="0.25">
      <c r="A4" s="45" t="str">
        <f>Linkin!C11</f>
        <v>As of December 31, 2026</v>
      </c>
      <c r="B4" s="45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ht="15" x14ac:dyDescent="0.25">
      <c r="A5" s="45"/>
      <c r="B5" s="45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ht="15" x14ac:dyDescent="0.25">
      <c r="A6" s="83" t="s">
        <v>83</v>
      </c>
      <c r="B6" s="4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6" t="s">
        <v>122</v>
      </c>
    </row>
    <row r="7" spans="1:29" ht="15" x14ac:dyDescent="0.25">
      <c r="A7" s="44" t="str">
        <f>Linkin!A17</f>
        <v>Type of Filing: _____ Original  __X__ Updated  _____ Revised</v>
      </c>
      <c r="B7" s="44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86" t="s">
        <v>262</v>
      </c>
    </row>
    <row r="8" spans="1:29" ht="15" x14ac:dyDescent="0.25">
      <c r="A8" s="40" t="str">
        <f>"Workpaper Reference No(s):  " &amp;Linkin!C27</f>
        <v>Workpaper Reference No(s):  W/P - 7-4</v>
      </c>
      <c r="B8" s="44"/>
      <c r="C8" s="40"/>
      <c r="D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86" t="str">
        <f>Linkin!G43</f>
        <v>Witness Responsible:   Jennifer Gonzales</v>
      </c>
    </row>
    <row r="9" spans="1:29" ht="15" x14ac:dyDescent="0.25">
      <c r="B9" s="44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86" t="s">
        <v>104</v>
      </c>
    </row>
    <row r="10" spans="1:29" ht="15" x14ac:dyDescent="0.25">
      <c r="A10" s="44"/>
      <c r="B10" s="44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6"/>
    </row>
    <row r="11" spans="1:29" ht="15" x14ac:dyDescent="0.25">
      <c r="A11" s="44"/>
      <c r="B11" s="44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6"/>
    </row>
    <row r="12" spans="1:29" ht="15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</row>
    <row r="13" spans="1:29" ht="15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8" t="s">
        <v>123</v>
      </c>
      <c r="V13" s="48"/>
      <c r="X13" s="48"/>
      <c r="Y13" s="44"/>
      <c r="Z13" s="44"/>
      <c r="AA13" s="44"/>
      <c r="AB13" s="44"/>
      <c r="AC13" s="44"/>
    </row>
    <row r="14" spans="1:29" ht="15" x14ac:dyDescent="0.25">
      <c r="A14" s="49" t="s">
        <v>86</v>
      </c>
      <c r="B14" s="40"/>
      <c r="C14" s="49" t="s">
        <v>124</v>
      </c>
      <c r="D14" s="43"/>
      <c r="E14" s="49" t="s">
        <v>116</v>
      </c>
      <c r="F14" s="49"/>
      <c r="G14" s="49" t="s">
        <v>125</v>
      </c>
      <c r="H14" s="49"/>
      <c r="I14" s="49" t="s">
        <v>108</v>
      </c>
      <c r="J14" s="49"/>
      <c r="K14" s="49" t="s">
        <v>57</v>
      </c>
      <c r="L14" s="49"/>
      <c r="M14" s="49" t="s">
        <v>57</v>
      </c>
      <c r="N14" s="49"/>
      <c r="O14" s="49" t="s">
        <v>126</v>
      </c>
      <c r="P14" s="49"/>
      <c r="Q14" s="49" t="s">
        <v>127</v>
      </c>
      <c r="R14" s="49"/>
      <c r="S14" s="49" t="s">
        <v>128</v>
      </c>
      <c r="T14" s="49"/>
      <c r="U14" s="49" t="s">
        <v>129</v>
      </c>
      <c r="V14" s="49"/>
      <c r="W14" s="48" t="s">
        <v>130</v>
      </c>
      <c r="X14" s="49"/>
      <c r="Y14" s="49" t="s">
        <v>130</v>
      </c>
      <c r="Z14" s="49"/>
      <c r="AA14" s="49" t="s">
        <v>130</v>
      </c>
      <c r="AB14" s="49"/>
      <c r="AC14" s="49" t="s">
        <v>106</v>
      </c>
    </row>
    <row r="15" spans="1:29" ht="15.75" thickBot="1" x14ac:dyDescent="0.3">
      <c r="A15" s="50" t="s">
        <v>91</v>
      </c>
      <c r="B15" s="48"/>
      <c r="C15" s="50" t="s">
        <v>131</v>
      </c>
      <c r="D15" s="43"/>
      <c r="E15" s="50" t="s">
        <v>132</v>
      </c>
      <c r="F15" s="48"/>
      <c r="G15" s="50" t="s">
        <v>132</v>
      </c>
      <c r="H15" s="48"/>
      <c r="I15" s="50" t="s">
        <v>117</v>
      </c>
      <c r="J15" s="48"/>
      <c r="K15" s="50" t="s">
        <v>133</v>
      </c>
      <c r="L15" s="48"/>
      <c r="M15" s="50" t="s">
        <v>134</v>
      </c>
      <c r="N15" s="48"/>
      <c r="O15" s="50" t="s">
        <v>133</v>
      </c>
      <c r="P15" s="48"/>
      <c r="Q15" s="50" t="s">
        <v>115</v>
      </c>
      <c r="R15" s="48"/>
      <c r="S15" s="50" t="s">
        <v>108</v>
      </c>
      <c r="T15" s="48"/>
      <c r="U15" s="50" t="s">
        <v>135</v>
      </c>
      <c r="V15" s="48"/>
      <c r="W15" s="50" t="s">
        <v>136</v>
      </c>
      <c r="X15" s="48"/>
      <c r="Y15" s="50" t="s">
        <v>137</v>
      </c>
      <c r="Z15" s="48"/>
      <c r="AA15" s="50" t="s">
        <v>138</v>
      </c>
      <c r="AB15" s="48"/>
      <c r="AC15" s="50" t="s">
        <v>139</v>
      </c>
    </row>
    <row r="16" spans="1:29" ht="15" x14ac:dyDescent="0.25">
      <c r="A16" s="48">
        <v>1</v>
      </c>
      <c r="B16" s="4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</row>
    <row r="17" spans="1:30" ht="15" x14ac:dyDescent="0.25">
      <c r="A17" s="48">
        <f>A16+1</f>
        <v>2</v>
      </c>
      <c r="B17" s="48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</row>
    <row r="18" spans="1:30" ht="15" x14ac:dyDescent="0.25">
      <c r="A18" s="48">
        <f t="shared" ref="A18:A53" si="0">A17+1</f>
        <v>3</v>
      </c>
      <c r="B18" s="48"/>
      <c r="C18" s="58" t="s">
        <v>140</v>
      </c>
      <c r="D18" s="58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30" ht="15" x14ac:dyDescent="0.25">
      <c r="A19" s="48">
        <f t="shared" si="0"/>
        <v>4</v>
      </c>
      <c r="B19" s="48"/>
      <c r="C19" s="46"/>
      <c r="D19" s="46"/>
      <c r="E19" s="59"/>
      <c r="F19" s="59"/>
      <c r="G19" s="59"/>
      <c r="H19" s="59"/>
      <c r="I19" s="56"/>
      <c r="J19" s="56"/>
      <c r="K19" s="52"/>
      <c r="L19" s="52"/>
      <c r="M19" s="52"/>
      <c r="N19" s="52"/>
      <c r="O19" s="48"/>
      <c r="P19" s="48"/>
      <c r="Q19" s="56"/>
      <c r="R19" s="56"/>
      <c r="S19" s="56"/>
      <c r="T19" s="56"/>
      <c r="U19" s="51"/>
      <c r="V19" s="51"/>
      <c r="W19" s="56"/>
      <c r="X19" s="56"/>
      <c r="Y19" s="56"/>
      <c r="Z19" s="56"/>
      <c r="AA19" s="56"/>
      <c r="AB19" s="56"/>
      <c r="AC19" s="56"/>
    </row>
    <row r="20" spans="1:30" ht="15" x14ac:dyDescent="0.25">
      <c r="A20" s="48">
        <f t="shared" si="0"/>
        <v>5</v>
      </c>
      <c r="B20" s="48"/>
      <c r="C20" s="98" t="str">
        <f>+'Sch J WPs'!B14</f>
        <v xml:space="preserve">    Series 7.15%   GMB</v>
      </c>
      <c r="D20" s="46"/>
      <c r="E20" s="59">
        <f>'Sch J WPs'!D14</f>
        <v>35462</v>
      </c>
      <c r="F20" s="59"/>
      <c r="G20" s="59">
        <f>'Sch J WPs'!E14</f>
        <v>46419</v>
      </c>
      <c r="H20" s="59"/>
      <c r="I20" s="53">
        <f>'Sch J WPs'!AG14</f>
        <v>7500000</v>
      </c>
      <c r="J20" s="53"/>
      <c r="K20" s="73">
        <f>'Sch J WPs'!C14</f>
        <v>7.1499999999999994E-2</v>
      </c>
      <c r="L20" s="53"/>
      <c r="M20" s="73">
        <f t="shared" ref="M20:M34" si="1">IF(I20=0,0,ROUND((I20*K20+U20)/I20,5))</f>
        <v>7.1819999999999995E-2</v>
      </c>
      <c r="N20" s="71"/>
      <c r="O20" s="72" t="s">
        <v>141</v>
      </c>
      <c r="P20" s="72"/>
      <c r="Q20" s="53">
        <f t="shared" ref="Q20:Q27" si="2">ROUND(M20*I20,0)</f>
        <v>538650</v>
      </c>
      <c r="R20" s="44"/>
      <c r="S20" s="53">
        <f t="shared" ref="S20:S27" si="3">I20</f>
        <v>7500000</v>
      </c>
      <c r="T20" s="44"/>
      <c r="U20" s="53">
        <f>'Sch J WPs'!AH104</f>
        <v>2418</v>
      </c>
      <c r="V20" s="44"/>
      <c r="W20" s="44">
        <v>0</v>
      </c>
      <c r="X20" s="44"/>
      <c r="Y20" s="53">
        <f>'Sch J WPs'!AG58</f>
        <v>229.89999999999782</v>
      </c>
      <c r="Z20" s="44"/>
      <c r="AA20" s="44">
        <v>0</v>
      </c>
      <c r="AB20" s="44"/>
      <c r="AC20" s="53">
        <f t="shared" ref="AC20:AC21" si="4">I20-W20-Y20+AA20</f>
        <v>7499770.0999999996</v>
      </c>
      <c r="AD20" s="60"/>
    </row>
    <row r="21" spans="1:30" ht="15" x14ac:dyDescent="0.25">
      <c r="A21" s="48">
        <f t="shared" si="0"/>
        <v>6</v>
      </c>
      <c r="B21" s="48"/>
      <c r="C21" s="98" t="str">
        <f>+'Sch J WPs'!B15</f>
        <v xml:space="preserve">    Series 6.99%   GMB</v>
      </c>
      <c r="D21" s="46"/>
      <c r="E21" s="59">
        <f>'Sch J WPs'!D15</f>
        <v>35947</v>
      </c>
      <c r="F21" s="59"/>
      <c r="G21" s="59">
        <f>'Sch J WPs'!E15</f>
        <v>46905</v>
      </c>
      <c r="H21" s="59"/>
      <c r="I21" s="53">
        <f>'Sch J WPs'!AG15</f>
        <v>9000000</v>
      </c>
      <c r="J21" s="53"/>
      <c r="K21" s="73">
        <f>'Sch J WPs'!C15</f>
        <v>6.9900000000000004E-2</v>
      </c>
      <c r="L21" s="53"/>
      <c r="M21" s="73">
        <f t="shared" si="1"/>
        <v>7.0260000000000003E-2</v>
      </c>
      <c r="N21" s="71"/>
      <c r="O21" s="72" t="s">
        <v>141</v>
      </c>
      <c r="P21" s="72"/>
      <c r="Q21" s="53">
        <f t="shared" si="2"/>
        <v>632340</v>
      </c>
      <c r="R21" s="44"/>
      <c r="S21" s="53">
        <f t="shared" si="3"/>
        <v>9000000</v>
      </c>
      <c r="T21" s="44"/>
      <c r="U21" s="53">
        <f>'Sch J WPs'!AH105</f>
        <v>3250.1999999999994</v>
      </c>
      <c r="V21" s="44"/>
      <c r="W21" s="44">
        <v>0</v>
      </c>
      <c r="X21" s="44"/>
      <c r="Y21" s="53">
        <f>'Sch J WPs'!AG59</f>
        <v>4642.2299999999905</v>
      </c>
      <c r="Z21" s="44"/>
      <c r="AA21" s="44">
        <v>0</v>
      </c>
      <c r="AB21" s="44"/>
      <c r="AC21" s="53">
        <f t="shared" si="4"/>
        <v>8995357.7699999996</v>
      </c>
      <c r="AD21" s="60"/>
    </row>
    <row r="22" spans="1:30" ht="15" x14ac:dyDescent="0.25">
      <c r="A22" s="48">
        <f t="shared" si="0"/>
        <v>7</v>
      </c>
      <c r="B22" s="48"/>
      <c r="C22" s="46"/>
      <c r="D22" s="46"/>
      <c r="E22" s="59"/>
      <c r="F22" s="59"/>
      <c r="G22" s="59"/>
      <c r="H22" s="59"/>
      <c r="I22" s="53"/>
      <c r="J22" s="53"/>
      <c r="K22" s="73"/>
      <c r="L22" s="53"/>
      <c r="M22" s="73"/>
      <c r="N22" s="71"/>
      <c r="O22" s="72"/>
      <c r="P22" s="72"/>
      <c r="Q22" s="53"/>
      <c r="R22" s="44"/>
      <c r="S22" s="53"/>
      <c r="T22" s="44"/>
      <c r="U22" s="53"/>
      <c r="V22" s="44"/>
      <c r="W22" s="44"/>
      <c r="X22" s="44"/>
      <c r="Y22" s="53"/>
      <c r="Z22" s="44"/>
      <c r="AA22" s="44"/>
      <c r="AB22" s="44"/>
      <c r="AC22" s="53"/>
      <c r="AD22" s="60"/>
    </row>
    <row r="23" spans="1:30" ht="15" x14ac:dyDescent="0.25">
      <c r="A23" s="48">
        <f t="shared" si="0"/>
        <v>8</v>
      </c>
      <c r="B23" s="48"/>
      <c r="C23" s="58" t="s">
        <v>142</v>
      </c>
      <c r="D23" s="46"/>
      <c r="E23" s="59"/>
      <c r="F23" s="59"/>
      <c r="G23" s="59"/>
      <c r="H23" s="59"/>
      <c r="I23" s="53"/>
      <c r="J23" s="53"/>
      <c r="K23" s="73"/>
      <c r="L23" s="53"/>
      <c r="M23" s="73"/>
      <c r="N23" s="71"/>
      <c r="O23" s="72"/>
      <c r="P23" s="72"/>
      <c r="Q23" s="53"/>
      <c r="R23" s="44"/>
      <c r="S23" s="53"/>
      <c r="T23" s="44"/>
      <c r="U23" s="53"/>
      <c r="V23" s="44"/>
      <c r="W23" s="44"/>
      <c r="X23" s="44"/>
      <c r="Y23" s="53"/>
      <c r="Z23" s="44"/>
      <c r="AA23" s="44"/>
      <c r="AB23" s="44"/>
      <c r="AC23" s="53"/>
      <c r="AD23" s="60"/>
    </row>
    <row r="24" spans="1:30" ht="15" x14ac:dyDescent="0.25">
      <c r="A24" s="48">
        <f t="shared" si="0"/>
        <v>9</v>
      </c>
      <c r="B24" s="48"/>
      <c r="C24" s="46"/>
      <c r="D24" s="46"/>
      <c r="E24" s="59"/>
      <c r="F24" s="59"/>
      <c r="G24" s="59"/>
      <c r="H24" s="59"/>
      <c r="I24" s="53"/>
      <c r="J24" s="53"/>
      <c r="K24" s="73"/>
      <c r="L24" s="53"/>
      <c r="M24" s="73"/>
      <c r="N24" s="71"/>
      <c r="O24" s="72"/>
      <c r="P24" s="72"/>
      <c r="Q24" s="53"/>
      <c r="R24" s="44"/>
      <c r="S24" s="53"/>
      <c r="T24" s="44"/>
      <c r="U24" s="53"/>
      <c r="V24" s="44"/>
      <c r="W24" s="44"/>
      <c r="X24" s="44"/>
      <c r="Y24" s="53"/>
      <c r="Z24" s="44"/>
      <c r="AA24" s="44"/>
      <c r="AB24" s="44"/>
      <c r="AC24" s="53"/>
      <c r="AD24" s="60"/>
    </row>
    <row r="25" spans="1:30" ht="15" x14ac:dyDescent="0.25">
      <c r="A25" s="48">
        <f t="shared" si="0"/>
        <v>10</v>
      </c>
      <c r="B25" s="48"/>
      <c r="C25" s="98" t="str">
        <f>+'Sch J WPs'!B16</f>
        <v xml:space="preserve">    Series 6.593%  Note</v>
      </c>
      <c r="D25" s="46"/>
      <c r="E25" s="59">
        <f>'Sch J WPs'!D16</f>
        <v>39377</v>
      </c>
      <c r="F25" s="59"/>
      <c r="G25" s="59">
        <f>'Sch J WPs'!E16</f>
        <v>50328</v>
      </c>
      <c r="H25" s="61"/>
      <c r="I25" s="53">
        <f>'Sch J WPs'!AG16</f>
        <v>47000000</v>
      </c>
      <c r="J25" s="53"/>
      <c r="K25" s="73">
        <f>'Sch J WPs'!C16</f>
        <v>6.5930000000000002E-2</v>
      </c>
      <c r="L25" s="53"/>
      <c r="M25" s="73">
        <f t="shared" si="1"/>
        <v>6.6280000000000006E-2</v>
      </c>
      <c r="N25" s="71"/>
      <c r="O25" s="72" t="s">
        <v>141</v>
      </c>
      <c r="P25" s="72"/>
      <c r="Q25" s="53">
        <f t="shared" si="2"/>
        <v>3115160</v>
      </c>
      <c r="R25" s="44"/>
      <c r="S25" s="53">
        <f t="shared" si="3"/>
        <v>47000000</v>
      </c>
      <c r="T25" s="44"/>
      <c r="U25" s="53">
        <f>'Sch J WPs'!AH106</f>
        <v>16577.16</v>
      </c>
      <c r="V25" s="44"/>
      <c r="W25" s="44">
        <v>0</v>
      </c>
      <c r="X25" s="44"/>
      <c r="Y25" s="53">
        <f>'Sch J WPs'!AG60</f>
        <v>180231.13000000021</v>
      </c>
      <c r="Z25" s="44"/>
      <c r="AA25" s="44">
        <v>0</v>
      </c>
      <c r="AB25" s="44"/>
      <c r="AC25" s="53">
        <f t="shared" ref="AC25:AC38" si="5">I25-W25-Y25+AA25</f>
        <v>46819768.869999997</v>
      </c>
      <c r="AD25" s="60"/>
    </row>
    <row r="26" spans="1:30" ht="15" x14ac:dyDescent="0.25">
      <c r="A26" s="48">
        <f t="shared" si="0"/>
        <v>11</v>
      </c>
      <c r="B26" s="48"/>
      <c r="C26" s="98" t="str">
        <f>+'Sch J WPs'!B17</f>
        <v xml:space="preserve">    Series 2.45% Note</v>
      </c>
      <c r="D26" s="46"/>
      <c r="E26" s="59">
        <f>'Sch J WPs'!D17</f>
        <v>43783</v>
      </c>
      <c r="F26" s="59"/>
      <c r="G26" s="59">
        <f>'Sch J WPs'!E17</f>
        <v>47392</v>
      </c>
      <c r="H26" s="61"/>
      <c r="I26" s="53">
        <f>'Sch J WPs'!AG17</f>
        <v>45390000</v>
      </c>
      <c r="J26" s="53"/>
      <c r="K26" s="73">
        <f>'Sch J WPs'!C17</f>
        <v>2.4500000000000001E-2</v>
      </c>
      <c r="L26" s="53"/>
      <c r="M26" s="73">
        <f t="shared" si="1"/>
        <v>2.58E-2</v>
      </c>
      <c r="N26" s="71"/>
      <c r="O26" s="72" t="s">
        <v>141</v>
      </c>
      <c r="P26" s="72"/>
      <c r="Q26" s="53">
        <f t="shared" si="2"/>
        <v>1171062</v>
      </c>
      <c r="R26" s="44"/>
      <c r="S26" s="53">
        <f t="shared" si="3"/>
        <v>45390000</v>
      </c>
      <c r="T26" s="44"/>
      <c r="U26" s="53">
        <f>'Sch J WPs'!AH107</f>
        <v>58845.24000000002</v>
      </c>
      <c r="V26" s="44"/>
      <c r="W26" s="44">
        <v>0</v>
      </c>
      <c r="X26" s="44"/>
      <c r="Y26" s="53">
        <f>'Sch J WPs'!AG61</f>
        <v>162167.19000000006</v>
      </c>
      <c r="Z26" s="44"/>
      <c r="AA26" s="44">
        <v>0</v>
      </c>
      <c r="AB26" s="44"/>
      <c r="AC26" s="53">
        <f t="shared" si="5"/>
        <v>45227832.810000002</v>
      </c>
      <c r="AD26" s="60"/>
    </row>
    <row r="27" spans="1:30" ht="15" x14ac:dyDescent="0.25">
      <c r="A27" s="48">
        <f t="shared" si="0"/>
        <v>12</v>
      </c>
      <c r="B27" s="48"/>
      <c r="C27" s="98" t="str">
        <f>+'Sch J WPs'!B18</f>
        <v xml:space="preserve">    Series 2.45% Note</v>
      </c>
      <c r="D27" s="46"/>
      <c r="E27" s="59">
        <f>'Sch J WPs'!D18</f>
        <v>43783</v>
      </c>
      <c r="F27" s="59"/>
      <c r="G27" s="59">
        <f>'Sch J WPs'!E18</f>
        <v>47392</v>
      </c>
      <c r="H27" s="59"/>
      <c r="I27" s="53">
        <f>'Sch J WPs'!AG18</f>
        <v>26000000</v>
      </c>
      <c r="J27" s="53"/>
      <c r="K27" s="73">
        <f>'Sch J WPs'!C18</f>
        <v>2.4500000000000001E-2</v>
      </c>
      <c r="L27" s="53"/>
      <c r="M27" s="73">
        <f t="shared" si="1"/>
        <v>2.5899999999999999E-2</v>
      </c>
      <c r="N27" s="71"/>
      <c r="O27" s="72" t="s">
        <v>141</v>
      </c>
      <c r="P27" s="72"/>
      <c r="Q27" s="53">
        <f t="shared" si="2"/>
        <v>673400</v>
      </c>
      <c r="R27" s="44"/>
      <c r="S27" s="53">
        <f t="shared" si="3"/>
        <v>26000000</v>
      </c>
      <c r="T27" s="44"/>
      <c r="U27" s="53">
        <f>'Sch J WPs'!AH108</f>
        <v>36375.24</v>
      </c>
      <c r="V27" s="44"/>
      <c r="W27" s="44">
        <v>0</v>
      </c>
      <c r="X27" s="44"/>
      <c r="Y27" s="53">
        <f>'Sch J WPs'!AG62</f>
        <v>100243.83000000026</v>
      </c>
      <c r="Z27" s="44"/>
      <c r="AA27" s="44">
        <v>0</v>
      </c>
      <c r="AB27" s="44"/>
      <c r="AC27" s="53">
        <f t="shared" si="5"/>
        <v>25899756.169999998</v>
      </c>
      <c r="AD27" s="60"/>
    </row>
    <row r="28" spans="1:30" ht="15" x14ac:dyDescent="0.25">
      <c r="A28" s="48">
        <f t="shared" si="0"/>
        <v>13</v>
      </c>
      <c r="B28" s="48"/>
      <c r="C28" s="98" t="str">
        <f>+'Sch J WPs'!B19</f>
        <v xml:space="preserve">    Series 5.05%    Note</v>
      </c>
      <c r="D28" s="46"/>
      <c r="E28" s="59">
        <f>'Sch J WPs'!D19</f>
        <v>40868</v>
      </c>
      <c r="F28" s="59"/>
      <c r="G28" s="59">
        <f>'Sch J WPs'!E19</f>
        <v>50328</v>
      </c>
      <c r="H28" s="59"/>
      <c r="I28" s="53">
        <f>'Sch J WPs'!AG19</f>
        <v>20000000</v>
      </c>
      <c r="J28" s="53"/>
      <c r="K28" s="73">
        <f>'Sch J WPs'!C19</f>
        <v>5.0500000000000003E-2</v>
      </c>
      <c r="L28" s="53"/>
      <c r="M28" s="73">
        <f t="shared" si="1"/>
        <v>5.0500000000000003E-2</v>
      </c>
      <c r="N28" s="71"/>
      <c r="O28" s="72" t="s">
        <v>141</v>
      </c>
      <c r="P28" s="72"/>
      <c r="Q28" s="53">
        <f>ROUND(M28*I28,0)</f>
        <v>1010000</v>
      </c>
      <c r="R28" s="44"/>
      <c r="S28" s="53">
        <f>I28</f>
        <v>20000000</v>
      </c>
      <c r="T28" s="44"/>
      <c r="U28" s="53">
        <f>'Sch J WPs'!AH109</f>
        <v>0</v>
      </c>
      <c r="V28" s="44"/>
      <c r="W28" s="44">
        <v>0</v>
      </c>
      <c r="X28" s="44"/>
      <c r="Y28" s="53">
        <f>'Sch J WPs'!AG63</f>
        <v>0</v>
      </c>
      <c r="Z28" s="44"/>
      <c r="AA28" s="44">
        <v>0</v>
      </c>
      <c r="AB28" s="44"/>
      <c r="AC28" s="53">
        <f t="shared" si="5"/>
        <v>20000000</v>
      </c>
      <c r="AD28" s="60"/>
    </row>
    <row r="29" spans="1:30" ht="15" x14ac:dyDescent="0.25">
      <c r="A29" s="48">
        <f t="shared" si="0"/>
        <v>14</v>
      </c>
      <c r="B29" s="48"/>
      <c r="C29" s="98" t="str">
        <f>+'Sch J WPs'!B20</f>
        <v xml:space="preserve">    Series 4.00%    Note</v>
      </c>
      <c r="D29" s="46"/>
      <c r="E29" s="59">
        <f>'Sch J WPs'!D20</f>
        <v>41409</v>
      </c>
      <c r="F29" s="59"/>
      <c r="G29" s="59">
        <f>'Sch J WPs'!E20</f>
        <v>50328</v>
      </c>
      <c r="H29" s="59"/>
      <c r="I29" s="53">
        <f>'Sch J WPs'!AG20</f>
        <v>7859000</v>
      </c>
      <c r="J29" s="53"/>
      <c r="K29" s="73">
        <f>'Sch J WPs'!C20</f>
        <v>0.04</v>
      </c>
      <c r="L29" s="53"/>
      <c r="M29" s="73">
        <f t="shared" si="1"/>
        <v>0.04</v>
      </c>
      <c r="N29" s="71"/>
      <c r="O29" s="72" t="s">
        <v>141</v>
      </c>
      <c r="P29" s="72"/>
      <c r="Q29" s="53">
        <f>ROUND(M29*I29,0)</f>
        <v>314360</v>
      </c>
      <c r="R29" s="44"/>
      <c r="S29" s="53">
        <f>I29</f>
        <v>7859000</v>
      </c>
      <c r="T29" s="44"/>
      <c r="U29" s="53">
        <f>'Sch J WPs'!AH110</f>
        <v>0</v>
      </c>
      <c r="V29" s="44"/>
      <c r="W29" s="44">
        <v>0</v>
      </c>
      <c r="X29" s="44"/>
      <c r="Y29" s="53">
        <f>'Sch J WPs'!AG64</f>
        <v>0</v>
      </c>
      <c r="Z29" s="44"/>
      <c r="AA29" s="44">
        <v>0</v>
      </c>
      <c r="AB29" s="44"/>
      <c r="AC29" s="53">
        <f t="shared" si="5"/>
        <v>7859000</v>
      </c>
      <c r="AD29" s="60"/>
    </row>
    <row r="30" spans="1:30" ht="15" x14ac:dyDescent="0.25">
      <c r="A30" s="48">
        <f t="shared" si="0"/>
        <v>15</v>
      </c>
      <c r="B30" s="48"/>
      <c r="C30" s="98" t="str">
        <f>+'Sch J WPs'!B21</f>
        <v xml:space="preserve">    Series 4.00%    Note</v>
      </c>
      <c r="D30" s="46"/>
      <c r="E30" s="59">
        <f>'Sch J WPs'!D21</f>
        <v>42691</v>
      </c>
      <c r="F30" s="59"/>
      <c r="G30" s="59">
        <f>'Sch J WPs'!E21</f>
        <v>53662</v>
      </c>
      <c r="H30" s="59"/>
      <c r="I30" s="53">
        <f>'Sch J WPs'!AG21</f>
        <v>5000000</v>
      </c>
      <c r="J30" s="53"/>
      <c r="K30" s="73">
        <f>'Sch J WPs'!C21</f>
        <v>0.04</v>
      </c>
      <c r="L30" s="53"/>
      <c r="M30" s="73">
        <f t="shared" si="1"/>
        <v>4.0629999999999999E-2</v>
      </c>
      <c r="N30" s="71"/>
      <c r="O30" s="72" t="s">
        <v>141</v>
      </c>
      <c r="P30" s="72"/>
      <c r="Q30" s="53">
        <f>ROUND(M30*I30,0)</f>
        <v>203150</v>
      </c>
      <c r="R30" s="44"/>
      <c r="S30" s="53">
        <f>I30</f>
        <v>5000000</v>
      </c>
      <c r="T30" s="44"/>
      <c r="U30" s="53">
        <f>'Sch J WPs'!AH111+'Sch J WPs'!AH176</f>
        <v>3132.1200000000008</v>
      </c>
      <c r="V30" s="44"/>
      <c r="W30" s="44">
        <f>'Sch J WPs'!AG148</f>
        <v>27582.739999999932</v>
      </c>
      <c r="X30" s="44"/>
      <c r="Y30" s="53">
        <f>'Sch J WPs'!AG65</f>
        <v>34818.309999999983</v>
      </c>
      <c r="Z30" s="44"/>
      <c r="AA30" s="44">
        <v>0</v>
      </c>
      <c r="AB30" s="44"/>
      <c r="AC30" s="53">
        <f t="shared" si="5"/>
        <v>4937598.95</v>
      </c>
      <c r="AD30" s="60"/>
    </row>
    <row r="31" spans="1:30" ht="15" x14ac:dyDescent="0.25">
      <c r="A31" s="48">
        <f t="shared" si="0"/>
        <v>16</v>
      </c>
      <c r="B31" s="48"/>
      <c r="C31" s="98" t="str">
        <f>+'Sch J WPs'!B22</f>
        <v xml:space="preserve">    Series 3.75%    Note</v>
      </c>
      <c r="D31" s="46"/>
      <c r="E31" s="59">
        <f>'Sch J WPs'!D22</f>
        <v>42991</v>
      </c>
      <c r="F31" s="59"/>
      <c r="G31" s="59">
        <f>'Sch J WPs'!E22</f>
        <v>53936</v>
      </c>
      <c r="H31" s="40"/>
      <c r="I31" s="53">
        <f>'Sch J WPs'!AG22</f>
        <v>5000000</v>
      </c>
      <c r="J31" s="40"/>
      <c r="K31" s="73">
        <f>'Sch J WPs'!C22</f>
        <v>3.7499999999999999E-2</v>
      </c>
      <c r="L31" s="53"/>
      <c r="M31" s="73">
        <f t="shared" si="1"/>
        <v>3.7949999999999998E-2</v>
      </c>
      <c r="N31" s="40"/>
      <c r="O31" s="72" t="s">
        <v>141</v>
      </c>
      <c r="P31" s="40"/>
      <c r="Q31" s="53">
        <f>ROUND(M31*I31,0)</f>
        <v>189750</v>
      </c>
      <c r="R31" s="44"/>
      <c r="S31" s="53">
        <f>I31</f>
        <v>5000000</v>
      </c>
      <c r="T31" s="40"/>
      <c r="U31" s="53">
        <f>'Sch J WPs'!AH112+'Sch J WPs'!AH177</f>
        <v>2242.8000000000002</v>
      </c>
      <c r="V31" s="44"/>
      <c r="W31" s="44">
        <f>'Sch J WPs'!AG149</f>
        <v>10568.719999999972</v>
      </c>
      <c r="X31" s="44"/>
      <c r="Y31" s="53">
        <f>'Sch J WPs'!AG66</f>
        <v>35782.340000000004</v>
      </c>
      <c r="Z31" s="44"/>
      <c r="AA31" s="44">
        <v>0</v>
      </c>
      <c r="AB31" s="44"/>
      <c r="AC31" s="53">
        <f t="shared" si="5"/>
        <v>4953648.9400000004</v>
      </c>
    </row>
    <row r="32" spans="1:30" ht="15" x14ac:dyDescent="0.25">
      <c r="A32" s="48">
        <f t="shared" si="0"/>
        <v>17</v>
      </c>
      <c r="B32" s="48"/>
      <c r="C32" s="98" t="str">
        <f>+'Sch J WPs'!B23</f>
        <v xml:space="preserve">    Series 4.15%    Note</v>
      </c>
      <c r="D32" s="46"/>
      <c r="E32" s="59">
        <f>'Sch J WPs'!D23</f>
        <v>43607</v>
      </c>
      <c r="F32" s="59"/>
      <c r="G32" s="59">
        <f>'Sch J WPs'!E23</f>
        <v>54575</v>
      </c>
      <c r="H32" s="40"/>
      <c r="I32" s="53">
        <f>'Sch J WPs'!AG23</f>
        <v>16000000</v>
      </c>
      <c r="J32" s="40"/>
      <c r="K32" s="73">
        <f>'Sch J WPs'!C23</f>
        <v>4.1500000000000002E-2</v>
      </c>
      <c r="L32" s="53"/>
      <c r="M32" s="73">
        <f t="shared" si="1"/>
        <v>4.2020000000000002E-2</v>
      </c>
      <c r="N32" s="40"/>
      <c r="O32" s="72" t="s">
        <v>141</v>
      </c>
      <c r="P32" s="40"/>
      <c r="Q32" s="53">
        <f>ROUND(M32*I32,0)</f>
        <v>672320</v>
      </c>
      <c r="R32" s="44"/>
      <c r="S32" s="53">
        <f>I32</f>
        <v>16000000</v>
      </c>
      <c r="T32" s="40"/>
      <c r="U32" s="53">
        <f>'Sch J WPs'!AH113+'Sch J WPs'!AH178</f>
        <v>8375.0400000000027</v>
      </c>
      <c r="V32" s="44"/>
      <c r="W32" s="44">
        <f>'Sch J WPs'!AG150</f>
        <v>63311.629999999976</v>
      </c>
      <c r="X32" s="44"/>
      <c r="Y32" s="53">
        <f>'Sch J WPs'!AG67</f>
        <v>124475.15000000011</v>
      </c>
      <c r="Z32" s="44"/>
      <c r="AA32" s="44">
        <v>0</v>
      </c>
      <c r="AB32" s="44"/>
      <c r="AC32" s="53">
        <f t="shared" si="5"/>
        <v>15812213.219999999</v>
      </c>
    </row>
    <row r="33" spans="1:30" ht="15" x14ac:dyDescent="0.25">
      <c r="A33" s="48">
        <f t="shared" si="0"/>
        <v>18</v>
      </c>
      <c r="B33" s="48"/>
      <c r="C33" s="98" t="str">
        <f>+'Sch J WPs'!B24</f>
        <v xml:space="preserve">    Series 3.25%  Note</v>
      </c>
      <c r="D33" s="46"/>
      <c r="E33" s="59">
        <f>'Sch J WPs'!D24</f>
        <v>44340</v>
      </c>
      <c r="F33" s="59"/>
      <c r="G33" s="59">
        <f>'Sch J WPs'!E24</f>
        <v>55305</v>
      </c>
      <c r="H33" s="40"/>
      <c r="I33" s="53">
        <f>'Sch J WPs'!AG24</f>
        <v>13000000</v>
      </c>
      <c r="J33" s="40"/>
      <c r="K33" s="73">
        <f>'Sch J WPs'!C24</f>
        <v>3.2500000000000001E-2</v>
      </c>
      <c r="L33" s="53"/>
      <c r="M33" s="73">
        <f t="shared" si="1"/>
        <v>3.295E-2</v>
      </c>
      <c r="N33" s="40"/>
      <c r="O33" s="72" t="s">
        <v>141</v>
      </c>
      <c r="P33" s="40"/>
      <c r="Q33" s="53">
        <f t="shared" ref="Q33:Q34" si="6">ROUND(M33*I33,0)</f>
        <v>428350</v>
      </c>
      <c r="R33" s="44"/>
      <c r="S33" s="53">
        <f t="shared" ref="S33:S34" si="7">I33</f>
        <v>13000000</v>
      </c>
      <c r="T33" s="40"/>
      <c r="U33" s="53">
        <f>'Sch J WPs'!AH114+'Sch J WPs'!AH179</f>
        <v>5856.72</v>
      </c>
      <c r="V33" s="44"/>
      <c r="W33" s="44">
        <f>'Sch J WPs'!AG151</f>
        <v>30318.199999999917</v>
      </c>
      <c r="X33" s="44"/>
      <c r="Y33" s="53">
        <f>'Sch J WPs'!AG68</f>
        <v>112693.68000000008</v>
      </c>
      <c r="Z33" s="44"/>
      <c r="AA33" s="44">
        <v>0</v>
      </c>
      <c r="AB33" s="44"/>
      <c r="AC33" s="53">
        <f t="shared" si="5"/>
        <v>12856988.120000001</v>
      </c>
    </row>
    <row r="34" spans="1:30" ht="15" x14ac:dyDescent="0.25">
      <c r="A34" s="48">
        <f t="shared" si="0"/>
        <v>19</v>
      </c>
      <c r="B34" s="48"/>
      <c r="C34" s="98" t="str">
        <f>+'Sch J WPs'!B25</f>
        <v xml:space="preserve">    Series 4.45%  Note</v>
      </c>
      <c r="D34" s="46"/>
      <c r="E34" s="59">
        <f>'Sch J WPs'!D25</f>
        <v>44699</v>
      </c>
      <c r="F34" s="59"/>
      <c r="G34" s="59">
        <f>'Sch J WPs'!E25</f>
        <v>48366</v>
      </c>
      <c r="H34" s="40"/>
      <c r="I34" s="53">
        <f>'Sch J WPs'!AG25</f>
        <v>10000000</v>
      </c>
      <c r="J34" s="40"/>
      <c r="K34" s="73">
        <f>'Sch J WPs'!C25</f>
        <v>4.4499999999999998E-2</v>
      </c>
      <c r="L34" s="53"/>
      <c r="M34" s="73">
        <f t="shared" si="1"/>
        <v>4.5659999999999999E-2</v>
      </c>
      <c r="N34" s="40"/>
      <c r="O34" s="72" t="s">
        <v>141</v>
      </c>
      <c r="P34" s="40"/>
      <c r="Q34" s="53">
        <f t="shared" si="6"/>
        <v>456600</v>
      </c>
      <c r="R34" s="44"/>
      <c r="S34" s="53">
        <f t="shared" si="7"/>
        <v>10000000</v>
      </c>
      <c r="T34" s="40"/>
      <c r="U34" s="53">
        <f>'Sch J WPs'!AH115+'Sch J WPs'!AH180</f>
        <v>11573.520000000002</v>
      </c>
      <c r="V34" s="44"/>
      <c r="W34" s="44">
        <f>'Sch J WPs'!AG152</f>
        <v>17047.849999999977</v>
      </c>
      <c r="X34" s="44"/>
      <c r="Y34" s="53">
        <f>'Sch J WPs'!AG69</f>
        <v>45643.660000000025</v>
      </c>
      <c r="Z34" s="44"/>
      <c r="AA34" s="44">
        <v>0</v>
      </c>
      <c r="AB34" s="44"/>
      <c r="AC34" s="53">
        <f t="shared" si="5"/>
        <v>9937308.4900000002</v>
      </c>
    </row>
    <row r="35" spans="1:30" ht="15" x14ac:dyDescent="0.25">
      <c r="A35" s="48">
        <f t="shared" si="0"/>
        <v>20</v>
      </c>
      <c r="B35" s="48"/>
      <c r="C35" s="98" t="str">
        <f>+'Sch J WPs'!B26</f>
        <v xml:space="preserve">    Series 3.875%  Note</v>
      </c>
      <c r="D35" s="46"/>
      <c r="E35" s="59">
        <f>'Sch J WPs'!D26</f>
        <v>45170</v>
      </c>
      <c r="F35" s="59"/>
      <c r="G35" s="59">
        <f>'Sch J WPs'!E26</f>
        <v>46997</v>
      </c>
      <c r="H35" s="40"/>
      <c r="I35" s="53">
        <f>'Sch J WPs'!AG26</f>
        <v>26000000</v>
      </c>
      <c r="J35" s="40"/>
      <c r="K35" s="73">
        <f>'Sch J WPs'!C26</f>
        <v>3.875E-2</v>
      </c>
      <c r="L35" s="53"/>
      <c r="M35" s="73">
        <f>IF(I35=0,0,ROUND((I35*K35+U35)/I35,5))</f>
        <v>4.0759999999999998E-2</v>
      </c>
      <c r="N35" s="40"/>
      <c r="O35" s="72" t="s">
        <v>141</v>
      </c>
      <c r="P35" s="40"/>
      <c r="Q35" s="53">
        <f>ROUND(M35*I35,0)</f>
        <v>1059760</v>
      </c>
      <c r="R35" s="44"/>
      <c r="S35" s="53">
        <f>I35</f>
        <v>26000000</v>
      </c>
      <c r="T35" s="40"/>
      <c r="U35" s="53">
        <f>'Sch J WPs'!AH116</f>
        <v>52308.84</v>
      </c>
      <c r="V35" s="44"/>
      <c r="W35" s="44">
        <v>0</v>
      </c>
      <c r="X35" s="44"/>
      <c r="Y35" s="53">
        <f>'Sch J WPs'!AG70</f>
        <v>87198.949999999953</v>
      </c>
      <c r="Z35" s="44"/>
      <c r="AA35" s="44">
        <v>0</v>
      </c>
      <c r="AB35" s="44"/>
      <c r="AC35" s="53">
        <f>I35-W35-Y35+AA35</f>
        <v>25912801.050000001</v>
      </c>
    </row>
    <row r="36" spans="1:30" ht="15" x14ac:dyDescent="0.25">
      <c r="A36" s="48">
        <f t="shared" si="0"/>
        <v>21</v>
      </c>
      <c r="B36" s="48"/>
      <c r="C36" s="98" t="str">
        <f>+'Sch J WPs'!B27</f>
        <v xml:space="preserve">    Series 3.625%  Note</v>
      </c>
      <c r="D36" s="46"/>
      <c r="E36" s="59">
        <f>'Sch J WPs'!D27</f>
        <v>45184</v>
      </c>
      <c r="F36" s="59"/>
      <c r="G36" s="59">
        <f>'Sch J WPs'!E27</f>
        <v>46188</v>
      </c>
      <c r="H36" s="40"/>
      <c r="I36" s="53">
        <f>'Sch J WPs'!AG27</f>
        <v>0</v>
      </c>
      <c r="J36" s="40"/>
      <c r="K36" s="73">
        <f>'Sch J WPs'!C27</f>
        <v>3.6249999999999998E-2</v>
      </c>
      <c r="L36" s="53"/>
      <c r="M36" s="73">
        <f>IF(I36=0,0,ROUND((I36*K36+U36)/I36,5))</f>
        <v>0</v>
      </c>
      <c r="N36" s="40"/>
      <c r="O36" s="72" t="s">
        <v>141</v>
      </c>
      <c r="P36" s="40"/>
      <c r="Q36" s="53">
        <f>ROUND(M36*I36,0)</f>
        <v>0</v>
      </c>
      <c r="R36" s="44"/>
      <c r="S36" s="53">
        <f>I36</f>
        <v>0</v>
      </c>
      <c r="T36" s="40"/>
      <c r="U36" s="53">
        <f>'Sch J WPs'!AH117</f>
        <v>40228.1</v>
      </c>
      <c r="V36" s="44"/>
      <c r="W36" s="44">
        <v>0</v>
      </c>
      <c r="X36" s="44"/>
      <c r="Y36" s="53">
        <f>'Sch J WPs'!AG71</f>
        <v>0</v>
      </c>
      <c r="Z36" s="44"/>
      <c r="AA36" s="44">
        <v>0</v>
      </c>
      <c r="AB36" s="44"/>
      <c r="AC36" s="53">
        <f t="shared" si="5"/>
        <v>0</v>
      </c>
    </row>
    <row r="37" spans="1:30" ht="15" x14ac:dyDescent="0.25">
      <c r="A37" s="48">
        <f t="shared" si="0"/>
        <v>22</v>
      </c>
      <c r="B37" s="48"/>
      <c r="C37" s="98" t="str">
        <f>+'Sch J WPs'!B28</f>
        <v xml:space="preserve">    Series 5.15%  Note</v>
      </c>
      <c r="D37" s="46"/>
      <c r="E37" s="59">
        <f>'Sch J WPs'!D28</f>
        <v>45427</v>
      </c>
      <c r="F37" s="59"/>
      <c r="G37" s="59">
        <f>'Sch J WPs'!E28</f>
        <v>49004</v>
      </c>
      <c r="H37" s="40"/>
      <c r="I37" s="53">
        <f>'Sch J WPs'!AG28</f>
        <v>14000000</v>
      </c>
      <c r="J37" s="40"/>
      <c r="K37" s="73">
        <f>'Sch J WPs'!C28</f>
        <v>5.1499999999999997E-2</v>
      </c>
      <c r="L37" s="53"/>
      <c r="M37" s="73">
        <f>IF(I37=0,0,ROUND((I37*K37+U37)/I37,5))</f>
        <v>5.2670000000000002E-2</v>
      </c>
      <c r="N37" s="40"/>
      <c r="O37" s="72" t="s">
        <v>141</v>
      </c>
      <c r="P37" s="40"/>
      <c r="Q37" s="53">
        <f>ROUND(M37*I37,0)</f>
        <v>737380</v>
      </c>
      <c r="R37" s="44"/>
      <c r="S37" s="53">
        <f>I37</f>
        <v>14000000</v>
      </c>
      <c r="T37" s="40"/>
      <c r="U37" s="53">
        <f>'Sch J WPs'!AH118+'Sch J WPs'!AH181</f>
        <v>16353.359999999999</v>
      </c>
      <c r="V37" s="44"/>
      <c r="W37" s="44">
        <f>'Sch J WPs'!AG153</f>
        <v>31916.489999999922</v>
      </c>
      <c r="X37" s="44"/>
      <c r="Y37" s="53">
        <f>'Sch J WPs'!AG72</f>
        <v>85296.56999999992</v>
      </c>
      <c r="Z37" s="44"/>
      <c r="AA37" s="44">
        <v>0</v>
      </c>
      <c r="AB37" s="44"/>
      <c r="AC37" s="53">
        <f t="shared" si="5"/>
        <v>13882786.939999999</v>
      </c>
    </row>
    <row r="38" spans="1:30" ht="15" x14ac:dyDescent="0.25">
      <c r="A38" s="48">
        <f t="shared" si="0"/>
        <v>23</v>
      </c>
      <c r="B38" s="48"/>
      <c r="C38" s="98" t="str">
        <f>+'Sch J WPs'!B29</f>
        <v xml:space="preserve">    Series 5.45%  Note</v>
      </c>
      <c r="D38" s="46"/>
      <c r="E38" s="59">
        <f>'Sch J WPs'!D29</f>
        <v>45427</v>
      </c>
      <c r="F38" s="59"/>
      <c r="G38" s="59">
        <f>'Sch J WPs'!E29</f>
        <v>56309</v>
      </c>
      <c r="H38" s="40"/>
      <c r="I38" s="53">
        <f>'Sch J WPs'!AG29</f>
        <v>14000000</v>
      </c>
      <c r="J38" s="40"/>
      <c r="K38" s="73">
        <f>'Sch J WPs'!C29</f>
        <v>5.45E-2</v>
      </c>
      <c r="L38" s="53"/>
      <c r="M38" s="73">
        <f>IF(I38=0,0,ROUND((I38*K38+U38)/I38,5))</f>
        <v>5.5160000000000001E-2</v>
      </c>
      <c r="N38" s="40"/>
      <c r="O38" s="72" t="s">
        <v>141</v>
      </c>
      <c r="P38" s="40"/>
      <c r="Q38" s="53">
        <f>ROUND(M38*I38,0)</f>
        <v>772240</v>
      </c>
      <c r="R38" s="44"/>
      <c r="S38" s="53">
        <f>I38</f>
        <v>14000000</v>
      </c>
      <c r="T38" s="40"/>
      <c r="U38" s="53">
        <f>'Sch J WPs'!AH119+'Sch J WPs'!AH182</f>
        <v>9237.24</v>
      </c>
      <c r="V38" s="44"/>
      <c r="W38" s="44">
        <f>'Sch J WPs'!AG154</f>
        <v>114876.55999999984</v>
      </c>
      <c r="X38" s="44"/>
      <c r="Y38" s="53">
        <f>'Sch J WPs'!AG73</f>
        <v>136079.01999999967</v>
      </c>
      <c r="Z38" s="44"/>
      <c r="AA38" s="44">
        <v>0</v>
      </c>
      <c r="AB38" s="44"/>
      <c r="AC38" s="53">
        <f t="shared" si="5"/>
        <v>13749044.42</v>
      </c>
    </row>
    <row r="39" spans="1:30" s="106" customFormat="1" ht="15" x14ac:dyDescent="0.25">
      <c r="A39" s="48">
        <f t="shared" si="0"/>
        <v>24</v>
      </c>
      <c r="B39" s="48"/>
      <c r="C39" s="98" t="str">
        <f>+'Sch J WPs'!B30</f>
        <v xml:space="preserve">    Proposed 2025 Issuance (10-year)</v>
      </c>
      <c r="D39" s="46"/>
      <c r="E39" s="59">
        <f>'Sch J WPs'!D30</f>
        <v>45731</v>
      </c>
      <c r="F39" s="59"/>
      <c r="G39" s="59">
        <f>'Sch J WPs'!E30</f>
        <v>49369</v>
      </c>
      <c r="H39" s="40"/>
      <c r="I39" s="53">
        <f>'Sch J WPs'!AG30</f>
        <v>10000000</v>
      </c>
      <c r="J39" s="40"/>
      <c r="K39" s="73">
        <f>'Sch J WPs'!C30</f>
        <v>5.2499999999999998E-2</v>
      </c>
      <c r="L39" s="53"/>
      <c r="M39" s="73">
        <f t="shared" ref="M39:M40" si="8">IF(I39=0,0,ROUND((I39*K39+U39)/I39,5))</f>
        <v>5.3409999999999999E-2</v>
      </c>
      <c r="N39" s="40"/>
      <c r="O39" s="72" t="s">
        <v>141</v>
      </c>
      <c r="P39" s="40"/>
      <c r="Q39" s="53">
        <f t="shared" ref="Q39:Q40" si="9">ROUND(M39*I39,0)</f>
        <v>534100</v>
      </c>
      <c r="R39" s="44"/>
      <c r="S39" s="53">
        <f t="shared" ref="S39:S40" si="10">I39</f>
        <v>10000000</v>
      </c>
      <c r="T39" s="40"/>
      <c r="U39" s="53">
        <f>'Sch J WPs'!AH120+'Sch J WPs'!AH183-'Sch J WPs'!AH228</f>
        <v>9065.2643281941946</v>
      </c>
      <c r="V39" s="44"/>
      <c r="W39" s="44">
        <f>'Sch J WPs'!AG155</f>
        <v>31398.014551520821</v>
      </c>
      <c r="X39" s="44"/>
      <c r="Y39" s="53">
        <f>'Sch J WPs'!AG74</f>
        <v>72023.652000000147</v>
      </c>
      <c r="Z39" s="44"/>
      <c r="AA39" s="44">
        <f>'Sch J WPs'!AG207</f>
        <v>29363.667125860607</v>
      </c>
      <c r="AB39" s="44"/>
      <c r="AC39" s="53">
        <f>I39-W39-Y39+AA39</f>
        <v>9925942.0005743392</v>
      </c>
      <c r="AD39" s="41"/>
    </row>
    <row r="40" spans="1:30" s="106" customFormat="1" ht="15" x14ac:dyDescent="0.25">
      <c r="A40" s="48">
        <f t="shared" si="0"/>
        <v>25</v>
      </c>
      <c r="B40" s="48"/>
      <c r="C40" s="98" t="str">
        <f>+'Sch J WPs'!B31</f>
        <v xml:space="preserve">    Proposed 2025 Issuance (30-year)</v>
      </c>
      <c r="D40" s="46"/>
      <c r="E40" s="59">
        <f>'Sch J WPs'!D31</f>
        <v>45915</v>
      </c>
      <c r="F40" s="59"/>
      <c r="G40" s="59">
        <f>'Sch J WPs'!E31</f>
        <v>56888</v>
      </c>
      <c r="H40" s="40"/>
      <c r="I40" s="53">
        <f>'Sch J WPs'!AG31</f>
        <v>13000000</v>
      </c>
      <c r="J40" s="40"/>
      <c r="K40" s="73">
        <f>'Sch J WPs'!C31</f>
        <v>5.7000000000000002E-2</v>
      </c>
      <c r="L40" s="53"/>
      <c r="M40" s="73">
        <f t="shared" si="8"/>
        <v>5.7529999999999998E-2</v>
      </c>
      <c r="N40" s="40"/>
      <c r="O40" s="72" t="s">
        <v>141</v>
      </c>
      <c r="P40" s="40"/>
      <c r="Q40" s="53">
        <f t="shared" si="9"/>
        <v>747890</v>
      </c>
      <c r="R40" s="44"/>
      <c r="S40" s="53">
        <f t="shared" si="10"/>
        <v>13000000</v>
      </c>
      <c r="T40" s="40"/>
      <c r="U40" s="53">
        <f>'Sch J WPs'!AH121</f>
        <v>6877.7999999999984</v>
      </c>
      <c r="V40" s="44"/>
      <c r="W40" s="44">
        <f>'Sch J WPs'!AG156</f>
        <v>99439.779999999897</v>
      </c>
      <c r="X40" s="44"/>
      <c r="Y40" s="53">
        <f>'Sch J WPs'!AG75</f>
        <v>197182.20000000007</v>
      </c>
      <c r="Z40" s="44"/>
      <c r="AA40" s="44">
        <f>'Sch J WPs'!AG208</f>
        <v>252518.13000000006</v>
      </c>
      <c r="AB40" s="44"/>
      <c r="AC40" s="53">
        <f t="shared" ref="AC40" si="11">I40-W40-Y40+AA40</f>
        <v>12955896.150000002</v>
      </c>
      <c r="AD40" s="41"/>
    </row>
    <row r="41" spans="1:30" s="106" customFormat="1" ht="15" x14ac:dyDescent="0.25">
      <c r="A41" s="48">
        <f t="shared" si="0"/>
        <v>26</v>
      </c>
      <c r="B41" s="48"/>
      <c r="C41" s="98" t="str">
        <f>+'Sch J WPs'!B32</f>
        <v xml:space="preserve">    Proposed 2026 Issuance (10-year)</v>
      </c>
      <c r="D41" s="46"/>
      <c r="E41" s="59">
        <f>'Sch J WPs'!D32</f>
        <v>46096</v>
      </c>
      <c r="F41" s="59"/>
      <c r="G41" s="59">
        <f>'Sch J WPs'!E32</f>
        <v>49766</v>
      </c>
      <c r="H41" s="40"/>
      <c r="I41" s="53">
        <f>'Sch J WPs'!AG32</f>
        <v>9250000</v>
      </c>
      <c r="J41" s="40"/>
      <c r="K41" s="73">
        <f>'Sch J WPs'!C32</f>
        <v>5.5995500000000004E-2</v>
      </c>
      <c r="L41" s="53"/>
      <c r="M41" s="73">
        <f t="shared" ref="M41:M44" si="12">IF(I41=0,0,ROUND((I41*K41+U41)/I41,5))</f>
        <v>5.679E-2</v>
      </c>
      <c r="N41" s="40"/>
      <c r="O41" s="72" t="s">
        <v>141</v>
      </c>
      <c r="P41" s="40"/>
      <c r="Q41" s="53">
        <f t="shared" ref="Q41:Q44" si="13">ROUND(M41*I41,0)</f>
        <v>525308</v>
      </c>
      <c r="R41" s="44"/>
      <c r="S41" s="53">
        <f t="shared" ref="S41:S44" si="14">I41</f>
        <v>9250000</v>
      </c>
      <c r="T41" s="40"/>
      <c r="U41" s="53">
        <f>'Sch J WPs'!AH122</f>
        <v>7322.9166666666661</v>
      </c>
      <c r="V41" s="44"/>
      <c r="W41" s="44">
        <v>0</v>
      </c>
      <c r="X41" s="44"/>
      <c r="Y41" s="53">
        <f>'Sch J WPs'!AG76</f>
        <v>85177.083333333372</v>
      </c>
      <c r="Z41" s="44"/>
      <c r="AA41" s="44">
        <v>0</v>
      </c>
      <c r="AB41" s="44"/>
      <c r="AC41" s="53">
        <f t="shared" ref="AC41:AC44" si="15">I41-W41-Y41+AA41</f>
        <v>9164822.916666666</v>
      </c>
      <c r="AD41" s="41"/>
    </row>
    <row r="42" spans="1:30" s="106" customFormat="1" ht="15" x14ac:dyDescent="0.25">
      <c r="A42" s="48">
        <f t="shared" si="0"/>
        <v>27</v>
      </c>
      <c r="B42" s="48"/>
      <c r="C42" s="98" t="str">
        <f>+'Sch J WPs'!B33</f>
        <v xml:space="preserve">    Proposed 2026 Issuance (30-year)</v>
      </c>
      <c r="D42" s="46"/>
      <c r="E42" s="59">
        <f>'Sch J WPs'!D33</f>
        <v>46096</v>
      </c>
      <c r="F42" s="59"/>
      <c r="G42" s="59">
        <f>'Sch J WPs'!E33</f>
        <v>57071</v>
      </c>
      <c r="H42" s="40"/>
      <c r="I42" s="53">
        <f>'Sch J WPs'!AG33</f>
        <v>9250000</v>
      </c>
      <c r="J42" s="40"/>
      <c r="K42" s="73">
        <f>'Sch J WPs'!C33</f>
        <v>5.7989555555555551E-2</v>
      </c>
      <c r="L42" s="53"/>
      <c r="M42" s="73">
        <f t="shared" si="12"/>
        <v>5.8250000000000003E-2</v>
      </c>
      <c r="N42" s="40"/>
      <c r="O42" s="72" t="s">
        <v>141</v>
      </c>
      <c r="P42" s="40"/>
      <c r="Q42" s="53">
        <f t="shared" si="13"/>
        <v>538813</v>
      </c>
      <c r="R42" s="44"/>
      <c r="S42" s="53">
        <f t="shared" si="14"/>
        <v>9250000</v>
      </c>
      <c r="T42" s="40"/>
      <c r="U42" s="53">
        <f>'Sch J WPs'!AH123</f>
        <v>2440.9722222222217</v>
      </c>
      <c r="V42" s="44"/>
      <c r="W42" s="44">
        <v>0</v>
      </c>
      <c r="X42" s="44"/>
      <c r="Y42" s="53">
        <f>'Sch J WPs'!AG77</f>
        <v>90059.027777777839</v>
      </c>
      <c r="Z42" s="44"/>
      <c r="AA42" s="44">
        <v>0</v>
      </c>
      <c r="AB42" s="44"/>
      <c r="AC42" s="53">
        <f>I42-W42-Y42+AA42</f>
        <v>9159940.972222222</v>
      </c>
      <c r="AD42" s="41"/>
    </row>
    <row r="43" spans="1:30" s="106" customFormat="1" ht="15" x14ac:dyDescent="0.25">
      <c r="A43" s="48">
        <f t="shared" si="0"/>
        <v>28</v>
      </c>
      <c r="B43" s="48"/>
      <c r="C43" s="98" t="str">
        <f>+'Sch J WPs'!B34</f>
        <v xml:space="preserve">    Proposed 2026 Issuance (10-year)</v>
      </c>
      <c r="D43" s="46"/>
      <c r="E43" s="59">
        <f>'Sch J WPs'!D34</f>
        <v>46280</v>
      </c>
      <c r="F43" s="59"/>
      <c r="G43" s="59">
        <f>'Sch J WPs'!E34</f>
        <v>49949</v>
      </c>
      <c r="H43" s="40"/>
      <c r="I43" s="53">
        <f>'Sch J WPs'!AG34</f>
        <v>9250000</v>
      </c>
      <c r="J43" s="40"/>
      <c r="K43" s="73">
        <f>'Sch J WPs'!C34</f>
        <v>5.5995500000000004E-2</v>
      </c>
      <c r="L43" s="53"/>
      <c r="M43" s="73">
        <f t="shared" si="12"/>
        <v>5.629E-2</v>
      </c>
      <c r="N43" s="40"/>
      <c r="O43" s="72" t="s">
        <v>141</v>
      </c>
      <c r="P43" s="40"/>
      <c r="Q43" s="53">
        <f t="shared" si="13"/>
        <v>520683</v>
      </c>
      <c r="R43" s="44"/>
      <c r="S43" s="53">
        <f t="shared" si="14"/>
        <v>9250000</v>
      </c>
      <c r="T43" s="40"/>
      <c r="U43" s="53">
        <f>'Sch J WPs'!AH124</f>
        <v>2697.916666666667</v>
      </c>
      <c r="V43" s="44"/>
      <c r="W43" s="44">
        <v>0</v>
      </c>
      <c r="X43" s="44"/>
      <c r="Y43" s="53">
        <f>'Sch J WPs'!AG78</f>
        <v>89802.083333333343</v>
      </c>
      <c r="Z43" s="44"/>
      <c r="AA43" s="44">
        <v>0</v>
      </c>
      <c r="AB43" s="44"/>
      <c r="AC43" s="53">
        <f t="shared" si="15"/>
        <v>9160197.916666666</v>
      </c>
      <c r="AD43" s="41"/>
    </row>
    <row r="44" spans="1:30" s="106" customFormat="1" ht="15" x14ac:dyDescent="0.25">
      <c r="A44" s="48">
        <f t="shared" si="0"/>
        <v>29</v>
      </c>
      <c r="B44" s="48"/>
      <c r="C44" s="98" t="str">
        <f>+'Sch J WPs'!B35</f>
        <v xml:space="preserve">    Proposed 2026 Issuance (30-year)</v>
      </c>
      <c r="D44" s="46"/>
      <c r="E44" s="59">
        <f>'Sch J WPs'!D35</f>
        <v>46280</v>
      </c>
      <c r="F44" s="59"/>
      <c r="G44" s="59">
        <f>'Sch J WPs'!E35</f>
        <v>57254</v>
      </c>
      <c r="H44" s="40"/>
      <c r="I44" s="53">
        <f>'Sch J WPs'!AG35</f>
        <v>9250000</v>
      </c>
      <c r="J44" s="40"/>
      <c r="K44" s="73">
        <f>'Sch J WPs'!C35</f>
        <v>5.7989555555555551E-2</v>
      </c>
      <c r="L44" s="53"/>
      <c r="M44" s="73">
        <f t="shared" si="12"/>
        <v>5.8090000000000003E-2</v>
      </c>
      <c r="N44" s="40"/>
      <c r="O44" s="72" t="s">
        <v>141</v>
      </c>
      <c r="P44" s="40"/>
      <c r="Q44" s="53">
        <f t="shared" si="13"/>
        <v>537333</v>
      </c>
      <c r="R44" s="44"/>
      <c r="S44" s="53">
        <f t="shared" si="14"/>
        <v>9250000</v>
      </c>
      <c r="T44" s="40"/>
      <c r="U44" s="53">
        <f>'Sch J WPs'!AH125</f>
        <v>899.30555555555554</v>
      </c>
      <c r="V44" s="44"/>
      <c r="W44" s="44">
        <v>0</v>
      </c>
      <c r="X44" s="44"/>
      <c r="Y44" s="53">
        <f>'Sch J WPs'!AG79</f>
        <v>91600.694444444467</v>
      </c>
      <c r="Z44" s="44"/>
      <c r="AA44" s="44">
        <v>0</v>
      </c>
      <c r="AB44" s="44"/>
      <c r="AC44" s="53">
        <f t="shared" si="15"/>
        <v>9158399.305555556</v>
      </c>
      <c r="AD44" s="41"/>
    </row>
    <row r="45" spans="1:30" ht="15" x14ac:dyDescent="0.25">
      <c r="A45" s="48">
        <f t="shared" si="0"/>
        <v>30</v>
      </c>
      <c r="B45" s="48"/>
      <c r="C45" s="40"/>
      <c r="D45" s="44"/>
      <c r="E45" s="59"/>
      <c r="F45" s="59"/>
      <c r="G45" s="59"/>
      <c r="H45" s="40"/>
      <c r="I45" s="53"/>
      <c r="J45" s="40"/>
      <c r="K45" s="73"/>
      <c r="L45" s="53"/>
      <c r="M45" s="73"/>
      <c r="N45" s="40"/>
      <c r="O45" s="72"/>
      <c r="P45" s="40"/>
      <c r="Q45" s="53"/>
      <c r="R45" s="44"/>
      <c r="S45" s="53"/>
      <c r="T45" s="40"/>
      <c r="U45" s="53"/>
      <c r="V45" s="44"/>
      <c r="W45" s="44"/>
      <c r="X45" s="44"/>
      <c r="Y45" s="53"/>
      <c r="Z45" s="44"/>
      <c r="AA45" s="44"/>
      <c r="AB45" s="44"/>
      <c r="AC45" s="53"/>
    </row>
    <row r="46" spans="1:30" ht="15" x14ac:dyDescent="0.25">
      <c r="A46" s="48">
        <f t="shared" si="0"/>
        <v>31</v>
      </c>
      <c r="B46" s="48"/>
      <c r="C46" s="58" t="s">
        <v>143</v>
      </c>
      <c r="D46" s="44"/>
      <c r="E46" s="59"/>
      <c r="F46" s="59"/>
      <c r="G46" s="59"/>
      <c r="H46" s="40"/>
      <c r="I46" s="53"/>
      <c r="J46" s="40"/>
      <c r="K46" s="73"/>
      <c r="L46" s="53"/>
      <c r="M46" s="73"/>
      <c r="N46" s="40"/>
      <c r="O46" s="72"/>
      <c r="P46" s="40"/>
      <c r="Q46" s="53"/>
      <c r="R46" s="44"/>
      <c r="S46" s="53"/>
      <c r="T46" s="40"/>
      <c r="U46" s="53"/>
      <c r="V46" s="44"/>
      <c r="W46" s="44"/>
      <c r="X46" s="44"/>
      <c r="Y46" s="53"/>
      <c r="Z46" s="44"/>
      <c r="AA46" s="44"/>
      <c r="AB46" s="44"/>
      <c r="AC46" s="53"/>
    </row>
    <row r="47" spans="1:30" ht="15" x14ac:dyDescent="0.25">
      <c r="A47" s="48">
        <f t="shared" si="0"/>
        <v>32</v>
      </c>
      <c r="B47" s="48"/>
      <c r="C47" s="44" t="s">
        <v>144</v>
      </c>
      <c r="D47" s="44"/>
      <c r="E47" s="59" t="s">
        <v>141</v>
      </c>
      <c r="F47" s="59"/>
      <c r="G47" s="59" t="s">
        <v>141</v>
      </c>
      <c r="H47" s="40"/>
      <c r="I47" s="53">
        <v>0</v>
      </c>
      <c r="J47" s="40"/>
      <c r="K47" s="73">
        <v>0</v>
      </c>
      <c r="L47" s="53"/>
      <c r="M47" s="73">
        <v>0</v>
      </c>
      <c r="N47" s="40"/>
      <c r="O47" s="72" t="s">
        <v>141</v>
      </c>
      <c r="P47" s="40"/>
      <c r="Q47" s="53">
        <v>0</v>
      </c>
      <c r="R47" s="44"/>
      <c r="S47" s="53">
        <v>0</v>
      </c>
      <c r="T47" s="40"/>
      <c r="U47" s="53">
        <f>'Sch J WPs'!AH127</f>
        <v>45636</v>
      </c>
      <c r="V47" s="44"/>
      <c r="W47" s="44">
        <v>0</v>
      </c>
      <c r="X47" s="44"/>
      <c r="Y47" s="53">
        <f>'Sch J WPs'!AG81</f>
        <v>568020.73999999953</v>
      </c>
      <c r="Z47" s="44"/>
      <c r="AA47" s="44">
        <v>0</v>
      </c>
      <c r="AB47" s="44"/>
      <c r="AC47" s="53">
        <f t="shared" ref="AC47" si="16">I47-W47-Y47+AA47</f>
        <v>-568020.73999999953</v>
      </c>
    </row>
    <row r="48" spans="1:30" ht="15" x14ac:dyDescent="0.25">
      <c r="A48" s="48">
        <f t="shared" si="0"/>
        <v>33</v>
      </c>
      <c r="B48" s="48"/>
      <c r="C48" s="40"/>
      <c r="D48" s="40"/>
      <c r="E48" s="40"/>
      <c r="F48" s="40"/>
      <c r="G48" s="40"/>
      <c r="H48" s="40"/>
      <c r="I48" s="54"/>
      <c r="J48" s="53"/>
      <c r="K48" s="52"/>
      <c r="L48" s="52"/>
      <c r="M48" s="52"/>
      <c r="N48" s="52"/>
      <c r="O48" s="48"/>
      <c r="P48" s="48"/>
      <c r="Q48" s="54"/>
      <c r="R48" s="53"/>
      <c r="S48" s="54"/>
      <c r="T48" s="53"/>
      <c r="U48" s="54"/>
      <c r="V48" s="53"/>
      <c r="W48" s="54"/>
      <c r="X48" s="53"/>
      <c r="Y48" s="54"/>
      <c r="Z48" s="53"/>
      <c r="AA48" s="54"/>
      <c r="AB48" s="53"/>
      <c r="AC48" s="54"/>
    </row>
    <row r="49" spans="1:30" ht="15" x14ac:dyDescent="0.25">
      <c r="A49" s="48">
        <f t="shared" si="0"/>
        <v>34</v>
      </c>
      <c r="B49" s="48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</row>
    <row r="50" spans="1:30" ht="15.75" thickBot="1" x14ac:dyDescent="0.3">
      <c r="A50" s="48">
        <f t="shared" si="0"/>
        <v>35</v>
      </c>
      <c r="B50" s="48"/>
      <c r="C50" s="43" t="s">
        <v>145</v>
      </c>
      <c r="D50" s="43"/>
      <c r="E50" s="43"/>
      <c r="F50" s="43"/>
      <c r="G50" s="43"/>
      <c r="H50" s="43"/>
      <c r="I50" s="62">
        <f>SUM(I19:I48)</f>
        <v>325749000</v>
      </c>
      <c r="J50" s="51"/>
      <c r="K50" s="40"/>
      <c r="L50" s="40"/>
      <c r="M50" s="40"/>
      <c r="N50" s="40"/>
      <c r="O50" s="40"/>
      <c r="P50" s="40"/>
      <c r="Q50" s="62">
        <f>SUM(Q19:Q48)</f>
        <v>15378649</v>
      </c>
      <c r="R50" s="51"/>
      <c r="S50" s="62">
        <f>SUM(S19:S48)</f>
        <v>325749000</v>
      </c>
      <c r="T50" s="51"/>
      <c r="U50" s="62">
        <f>SUM(U19:U48)</f>
        <v>341713.75543930539</v>
      </c>
      <c r="V50" s="51"/>
      <c r="W50" s="62">
        <f>SUM(W19:W48)</f>
        <v>426459.98455152026</v>
      </c>
      <c r="X50" s="56"/>
      <c r="Y50" s="62">
        <f>SUM(Y19:Y48)</f>
        <v>2303367.4408888891</v>
      </c>
      <c r="Z50" s="51"/>
      <c r="AA50" s="62">
        <f>SUM(AA19:AA48)</f>
        <v>281881.7971258607</v>
      </c>
      <c r="AB50" s="56"/>
      <c r="AC50" s="62">
        <f>SUM(AC19:AC48)</f>
        <v>323301054.37168545</v>
      </c>
      <c r="AD50" s="60"/>
    </row>
    <row r="51" spans="1:30" ht="15.75" thickTop="1" x14ac:dyDescent="0.25">
      <c r="A51" s="48">
        <f t="shared" si="0"/>
        <v>36</v>
      </c>
      <c r="B51" s="48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</row>
    <row r="52" spans="1:30" ht="15" x14ac:dyDescent="0.25">
      <c r="A52" s="48">
        <f t="shared" si="0"/>
        <v>37</v>
      </c>
      <c r="B52" s="48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</row>
    <row r="53" spans="1:30" ht="15.75" thickBot="1" x14ac:dyDescent="0.3">
      <c r="A53" s="48">
        <f t="shared" si="0"/>
        <v>38</v>
      </c>
      <c r="B53" s="48"/>
      <c r="C53" s="40"/>
      <c r="D53" s="40"/>
      <c r="E53" s="63" t="s">
        <v>146</v>
      </c>
      <c r="F53" s="63"/>
      <c r="G53" s="40"/>
      <c r="H53" s="40"/>
      <c r="I53" s="55">
        <f>ROUND(Q50/AC50,4)</f>
        <v>4.7600000000000003E-2</v>
      </c>
      <c r="J53" s="52"/>
      <c r="K53" s="40"/>
      <c r="L53" s="40"/>
      <c r="M53" s="40"/>
      <c r="N53" s="40"/>
      <c r="O53" s="40"/>
      <c r="P53" s="40"/>
      <c r="Q53" s="156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</row>
    <row r="54" spans="1:30" ht="15.75" thickTop="1" x14ac:dyDescent="0.25">
      <c r="A54" s="48"/>
      <c r="B54" s="48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</row>
    <row r="55" spans="1:30" ht="15" x14ac:dyDescent="0.25">
      <c r="A55" s="48"/>
      <c r="B55" s="48"/>
      <c r="C55" s="40"/>
      <c r="D55" s="40"/>
      <c r="E55" s="40"/>
      <c r="F55" s="40"/>
      <c r="G55" s="40"/>
      <c r="H55" s="40"/>
      <c r="I55" s="156"/>
      <c r="J55" s="40"/>
      <c r="K55" s="40"/>
      <c r="L55" s="40"/>
      <c r="M55" s="40"/>
      <c r="N55" s="40"/>
      <c r="O55" s="40"/>
      <c r="P55" s="40"/>
      <c r="Q55" s="156"/>
      <c r="R55" s="40"/>
      <c r="S55" s="156"/>
      <c r="T55" s="40"/>
      <c r="U55" s="156"/>
      <c r="V55" s="40"/>
      <c r="W55" s="156"/>
      <c r="X55" s="40"/>
      <c r="Y55" s="156"/>
      <c r="Z55" s="40"/>
      <c r="AA55" s="156"/>
      <c r="AB55" s="40"/>
      <c r="AC55" s="156"/>
    </row>
    <row r="56" spans="1:30" ht="15" x14ac:dyDescent="0.25">
      <c r="A56" s="48"/>
      <c r="B56" s="48"/>
      <c r="C56" s="40"/>
      <c r="D56" s="40"/>
      <c r="E56" s="40"/>
      <c r="F56" s="40"/>
      <c r="G56" s="40"/>
      <c r="H56" s="40"/>
      <c r="I56" s="78"/>
      <c r="J56" s="40"/>
      <c r="K56" s="40"/>
      <c r="L56" s="40"/>
      <c r="M56" s="40"/>
      <c r="N56" s="40"/>
      <c r="O56" s="40"/>
      <c r="P56" s="40"/>
      <c r="Q56" s="156"/>
      <c r="R56" s="40"/>
      <c r="S56" s="156"/>
      <c r="T56" s="78"/>
      <c r="U56" s="156"/>
      <c r="V56" s="78"/>
      <c r="W56" s="156"/>
      <c r="X56" s="78"/>
      <c r="Y56" s="156"/>
      <c r="Z56" s="78"/>
      <c r="AA56" s="156"/>
      <c r="AB56" s="78"/>
      <c r="AC56" s="156"/>
    </row>
    <row r="57" spans="1:30" ht="15" x14ac:dyDescent="0.25">
      <c r="A57" s="48"/>
      <c r="B57" s="48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159"/>
      <c r="X57" s="40"/>
      <c r="Y57" s="40"/>
      <c r="Z57" s="40"/>
      <c r="AA57" s="40"/>
      <c r="AB57" s="40"/>
      <c r="AC57" s="40"/>
    </row>
    <row r="58" spans="1:30" ht="15" x14ac:dyDescent="0.25">
      <c r="A58" s="48"/>
      <c r="B58" s="48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</row>
    <row r="59" spans="1:30" ht="15" x14ac:dyDescent="0.25">
      <c r="A59" s="48"/>
      <c r="B59" s="48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</row>
    <row r="60" spans="1:30" ht="15" x14ac:dyDescent="0.25">
      <c r="A60" s="48"/>
      <c r="B60" s="48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</row>
    <row r="61" spans="1:30" ht="15" x14ac:dyDescent="0.25">
      <c r="A61" s="42" t="str">
        <f>A1</f>
        <v>Kentucky American Water Company</v>
      </c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spans="1:30" ht="15" x14ac:dyDescent="0.25">
      <c r="A62" s="42" t="str">
        <f>A2</f>
        <v>Case No. 2025-00122</v>
      </c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spans="1:30" ht="15" x14ac:dyDescent="0.25">
      <c r="A63" s="42" t="str">
        <f>Linkin!E44</f>
        <v>Embedded Cost of Long-Term Debt</v>
      </c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spans="1:30" ht="15" x14ac:dyDescent="0.25">
      <c r="A64" s="42" t="str">
        <f>Linkin!C6</f>
        <v>As of August 2025</v>
      </c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spans="1:29" ht="15" x14ac:dyDescent="0.25">
      <c r="A65" s="42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</row>
    <row r="66" spans="1:29" ht="15" x14ac:dyDescent="0.25">
      <c r="A66" s="83" t="s">
        <v>112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6" t="s">
        <v>122</v>
      </c>
    </row>
    <row r="67" spans="1:29" ht="15" x14ac:dyDescent="0.25">
      <c r="A67" s="40" t="str">
        <f>Linkin!A17</f>
        <v>Type of Filing: _____ Original  __X__ Updated  _____ Revised</v>
      </c>
      <c r="B67" s="44"/>
      <c r="C67" s="43"/>
      <c r="D67" s="43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86" t="str">
        <f>AC7</f>
        <v>KAW_R_PSCHDR_NUM002_100625_Attachment  Sch J-4</v>
      </c>
    </row>
    <row r="68" spans="1:29" ht="15" x14ac:dyDescent="0.25">
      <c r="A68" s="40" t="str">
        <f>"Workpaper Reference No(s):  " &amp;Linkin!C27</f>
        <v>Workpaper Reference No(s):  W/P - 7-4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86" t="str">
        <f>Linkin!G44</f>
        <v>Witness Responsible:   Jennifer Gonzales</v>
      </c>
    </row>
    <row r="69" spans="1:29" ht="15" x14ac:dyDescent="0.25">
      <c r="A69" s="44"/>
      <c r="B69" s="44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86" t="s">
        <v>113</v>
      </c>
    </row>
    <row r="70" spans="1:29" ht="15" x14ac:dyDescent="0.25">
      <c r="A70" s="44"/>
      <c r="B70" s="44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6"/>
    </row>
    <row r="71" spans="1:29" ht="15" x14ac:dyDescent="0.25">
      <c r="A71" s="44"/>
      <c r="B71" s="44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6"/>
    </row>
    <row r="72" spans="1:29" ht="15" x14ac:dyDescent="0.25"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</row>
    <row r="73" spans="1:29" ht="15" x14ac:dyDescent="0.25">
      <c r="A73" s="40"/>
      <c r="B73" s="40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8" t="s">
        <v>123</v>
      </c>
      <c r="V73" s="48"/>
      <c r="X73" s="48"/>
      <c r="Y73" s="44"/>
      <c r="Z73" s="44"/>
      <c r="AA73" s="44"/>
      <c r="AB73" s="44"/>
      <c r="AC73" s="44"/>
    </row>
    <row r="74" spans="1:29" ht="15" x14ac:dyDescent="0.25">
      <c r="A74" s="49" t="s">
        <v>86</v>
      </c>
      <c r="B74" s="49"/>
      <c r="C74" s="49" t="s">
        <v>124</v>
      </c>
      <c r="D74" s="43"/>
      <c r="E74" s="49" t="s">
        <v>116</v>
      </c>
      <c r="F74" s="49"/>
      <c r="G74" s="49" t="s">
        <v>125</v>
      </c>
      <c r="H74" s="49"/>
      <c r="I74" s="49" t="s">
        <v>108</v>
      </c>
      <c r="J74" s="49"/>
      <c r="K74" s="49" t="s">
        <v>57</v>
      </c>
      <c r="L74" s="49"/>
      <c r="M74" s="49" t="s">
        <v>57</v>
      </c>
      <c r="N74" s="49"/>
      <c r="O74" s="49" t="s">
        <v>126</v>
      </c>
      <c r="P74" s="49"/>
      <c r="Q74" s="49" t="s">
        <v>127</v>
      </c>
      <c r="R74" s="49"/>
      <c r="S74" s="49" t="s">
        <v>128</v>
      </c>
      <c r="T74" s="49"/>
      <c r="U74" s="49" t="s">
        <v>129</v>
      </c>
      <c r="V74" s="49"/>
      <c r="W74" s="48" t="s">
        <v>130</v>
      </c>
      <c r="X74" s="49"/>
      <c r="Y74" s="49" t="s">
        <v>130</v>
      </c>
      <c r="Z74" s="49"/>
      <c r="AA74" s="49" t="s">
        <v>130</v>
      </c>
      <c r="AB74" s="49"/>
      <c r="AC74" s="49" t="s">
        <v>106</v>
      </c>
    </row>
    <row r="75" spans="1:29" ht="15.75" thickBot="1" x14ac:dyDescent="0.3">
      <c r="A75" s="50" t="s">
        <v>91</v>
      </c>
      <c r="B75" s="48"/>
      <c r="C75" s="50" t="s">
        <v>131</v>
      </c>
      <c r="D75" s="43"/>
      <c r="E75" s="50" t="s">
        <v>132</v>
      </c>
      <c r="F75" s="48"/>
      <c r="G75" s="50" t="s">
        <v>132</v>
      </c>
      <c r="H75" s="48"/>
      <c r="I75" s="50" t="s">
        <v>117</v>
      </c>
      <c r="J75" s="48"/>
      <c r="K75" s="50" t="s">
        <v>133</v>
      </c>
      <c r="L75" s="48"/>
      <c r="M75" s="50" t="s">
        <v>134</v>
      </c>
      <c r="N75" s="48"/>
      <c r="O75" s="50" t="s">
        <v>133</v>
      </c>
      <c r="P75" s="48"/>
      <c r="Q75" s="50" t="s">
        <v>115</v>
      </c>
      <c r="R75" s="48"/>
      <c r="S75" s="50" t="s">
        <v>108</v>
      </c>
      <c r="T75" s="48"/>
      <c r="U75" s="50" t="s">
        <v>135</v>
      </c>
      <c r="V75" s="48"/>
      <c r="W75" s="50" t="s">
        <v>136</v>
      </c>
      <c r="X75" s="48"/>
      <c r="Y75" s="50" t="s">
        <v>137</v>
      </c>
      <c r="Z75" s="48"/>
      <c r="AA75" s="50" t="s">
        <v>138</v>
      </c>
      <c r="AB75" s="48"/>
      <c r="AC75" s="50" t="s">
        <v>139</v>
      </c>
    </row>
    <row r="76" spans="1:29" ht="15" x14ac:dyDescent="0.25">
      <c r="A76" s="48">
        <v>1</v>
      </c>
      <c r="B76" s="48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</row>
    <row r="77" spans="1:29" ht="15" x14ac:dyDescent="0.25">
      <c r="A77" s="48">
        <f>A76+1</f>
        <v>2</v>
      </c>
      <c r="B77" s="48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ht="15" x14ac:dyDescent="0.25">
      <c r="A78" s="48">
        <f t="shared" ref="A78:A108" si="17">A77+1</f>
        <v>3</v>
      </c>
      <c r="B78" s="48"/>
      <c r="C78" s="58" t="s">
        <v>140</v>
      </c>
      <c r="D78" s="58"/>
      <c r="E78" s="40"/>
      <c r="F78" s="40"/>
      <c r="G78" s="40"/>
      <c r="H78" s="40"/>
      <c r="I78" s="56"/>
      <c r="J78" s="56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</row>
    <row r="79" spans="1:29" ht="15" x14ac:dyDescent="0.25">
      <c r="A79" s="48">
        <f t="shared" si="17"/>
        <v>4</v>
      </c>
      <c r="B79" s="48"/>
      <c r="C79" s="46"/>
      <c r="D79" s="46"/>
      <c r="E79" s="59"/>
      <c r="F79" s="59"/>
      <c r="G79" s="59"/>
      <c r="H79" s="59"/>
      <c r="I79" s="56"/>
      <c r="J79" s="56"/>
      <c r="K79" s="52"/>
      <c r="L79" s="52"/>
      <c r="M79" s="52"/>
      <c r="N79" s="52"/>
      <c r="O79" s="48"/>
      <c r="P79" s="48"/>
      <c r="Q79" s="56"/>
      <c r="R79" s="56"/>
      <c r="S79" s="56"/>
      <c r="T79" s="56"/>
      <c r="U79" s="56"/>
      <c r="V79" s="56"/>
      <c r="W79" s="56"/>
      <c r="X79" s="56"/>
      <c r="Y79" s="51"/>
      <c r="Z79" s="51"/>
      <c r="AA79" s="51"/>
      <c r="AB79" s="51"/>
      <c r="AC79" s="56"/>
    </row>
    <row r="80" spans="1:29" ht="15" x14ac:dyDescent="0.25">
      <c r="A80" s="48">
        <f t="shared" si="17"/>
        <v>5</v>
      </c>
      <c r="B80" s="48"/>
      <c r="C80" s="98" t="str">
        <f>C20</f>
        <v xml:space="preserve">    Series 7.15%   GMB</v>
      </c>
      <c r="D80" s="46"/>
      <c r="E80" s="59">
        <f>E20</f>
        <v>35462</v>
      </c>
      <c r="F80" s="59"/>
      <c r="G80" s="59">
        <f>G20</f>
        <v>46419</v>
      </c>
      <c r="H80" s="59"/>
      <c r="I80" s="53">
        <f>'Sch J WPs'!Q14</f>
        <v>7500000</v>
      </c>
      <c r="J80" s="53"/>
      <c r="K80" s="73">
        <f>'Sch J WPs'!C14</f>
        <v>7.1499999999999994E-2</v>
      </c>
      <c r="L80" s="53"/>
      <c r="M80" s="73">
        <f>IF(I80=0,0,ROUND((I80*K80+U80)/I80,5))</f>
        <v>7.1819999999999995E-2</v>
      </c>
      <c r="N80" s="71"/>
      <c r="O80" s="72" t="s">
        <v>141</v>
      </c>
      <c r="P80" s="72"/>
      <c r="Q80" s="53">
        <f t="shared" ref="Q80:Q98" si="18">ROUND(M80*I80,0)</f>
        <v>538650</v>
      </c>
      <c r="R80" s="44"/>
      <c r="S80" s="53">
        <f t="shared" ref="S80:S98" si="19">I80</f>
        <v>7500000</v>
      </c>
      <c r="T80" s="44"/>
      <c r="U80" s="53">
        <f>ROUND('Sch J WPs'!Q104*12,0)</f>
        <v>2418</v>
      </c>
      <c r="V80" s="44"/>
      <c r="W80" s="53">
        <v>0</v>
      </c>
      <c r="X80" s="44"/>
      <c r="Y80" s="53">
        <f>'Sch J WPs'!Q58</f>
        <v>3453.8999999999978</v>
      </c>
      <c r="Z80" s="44"/>
      <c r="AA80" s="53">
        <v>0</v>
      </c>
      <c r="AB80" s="44"/>
      <c r="AC80" s="53">
        <f t="shared" ref="AC80:AC81" si="20">I80-W80-Y80+AA80</f>
        <v>7496546.0999999996</v>
      </c>
    </row>
    <row r="81" spans="1:29" ht="15" x14ac:dyDescent="0.25">
      <c r="A81" s="48">
        <f t="shared" si="17"/>
        <v>6</v>
      </c>
      <c r="B81" s="48"/>
      <c r="C81" s="98" t="str">
        <f>C21</f>
        <v xml:space="preserve">    Series 6.99%   GMB</v>
      </c>
      <c r="D81" s="46"/>
      <c r="E81" s="59">
        <f>E21</f>
        <v>35947</v>
      </c>
      <c r="F81" s="59"/>
      <c r="G81" s="59">
        <f>G21</f>
        <v>46905</v>
      </c>
      <c r="H81" s="59"/>
      <c r="I81" s="53">
        <f>'Sch J WPs'!Q15</f>
        <v>9000000</v>
      </c>
      <c r="J81" s="53"/>
      <c r="K81" s="73">
        <f>'Sch J WPs'!C15</f>
        <v>6.9900000000000004E-2</v>
      </c>
      <c r="L81" s="53"/>
      <c r="M81" s="73">
        <f t="shared" ref="M81:M95" si="21">IF(I81=0,0,ROUND((I81*K81+U81)/I81,5))</f>
        <v>7.0260000000000003E-2</v>
      </c>
      <c r="N81" s="71"/>
      <c r="O81" s="72" t="s">
        <v>141</v>
      </c>
      <c r="P81" s="72"/>
      <c r="Q81" s="53">
        <f t="shared" si="18"/>
        <v>632340</v>
      </c>
      <c r="R81" s="44"/>
      <c r="S81" s="53">
        <f t="shared" si="19"/>
        <v>9000000</v>
      </c>
      <c r="T81" s="44"/>
      <c r="U81" s="53">
        <f>ROUND('Sch J WPs'!Q105*12,0)</f>
        <v>3250</v>
      </c>
      <c r="V81" s="44"/>
      <c r="W81" s="53">
        <v>0</v>
      </c>
      <c r="X81" s="44"/>
      <c r="Y81" s="53">
        <f>'Sch J WPs'!Q59</f>
        <v>8975.8299999999963</v>
      </c>
      <c r="Z81" s="44"/>
      <c r="AA81" s="53">
        <v>0</v>
      </c>
      <c r="AB81" s="44"/>
      <c r="AC81" s="53">
        <f t="shared" si="20"/>
        <v>8991024.1699999999</v>
      </c>
    </row>
    <row r="82" spans="1:29" ht="15" x14ac:dyDescent="0.25">
      <c r="A82" s="48">
        <f t="shared" si="17"/>
        <v>7</v>
      </c>
      <c r="B82" s="48"/>
      <c r="C82" s="64"/>
      <c r="D82" s="64"/>
      <c r="E82" s="59"/>
      <c r="F82" s="59"/>
      <c r="G82" s="59"/>
      <c r="H82" s="59"/>
      <c r="I82" s="53"/>
      <c r="J82" s="53"/>
      <c r="K82" s="73"/>
      <c r="L82" s="53"/>
      <c r="M82" s="73"/>
      <c r="N82" s="71"/>
      <c r="O82" s="72"/>
      <c r="P82" s="72"/>
      <c r="Q82" s="53"/>
      <c r="R82" s="44"/>
      <c r="S82" s="53"/>
      <c r="T82" s="44"/>
      <c r="U82" s="53"/>
      <c r="V82" s="44"/>
      <c r="W82" s="53"/>
      <c r="X82" s="44"/>
      <c r="Y82" s="53"/>
      <c r="Z82" s="44"/>
      <c r="AA82" s="53"/>
      <c r="AB82" s="44"/>
      <c r="AC82" s="53"/>
    </row>
    <row r="83" spans="1:29" ht="15" x14ac:dyDescent="0.25">
      <c r="A83" s="48">
        <f t="shared" si="17"/>
        <v>8</v>
      </c>
      <c r="B83" s="48"/>
      <c r="C83" s="58" t="str">
        <f>C23</f>
        <v>AWCC Inter-Company Notes:</v>
      </c>
      <c r="D83" s="64"/>
      <c r="E83" s="59"/>
      <c r="F83" s="59"/>
      <c r="G83" s="59"/>
      <c r="H83" s="59"/>
      <c r="I83" s="53"/>
      <c r="J83" s="53"/>
      <c r="K83" s="73"/>
      <c r="L83" s="53"/>
      <c r="M83" s="73"/>
      <c r="N83" s="71"/>
      <c r="O83" s="72"/>
      <c r="P83" s="72"/>
      <c r="Q83" s="53"/>
      <c r="R83" s="44"/>
      <c r="S83" s="53"/>
      <c r="T83" s="44"/>
      <c r="U83" s="53"/>
      <c r="V83" s="44"/>
      <c r="W83" s="53"/>
      <c r="X83" s="44"/>
      <c r="Y83" s="53"/>
      <c r="Z83" s="44"/>
      <c r="AA83" s="53"/>
      <c r="AB83" s="44"/>
      <c r="AC83" s="53"/>
    </row>
    <row r="84" spans="1:29" ht="15" x14ac:dyDescent="0.25">
      <c r="A84" s="48">
        <f t="shared" si="17"/>
        <v>9</v>
      </c>
      <c r="B84" s="48"/>
      <c r="C84" s="64"/>
      <c r="D84" s="64"/>
      <c r="E84" s="59"/>
      <c r="F84" s="59"/>
      <c r="G84" s="59"/>
      <c r="H84" s="59"/>
      <c r="I84" s="53"/>
      <c r="J84" s="53"/>
      <c r="K84" s="73"/>
      <c r="L84" s="53"/>
      <c r="M84" s="73"/>
      <c r="N84" s="71"/>
      <c r="O84" s="72"/>
      <c r="P84" s="72"/>
      <c r="Q84" s="53"/>
      <c r="R84" s="44"/>
      <c r="S84" s="53"/>
      <c r="T84" s="44"/>
      <c r="U84" s="53"/>
      <c r="V84" s="44"/>
      <c r="W84" s="53"/>
      <c r="X84" s="44"/>
      <c r="Y84" s="53"/>
      <c r="Z84" s="44"/>
      <c r="AA84" s="53"/>
      <c r="AB84" s="44"/>
      <c r="AC84" s="53"/>
    </row>
    <row r="85" spans="1:29" ht="15" x14ac:dyDescent="0.25">
      <c r="A85" s="48">
        <f t="shared" si="17"/>
        <v>10</v>
      </c>
      <c r="B85" s="48"/>
      <c r="C85" s="98" t="str">
        <f t="shared" ref="C85:C99" si="22">C25</f>
        <v xml:space="preserve">    Series 6.593%  Note</v>
      </c>
      <c r="D85" s="64"/>
      <c r="E85" s="59">
        <f t="shared" ref="E85:E99" si="23">E25</f>
        <v>39377</v>
      </c>
      <c r="F85" s="59"/>
      <c r="G85" s="59">
        <f t="shared" ref="G85:G99" si="24">G25</f>
        <v>50328</v>
      </c>
      <c r="H85" s="59"/>
      <c r="I85" s="53">
        <f>'Sch J WPs'!Q16</f>
        <v>47000000</v>
      </c>
      <c r="J85" s="53"/>
      <c r="K85" s="73">
        <f>'Sch J WPs'!C16</f>
        <v>6.5930000000000002E-2</v>
      </c>
      <c r="L85" s="53"/>
      <c r="M85" s="73">
        <f>IF(I85=0,0,ROUND((I85*K85+U85)/I85,5))</f>
        <v>6.6280000000000006E-2</v>
      </c>
      <c r="N85" s="71"/>
      <c r="O85" s="72" t="s">
        <v>141</v>
      </c>
      <c r="P85" s="72"/>
      <c r="Q85" s="53">
        <f t="shared" si="18"/>
        <v>3115160</v>
      </c>
      <c r="R85" s="44"/>
      <c r="S85" s="53">
        <f t="shared" si="19"/>
        <v>47000000</v>
      </c>
      <c r="T85" s="44"/>
      <c r="U85" s="53">
        <f>ROUND('Sch J WPs'!Q106*12,0)</f>
        <v>16577</v>
      </c>
      <c r="V85" s="44"/>
      <c r="W85" s="53">
        <v>0</v>
      </c>
      <c r="X85" s="44"/>
      <c r="Y85" s="53">
        <f>'Sch J WPs'!Q60</f>
        <v>202334.0100000001</v>
      </c>
      <c r="Z85" s="44"/>
      <c r="AA85" s="53">
        <v>0</v>
      </c>
      <c r="AB85" s="44"/>
      <c r="AC85" s="53">
        <f t="shared" ref="AC85:AC98" si="25">I85-W85-Y85+AA85</f>
        <v>46797665.990000002</v>
      </c>
    </row>
    <row r="86" spans="1:29" ht="15" x14ac:dyDescent="0.25">
      <c r="A86" s="48">
        <f t="shared" si="17"/>
        <v>11</v>
      </c>
      <c r="B86" s="48"/>
      <c r="C86" s="98" t="str">
        <f t="shared" si="22"/>
        <v xml:space="preserve">    Series 2.45% Note</v>
      </c>
      <c r="D86" s="64"/>
      <c r="E86" s="59">
        <f t="shared" si="23"/>
        <v>43783</v>
      </c>
      <c r="F86" s="59"/>
      <c r="G86" s="59">
        <f t="shared" si="24"/>
        <v>47392</v>
      </c>
      <c r="H86" s="59"/>
      <c r="I86" s="53">
        <f>'Sch J WPs'!Q17</f>
        <v>45390000</v>
      </c>
      <c r="J86" s="53"/>
      <c r="K86" s="73">
        <f>'Sch J WPs'!C17</f>
        <v>2.4500000000000001E-2</v>
      </c>
      <c r="L86" s="53"/>
      <c r="M86" s="73">
        <f>IF(I86=0,0,ROUND((I86*K86+U86)/I86,5))</f>
        <v>2.58E-2</v>
      </c>
      <c r="N86" s="71"/>
      <c r="O86" s="72" t="s">
        <v>141</v>
      </c>
      <c r="P86" s="72"/>
      <c r="Q86" s="53">
        <f t="shared" si="18"/>
        <v>1171062</v>
      </c>
      <c r="R86" s="44"/>
      <c r="S86" s="53">
        <f t="shared" si="19"/>
        <v>45390000</v>
      </c>
      <c r="T86" s="44"/>
      <c r="U86" s="53">
        <f>ROUND('Sch J WPs'!Q107*12,0)</f>
        <v>58845</v>
      </c>
      <c r="V86" s="44"/>
      <c r="W86" s="53">
        <v>0</v>
      </c>
      <c r="X86" s="44"/>
      <c r="Y86" s="53">
        <f>'Sch J WPs'!Q61</f>
        <v>240627.50999999989</v>
      </c>
      <c r="Z86" s="44"/>
      <c r="AA86" s="53">
        <v>0</v>
      </c>
      <c r="AB86" s="44"/>
      <c r="AC86" s="53">
        <f t="shared" si="25"/>
        <v>45149372.490000002</v>
      </c>
    </row>
    <row r="87" spans="1:29" ht="15" x14ac:dyDescent="0.25">
      <c r="A87" s="48">
        <f t="shared" si="17"/>
        <v>12</v>
      </c>
      <c r="B87" s="48"/>
      <c r="C87" s="98" t="str">
        <f t="shared" si="22"/>
        <v xml:space="preserve">    Series 2.45% Note</v>
      </c>
      <c r="D87" s="64"/>
      <c r="E87" s="59">
        <f t="shared" si="23"/>
        <v>43783</v>
      </c>
      <c r="F87" s="59"/>
      <c r="G87" s="59">
        <f t="shared" si="24"/>
        <v>47392</v>
      </c>
      <c r="H87" s="59"/>
      <c r="I87" s="53">
        <f>'Sch J WPs'!Q18</f>
        <v>26000000</v>
      </c>
      <c r="J87" s="53"/>
      <c r="K87" s="73">
        <f>'Sch J WPs'!C18</f>
        <v>2.4500000000000001E-2</v>
      </c>
      <c r="L87" s="53"/>
      <c r="M87" s="73">
        <f t="shared" si="21"/>
        <v>2.5899999999999999E-2</v>
      </c>
      <c r="N87" s="71"/>
      <c r="O87" s="72" t="s">
        <v>141</v>
      </c>
      <c r="P87" s="72"/>
      <c r="Q87" s="53">
        <f t="shared" si="18"/>
        <v>673400</v>
      </c>
      <c r="R87" s="44"/>
      <c r="S87" s="53">
        <f t="shared" si="19"/>
        <v>26000000</v>
      </c>
      <c r="T87" s="44"/>
      <c r="U87" s="53">
        <f>ROUND('Sch J WPs'!Q108*12,0)</f>
        <v>36375</v>
      </c>
      <c r="V87" s="44"/>
      <c r="W87" s="53">
        <v>0</v>
      </c>
      <c r="X87" s="44"/>
      <c r="Y87" s="53">
        <f>'Sch J WPs'!Q62</f>
        <v>148744.15000000026</v>
      </c>
      <c r="Z87" s="44"/>
      <c r="AA87" s="53">
        <v>0</v>
      </c>
      <c r="AB87" s="44"/>
      <c r="AC87" s="53">
        <f t="shared" si="25"/>
        <v>25851255.850000001</v>
      </c>
    </row>
    <row r="88" spans="1:29" ht="15" x14ac:dyDescent="0.25">
      <c r="A88" s="48">
        <f t="shared" si="17"/>
        <v>13</v>
      </c>
      <c r="B88" s="48"/>
      <c r="C88" s="98" t="str">
        <f t="shared" si="22"/>
        <v xml:space="preserve">    Series 5.05%    Note</v>
      </c>
      <c r="D88" s="64"/>
      <c r="E88" s="59">
        <f t="shared" si="23"/>
        <v>40868</v>
      </c>
      <c r="F88" s="59"/>
      <c r="G88" s="59">
        <f t="shared" si="24"/>
        <v>50328</v>
      </c>
      <c r="H88" s="59"/>
      <c r="I88" s="53">
        <f>'Sch J WPs'!Q19</f>
        <v>20000000</v>
      </c>
      <c r="J88" s="53"/>
      <c r="K88" s="73">
        <f>'Sch J WPs'!C19</f>
        <v>5.0500000000000003E-2</v>
      </c>
      <c r="L88" s="53"/>
      <c r="M88" s="73">
        <f t="shared" si="21"/>
        <v>5.0500000000000003E-2</v>
      </c>
      <c r="N88" s="71"/>
      <c r="O88" s="72" t="s">
        <v>141</v>
      </c>
      <c r="P88" s="72"/>
      <c r="Q88" s="53">
        <f t="shared" si="18"/>
        <v>1010000</v>
      </c>
      <c r="R88" s="44"/>
      <c r="S88" s="53">
        <f t="shared" si="19"/>
        <v>20000000</v>
      </c>
      <c r="T88" s="44"/>
      <c r="U88" s="53">
        <f>ROUND('Sch J WPs'!Q109*12,0)</f>
        <v>0</v>
      </c>
      <c r="V88" s="44"/>
      <c r="W88" s="53">
        <v>0</v>
      </c>
      <c r="X88" s="44"/>
      <c r="Y88" s="53">
        <f>'Sch J WPs'!Q63</f>
        <v>0</v>
      </c>
      <c r="Z88" s="44"/>
      <c r="AA88" s="53">
        <v>0</v>
      </c>
      <c r="AB88" s="44"/>
      <c r="AC88" s="53">
        <f t="shared" si="25"/>
        <v>20000000</v>
      </c>
    </row>
    <row r="89" spans="1:29" ht="15" x14ac:dyDescent="0.25">
      <c r="A89" s="48">
        <f t="shared" si="17"/>
        <v>14</v>
      </c>
      <c r="B89" s="48"/>
      <c r="C89" s="98" t="str">
        <f t="shared" si="22"/>
        <v xml:space="preserve">    Series 4.00%    Note</v>
      </c>
      <c r="D89" s="64"/>
      <c r="E89" s="59">
        <f t="shared" si="23"/>
        <v>41409</v>
      </c>
      <c r="F89" s="59"/>
      <c r="G89" s="59">
        <f t="shared" si="24"/>
        <v>50328</v>
      </c>
      <c r="H89" s="59"/>
      <c r="I89" s="53">
        <f>'Sch J WPs'!Q20</f>
        <v>7859000</v>
      </c>
      <c r="J89" s="53"/>
      <c r="K89" s="73">
        <f>'Sch J WPs'!C20</f>
        <v>0.04</v>
      </c>
      <c r="L89" s="53"/>
      <c r="M89" s="73">
        <f t="shared" si="21"/>
        <v>0.04</v>
      </c>
      <c r="N89" s="71"/>
      <c r="O89" s="72" t="s">
        <v>141</v>
      </c>
      <c r="P89" s="72"/>
      <c r="Q89" s="53">
        <f t="shared" si="18"/>
        <v>314360</v>
      </c>
      <c r="R89" s="44"/>
      <c r="S89" s="53">
        <f t="shared" si="19"/>
        <v>7859000</v>
      </c>
      <c r="T89" s="44"/>
      <c r="U89" s="53">
        <f>ROUND('Sch J WPs'!Q110*12,0)</f>
        <v>0</v>
      </c>
      <c r="V89" s="44"/>
      <c r="W89" s="53">
        <v>0</v>
      </c>
      <c r="X89" s="44"/>
      <c r="Y89" s="53">
        <f>'Sch J WPs'!Q64</f>
        <v>0</v>
      </c>
      <c r="Z89" s="44"/>
      <c r="AA89" s="53">
        <v>0</v>
      </c>
      <c r="AB89" s="44"/>
      <c r="AC89" s="53">
        <f>I89-W89-Y89+AA89</f>
        <v>7859000</v>
      </c>
    </row>
    <row r="90" spans="1:29" ht="15" x14ac:dyDescent="0.25">
      <c r="A90" s="48">
        <f t="shared" si="17"/>
        <v>15</v>
      </c>
      <c r="B90" s="48"/>
      <c r="C90" s="98" t="str">
        <f t="shared" si="22"/>
        <v xml:space="preserve">    Series 4.00%    Note</v>
      </c>
      <c r="D90" s="64"/>
      <c r="E90" s="59">
        <f t="shared" si="23"/>
        <v>42691</v>
      </c>
      <c r="F90" s="59"/>
      <c r="G90" s="59">
        <f t="shared" si="24"/>
        <v>53662</v>
      </c>
      <c r="H90" s="40"/>
      <c r="I90" s="53">
        <f>'Sch J WPs'!Q21</f>
        <v>5000000</v>
      </c>
      <c r="J90" s="53"/>
      <c r="K90" s="73">
        <f>'Sch J WPs'!C21</f>
        <v>0.04</v>
      </c>
      <c r="L90" s="53"/>
      <c r="M90" s="73">
        <f t="shared" si="21"/>
        <v>4.0629999999999999E-2</v>
      </c>
      <c r="N90" s="40"/>
      <c r="O90" s="72" t="s">
        <v>141</v>
      </c>
      <c r="P90" s="40"/>
      <c r="Q90" s="53">
        <f t="shared" si="18"/>
        <v>203150</v>
      </c>
      <c r="R90" s="44"/>
      <c r="S90" s="53">
        <f t="shared" si="19"/>
        <v>5000000</v>
      </c>
      <c r="T90" s="44"/>
      <c r="U90" s="53">
        <f>ROUND(('Sch J WPs'!Q111+'Sch J WPs'!Q176)*12,0)</f>
        <v>3132</v>
      </c>
      <c r="V90" s="44"/>
      <c r="W90" s="53">
        <f>'Sch J WPs'!Q148</f>
        <v>29429.139999999956</v>
      </c>
      <c r="X90" s="44"/>
      <c r="Y90" s="53">
        <f>'Sch J WPs'!Q65</f>
        <v>37148.069999999992</v>
      </c>
      <c r="Z90" s="44"/>
      <c r="AA90" s="53">
        <v>0</v>
      </c>
      <c r="AB90" s="44"/>
      <c r="AC90" s="53">
        <f t="shared" si="25"/>
        <v>4933422.79</v>
      </c>
    </row>
    <row r="91" spans="1:29" ht="15" x14ac:dyDescent="0.25">
      <c r="A91" s="48">
        <f t="shared" si="17"/>
        <v>16</v>
      </c>
      <c r="B91" s="48"/>
      <c r="C91" s="98" t="str">
        <f t="shared" si="22"/>
        <v xml:space="preserve">    Series 3.75%    Note</v>
      </c>
      <c r="D91" s="64"/>
      <c r="E91" s="59">
        <f t="shared" si="23"/>
        <v>42991</v>
      </c>
      <c r="F91" s="59"/>
      <c r="G91" s="59">
        <f t="shared" si="24"/>
        <v>53936</v>
      </c>
      <c r="H91" s="40"/>
      <c r="I91" s="53">
        <f>'Sch J WPs'!Q22</f>
        <v>5000000</v>
      </c>
      <c r="J91" s="53"/>
      <c r="K91" s="73">
        <f>'Sch J WPs'!C22</f>
        <v>3.7499999999999999E-2</v>
      </c>
      <c r="L91" s="53"/>
      <c r="M91" s="73">
        <f t="shared" si="21"/>
        <v>3.7949999999999998E-2</v>
      </c>
      <c r="N91" s="40"/>
      <c r="O91" s="72" t="s">
        <v>141</v>
      </c>
      <c r="P91" s="40"/>
      <c r="Q91" s="53">
        <f>ROUND(M91*I91,0)</f>
        <v>189750</v>
      </c>
      <c r="R91" s="44"/>
      <c r="S91" s="53">
        <f t="shared" si="19"/>
        <v>5000000</v>
      </c>
      <c r="T91" s="44"/>
      <c r="U91" s="53">
        <f>ROUND(('Sch J WPs'!Q112+'Sch J WPs'!Q177)*12,0)</f>
        <v>2243</v>
      </c>
      <c r="V91" s="44"/>
      <c r="W91" s="53">
        <f>'Sch J WPs'!Q149</f>
        <v>11251.75999999998</v>
      </c>
      <c r="X91" s="44"/>
      <c r="Y91" s="53">
        <f>'Sch J WPs'!Q66</f>
        <v>38089.69999999999</v>
      </c>
      <c r="Z91" s="44"/>
      <c r="AA91" s="53">
        <v>0</v>
      </c>
      <c r="AB91" s="44"/>
      <c r="AC91" s="53">
        <f t="shared" si="25"/>
        <v>4950658.54</v>
      </c>
    </row>
    <row r="92" spans="1:29" ht="15" x14ac:dyDescent="0.25">
      <c r="A92" s="48">
        <f t="shared" si="17"/>
        <v>17</v>
      </c>
      <c r="B92" s="48"/>
      <c r="C92" s="98" t="str">
        <f t="shared" si="22"/>
        <v xml:space="preserve">    Series 4.15%    Note</v>
      </c>
      <c r="D92" s="64"/>
      <c r="E92" s="59">
        <f t="shared" si="23"/>
        <v>43607</v>
      </c>
      <c r="F92" s="59"/>
      <c r="G92" s="59">
        <f t="shared" si="24"/>
        <v>54575</v>
      </c>
      <c r="H92" s="40"/>
      <c r="I92" s="53">
        <f>'Sch J WPs'!Q23</f>
        <v>16000000</v>
      </c>
      <c r="J92" s="53"/>
      <c r="K92" s="73">
        <f>'Sch J WPs'!C23</f>
        <v>4.1500000000000002E-2</v>
      </c>
      <c r="L92" s="53"/>
      <c r="M92" s="73">
        <f t="shared" si="21"/>
        <v>4.2020000000000002E-2</v>
      </c>
      <c r="N92" s="40"/>
      <c r="O92" s="72" t="s">
        <v>141</v>
      </c>
      <c r="P92" s="40"/>
      <c r="Q92" s="53">
        <f t="shared" si="18"/>
        <v>672320</v>
      </c>
      <c r="R92" s="44"/>
      <c r="S92" s="53">
        <f t="shared" si="19"/>
        <v>16000000</v>
      </c>
      <c r="T92" s="44"/>
      <c r="U92" s="53">
        <f>ROUND(('Sch J WPs'!Q113+'Sch J WPs'!Q178)*12,0)</f>
        <v>8375</v>
      </c>
      <c r="V92" s="44"/>
      <c r="W92" s="53">
        <f>'Sch J WPs'!Q150</f>
        <v>67077.389999999985</v>
      </c>
      <c r="X92" s="44"/>
      <c r="Y92" s="53">
        <f>'Sch J WPs'!Q67</f>
        <v>131876.11000000007</v>
      </c>
      <c r="Z92" s="44"/>
      <c r="AA92" s="53">
        <v>0</v>
      </c>
      <c r="AB92" s="44"/>
      <c r="AC92" s="53">
        <f t="shared" si="25"/>
        <v>15801046.5</v>
      </c>
    </row>
    <row r="93" spans="1:29" ht="15" x14ac:dyDescent="0.25">
      <c r="A93" s="48">
        <f t="shared" si="17"/>
        <v>18</v>
      </c>
      <c r="B93" s="48"/>
      <c r="C93" s="98" t="str">
        <f t="shared" si="22"/>
        <v xml:space="preserve">    Series 3.25%  Note</v>
      </c>
      <c r="D93" s="64"/>
      <c r="E93" s="59">
        <f t="shared" si="23"/>
        <v>44340</v>
      </c>
      <c r="F93" s="59"/>
      <c r="G93" s="59">
        <f t="shared" si="24"/>
        <v>55305</v>
      </c>
      <c r="H93" s="40"/>
      <c r="I93" s="53">
        <f>'Sch J WPs'!Q24</f>
        <v>13000000</v>
      </c>
      <c r="J93" s="53"/>
      <c r="K93" s="73">
        <f>'Sch J WPs'!C24</f>
        <v>3.2500000000000001E-2</v>
      </c>
      <c r="L93" s="53"/>
      <c r="M93" s="73">
        <f t="shared" si="21"/>
        <v>3.295E-2</v>
      </c>
      <c r="N93" s="40"/>
      <c r="O93" s="72" t="s">
        <v>141</v>
      </c>
      <c r="P93" s="40"/>
      <c r="Q93" s="53">
        <f>ROUND(M93*I93,0)</f>
        <v>428350</v>
      </c>
      <c r="R93" s="44"/>
      <c r="S93" s="53">
        <f t="shared" si="19"/>
        <v>13000000</v>
      </c>
      <c r="T93" s="44"/>
      <c r="U93" s="53">
        <f>ROUND(('Sch J WPs'!Q114+'Sch J WPs'!Q179)*12,0)</f>
        <v>5857</v>
      </c>
      <c r="V93" s="44"/>
      <c r="W93" s="53">
        <f>'Sch J WPs'!Q151</f>
        <v>31973.87999999991</v>
      </c>
      <c r="X93" s="44"/>
      <c r="Y93" s="53">
        <f>'Sch J WPs'!Q68</f>
        <v>118846.96000000011</v>
      </c>
      <c r="Z93" s="44"/>
      <c r="AA93" s="53">
        <v>0</v>
      </c>
      <c r="AB93" s="44"/>
      <c r="AC93" s="53">
        <f t="shared" si="25"/>
        <v>12849179.159999998</v>
      </c>
    </row>
    <row r="94" spans="1:29" ht="15" x14ac:dyDescent="0.25">
      <c r="A94" s="48">
        <f t="shared" si="17"/>
        <v>19</v>
      </c>
      <c r="B94" s="48"/>
      <c r="C94" s="98" t="str">
        <f t="shared" si="22"/>
        <v xml:space="preserve">    Series 4.45%  Note</v>
      </c>
      <c r="D94" s="64"/>
      <c r="E94" s="59">
        <f t="shared" si="23"/>
        <v>44699</v>
      </c>
      <c r="F94" s="59"/>
      <c r="G94" s="59">
        <f t="shared" si="24"/>
        <v>48366</v>
      </c>
      <c r="H94" s="40"/>
      <c r="I94" s="53">
        <f>'Sch J WPs'!Q25</f>
        <v>10000000</v>
      </c>
      <c r="J94" s="53"/>
      <c r="K94" s="73">
        <f>'Sch J WPs'!C25</f>
        <v>4.4499999999999998E-2</v>
      </c>
      <c r="L94" s="53"/>
      <c r="M94" s="73">
        <f t="shared" si="21"/>
        <v>4.5659999999999999E-2</v>
      </c>
      <c r="N94" s="40"/>
      <c r="O94" s="72" t="s">
        <v>141</v>
      </c>
      <c r="P94" s="40"/>
      <c r="Q94" s="53">
        <f t="shared" si="18"/>
        <v>456600</v>
      </c>
      <c r="R94" s="44"/>
      <c r="S94" s="53">
        <f t="shared" si="19"/>
        <v>10000000</v>
      </c>
      <c r="T94" s="44"/>
      <c r="U94" s="53">
        <f>ROUND(('Sch J WPs'!Q115+'Sch J WPs'!Q180)*12,0)</f>
        <v>11574</v>
      </c>
      <c r="V94" s="44"/>
      <c r="W94" s="53">
        <f>'Sch J WPs'!Q152</f>
        <v>21244.169999999984</v>
      </c>
      <c r="X94" s="44"/>
      <c r="Y94" s="53">
        <f>'Sch J WPs'!Q69</f>
        <v>56878.700000000063</v>
      </c>
      <c r="Z94" s="44"/>
      <c r="AA94" s="53">
        <v>0</v>
      </c>
      <c r="AB94" s="44"/>
      <c r="AC94" s="53">
        <f t="shared" si="25"/>
        <v>9921877.1300000008</v>
      </c>
    </row>
    <row r="95" spans="1:29" s="106" customFormat="1" ht="15" x14ac:dyDescent="0.25">
      <c r="A95" s="48">
        <f t="shared" si="17"/>
        <v>20</v>
      </c>
      <c r="B95" s="48"/>
      <c r="C95" s="98" t="str">
        <f t="shared" si="22"/>
        <v xml:space="preserve">    Series 3.875%  Note</v>
      </c>
      <c r="D95" s="64"/>
      <c r="E95" s="59">
        <f t="shared" si="23"/>
        <v>45170</v>
      </c>
      <c r="F95" s="59"/>
      <c r="G95" s="59">
        <f t="shared" si="24"/>
        <v>46997</v>
      </c>
      <c r="H95" s="40"/>
      <c r="I95" s="53">
        <f>'Sch J WPs'!Q26</f>
        <v>26000000</v>
      </c>
      <c r="J95" s="53"/>
      <c r="K95" s="73">
        <f>'Sch J WPs'!C26</f>
        <v>3.875E-2</v>
      </c>
      <c r="L95" s="53"/>
      <c r="M95" s="73">
        <f t="shared" si="21"/>
        <v>4.0759999999999998E-2</v>
      </c>
      <c r="N95" s="40"/>
      <c r="O95" s="72" t="s">
        <v>141</v>
      </c>
      <c r="P95" s="40"/>
      <c r="Q95" s="53">
        <f t="shared" si="18"/>
        <v>1059760</v>
      </c>
      <c r="R95" s="44"/>
      <c r="S95" s="53">
        <f t="shared" si="19"/>
        <v>26000000</v>
      </c>
      <c r="T95" s="44"/>
      <c r="U95" s="53">
        <f>ROUND('Sch J WPs'!Q116*12,0)</f>
        <v>52309</v>
      </c>
      <c r="V95" s="44"/>
      <c r="W95" s="53">
        <v>0</v>
      </c>
      <c r="X95" s="44"/>
      <c r="Y95" s="53">
        <f>'Sch J WPs'!Q70</f>
        <v>156944.07000000007</v>
      </c>
      <c r="Z95" s="44"/>
      <c r="AA95" s="53">
        <v>0</v>
      </c>
      <c r="AB95" s="44"/>
      <c r="AC95" s="53">
        <f t="shared" si="25"/>
        <v>25843055.93</v>
      </c>
    </row>
    <row r="96" spans="1:29" s="106" customFormat="1" ht="15" x14ac:dyDescent="0.25">
      <c r="A96" s="48">
        <f t="shared" si="17"/>
        <v>21</v>
      </c>
      <c r="B96" s="48"/>
      <c r="C96" s="98" t="str">
        <f t="shared" si="22"/>
        <v xml:space="preserve">    Series 3.625%  Note</v>
      </c>
      <c r="D96" s="64"/>
      <c r="E96" s="59">
        <f t="shared" si="23"/>
        <v>45184</v>
      </c>
      <c r="F96" s="59"/>
      <c r="G96" s="59">
        <f t="shared" si="24"/>
        <v>46188</v>
      </c>
      <c r="H96" s="40"/>
      <c r="I96" s="53">
        <f>'Sch J WPs'!Q27</f>
        <v>19000000</v>
      </c>
      <c r="J96" s="53"/>
      <c r="K96" s="73">
        <f>'Sch J WPs'!C27</f>
        <v>3.6249999999999998E-2</v>
      </c>
      <c r="L96" s="53"/>
      <c r="M96" s="73">
        <f>IF(I96=0,0,ROUND((I96*K96+U96)/I96,5))</f>
        <v>4.1329999999999999E-2</v>
      </c>
      <c r="N96" s="40"/>
      <c r="O96" s="72" t="s">
        <v>141</v>
      </c>
      <c r="P96" s="40"/>
      <c r="Q96" s="53">
        <f t="shared" si="18"/>
        <v>785270</v>
      </c>
      <c r="R96" s="44"/>
      <c r="S96" s="53">
        <f t="shared" si="19"/>
        <v>19000000</v>
      </c>
      <c r="T96" s="44"/>
      <c r="U96" s="53">
        <f>ROUND('Sch J WPs'!Q117*12,0)</f>
        <v>96547</v>
      </c>
      <c r="V96" s="44"/>
      <c r="W96" s="53">
        <v>0</v>
      </c>
      <c r="X96" s="44"/>
      <c r="Y96" s="53">
        <f>'Sch J WPs'!Q71</f>
        <v>76257.650000000081</v>
      </c>
      <c r="Z96" s="44"/>
      <c r="AA96" s="53">
        <v>0</v>
      </c>
      <c r="AB96" s="44"/>
      <c r="AC96" s="53">
        <f t="shared" si="25"/>
        <v>18923742.350000001</v>
      </c>
    </row>
    <row r="97" spans="1:29" s="106" customFormat="1" ht="15" x14ac:dyDescent="0.25">
      <c r="A97" s="48">
        <f t="shared" si="17"/>
        <v>22</v>
      </c>
      <c r="B97" s="48"/>
      <c r="C97" s="98" t="str">
        <f t="shared" si="22"/>
        <v xml:space="preserve">    Series 5.15%  Note</v>
      </c>
      <c r="D97" s="64"/>
      <c r="E97" s="59">
        <f t="shared" si="23"/>
        <v>45427</v>
      </c>
      <c r="F97" s="59"/>
      <c r="G97" s="59">
        <f t="shared" si="24"/>
        <v>49004</v>
      </c>
      <c r="H97" s="40"/>
      <c r="I97" s="53">
        <f>'Sch J WPs'!Q28</f>
        <v>14000000</v>
      </c>
      <c r="J97" s="53"/>
      <c r="K97" s="73">
        <f>'Sch J WPs'!C28</f>
        <v>5.1499999999999997E-2</v>
      </c>
      <c r="L97" s="53"/>
      <c r="M97" s="73">
        <f>IF(I97=0,0,ROUND((I97*K97+U97)/I97,5))</f>
        <v>5.2670000000000002E-2</v>
      </c>
      <c r="N97" s="40"/>
      <c r="O97" s="72" t="s">
        <v>141</v>
      </c>
      <c r="P97" s="40"/>
      <c r="Q97" s="53">
        <f t="shared" si="18"/>
        <v>737380</v>
      </c>
      <c r="R97" s="44"/>
      <c r="S97" s="53">
        <f t="shared" si="19"/>
        <v>14000000</v>
      </c>
      <c r="T97" s="44"/>
      <c r="U97" s="53">
        <f>ROUND(('Sch J WPs'!Q118+'Sch J WPs'!Q181)*12,0)</f>
        <v>16353</v>
      </c>
      <c r="V97" s="44"/>
      <c r="W97" s="53">
        <f>'Sch J WPs'!Q153</f>
        <v>37852.169999999962</v>
      </c>
      <c r="X97" s="44"/>
      <c r="Y97" s="53">
        <f>'Sch J WPs'!Q72</f>
        <v>101165.36999999997</v>
      </c>
      <c r="Z97" s="44"/>
      <c r="AA97" s="53">
        <v>0</v>
      </c>
      <c r="AB97" s="44"/>
      <c r="AC97" s="53">
        <f t="shared" si="25"/>
        <v>13860982.460000001</v>
      </c>
    </row>
    <row r="98" spans="1:29" s="106" customFormat="1" ht="15" x14ac:dyDescent="0.25">
      <c r="A98" s="48">
        <f t="shared" si="17"/>
        <v>23</v>
      </c>
      <c r="B98" s="48"/>
      <c r="C98" s="98" t="str">
        <f t="shared" si="22"/>
        <v xml:space="preserve">    Series 5.45%  Note</v>
      </c>
      <c r="D98" s="64"/>
      <c r="E98" s="59">
        <f t="shared" si="23"/>
        <v>45427</v>
      </c>
      <c r="F98" s="59"/>
      <c r="G98" s="59">
        <f t="shared" si="24"/>
        <v>56309</v>
      </c>
      <c r="H98" s="40"/>
      <c r="I98" s="53">
        <f>'Sch J WPs'!Q29</f>
        <v>14000000</v>
      </c>
      <c r="J98" s="53"/>
      <c r="K98" s="73">
        <f>'Sch J WPs'!C29</f>
        <v>5.45E-2</v>
      </c>
      <c r="L98" s="53"/>
      <c r="M98" s="73">
        <f>IF(I98=0,0,ROUND((I98*K98+U98)/I98,5))</f>
        <v>5.5160000000000001E-2</v>
      </c>
      <c r="N98" s="40"/>
      <c r="O98" s="72" t="s">
        <v>141</v>
      </c>
      <c r="P98" s="40"/>
      <c r="Q98" s="53">
        <f t="shared" si="18"/>
        <v>772240</v>
      </c>
      <c r="R98" s="44"/>
      <c r="S98" s="53">
        <f t="shared" si="19"/>
        <v>14000000</v>
      </c>
      <c r="T98" s="44"/>
      <c r="U98" s="53">
        <f>ROUND(('Sch J WPs'!Q119+'Sch J WPs'!Q182)*12,0)</f>
        <v>9237</v>
      </c>
      <c r="V98" s="44"/>
      <c r="W98" s="53">
        <f>'Sch J WPs'!Q154</f>
        <v>120514.15999999993</v>
      </c>
      <c r="X98" s="44"/>
      <c r="Y98" s="53">
        <f>'Sch J WPs'!Q73</f>
        <v>142757.73999999987</v>
      </c>
      <c r="Z98" s="44"/>
      <c r="AA98" s="53">
        <v>0</v>
      </c>
      <c r="AB98" s="44"/>
      <c r="AC98" s="53">
        <f t="shared" si="25"/>
        <v>13736728.1</v>
      </c>
    </row>
    <row r="99" spans="1:29" s="106" customFormat="1" ht="15" x14ac:dyDescent="0.25">
      <c r="A99" s="48">
        <f t="shared" si="17"/>
        <v>24</v>
      </c>
      <c r="B99" s="48"/>
      <c r="C99" s="98" t="str">
        <f t="shared" si="22"/>
        <v xml:space="preserve">    Proposed 2025 Issuance (10-year)</v>
      </c>
      <c r="D99" s="64"/>
      <c r="E99" s="59">
        <f t="shared" si="23"/>
        <v>45731</v>
      </c>
      <c r="F99" s="59"/>
      <c r="G99" s="59">
        <f t="shared" si="24"/>
        <v>49369</v>
      </c>
      <c r="H99" s="40"/>
      <c r="I99" s="53">
        <f>'Sch J WPs'!Q30</f>
        <v>10000000</v>
      </c>
      <c r="J99" s="53"/>
      <c r="K99" s="73">
        <f>'Sch J WPs'!C30</f>
        <v>5.2499999999999998E-2</v>
      </c>
      <c r="L99" s="53"/>
      <c r="M99" s="73">
        <f>IF(I99=0,0,ROUND((I99*K99+U99)/I99,5))</f>
        <v>5.3409999999999999E-2</v>
      </c>
      <c r="N99" s="40"/>
      <c r="O99" s="72" t="s">
        <v>141</v>
      </c>
      <c r="P99" s="40"/>
      <c r="Q99" s="53">
        <f t="shared" ref="Q99" si="26">ROUND(M99*I99,0)</f>
        <v>534100</v>
      </c>
      <c r="R99" s="44"/>
      <c r="S99" s="53">
        <f t="shared" ref="S99" si="27">I99</f>
        <v>10000000</v>
      </c>
      <c r="T99" s="44"/>
      <c r="U99" s="53">
        <f>ROUND(('Sch J WPs'!Q120+'Sch J WPs'!Q183-'Sch J WPs'!Q228)*12,0)</f>
        <v>9065</v>
      </c>
      <c r="V99" s="44"/>
      <c r="W99" s="53">
        <f>'Sch J WPs'!Q155</f>
        <v>36524.220607504954</v>
      </c>
      <c r="X99" s="44"/>
      <c r="Y99" s="53">
        <f>'Sch J WPs'!Q74</f>
        <v>83778.532000000036</v>
      </c>
      <c r="Z99" s="44"/>
      <c r="AA99" s="53">
        <f>'Sch J WPs'!Q207</f>
        <v>34157.734077585847</v>
      </c>
      <c r="AB99" s="44"/>
      <c r="AC99" s="53">
        <f>I99-W99-Y99+AA99</f>
        <v>9913854.981470082</v>
      </c>
    </row>
    <row r="100" spans="1:29" ht="15" x14ac:dyDescent="0.25">
      <c r="A100" s="48">
        <f t="shared" si="17"/>
        <v>25</v>
      </c>
      <c r="B100" s="48"/>
      <c r="C100" s="40"/>
      <c r="D100" s="40"/>
      <c r="E100" s="59"/>
      <c r="F100" s="59"/>
      <c r="G100" s="59"/>
      <c r="H100" s="40"/>
      <c r="I100" s="53"/>
      <c r="J100" s="53"/>
      <c r="K100" s="73"/>
      <c r="L100" s="53"/>
      <c r="M100" s="73"/>
      <c r="N100" s="40"/>
      <c r="O100" s="72"/>
      <c r="P100" s="40"/>
      <c r="Q100" s="53"/>
      <c r="R100" s="44"/>
      <c r="S100" s="53"/>
      <c r="T100" s="44"/>
      <c r="U100" s="53"/>
      <c r="V100" s="44"/>
      <c r="W100" s="53"/>
      <c r="X100" s="44"/>
      <c r="Y100" s="53"/>
      <c r="Z100" s="44"/>
      <c r="AA100" s="53"/>
      <c r="AB100" s="44"/>
      <c r="AC100" s="53"/>
    </row>
    <row r="101" spans="1:29" ht="15" x14ac:dyDescent="0.25">
      <c r="A101" s="48">
        <f t="shared" si="17"/>
        <v>26</v>
      </c>
      <c r="B101" s="48"/>
      <c r="C101" s="58" t="str">
        <f>C46</f>
        <v xml:space="preserve">Carry Over Unamortized Debt Expense </v>
      </c>
      <c r="D101" s="40"/>
      <c r="E101" s="59"/>
      <c r="F101" s="59"/>
      <c r="G101" s="59"/>
      <c r="H101" s="40"/>
      <c r="I101" s="53"/>
      <c r="J101" s="53"/>
      <c r="K101" s="73"/>
      <c r="L101" s="53"/>
      <c r="M101" s="73"/>
      <c r="N101" s="40"/>
      <c r="O101" s="72"/>
      <c r="P101" s="40"/>
      <c r="Q101" s="53"/>
      <c r="R101" s="44"/>
      <c r="S101" s="53"/>
      <c r="T101" s="44"/>
      <c r="U101" s="53"/>
      <c r="V101" s="44"/>
      <c r="W101" s="53"/>
      <c r="X101" s="44"/>
      <c r="Y101" s="53"/>
      <c r="Z101" s="44"/>
      <c r="AA101" s="53"/>
      <c r="AB101" s="44"/>
      <c r="AC101" s="53"/>
    </row>
    <row r="102" spans="1:29" ht="15" x14ac:dyDescent="0.25">
      <c r="A102" s="48">
        <f t="shared" si="17"/>
        <v>27</v>
      </c>
      <c r="B102" s="48"/>
      <c r="C102" s="44" t="s">
        <v>144</v>
      </c>
      <c r="D102" s="44"/>
      <c r="E102" s="59" t="s">
        <v>141</v>
      </c>
      <c r="F102" s="59"/>
      <c r="G102" s="59" t="s">
        <v>141</v>
      </c>
      <c r="H102" s="40"/>
      <c r="I102" s="53">
        <v>0</v>
      </c>
      <c r="J102" s="40"/>
      <c r="K102" s="73">
        <v>0</v>
      </c>
      <c r="L102" s="53"/>
      <c r="M102" s="73">
        <v>0</v>
      </c>
      <c r="N102" s="40"/>
      <c r="O102" s="72" t="s">
        <v>141</v>
      </c>
      <c r="P102" s="40"/>
      <c r="Q102" s="53">
        <v>0</v>
      </c>
      <c r="R102" s="44"/>
      <c r="S102" s="53">
        <v>0</v>
      </c>
      <c r="T102" s="40"/>
      <c r="U102" s="53">
        <f>ROUND('Sch J WPs'!Q127*12,0)</f>
        <v>45636</v>
      </c>
      <c r="V102" s="44"/>
      <c r="W102" s="44">
        <v>0</v>
      </c>
      <c r="X102" s="44"/>
      <c r="Y102" s="53">
        <f>'Sch J WPs'!Q81</f>
        <v>628868.73999999953</v>
      </c>
      <c r="Z102" s="44"/>
      <c r="AA102" s="44">
        <v>0</v>
      </c>
      <c r="AB102" s="44"/>
      <c r="AC102" s="53">
        <f>I102-W102-Y102+AA102</f>
        <v>-628868.73999999953</v>
      </c>
    </row>
    <row r="103" spans="1:29" ht="15" x14ac:dyDescent="0.25">
      <c r="A103" s="48">
        <f t="shared" si="17"/>
        <v>28</v>
      </c>
      <c r="B103" s="48"/>
      <c r="C103" s="40"/>
      <c r="D103" s="40"/>
      <c r="E103" s="40"/>
      <c r="F103" s="40"/>
      <c r="G103" s="40"/>
      <c r="H103" s="40"/>
      <c r="I103" s="54"/>
      <c r="J103" s="53"/>
      <c r="K103" s="52"/>
      <c r="L103" s="52"/>
      <c r="M103" s="52"/>
      <c r="N103" s="52"/>
      <c r="O103" s="48"/>
      <c r="P103" s="48"/>
      <c r="Q103" s="54"/>
      <c r="R103" s="53"/>
      <c r="S103" s="54"/>
      <c r="T103" s="53"/>
      <c r="U103" s="54"/>
      <c r="V103" s="53"/>
      <c r="W103" s="54"/>
      <c r="X103" s="53"/>
      <c r="Y103" s="54"/>
      <c r="Z103" s="53"/>
      <c r="AA103" s="54"/>
      <c r="AB103" s="53"/>
      <c r="AC103" s="54"/>
    </row>
    <row r="104" spans="1:29" ht="15" x14ac:dyDescent="0.25">
      <c r="A104" s="48">
        <f t="shared" si="17"/>
        <v>29</v>
      </c>
      <c r="B104" s="48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</row>
    <row r="105" spans="1:29" ht="15.75" thickBot="1" x14ac:dyDescent="0.3">
      <c r="A105" s="48">
        <f t="shared" si="17"/>
        <v>30</v>
      </c>
      <c r="B105" s="48"/>
      <c r="C105" s="43" t="s">
        <v>145</v>
      </c>
      <c r="D105" s="43"/>
      <c r="E105" s="43"/>
      <c r="F105" s="43"/>
      <c r="G105" s="43"/>
      <c r="H105" s="43"/>
      <c r="I105" s="62">
        <f>SUM(I79:I103)</f>
        <v>294749000</v>
      </c>
      <c r="J105" s="51"/>
      <c r="K105" s="40"/>
      <c r="L105" s="40"/>
      <c r="M105" s="40"/>
      <c r="N105" s="40"/>
      <c r="O105" s="40"/>
      <c r="P105" s="40"/>
      <c r="Q105" s="62">
        <f>SUM(Q79:Q103)</f>
        <v>13293892</v>
      </c>
      <c r="R105" s="51"/>
      <c r="S105" s="62">
        <f>SUM(S79:S103)</f>
        <v>294749000</v>
      </c>
      <c r="T105" s="51"/>
      <c r="U105" s="62">
        <f>SUM(U79:U103)</f>
        <v>377793</v>
      </c>
      <c r="V105" s="51"/>
      <c r="W105" s="62">
        <f>SUM(W79:W103)</f>
        <v>355866.89060750464</v>
      </c>
      <c r="X105" s="56"/>
      <c r="Y105" s="62">
        <f>SUM(Y79:Y103)</f>
        <v>2176747.0420000004</v>
      </c>
      <c r="Z105" s="51"/>
      <c r="AA105" s="62">
        <f>SUM(AA79:AA103)</f>
        <v>34157.734077585847</v>
      </c>
      <c r="AB105" s="56"/>
      <c r="AC105" s="62">
        <f>SUM(AC79:AC103)</f>
        <v>292250543.8014701</v>
      </c>
    </row>
    <row r="106" spans="1:29" ht="15.75" thickTop="1" x14ac:dyDescent="0.25">
      <c r="A106" s="48">
        <f t="shared" si="17"/>
        <v>31</v>
      </c>
      <c r="B106" s="48"/>
      <c r="C106" s="40"/>
      <c r="D106" s="40"/>
      <c r="E106" s="40"/>
      <c r="F106" s="40"/>
      <c r="G106" s="40"/>
      <c r="H106" s="40"/>
      <c r="I106" s="56"/>
      <c r="J106" s="56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</row>
    <row r="107" spans="1:29" ht="15" x14ac:dyDescent="0.25">
      <c r="A107" s="48">
        <f t="shared" si="17"/>
        <v>32</v>
      </c>
      <c r="B107" s="48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56"/>
      <c r="T107" s="56"/>
      <c r="U107" s="40"/>
      <c r="V107" s="40"/>
      <c r="W107" s="40"/>
      <c r="X107" s="40"/>
      <c r="Y107" s="40"/>
      <c r="Z107" s="40"/>
      <c r="AA107" s="40"/>
      <c r="AB107" s="40"/>
      <c r="AC107" s="56"/>
    </row>
    <row r="108" spans="1:29" ht="15.75" thickBot="1" x14ac:dyDescent="0.3">
      <c r="A108" s="48">
        <f t="shared" si="17"/>
        <v>33</v>
      </c>
      <c r="B108" s="48"/>
      <c r="C108" s="40"/>
      <c r="D108" s="40"/>
      <c r="E108" s="63" t="s">
        <v>146</v>
      </c>
      <c r="F108" s="63"/>
      <c r="G108" s="40"/>
      <c r="H108" s="40"/>
      <c r="I108" s="55">
        <f>ROUND(Q105/AC105,4)</f>
        <v>4.5499999999999999E-2</v>
      </c>
      <c r="J108" s="52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</row>
    <row r="109" spans="1:29" ht="15.75" thickTop="1" x14ac:dyDescent="0.25">
      <c r="A109" s="48"/>
      <c r="B109" s="48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</row>
    <row r="110" spans="1:29" ht="15" hidden="1" x14ac:dyDescent="0.25">
      <c r="A110" s="48"/>
      <c r="B110" s="48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159">
        <f>'Sch J WPs'!Q40</f>
        <v>294749000</v>
      </c>
      <c r="T110" s="40"/>
      <c r="U110" s="159">
        <f>'Sch J WPs'!Q130+'Sch J WPs'!Q186</f>
        <v>31782.477878499009</v>
      </c>
      <c r="V110" s="40"/>
      <c r="W110" s="159">
        <f>'Sch J WPs'!Q158+'Sch J WPs'!Q85</f>
        <v>2532613.932607505</v>
      </c>
      <c r="X110" s="40"/>
      <c r="Y110" s="40"/>
      <c r="Z110" s="40"/>
      <c r="AA110" s="40"/>
      <c r="AB110" s="40"/>
      <c r="AC110" s="40"/>
    </row>
    <row r="111" spans="1:29" ht="15" hidden="1" x14ac:dyDescent="0.25">
      <c r="A111" s="48"/>
      <c r="B111" s="48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>
        <v>12</v>
      </c>
      <c r="V111" s="40"/>
      <c r="W111" s="159">
        <f>Y105+W105</f>
        <v>2532613.932607505</v>
      </c>
      <c r="X111" s="40"/>
      <c r="Y111" s="40"/>
      <c r="Z111" s="40"/>
      <c r="AA111" s="40"/>
      <c r="AB111" s="40"/>
      <c r="AC111" s="40"/>
    </row>
    <row r="112" spans="1:29" ht="15" hidden="1" x14ac:dyDescent="0.25">
      <c r="A112" s="48"/>
      <c r="B112" s="48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159">
        <f>U110*U111</f>
        <v>381389.73454198812</v>
      </c>
      <c r="V112" s="40"/>
      <c r="W112" s="40"/>
      <c r="X112" s="40"/>
      <c r="Y112" s="40"/>
      <c r="Z112" s="40"/>
      <c r="AA112" s="40"/>
      <c r="AB112" s="40"/>
      <c r="AC112" s="40"/>
    </row>
    <row r="113" spans="1:29" ht="15" x14ac:dyDescent="0.25">
      <c r="A113" s="48"/>
      <c r="B113" s="48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</row>
    <row r="114" spans="1:29" ht="15" x14ac:dyDescent="0.25">
      <c r="A114" s="48"/>
      <c r="B114" s="48"/>
      <c r="C114" s="40"/>
      <c r="D114" s="40"/>
      <c r="E114" s="40"/>
      <c r="F114" s="40"/>
      <c r="G114" s="40"/>
      <c r="H114" s="40"/>
      <c r="I114" s="78"/>
      <c r="J114" s="40"/>
      <c r="K114" s="40"/>
      <c r="L114" s="40"/>
      <c r="M114" s="40"/>
      <c r="N114" s="40"/>
      <c r="O114" s="40"/>
      <c r="P114" s="40"/>
      <c r="Q114" s="78"/>
      <c r="R114" s="40"/>
      <c r="S114" s="78"/>
      <c r="T114" s="40"/>
      <c r="U114" s="78"/>
      <c r="V114" s="40"/>
      <c r="W114" s="78"/>
      <c r="X114" s="40"/>
      <c r="Y114" s="78"/>
      <c r="Z114" s="40"/>
      <c r="AA114" s="78"/>
      <c r="AB114" s="40"/>
      <c r="AC114" s="78"/>
    </row>
    <row r="115" spans="1:29" ht="15" x14ac:dyDescent="0.25">
      <c r="A115" s="48"/>
      <c r="B115" s="48"/>
      <c r="C115" s="40"/>
      <c r="D115" s="40"/>
      <c r="E115" s="40"/>
      <c r="F115" s="40"/>
      <c r="G115" s="40"/>
      <c r="H115" s="40"/>
      <c r="I115" s="78"/>
      <c r="J115" s="40"/>
      <c r="K115" s="40"/>
      <c r="L115" s="40"/>
      <c r="M115" s="40"/>
      <c r="N115" s="40"/>
      <c r="O115" s="40"/>
      <c r="P115" s="40"/>
      <c r="Q115" s="78"/>
      <c r="R115" s="40"/>
      <c r="S115" s="78"/>
      <c r="T115" s="40"/>
      <c r="U115" s="78"/>
      <c r="V115" s="40"/>
      <c r="W115" s="78"/>
      <c r="X115" s="40"/>
      <c r="Y115" s="78"/>
      <c r="Z115" s="40"/>
      <c r="AA115" s="78"/>
      <c r="AB115" s="40"/>
      <c r="AC115" s="78"/>
    </row>
    <row r="116" spans="1:29" ht="15" x14ac:dyDescent="0.25">
      <c r="A116" s="48"/>
      <c r="B116" s="48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</row>
    <row r="117" spans="1:29" ht="15" x14ac:dyDescent="0.25">
      <c r="A117" s="48"/>
      <c r="B117" s="48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</row>
    <row r="118" spans="1:29" ht="15" x14ac:dyDescent="0.25">
      <c r="A118" s="48"/>
      <c r="B118" s="48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</row>
    <row r="119" spans="1:29" ht="15" x14ac:dyDescent="0.25">
      <c r="A119" s="48"/>
      <c r="B119" s="48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</row>
    <row r="120" spans="1:29" ht="15" x14ac:dyDescent="0.25">
      <c r="A120" s="48"/>
      <c r="B120" s="48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</row>
    <row r="121" spans="1:29" ht="15" x14ac:dyDescent="0.25">
      <c r="A121" s="48"/>
      <c r="B121" s="48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</row>
  </sheetData>
  <printOptions horizontalCentered="1"/>
  <pageMargins left="0.75" right="0.75" top="1" bottom="0.5" header="0" footer="0.25"/>
  <pageSetup scale="47" orientation="landscape" r:id="rId1"/>
  <headerFooter alignWithMargins="0"/>
  <rowBreaks count="1" manualBreakCount="1">
    <brk id="60" max="28" man="1"/>
  </rowBreaks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autoPageBreaks="0"/>
  </sheetPr>
  <dimension ref="A1:X78"/>
  <sheetViews>
    <sheetView view="pageBreakPreview" zoomScale="80" zoomScaleNormal="100" zoomScaleSheetLayoutView="80" workbookViewId="0">
      <selection activeCell="G22" sqref="G22"/>
    </sheetView>
  </sheetViews>
  <sheetFormatPr defaultColWidth="16.7109375" defaultRowHeight="14.25" x14ac:dyDescent="0.2"/>
  <cols>
    <col min="1" max="1" width="4.7109375" style="41" customWidth="1"/>
    <col min="2" max="2" width="1.7109375" style="41" customWidth="1"/>
    <col min="3" max="3" width="20.140625" style="41" customWidth="1"/>
    <col min="4" max="4" width="1.7109375" style="41" customWidth="1"/>
    <col min="5" max="5" width="15.7109375" style="41" customWidth="1"/>
    <col min="6" max="6" width="1.7109375" style="41" customWidth="1"/>
    <col min="7" max="7" width="13.42578125" style="41" bestFit="1" customWidth="1"/>
    <col min="8" max="8" width="1.7109375" style="41" customWidth="1"/>
    <col min="9" max="9" width="11.42578125" style="41" bestFit="1" customWidth="1"/>
    <col min="10" max="10" width="1.7109375" style="41" customWidth="1"/>
    <col min="11" max="11" width="15.7109375" style="41" customWidth="1"/>
    <col min="12" max="12" width="1.7109375" style="41" customWidth="1"/>
    <col min="13" max="13" width="15.7109375" style="41" customWidth="1"/>
    <col min="14" max="14" width="1.7109375" style="41" customWidth="1"/>
    <col min="15" max="15" width="13" style="41" bestFit="1" customWidth="1"/>
    <col min="16" max="16" width="1.7109375" style="41" customWidth="1"/>
    <col min="17" max="17" width="14" style="41" bestFit="1" customWidth="1"/>
    <col min="18" max="18" width="1.7109375" style="41" customWidth="1"/>
    <col min="19" max="19" width="10.140625" style="41" customWidth="1"/>
    <col min="20" max="20" width="1.7109375" style="41" customWidth="1"/>
    <col min="21" max="21" width="11" style="41" customWidth="1"/>
    <col min="22" max="22" width="1.7109375" style="41" customWidth="1"/>
    <col min="23" max="23" width="15" style="41" bestFit="1" customWidth="1"/>
    <col min="24" max="24" width="19.42578125" style="41" customWidth="1"/>
    <col min="25" max="29" width="16.7109375" style="41"/>
    <col min="30" max="30" width="6.85546875" style="41" customWidth="1"/>
    <col min="31" max="38" width="16.7109375" style="41"/>
    <col min="39" max="39" width="15" style="41" customWidth="1"/>
    <col min="40" max="16384" width="16.7109375" style="41"/>
  </cols>
  <sheetData>
    <row r="1" spans="1:24" ht="15" x14ac:dyDescent="0.25">
      <c r="A1" s="42" t="str">
        <f>Linkin!A1</f>
        <v>Kentucky American Water Company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3"/>
    </row>
    <row r="2" spans="1:24" ht="15" x14ac:dyDescent="0.25">
      <c r="A2" s="42" t="str">
        <f>Linkin!A3</f>
        <v>Case No. 2025-00122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3"/>
    </row>
    <row r="3" spans="1:24" ht="15" x14ac:dyDescent="0.25">
      <c r="A3" s="42" t="str">
        <f>Linkin!E45</f>
        <v>Embedded Cost of Preferred Stock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3"/>
    </row>
    <row r="4" spans="1:24" ht="15" x14ac:dyDescent="0.25">
      <c r="A4" s="42" t="str">
        <f>Linkin!C11</f>
        <v>As of December 31, 2026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/>
    </row>
    <row r="5" spans="1:24" ht="15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43"/>
    </row>
    <row r="6" spans="1:24" ht="15" x14ac:dyDescent="0.25">
      <c r="A6" s="83" t="s">
        <v>83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6" t="s">
        <v>147</v>
      </c>
    </row>
    <row r="7" spans="1:24" ht="15" x14ac:dyDescent="0.25">
      <c r="A7" s="44" t="str">
        <f>Linkin!A17</f>
        <v>Type of Filing: _____ Original  __X__ Updated  _____ Revised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157" t="s">
        <v>263</v>
      </c>
    </row>
    <row r="8" spans="1:24" ht="15" x14ac:dyDescent="0.25">
      <c r="A8" s="40" t="str">
        <f>"Workpaper Reference No(s):  " &amp;Linkin!C28</f>
        <v>Workpaper Reference No(s):  W/P - 7-5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82" t="str">
        <f>Linkin!G45</f>
        <v>Witness Responsible:   Jennifer Gonzales</v>
      </c>
    </row>
    <row r="9" spans="1:24" ht="15" x14ac:dyDescent="0.25">
      <c r="A9" s="44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82" t="s">
        <v>104</v>
      </c>
    </row>
    <row r="10" spans="1:24" ht="15" x14ac:dyDescent="0.25">
      <c r="A10" s="44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6"/>
    </row>
    <row r="11" spans="1:24" ht="15" x14ac:dyDescent="0.25">
      <c r="A11" s="44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6"/>
    </row>
    <row r="12" spans="1:24" ht="15" x14ac:dyDescent="0.25">
      <c r="A12" s="4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6"/>
    </row>
    <row r="13" spans="1:24" ht="15" x14ac:dyDescent="0.25">
      <c r="A13" s="44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6"/>
    </row>
    <row r="14" spans="1:24" ht="15" x14ac:dyDescent="0.25">
      <c r="A14" s="57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</row>
    <row r="15" spans="1:24" ht="15" x14ac:dyDescent="0.25">
      <c r="A15" s="40"/>
      <c r="B15" s="44"/>
      <c r="C15" s="44"/>
      <c r="D15" s="44"/>
      <c r="E15" s="44"/>
      <c r="F15" s="44"/>
      <c r="G15" s="44"/>
      <c r="H15" s="44"/>
      <c r="I15" s="44"/>
      <c r="J15" s="44"/>
      <c r="K15" s="48" t="s">
        <v>130</v>
      </c>
      <c r="L15" s="48"/>
      <c r="M15" s="48" t="s">
        <v>148</v>
      </c>
      <c r="N15" s="48"/>
      <c r="O15" s="44"/>
      <c r="P15" s="44"/>
      <c r="Q15" s="48" t="s">
        <v>123</v>
      </c>
      <c r="R15" s="48"/>
      <c r="S15" s="44"/>
      <c r="T15" s="44"/>
      <c r="U15" s="44"/>
      <c r="V15" s="44"/>
      <c r="W15" s="44"/>
      <c r="X15" s="44"/>
    </row>
    <row r="16" spans="1:24" ht="15" x14ac:dyDescent="0.25">
      <c r="A16" s="48" t="s">
        <v>86</v>
      </c>
      <c r="B16" s="40"/>
      <c r="C16" s="43" t="s">
        <v>149</v>
      </c>
      <c r="D16" s="43"/>
      <c r="E16" s="40"/>
      <c r="F16" s="40"/>
      <c r="G16" s="49" t="s">
        <v>108</v>
      </c>
      <c r="H16" s="49"/>
      <c r="I16" s="49" t="s">
        <v>150</v>
      </c>
      <c r="J16" s="49"/>
      <c r="K16" s="49" t="s">
        <v>116</v>
      </c>
      <c r="L16" s="49"/>
      <c r="M16" s="49" t="s">
        <v>151</v>
      </c>
      <c r="N16" s="49"/>
      <c r="O16" s="49" t="s">
        <v>105</v>
      </c>
      <c r="P16" s="49"/>
      <c r="Q16" s="49" t="s">
        <v>129</v>
      </c>
      <c r="R16" s="49"/>
      <c r="S16" s="49" t="s">
        <v>57</v>
      </c>
      <c r="T16" s="49"/>
      <c r="U16" s="49" t="s">
        <v>57</v>
      </c>
      <c r="V16" s="49"/>
      <c r="W16" s="49" t="s">
        <v>127</v>
      </c>
      <c r="X16" s="40"/>
    </row>
    <row r="17" spans="1:24" ht="15.75" thickBot="1" x14ac:dyDescent="0.3">
      <c r="A17" s="50" t="s">
        <v>91</v>
      </c>
      <c r="B17" s="43"/>
      <c r="C17" s="50" t="s">
        <v>152</v>
      </c>
      <c r="D17" s="48"/>
      <c r="E17" s="50" t="s">
        <v>153</v>
      </c>
      <c r="F17" s="48"/>
      <c r="G17" s="50" t="s">
        <v>117</v>
      </c>
      <c r="H17" s="48"/>
      <c r="I17" s="50" t="s">
        <v>136</v>
      </c>
      <c r="J17" s="48"/>
      <c r="K17" s="50" t="s">
        <v>135</v>
      </c>
      <c r="L17" s="48"/>
      <c r="M17" s="50" t="s">
        <v>154</v>
      </c>
      <c r="N17" s="48"/>
      <c r="O17" s="50" t="s">
        <v>155</v>
      </c>
      <c r="P17" s="48"/>
      <c r="Q17" s="50" t="s">
        <v>135</v>
      </c>
      <c r="R17" s="48"/>
      <c r="S17" s="50" t="s">
        <v>133</v>
      </c>
      <c r="T17" s="48"/>
      <c r="U17" s="50" t="s">
        <v>134</v>
      </c>
      <c r="V17" s="48"/>
      <c r="W17" s="50" t="s">
        <v>156</v>
      </c>
      <c r="X17" s="48"/>
    </row>
    <row r="18" spans="1:24" ht="15" x14ac:dyDescent="0.25">
      <c r="A18" s="48">
        <v>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ht="15" x14ac:dyDescent="0.25">
      <c r="A19" s="48">
        <f>A18+1</f>
        <v>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ht="15" x14ac:dyDescent="0.25">
      <c r="A20" s="48">
        <f t="shared" ref="A20:A30" si="0">A19+1</f>
        <v>3</v>
      </c>
      <c r="B20" s="40"/>
      <c r="C20" s="44"/>
      <c r="D20" s="44"/>
      <c r="E20" s="59"/>
      <c r="F20" s="59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2"/>
      <c r="T20" s="52"/>
      <c r="U20" s="52"/>
      <c r="V20" s="52"/>
      <c r="W20" s="56"/>
      <c r="X20" s="40"/>
    </row>
    <row r="21" spans="1:24" ht="15" x14ac:dyDescent="0.25">
      <c r="A21" s="48">
        <f t="shared" si="0"/>
        <v>4</v>
      </c>
      <c r="B21" s="40"/>
      <c r="C21" s="40"/>
      <c r="D21" s="40"/>
      <c r="E21" s="49"/>
      <c r="F21" s="4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52"/>
      <c r="T21" s="52"/>
      <c r="U21" s="52"/>
      <c r="V21" s="52"/>
      <c r="W21" s="40"/>
      <c r="X21" s="40"/>
    </row>
    <row r="22" spans="1:24" ht="15" x14ac:dyDescent="0.25">
      <c r="A22" s="48">
        <f t="shared" si="0"/>
        <v>5</v>
      </c>
      <c r="B22" s="40"/>
      <c r="C22" s="44" t="s">
        <v>157</v>
      </c>
      <c r="D22" s="44"/>
      <c r="E22" s="59">
        <f>DATE(92,1,24)</f>
        <v>33627</v>
      </c>
      <c r="F22" s="59"/>
      <c r="G22" s="70">
        <f>'Sch J WPs'!AG292</f>
        <v>2250000</v>
      </c>
      <c r="H22" s="53"/>
      <c r="I22" s="70">
        <v>0</v>
      </c>
      <c r="J22" s="53"/>
      <c r="K22" s="70">
        <f>'Sch J WPs'!AG316</f>
        <v>3862.7999999999511</v>
      </c>
      <c r="L22" s="53"/>
      <c r="M22" s="70">
        <v>0</v>
      </c>
      <c r="N22" s="53"/>
      <c r="O22" s="70">
        <f>G22+I22-K22+M22</f>
        <v>2246137.2000000002</v>
      </c>
      <c r="P22" s="53"/>
      <c r="Q22" s="70">
        <f>'Sch J WPs'!AH342</f>
        <v>386.28</v>
      </c>
      <c r="R22" s="53"/>
      <c r="S22" s="52">
        <f>'Sch J WPs'!C292</f>
        <v>8.4699999999999998E-2</v>
      </c>
      <c r="T22" s="52"/>
      <c r="U22" s="52">
        <f>ROUND((S22*G22+Q22)/O22,4)</f>
        <v>8.5000000000000006E-2</v>
      </c>
      <c r="V22" s="52"/>
      <c r="W22" s="70">
        <f>ROUND(U22*O22,0)</f>
        <v>190922</v>
      </c>
      <c r="X22" s="40"/>
    </row>
    <row r="23" spans="1:24" ht="15" x14ac:dyDescent="0.25">
      <c r="A23" s="48">
        <f t="shared" si="0"/>
        <v>6</v>
      </c>
      <c r="B23" s="40"/>
      <c r="C23" s="40"/>
      <c r="D23" s="40"/>
      <c r="E23" s="40"/>
      <c r="F23" s="40"/>
      <c r="G23" s="40"/>
      <c r="H23" s="40"/>
      <c r="I23" s="40"/>
      <c r="J23" s="40"/>
      <c r="K23" s="51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</row>
    <row r="24" spans="1:24" ht="15" x14ac:dyDescent="0.25">
      <c r="A24" s="48">
        <f t="shared" si="0"/>
        <v>7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15" x14ac:dyDescent="0.25">
      <c r="A25" s="48">
        <f t="shared" si="0"/>
        <v>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</row>
    <row r="26" spans="1:24" ht="15" x14ac:dyDescent="0.25">
      <c r="A26" s="48">
        <f t="shared" si="0"/>
        <v>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4" ht="15.75" thickBot="1" x14ac:dyDescent="0.3">
      <c r="A27" s="48">
        <f t="shared" si="0"/>
        <v>10</v>
      </c>
      <c r="B27" s="40"/>
      <c r="C27" s="46" t="s">
        <v>158</v>
      </c>
      <c r="D27" s="46"/>
      <c r="E27" s="40"/>
      <c r="F27" s="40"/>
      <c r="G27" s="62">
        <f t="shared" ref="G27:Q27" si="1">SUM(G20:G25)</f>
        <v>2250000</v>
      </c>
      <c r="H27" s="56"/>
      <c r="I27" s="62">
        <f t="shared" si="1"/>
        <v>0</v>
      </c>
      <c r="J27" s="56"/>
      <c r="K27" s="62">
        <f t="shared" si="1"/>
        <v>3862.7999999999511</v>
      </c>
      <c r="L27" s="56"/>
      <c r="M27" s="62">
        <f t="shared" si="1"/>
        <v>0</v>
      </c>
      <c r="N27" s="56"/>
      <c r="O27" s="62">
        <f t="shared" si="1"/>
        <v>2246137.2000000002</v>
      </c>
      <c r="P27" s="56"/>
      <c r="Q27" s="62">
        <f t="shared" si="1"/>
        <v>386.28</v>
      </c>
      <c r="R27" s="51"/>
      <c r="S27" s="40"/>
      <c r="T27" s="40"/>
      <c r="U27" s="40"/>
      <c r="V27" s="40"/>
      <c r="W27" s="62">
        <f>SUM(W20:W25)</f>
        <v>190922</v>
      </c>
      <c r="X27" s="40"/>
    </row>
    <row r="28" spans="1:24" ht="15.75" thickTop="1" x14ac:dyDescent="0.25">
      <c r="A28" s="48">
        <f t="shared" si="0"/>
        <v>11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1:24" ht="15" x14ac:dyDescent="0.25">
      <c r="A29" s="48">
        <f t="shared" si="0"/>
        <v>12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ht="15.75" thickBot="1" x14ac:dyDescent="0.3">
      <c r="A30" s="48">
        <f t="shared" si="0"/>
        <v>13</v>
      </c>
      <c r="B30" s="40"/>
      <c r="C30" s="63" t="s">
        <v>146</v>
      </c>
      <c r="D30" s="40"/>
      <c r="F30" s="40"/>
      <c r="G30" s="55">
        <f>ROUND(W27/O27,4)</f>
        <v>8.5000000000000006E-2</v>
      </c>
      <c r="H30" s="52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ht="15.75" thickTop="1" x14ac:dyDescent="0.25">
      <c r="A31" s="4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5" x14ac:dyDescent="0.25">
      <c r="A32" s="4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15" x14ac:dyDescent="0.25">
      <c r="A33" s="4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</row>
    <row r="34" spans="1:24" ht="15" x14ac:dyDescent="0.25">
      <c r="A34" s="4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1:24" ht="15" x14ac:dyDescent="0.25">
      <c r="A35" s="4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</row>
    <row r="36" spans="1:24" ht="15" x14ac:dyDescent="0.25">
      <c r="A36" s="4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</row>
    <row r="37" spans="1:24" ht="15" x14ac:dyDescent="0.25">
      <c r="A37" s="4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</row>
    <row r="38" spans="1:24" ht="15" x14ac:dyDescent="0.25">
      <c r="A38" s="4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ht="15" x14ac:dyDescent="0.25">
      <c r="A39" s="4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5" x14ac:dyDescent="0.25">
      <c r="A40" s="206" t="str">
        <f>A1</f>
        <v>Kentucky American Water Company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43"/>
    </row>
    <row r="41" spans="1:24" ht="15" x14ac:dyDescent="0.25">
      <c r="A41" s="206" t="str">
        <f>A2</f>
        <v>Case No. 2025-00122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43"/>
    </row>
    <row r="42" spans="1:24" ht="15" x14ac:dyDescent="0.25">
      <c r="A42" s="206" t="str">
        <f>Linkin!E46</f>
        <v>Embedded Cost of Preferred Stock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43"/>
    </row>
    <row r="43" spans="1:24" ht="15" x14ac:dyDescent="0.25">
      <c r="A43" s="206" t="str">
        <f>Linkin!C6</f>
        <v>As of August 2025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43"/>
    </row>
    <row r="44" spans="1:24" ht="15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43"/>
    </row>
    <row r="45" spans="1:24" ht="15" x14ac:dyDescent="0.25">
      <c r="A45" s="83" t="s">
        <v>112</v>
      </c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6" t="s">
        <v>147</v>
      </c>
    </row>
    <row r="46" spans="1:24" ht="15" x14ac:dyDescent="0.25">
      <c r="A46" s="40" t="str">
        <f>Linkin!A17</f>
        <v>Type of Filing: _____ Original  __X__ Updated  _____ Revised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82" t="str">
        <f>W7</f>
        <v>KAW_R_PSCHDR_NUM002_100625_Attachment  Sch J-5</v>
      </c>
    </row>
    <row r="47" spans="1:24" ht="15" x14ac:dyDescent="0.25">
      <c r="A47" s="40" t="str">
        <f>"Workpaper Reference No(s):  " &amp;Linkin!C28</f>
        <v>Workpaper Reference No(s):  W/P - 7-5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82" t="str">
        <f>Linkin!G46</f>
        <v>Witness Responsible:   Jennifer Gonzales</v>
      </c>
    </row>
    <row r="48" spans="1:24" ht="15" x14ac:dyDescent="0.25">
      <c r="A48" s="44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82" t="s">
        <v>113</v>
      </c>
    </row>
    <row r="49" spans="1:24" ht="15" x14ac:dyDescent="0.25">
      <c r="A49" s="44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spans="1:24" ht="15" x14ac:dyDescent="0.25">
      <c r="A50" s="44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6"/>
    </row>
    <row r="51" spans="1:24" ht="15" x14ac:dyDescent="0.25">
      <c r="A51" s="44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6"/>
    </row>
    <row r="52" spans="1:24" ht="15" x14ac:dyDescent="0.25">
      <c r="A52" s="44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6"/>
    </row>
    <row r="53" spans="1:24" ht="15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</row>
    <row r="54" spans="1:24" ht="15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8" t="s">
        <v>130</v>
      </c>
      <c r="L54" s="48"/>
      <c r="M54" s="48" t="s">
        <v>148</v>
      </c>
      <c r="N54" s="48"/>
      <c r="O54" s="44"/>
      <c r="P54" s="44"/>
      <c r="Q54" s="48" t="s">
        <v>123</v>
      </c>
      <c r="R54" s="48"/>
      <c r="S54" s="44"/>
      <c r="T54" s="44"/>
      <c r="U54" s="44"/>
      <c r="V54" s="44"/>
      <c r="W54" s="44"/>
      <c r="X54" s="44"/>
    </row>
    <row r="55" spans="1:24" ht="15" x14ac:dyDescent="0.25">
      <c r="A55" s="48" t="s">
        <v>86</v>
      </c>
      <c r="B55" s="40"/>
      <c r="C55" s="43" t="s">
        <v>149</v>
      </c>
      <c r="D55" s="43"/>
      <c r="E55" s="40"/>
      <c r="F55" s="40"/>
      <c r="G55" s="49" t="s">
        <v>108</v>
      </c>
      <c r="H55" s="49"/>
      <c r="I55" s="49" t="s">
        <v>150</v>
      </c>
      <c r="J55" s="49"/>
      <c r="K55" s="49" t="s">
        <v>116</v>
      </c>
      <c r="L55" s="49"/>
      <c r="M55" s="49" t="s">
        <v>151</v>
      </c>
      <c r="N55" s="49"/>
      <c r="O55" s="49" t="s">
        <v>105</v>
      </c>
      <c r="P55" s="49"/>
      <c r="Q55" s="49" t="s">
        <v>129</v>
      </c>
      <c r="R55" s="49"/>
      <c r="S55" s="49" t="s">
        <v>57</v>
      </c>
      <c r="T55" s="49"/>
      <c r="U55" s="49" t="s">
        <v>57</v>
      </c>
      <c r="V55" s="49"/>
      <c r="W55" s="49" t="s">
        <v>127</v>
      </c>
      <c r="X55" s="40"/>
    </row>
    <row r="56" spans="1:24" ht="15.75" thickBot="1" x14ac:dyDescent="0.3">
      <c r="A56" s="50" t="s">
        <v>91</v>
      </c>
      <c r="B56" s="43"/>
      <c r="C56" s="50" t="s">
        <v>152</v>
      </c>
      <c r="D56" s="48"/>
      <c r="E56" s="50" t="s">
        <v>153</v>
      </c>
      <c r="F56" s="48"/>
      <c r="G56" s="50" t="s">
        <v>117</v>
      </c>
      <c r="H56" s="48"/>
      <c r="I56" s="50" t="s">
        <v>136</v>
      </c>
      <c r="J56" s="48"/>
      <c r="K56" s="50" t="s">
        <v>135</v>
      </c>
      <c r="L56" s="48"/>
      <c r="M56" s="50" t="s">
        <v>154</v>
      </c>
      <c r="N56" s="48"/>
      <c r="O56" s="50" t="s">
        <v>155</v>
      </c>
      <c r="P56" s="48"/>
      <c r="Q56" s="50" t="s">
        <v>135</v>
      </c>
      <c r="R56" s="48"/>
      <c r="S56" s="50" t="s">
        <v>133</v>
      </c>
      <c r="T56" s="48"/>
      <c r="U56" s="50" t="s">
        <v>134</v>
      </c>
      <c r="V56" s="48"/>
      <c r="W56" s="50" t="s">
        <v>156</v>
      </c>
      <c r="X56" s="48"/>
    </row>
    <row r="57" spans="1:24" ht="15" x14ac:dyDescent="0.25">
      <c r="A57" s="48">
        <v>1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ht="15" x14ac:dyDescent="0.25">
      <c r="A58" s="48">
        <f>A57+1</f>
        <v>2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52"/>
      <c r="V58" s="52"/>
      <c r="W58" s="40"/>
      <c r="X58" s="40"/>
    </row>
    <row r="59" spans="1:24" ht="15" x14ac:dyDescent="0.25">
      <c r="A59" s="48">
        <f t="shared" ref="A59:A69" si="2">A58+1</f>
        <v>3</v>
      </c>
      <c r="B59" s="40"/>
      <c r="C59" s="44"/>
      <c r="D59" s="44"/>
      <c r="E59" s="59"/>
      <c r="F59" s="59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2"/>
      <c r="T59" s="52"/>
      <c r="U59" s="52"/>
      <c r="V59" s="52"/>
      <c r="W59" s="56"/>
      <c r="X59" s="40"/>
    </row>
    <row r="60" spans="1:24" ht="15" x14ac:dyDescent="0.25">
      <c r="A60" s="48">
        <f t="shared" si="2"/>
        <v>4</v>
      </c>
      <c r="B60" s="40"/>
      <c r="C60" s="40"/>
      <c r="D60" s="40"/>
      <c r="E60" s="49"/>
      <c r="F60" s="4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52"/>
      <c r="T60" s="52"/>
      <c r="U60" s="52"/>
      <c r="V60" s="52"/>
      <c r="W60" s="40"/>
      <c r="X60" s="40"/>
    </row>
    <row r="61" spans="1:24" ht="15" x14ac:dyDescent="0.25">
      <c r="A61" s="48">
        <f t="shared" si="2"/>
        <v>5</v>
      </c>
      <c r="B61" s="40"/>
      <c r="C61" s="44" t="s">
        <v>157</v>
      </c>
      <c r="D61" s="44"/>
      <c r="E61" s="59">
        <f>DATE(92,1,24)</f>
        <v>33627</v>
      </c>
      <c r="F61" s="59"/>
      <c r="G61" s="70">
        <f>'Sch J WPs'!Q292</f>
        <v>2250000</v>
      </c>
      <c r="H61" s="53"/>
      <c r="I61" s="70">
        <v>0</v>
      </c>
      <c r="J61" s="53"/>
      <c r="K61" s="70">
        <f>'Sch J WPs'!Q316</f>
        <v>4345.6499999999487</v>
      </c>
      <c r="L61" s="53"/>
      <c r="M61" s="70">
        <v>0</v>
      </c>
      <c r="N61" s="53"/>
      <c r="O61" s="70">
        <f>G61+I61-K61+M61</f>
        <v>2245654.35</v>
      </c>
      <c r="P61" s="53"/>
      <c r="Q61" s="70">
        <f>ROUND('Sch J WPs'!Q342*12,0)</f>
        <v>386</v>
      </c>
      <c r="R61" s="53"/>
      <c r="S61" s="52">
        <f>S22</f>
        <v>8.4699999999999998E-2</v>
      </c>
      <c r="T61" s="52"/>
      <c r="U61" s="52">
        <f>ROUND((S61*G61+Q61)/O61,4)</f>
        <v>8.5000000000000006E-2</v>
      </c>
      <c r="V61" s="52"/>
      <c r="W61" s="70">
        <f>ROUND(U61*O61,0)</f>
        <v>190881</v>
      </c>
      <c r="X61" s="40"/>
    </row>
    <row r="62" spans="1:24" ht="15" x14ac:dyDescent="0.25">
      <c r="A62" s="48">
        <f t="shared" si="2"/>
        <v>6</v>
      </c>
      <c r="B62" s="40"/>
      <c r="C62" s="40"/>
      <c r="D62" s="40"/>
      <c r="E62" s="40"/>
      <c r="F62" s="40"/>
      <c r="G62" s="40"/>
      <c r="H62" s="40"/>
      <c r="I62" s="40"/>
      <c r="J62" s="40"/>
      <c r="K62" s="5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</row>
    <row r="63" spans="1:24" ht="15" x14ac:dyDescent="0.25">
      <c r="A63" s="48">
        <f t="shared" si="2"/>
        <v>7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</row>
    <row r="64" spans="1:24" ht="15" x14ac:dyDescent="0.25">
      <c r="A64" s="48">
        <f t="shared" si="2"/>
        <v>8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</row>
    <row r="65" spans="1:24" ht="15" x14ac:dyDescent="0.25">
      <c r="A65" s="48">
        <f t="shared" si="2"/>
        <v>9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</row>
    <row r="66" spans="1:24" ht="15.75" thickBot="1" x14ac:dyDescent="0.3">
      <c r="A66" s="48">
        <f t="shared" si="2"/>
        <v>10</v>
      </c>
      <c r="B66" s="40"/>
      <c r="C66" s="46" t="s">
        <v>158</v>
      </c>
      <c r="D66" s="46"/>
      <c r="E66" s="40"/>
      <c r="F66" s="40"/>
      <c r="G66" s="62">
        <f t="shared" ref="G66:Q66" si="3">SUM(G59:G64)</f>
        <v>2250000</v>
      </c>
      <c r="H66" s="56"/>
      <c r="I66" s="62">
        <f t="shared" si="3"/>
        <v>0</v>
      </c>
      <c r="J66" s="56"/>
      <c r="K66" s="62">
        <f t="shared" si="3"/>
        <v>4345.6499999999487</v>
      </c>
      <c r="L66" s="56"/>
      <c r="M66" s="62">
        <f t="shared" si="3"/>
        <v>0</v>
      </c>
      <c r="N66" s="56"/>
      <c r="O66" s="62">
        <f t="shared" si="3"/>
        <v>2245654.35</v>
      </c>
      <c r="P66" s="56"/>
      <c r="Q66" s="62">
        <f t="shared" si="3"/>
        <v>386</v>
      </c>
      <c r="R66" s="51"/>
      <c r="S66" s="40"/>
      <c r="T66" s="40"/>
      <c r="U66" s="40"/>
      <c r="V66" s="40"/>
      <c r="W66" s="62">
        <f>SUM(W59:W64)</f>
        <v>190881</v>
      </c>
      <c r="X66" s="40"/>
    </row>
    <row r="67" spans="1:24" ht="15.75" thickTop="1" x14ac:dyDescent="0.25">
      <c r="A67" s="48">
        <f t="shared" si="2"/>
        <v>11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</row>
    <row r="68" spans="1:24" ht="15" x14ac:dyDescent="0.25">
      <c r="A68" s="48">
        <f t="shared" si="2"/>
        <v>12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</row>
    <row r="69" spans="1:24" ht="15.75" thickBot="1" x14ac:dyDescent="0.3">
      <c r="A69" s="48">
        <f t="shared" si="2"/>
        <v>13</v>
      </c>
      <c r="B69" s="40"/>
      <c r="C69" s="63" t="s">
        <v>146</v>
      </c>
      <c r="D69" s="40"/>
      <c r="E69" s="40"/>
      <c r="F69" s="40"/>
      <c r="G69" s="55">
        <f>ROUND(W66/O66,4)</f>
        <v>8.5000000000000006E-2</v>
      </c>
      <c r="H69" s="52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1:24" ht="15.75" thickTop="1" x14ac:dyDescent="0.25">
      <c r="A70" s="4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5" x14ac:dyDescent="0.25">
      <c r="A71" s="4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5" x14ac:dyDescent="0.25">
      <c r="A72" s="4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5" x14ac:dyDescent="0.25">
      <c r="A73" s="4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5" x14ac:dyDescent="0.25">
      <c r="A74" s="4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5" x14ac:dyDescent="0.25">
      <c r="A75" s="4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5" x14ac:dyDescent="0.25">
      <c r="A76" s="4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5" x14ac:dyDescent="0.25">
      <c r="A77" s="4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5" x14ac:dyDescent="0.25">
      <c r="A78" s="4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</sheetData>
  <mergeCells count="4">
    <mergeCell ref="A42:W42"/>
    <mergeCell ref="A43:W43"/>
    <mergeCell ref="A40:W40"/>
    <mergeCell ref="A41:W41"/>
  </mergeCells>
  <printOptions horizontalCentered="1"/>
  <pageMargins left="0.75" right="0.75" top="1" bottom="0.5" header="0" footer="0.25"/>
  <pageSetup scale="65" orientation="landscape" r:id="rId1"/>
  <headerFooter alignWithMargins="0"/>
  <rowBreaks count="1" manualBreakCount="1">
    <brk id="39" max="22" man="1"/>
  </rowBreaks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Y475"/>
  <sheetViews>
    <sheetView tabSelected="1" view="pageBreakPreview" zoomScale="80" zoomScaleNormal="80" zoomScaleSheetLayoutView="80" workbookViewId="0">
      <pane xSplit="5" ySplit="9" topLeftCell="AH51" activePane="bottomRight" state="frozen"/>
      <selection pane="topRight" activeCell="F1" sqref="F1"/>
      <selection pane="bottomLeft" activeCell="A10" sqref="A10"/>
      <selection pane="bottomRight" activeCell="A74" sqref="A74:XFD74"/>
    </sheetView>
  </sheetViews>
  <sheetFormatPr defaultColWidth="11.7109375" defaultRowHeight="15" x14ac:dyDescent="0.25"/>
  <cols>
    <col min="1" max="1" width="6.85546875" style="40" customWidth="1"/>
    <col min="2" max="2" width="37.28515625" style="40" customWidth="1"/>
    <col min="3" max="5" width="16.28515625" style="49" customWidth="1"/>
    <col min="6" max="10" width="15.85546875" style="40" customWidth="1"/>
    <col min="11" max="11" width="16.85546875" style="40" customWidth="1"/>
    <col min="12" max="34" width="15.85546875" style="40" customWidth="1"/>
    <col min="35" max="35" width="12.7109375" style="40" bestFit="1" customWidth="1"/>
    <col min="36" max="36" width="35.42578125" style="40" customWidth="1"/>
    <col min="37" max="37" width="1.7109375" style="40" customWidth="1"/>
    <col min="38" max="38" width="12.85546875" style="40" customWidth="1"/>
    <col min="39" max="39" width="1.7109375" style="40" customWidth="1"/>
    <col min="40" max="40" width="13" style="40" customWidth="1"/>
    <col min="41" max="41" width="1.7109375" style="40" customWidth="1"/>
    <col min="42" max="42" width="13" style="40" customWidth="1"/>
    <col min="43" max="43" width="1.7109375" style="40" customWidth="1"/>
    <col min="44" max="44" width="13" style="40" customWidth="1"/>
    <col min="45" max="45" width="1.7109375" style="40" customWidth="1"/>
    <col min="46" max="46" width="13" style="40" customWidth="1"/>
    <col min="47" max="47" width="1.7109375" style="40" customWidth="1"/>
    <col min="48" max="48" width="13" style="40" customWidth="1"/>
    <col min="49" max="49" width="1.7109375" style="40" customWidth="1"/>
    <col min="50" max="50" width="12.85546875" style="40" customWidth="1"/>
    <col min="51" max="51" width="1.7109375" style="40" customWidth="1"/>
    <col min="52" max="52" width="13" style="40" customWidth="1"/>
    <col min="53" max="53" width="1.7109375" style="40" customWidth="1"/>
    <col min="54" max="54" width="12.85546875" style="40" customWidth="1"/>
    <col min="55" max="55" width="1.7109375" style="40" customWidth="1"/>
    <col min="56" max="56" width="15.42578125" style="40" customWidth="1"/>
    <col min="57" max="57" width="1.7109375" style="40" customWidth="1"/>
    <col min="58" max="58" width="15.42578125" style="40" customWidth="1"/>
    <col min="59" max="59" width="1.7109375" style="40" customWidth="1"/>
    <col min="60" max="60" width="15.42578125" style="40" customWidth="1"/>
    <col min="61" max="61" width="1.7109375" style="40" customWidth="1"/>
    <col min="62" max="62" width="15.42578125" style="40" customWidth="1"/>
    <col min="63" max="63" width="1.7109375" style="40" customWidth="1"/>
    <col min="64" max="64" width="15.42578125" style="40" customWidth="1"/>
    <col min="65" max="65" width="1.7109375" style="40" customWidth="1"/>
    <col min="66" max="66" width="15.42578125" style="40" customWidth="1"/>
    <col min="67" max="67" width="1.7109375" style="40" customWidth="1"/>
    <col min="68" max="68" width="15.42578125" style="40" customWidth="1"/>
    <col min="69" max="69" width="11.7109375" style="40" customWidth="1"/>
    <col min="70" max="70" width="16.28515625" style="40" customWidth="1"/>
    <col min="71" max="71" width="16.42578125" style="40" customWidth="1"/>
    <col min="72" max="72" width="19.140625" style="40" customWidth="1"/>
    <col min="73" max="16384" width="11.7109375" style="40"/>
  </cols>
  <sheetData>
    <row r="1" spans="1:77" x14ac:dyDescent="0.25">
      <c r="A1" s="161" t="s">
        <v>159</v>
      </c>
      <c r="O1" s="162" t="str">
        <f>Linkin!C27</f>
        <v>W/P - 7-4</v>
      </c>
      <c r="Y1" s="162" t="str">
        <f>$O$1</f>
        <v>W/P - 7-4</v>
      </c>
      <c r="AH1" s="162" t="str">
        <f>$O$1</f>
        <v>W/P - 7-4</v>
      </c>
      <c r="BB1" s="162" t="str">
        <f>$O$1</f>
        <v>W/P - 7-4</v>
      </c>
    </row>
    <row r="2" spans="1:77" x14ac:dyDescent="0.25">
      <c r="A2" s="161" t="s">
        <v>160</v>
      </c>
      <c r="O2" s="162" t="s">
        <v>264</v>
      </c>
      <c r="Y2" s="162" t="s">
        <v>264</v>
      </c>
      <c r="AH2" s="162" t="s">
        <v>264</v>
      </c>
      <c r="BB2" s="162" t="s">
        <v>264</v>
      </c>
    </row>
    <row r="3" spans="1:77" x14ac:dyDescent="0.25">
      <c r="A3" s="161"/>
      <c r="O3" s="162"/>
    </row>
    <row r="4" spans="1:77" x14ac:dyDescent="0.25">
      <c r="A4" s="57" t="s">
        <v>161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4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I4" s="48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D4" s="57"/>
      <c r="BR4" s="162"/>
      <c r="BT4" s="57"/>
    </row>
    <row r="5" spans="1:77" x14ac:dyDescent="0.25">
      <c r="A5" s="57" t="s">
        <v>162</v>
      </c>
      <c r="P5" s="44"/>
      <c r="AI5" s="48"/>
      <c r="AJ5" s="57" t="s">
        <v>163</v>
      </c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D5" s="57"/>
      <c r="BR5" s="162"/>
      <c r="BT5" s="57"/>
    </row>
    <row r="6" spans="1:77" x14ac:dyDescent="0.25">
      <c r="A6" s="44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I6" s="48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D6" s="57"/>
      <c r="BT6" s="57"/>
      <c r="BX6" s="44"/>
    </row>
    <row r="7" spans="1:77" x14ac:dyDescent="0.25">
      <c r="A7" s="166"/>
      <c r="B7" s="166" t="s">
        <v>124</v>
      </c>
      <c r="C7" s="166"/>
      <c r="D7" s="166"/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48"/>
      <c r="AJ7" s="166"/>
      <c r="AK7" s="166"/>
      <c r="AL7" s="166"/>
      <c r="AM7" s="166"/>
      <c r="AN7" s="166"/>
      <c r="AO7" s="166"/>
      <c r="AP7" s="166"/>
      <c r="AQ7" s="166"/>
      <c r="AR7" s="166" t="s">
        <v>164</v>
      </c>
      <c r="AS7" s="166"/>
      <c r="AT7" s="166"/>
      <c r="AU7" s="166"/>
      <c r="AV7" s="166" t="s">
        <v>90</v>
      </c>
      <c r="AW7" s="166"/>
      <c r="AX7" s="166" t="s">
        <v>90</v>
      </c>
      <c r="AY7" s="166"/>
      <c r="AZ7" s="166" t="s">
        <v>90</v>
      </c>
      <c r="BA7" s="166"/>
      <c r="BB7" s="166" t="s">
        <v>105</v>
      </c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W7" s="48"/>
      <c r="BY7" s="48"/>
    </row>
    <row r="8" spans="1:77" x14ac:dyDescent="0.25">
      <c r="A8" s="48" t="s">
        <v>86</v>
      </c>
      <c r="B8" s="48" t="s">
        <v>165</v>
      </c>
      <c r="C8" s="48" t="s">
        <v>115</v>
      </c>
      <c r="D8" s="48"/>
      <c r="E8" s="48"/>
      <c r="F8" s="48" t="s">
        <v>166</v>
      </c>
      <c r="G8" s="48" t="s">
        <v>166</v>
      </c>
      <c r="H8" s="48" t="s">
        <v>166</v>
      </c>
      <c r="I8" s="48" t="s">
        <v>166</v>
      </c>
      <c r="J8" s="48" t="s">
        <v>166</v>
      </c>
      <c r="K8" s="48" t="s">
        <v>166</v>
      </c>
      <c r="L8" s="48" t="s">
        <v>166</v>
      </c>
      <c r="M8" s="48" t="s">
        <v>166</v>
      </c>
      <c r="N8" s="48" t="s">
        <v>166</v>
      </c>
      <c r="O8" s="48" t="s">
        <v>166</v>
      </c>
      <c r="P8" s="48" t="s">
        <v>166</v>
      </c>
      <c r="Q8" s="48" t="s">
        <v>166</v>
      </c>
      <c r="R8" s="48" t="s">
        <v>166</v>
      </c>
      <c r="S8" s="48" t="s">
        <v>166</v>
      </c>
      <c r="T8" s="48" t="s">
        <v>166</v>
      </c>
      <c r="U8" s="48" t="s">
        <v>166</v>
      </c>
      <c r="V8" s="48" t="s">
        <v>166</v>
      </c>
      <c r="W8" s="48" t="s">
        <v>166</v>
      </c>
      <c r="X8" s="48" t="s">
        <v>166</v>
      </c>
      <c r="Y8" s="48" t="s">
        <v>166</v>
      </c>
      <c r="Z8" s="48" t="s">
        <v>166</v>
      </c>
      <c r="AA8" s="48" t="s">
        <v>166</v>
      </c>
      <c r="AB8" s="48" t="s">
        <v>166</v>
      </c>
      <c r="AC8" s="48" t="s">
        <v>166</v>
      </c>
      <c r="AD8" s="48" t="s">
        <v>166</v>
      </c>
      <c r="AE8" s="48" t="s">
        <v>166</v>
      </c>
      <c r="AF8" s="48" t="s">
        <v>166</v>
      </c>
      <c r="AG8" s="48" t="s">
        <v>166</v>
      </c>
      <c r="AH8" s="48" t="s">
        <v>85</v>
      </c>
      <c r="AI8" s="48"/>
      <c r="AJ8" s="48" t="s">
        <v>124</v>
      </c>
      <c r="AK8" s="48"/>
      <c r="AL8" s="48" t="s">
        <v>85</v>
      </c>
      <c r="AM8" s="48"/>
      <c r="AN8" s="48" t="s">
        <v>57</v>
      </c>
      <c r="AO8" s="48"/>
      <c r="AP8" s="48" t="s">
        <v>57</v>
      </c>
      <c r="AQ8" s="48"/>
      <c r="AR8" s="48" t="s">
        <v>167</v>
      </c>
      <c r="AS8" s="48"/>
      <c r="AT8" s="48" t="s">
        <v>127</v>
      </c>
      <c r="AU8" s="48"/>
      <c r="AV8" s="48" t="s">
        <v>130</v>
      </c>
      <c r="AW8" s="48"/>
      <c r="AX8" s="48" t="s">
        <v>130</v>
      </c>
      <c r="AY8" s="48"/>
      <c r="AZ8" s="48" t="s">
        <v>130</v>
      </c>
      <c r="BA8" s="48"/>
      <c r="BB8" s="48" t="s">
        <v>106</v>
      </c>
      <c r="BD8" s="43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V8" s="168"/>
      <c r="BW8" s="58"/>
      <c r="BY8" s="168"/>
    </row>
    <row r="9" spans="1:77" x14ac:dyDescent="0.25">
      <c r="A9" s="169" t="s">
        <v>91</v>
      </c>
      <c r="B9" s="169" t="s">
        <v>118</v>
      </c>
      <c r="C9" s="169" t="s">
        <v>118</v>
      </c>
      <c r="D9" s="169" t="s">
        <v>168</v>
      </c>
      <c r="E9" s="169" t="s">
        <v>169</v>
      </c>
      <c r="F9" s="170">
        <v>45565</v>
      </c>
      <c r="G9" s="170">
        <v>45596</v>
      </c>
      <c r="H9" s="170">
        <v>45626</v>
      </c>
      <c r="I9" s="170">
        <v>45657</v>
      </c>
      <c r="J9" s="170">
        <v>45688</v>
      </c>
      <c r="K9" s="170">
        <v>45716</v>
      </c>
      <c r="L9" s="170">
        <v>45747</v>
      </c>
      <c r="M9" s="170">
        <v>45777</v>
      </c>
      <c r="N9" s="170">
        <v>45808</v>
      </c>
      <c r="O9" s="170">
        <v>45838</v>
      </c>
      <c r="P9" s="170">
        <v>45869</v>
      </c>
      <c r="Q9" s="170">
        <v>45900</v>
      </c>
      <c r="R9" s="170">
        <v>45930</v>
      </c>
      <c r="S9" s="170">
        <v>45961</v>
      </c>
      <c r="T9" s="170">
        <v>45991</v>
      </c>
      <c r="U9" s="170">
        <v>46022</v>
      </c>
      <c r="V9" s="170">
        <v>46053</v>
      </c>
      <c r="W9" s="170">
        <v>46081</v>
      </c>
      <c r="X9" s="170">
        <v>46112</v>
      </c>
      <c r="Y9" s="170">
        <v>46142</v>
      </c>
      <c r="Z9" s="170">
        <v>46173</v>
      </c>
      <c r="AA9" s="170">
        <v>46203</v>
      </c>
      <c r="AB9" s="170">
        <v>46234</v>
      </c>
      <c r="AC9" s="170">
        <v>46265</v>
      </c>
      <c r="AD9" s="170">
        <v>46295</v>
      </c>
      <c r="AE9" s="170">
        <v>46326</v>
      </c>
      <c r="AF9" s="170">
        <v>46356</v>
      </c>
      <c r="AG9" s="170">
        <v>46387</v>
      </c>
      <c r="AH9" s="171" t="s">
        <v>90</v>
      </c>
      <c r="AI9" s="48"/>
      <c r="AJ9" s="169" t="s">
        <v>131</v>
      </c>
      <c r="AK9" s="169"/>
      <c r="AL9" s="171" t="s">
        <v>90</v>
      </c>
      <c r="AM9" s="169"/>
      <c r="AN9" s="169" t="s">
        <v>170</v>
      </c>
      <c r="AO9" s="169"/>
      <c r="AP9" s="169" t="s">
        <v>171</v>
      </c>
      <c r="AQ9" s="169"/>
      <c r="AR9" s="169" t="s">
        <v>172</v>
      </c>
      <c r="AS9" s="169"/>
      <c r="AT9" s="169" t="s">
        <v>173</v>
      </c>
      <c r="AU9" s="169"/>
      <c r="AV9" s="169" t="s">
        <v>136</v>
      </c>
      <c r="AW9" s="169"/>
      <c r="AX9" s="169" t="s">
        <v>174</v>
      </c>
      <c r="AY9" s="169"/>
      <c r="AZ9" s="169" t="s">
        <v>138</v>
      </c>
      <c r="BA9" s="169"/>
      <c r="BB9" s="169" t="s">
        <v>139</v>
      </c>
      <c r="BD9" s="172"/>
      <c r="BE9" s="48"/>
      <c r="BF9" s="172"/>
      <c r="BG9" s="172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</row>
    <row r="10" spans="1:77" x14ac:dyDescent="0.25">
      <c r="A10" s="48">
        <v>1</v>
      </c>
      <c r="B10" s="44"/>
      <c r="C10" s="48"/>
      <c r="D10" s="48"/>
      <c r="E10" s="48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8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V10" s="44"/>
      <c r="BW10" s="44"/>
    </row>
    <row r="11" spans="1:77" x14ac:dyDescent="0.25">
      <c r="A11" s="48">
        <f>A10+1</f>
        <v>2</v>
      </c>
      <c r="P11" s="44"/>
      <c r="AI11" s="48"/>
      <c r="AR11" s="173"/>
      <c r="BV11" s="44"/>
      <c r="BX11" s="44"/>
    </row>
    <row r="12" spans="1:77" x14ac:dyDescent="0.25">
      <c r="A12" s="48">
        <f t="shared" ref="A12:A40" si="0">A11+1</f>
        <v>3</v>
      </c>
      <c r="B12" s="58" t="s">
        <v>175</v>
      </c>
      <c r="AI12" s="48"/>
      <c r="AJ12" s="58"/>
      <c r="BD12" s="44"/>
      <c r="BF12" s="51"/>
      <c r="BG12" s="51"/>
      <c r="BH12" s="52"/>
      <c r="BI12" s="52"/>
      <c r="BJ12" s="52"/>
      <c r="BK12" s="52"/>
      <c r="BL12" s="51"/>
      <c r="BM12" s="51"/>
      <c r="BN12" s="51"/>
      <c r="BO12" s="51"/>
      <c r="BP12" s="51"/>
      <c r="BQ12" s="51"/>
      <c r="BR12" s="51"/>
      <c r="BV12" s="44"/>
    </row>
    <row r="13" spans="1:77" x14ac:dyDescent="0.25">
      <c r="A13" s="48">
        <f t="shared" si="0"/>
        <v>4</v>
      </c>
      <c r="B13" s="174"/>
      <c r="C13" s="175"/>
      <c r="D13" s="175"/>
      <c r="E13" s="175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3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48"/>
      <c r="AJ13" s="176"/>
      <c r="AK13" s="175"/>
      <c r="AL13" s="51"/>
      <c r="AM13" s="175"/>
      <c r="AN13" s="175"/>
      <c r="AO13" s="175"/>
      <c r="AP13" s="175"/>
      <c r="AQ13" s="175"/>
      <c r="AR13" s="51"/>
      <c r="AS13" s="175"/>
      <c r="AT13" s="51"/>
      <c r="AU13" s="175"/>
      <c r="AV13" s="51"/>
      <c r="AW13" s="175"/>
      <c r="AX13" s="51"/>
      <c r="AY13" s="175"/>
      <c r="AZ13" s="51"/>
      <c r="BA13" s="175"/>
      <c r="BB13" s="51"/>
      <c r="BH13" s="52"/>
      <c r="BI13" s="52"/>
      <c r="BV13" s="44"/>
    </row>
    <row r="14" spans="1:77" x14ac:dyDescent="0.25">
      <c r="A14" s="48">
        <f t="shared" si="0"/>
        <v>5</v>
      </c>
      <c r="B14" s="44" t="s">
        <v>176</v>
      </c>
      <c r="C14" s="175">
        <v>7.1499999999999994E-2</v>
      </c>
      <c r="D14" s="61">
        <v>35462</v>
      </c>
      <c r="E14" s="61">
        <v>46419</v>
      </c>
      <c r="F14" s="53">
        <v>7500000</v>
      </c>
      <c r="G14" s="53">
        <f t="shared" ref="G14:Z29" si="1">F14</f>
        <v>7500000</v>
      </c>
      <c r="H14" s="53">
        <f t="shared" si="1"/>
        <v>7500000</v>
      </c>
      <c r="I14" s="53">
        <f t="shared" si="1"/>
        <v>7500000</v>
      </c>
      <c r="J14" s="53">
        <f t="shared" si="1"/>
        <v>7500000</v>
      </c>
      <c r="K14" s="53">
        <f t="shared" si="1"/>
        <v>7500000</v>
      </c>
      <c r="L14" s="53">
        <f t="shared" si="1"/>
        <v>7500000</v>
      </c>
      <c r="M14" s="53">
        <f t="shared" si="1"/>
        <v>7500000</v>
      </c>
      <c r="N14" s="53">
        <f t="shared" si="1"/>
        <v>7500000</v>
      </c>
      <c r="O14" s="53">
        <f t="shared" si="1"/>
        <v>7500000</v>
      </c>
      <c r="P14" s="53">
        <f t="shared" si="1"/>
        <v>7500000</v>
      </c>
      <c r="Q14" s="53">
        <f t="shared" si="1"/>
        <v>7500000</v>
      </c>
      <c r="R14" s="53">
        <f t="shared" si="1"/>
        <v>7500000</v>
      </c>
      <c r="S14" s="53">
        <f t="shared" si="1"/>
        <v>7500000</v>
      </c>
      <c r="T14" s="53">
        <f t="shared" si="1"/>
        <v>7500000</v>
      </c>
      <c r="U14" s="53">
        <f t="shared" si="1"/>
        <v>7500000</v>
      </c>
      <c r="V14" s="53">
        <f t="shared" si="1"/>
        <v>7500000</v>
      </c>
      <c r="W14" s="53">
        <f t="shared" si="1"/>
        <v>7500000</v>
      </c>
      <c r="X14" s="53">
        <f t="shared" si="1"/>
        <v>7500000</v>
      </c>
      <c r="Y14" s="53">
        <f t="shared" si="1"/>
        <v>7500000</v>
      </c>
      <c r="Z14" s="53">
        <f t="shared" si="1"/>
        <v>7500000</v>
      </c>
      <c r="AA14" s="53">
        <f t="shared" ref="AA14:AA23" si="2">Z14</f>
        <v>7500000</v>
      </c>
      <c r="AB14" s="53">
        <f t="shared" ref="AB14:AB23" si="3">AA14</f>
        <v>7500000</v>
      </c>
      <c r="AC14" s="53">
        <f t="shared" ref="AC14:AC23" si="4">AB14</f>
        <v>7500000</v>
      </c>
      <c r="AD14" s="53">
        <f t="shared" ref="AD14:AD23" si="5">AC14</f>
        <v>7500000</v>
      </c>
      <c r="AE14" s="53">
        <f t="shared" ref="AE14:AG23" si="6">AD14</f>
        <v>7500000</v>
      </c>
      <c r="AF14" s="56">
        <f t="shared" si="6"/>
        <v>7500000</v>
      </c>
      <c r="AG14" s="56">
        <f t="shared" si="6"/>
        <v>7500000</v>
      </c>
      <c r="AH14" s="56">
        <f t="shared" ref="AH14:AH35" si="7">AVERAGE(U14:AG14)</f>
        <v>7500000</v>
      </c>
      <c r="AI14" s="48"/>
      <c r="AJ14" s="44" t="str">
        <f t="shared" ref="AJ14:AJ35" si="8">B14</f>
        <v xml:space="preserve">    Series 7.15%   GMB</v>
      </c>
      <c r="AK14" s="175"/>
      <c r="AL14" s="56">
        <f t="shared" ref="AL14:AL35" si="9">AH14</f>
        <v>7500000</v>
      </c>
      <c r="AM14" s="175"/>
      <c r="AN14" s="175">
        <f t="shared" ref="AN14:AN35" si="10">C14</f>
        <v>7.1499999999999994E-2</v>
      </c>
      <c r="AO14" s="175"/>
      <c r="AP14" s="175">
        <f>IF(AL14=0,0,ROUND(((AL14*AN14)+AR14)/AL14,5))</f>
        <v>7.1819999999999995E-2</v>
      </c>
      <c r="AQ14" s="175"/>
      <c r="AR14" s="53">
        <f t="shared" ref="AR14:AR20" si="11">AH104</f>
        <v>2418</v>
      </c>
      <c r="AS14" s="175"/>
      <c r="AT14" s="53">
        <f>ROUND(AP14*AL14,0)</f>
        <v>538650</v>
      </c>
      <c r="AU14" s="175"/>
      <c r="AV14" s="53">
        <v>0</v>
      </c>
      <c r="AW14" s="175"/>
      <c r="AX14" s="53">
        <f t="shared" ref="AX14:AX35" si="12">AH58</f>
        <v>1438.8999999999978</v>
      </c>
      <c r="AY14" s="175"/>
      <c r="AZ14" s="53"/>
      <c r="BA14" s="175"/>
      <c r="BB14" s="53">
        <f t="shared" ref="BB14:BB37" si="13">AL14-AV14-AX14</f>
        <v>7498561.0999999996</v>
      </c>
      <c r="BF14" s="56"/>
      <c r="BG14" s="53"/>
      <c r="BH14" s="100"/>
      <c r="BI14" s="52"/>
      <c r="BJ14" s="77"/>
      <c r="BL14" s="53"/>
      <c r="BM14" s="53"/>
      <c r="BN14" s="53"/>
      <c r="BO14" s="53"/>
      <c r="BP14" s="53"/>
      <c r="BQ14" s="53"/>
      <c r="BR14" s="53"/>
      <c r="BU14" s="177"/>
      <c r="BV14" s="44"/>
    </row>
    <row r="15" spans="1:77" x14ac:dyDescent="0.25">
      <c r="A15" s="48">
        <f t="shared" si="0"/>
        <v>6</v>
      </c>
      <c r="B15" s="44" t="s">
        <v>177</v>
      </c>
      <c r="C15" s="175">
        <v>6.9900000000000004E-2</v>
      </c>
      <c r="D15" s="61">
        <v>35947</v>
      </c>
      <c r="E15" s="61">
        <v>46905</v>
      </c>
      <c r="F15" s="53">
        <v>9000000</v>
      </c>
      <c r="G15" s="53">
        <f t="shared" si="1"/>
        <v>9000000</v>
      </c>
      <c r="H15" s="53">
        <f t="shared" si="1"/>
        <v>9000000</v>
      </c>
      <c r="I15" s="53">
        <f t="shared" si="1"/>
        <v>9000000</v>
      </c>
      <c r="J15" s="53">
        <f t="shared" si="1"/>
        <v>9000000</v>
      </c>
      <c r="K15" s="53">
        <f t="shared" si="1"/>
        <v>9000000</v>
      </c>
      <c r="L15" s="53">
        <f t="shared" si="1"/>
        <v>9000000</v>
      </c>
      <c r="M15" s="53">
        <f t="shared" si="1"/>
        <v>9000000</v>
      </c>
      <c r="N15" s="53">
        <f t="shared" si="1"/>
        <v>9000000</v>
      </c>
      <c r="O15" s="53">
        <f t="shared" si="1"/>
        <v>9000000</v>
      </c>
      <c r="P15" s="53">
        <f t="shared" si="1"/>
        <v>9000000</v>
      </c>
      <c r="Q15" s="53">
        <f t="shared" si="1"/>
        <v>9000000</v>
      </c>
      <c r="R15" s="53">
        <f t="shared" si="1"/>
        <v>9000000</v>
      </c>
      <c r="S15" s="53">
        <f t="shared" si="1"/>
        <v>9000000</v>
      </c>
      <c r="T15" s="53">
        <f t="shared" si="1"/>
        <v>9000000</v>
      </c>
      <c r="U15" s="53">
        <f t="shared" si="1"/>
        <v>9000000</v>
      </c>
      <c r="V15" s="53">
        <f t="shared" si="1"/>
        <v>9000000</v>
      </c>
      <c r="W15" s="53">
        <f t="shared" si="1"/>
        <v>9000000</v>
      </c>
      <c r="X15" s="53">
        <f t="shared" si="1"/>
        <v>9000000</v>
      </c>
      <c r="Y15" s="53">
        <f t="shared" si="1"/>
        <v>9000000</v>
      </c>
      <c r="Z15" s="53">
        <f t="shared" si="1"/>
        <v>9000000</v>
      </c>
      <c r="AA15" s="53">
        <f t="shared" si="2"/>
        <v>9000000</v>
      </c>
      <c r="AB15" s="53">
        <f t="shared" si="3"/>
        <v>9000000</v>
      </c>
      <c r="AC15" s="53">
        <f t="shared" si="4"/>
        <v>9000000</v>
      </c>
      <c r="AD15" s="53">
        <f t="shared" si="5"/>
        <v>9000000</v>
      </c>
      <c r="AE15" s="53">
        <f t="shared" si="6"/>
        <v>9000000</v>
      </c>
      <c r="AF15" s="56">
        <f t="shared" si="6"/>
        <v>9000000</v>
      </c>
      <c r="AG15" s="56">
        <f t="shared" si="6"/>
        <v>9000000</v>
      </c>
      <c r="AH15" s="56">
        <f t="shared" si="7"/>
        <v>9000000</v>
      </c>
      <c r="AI15" s="48"/>
      <c r="AJ15" s="44" t="str">
        <f t="shared" si="8"/>
        <v xml:space="preserve">    Series 6.99%   GMB</v>
      </c>
      <c r="AK15" s="175"/>
      <c r="AL15" s="56">
        <f t="shared" si="9"/>
        <v>9000000</v>
      </c>
      <c r="AM15" s="175"/>
      <c r="AN15" s="175">
        <f t="shared" si="10"/>
        <v>6.9900000000000004E-2</v>
      </c>
      <c r="AO15" s="175"/>
      <c r="AP15" s="175">
        <f t="shared" ref="AP15:AP35" si="14">IF(AL15=0,0,ROUND(((AL15*AN15)+AR15)/AL15,5))</f>
        <v>7.0260000000000003E-2</v>
      </c>
      <c r="AQ15" s="175"/>
      <c r="AR15" s="53">
        <f t="shared" si="11"/>
        <v>3250.1999999999994</v>
      </c>
      <c r="AS15" s="175"/>
      <c r="AT15" s="53">
        <f>ROUND(AP15*AL15,0)</f>
        <v>632340</v>
      </c>
      <c r="AU15" s="175"/>
      <c r="AV15" s="53">
        <v>0</v>
      </c>
      <c r="AW15" s="175"/>
      <c r="AX15" s="53">
        <f t="shared" si="12"/>
        <v>6267.3299999999927</v>
      </c>
      <c r="AY15" s="175"/>
      <c r="AZ15" s="53"/>
      <c r="BA15" s="175"/>
      <c r="BB15" s="53">
        <f t="shared" si="13"/>
        <v>8993732.6699999999</v>
      </c>
      <c r="BD15" s="44"/>
      <c r="BF15" s="56"/>
      <c r="BG15" s="53"/>
      <c r="BH15" s="100"/>
      <c r="BI15" s="52"/>
      <c r="BJ15" s="77"/>
      <c r="BK15" s="52"/>
      <c r="BL15" s="53"/>
      <c r="BM15" s="53"/>
      <c r="BN15" s="53"/>
      <c r="BO15" s="53"/>
      <c r="BP15" s="53"/>
      <c r="BQ15" s="53"/>
      <c r="BR15" s="53"/>
      <c r="BV15" s="44"/>
    </row>
    <row r="16" spans="1:77" x14ac:dyDescent="0.25">
      <c r="A16" s="48">
        <f t="shared" si="0"/>
        <v>7</v>
      </c>
      <c r="B16" s="44" t="s">
        <v>178</v>
      </c>
      <c r="C16" s="175">
        <v>6.5930000000000002E-2</v>
      </c>
      <c r="D16" s="61">
        <v>39377</v>
      </c>
      <c r="E16" s="61">
        <v>50328</v>
      </c>
      <c r="F16" s="53">
        <v>47000000</v>
      </c>
      <c r="G16" s="53">
        <f t="shared" si="1"/>
        <v>47000000</v>
      </c>
      <c r="H16" s="53">
        <f t="shared" si="1"/>
        <v>47000000</v>
      </c>
      <c r="I16" s="53">
        <f>+H16</f>
        <v>47000000</v>
      </c>
      <c r="J16" s="53">
        <f>+I16</f>
        <v>47000000</v>
      </c>
      <c r="K16" s="53">
        <f>+J16</f>
        <v>47000000</v>
      </c>
      <c r="L16" s="53">
        <f t="shared" si="1"/>
        <v>47000000</v>
      </c>
      <c r="M16" s="53">
        <f>+L16</f>
        <v>47000000</v>
      </c>
      <c r="N16" s="53">
        <f t="shared" si="1"/>
        <v>47000000</v>
      </c>
      <c r="O16" s="53">
        <f t="shared" si="1"/>
        <v>47000000</v>
      </c>
      <c r="P16" s="53">
        <f t="shared" si="1"/>
        <v>47000000</v>
      </c>
      <c r="Q16" s="53">
        <f t="shared" si="1"/>
        <v>47000000</v>
      </c>
      <c r="R16" s="53">
        <f t="shared" si="1"/>
        <v>47000000</v>
      </c>
      <c r="S16" s="53">
        <f t="shared" si="1"/>
        <v>47000000</v>
      </c>
      <c r="T16" s="53">
        <f t="shared" si="1"/>
        <v>47000000</v>
      </c>
      <c r="U16" s="53">
        <f t="shared" si="1"/>
        <v>47000000</v>
      </c>
      <c r="V16" s="53">
        <f t="shared" si="1"/>
        <v>47000000</v>
      </c>
      <c r="W16" s="53">
        <f t="shared" si="1"/>
        <v>47000000</v>
      </c>
      <c r="X16" s="53">
        <f t="shared" si="1"/>
        <v>47000000</v>
      </c>
      <c r="Y16" s="53">
        <f t="shared" si="1"/>
        <v>47000000</v>
      </c>
      <c r="Z16" s="53">
        <f t="shared" si="1"/>
        <v>47000000</v>
      </c>
      <c r="AA16" s="53">
        <f t="shared" si="2"/>
        <v>47000000</v>
      </c>
      <c r="AB16" s="53">
        <f t="shared" si="3"/>
        <v>47000000</v>
      </c>
      <c r="AC16" s="53">
        <f t="shared" si="4"/>
        <v>47000000</v>
      </c>
      <c r="AD16" s="53">
        <f t="shared" si="5"/>
        <v>47000000</v>
      </c>
      <c r="AE16" s="53">
        <f t="shared" si="6"/>
        <v>47000000</v>
      </c>
      <c r="AF16" s="56">
        <f t="shared" si="6"/>
        <v>47000000</v>
      </c>
      <c r="AG16" s="56">
        <f t="shared" si="6"/>
        <v>47000000</v>
      </c>
      <c r="AH16" s="56">
        <f>AVERAGE(U16:AG16)</f>
        <v>47000000</v>
      </c>
      <c r="AI16" s="48"/>
      <c r="AJ16" s="44" t="str">
        <f t="shared" si="8"/>
        <v xml:space="preserve">    Series 6.593%  Note</v>
      </c>
      <c r="AK16" s="175"/>
      <c r="AL16" s="56">
        <f t="shared" si="9"/>
        <v>47000000</v>
      </c>
      <c r="AM16" s="175"/>
      <c r="AN16" s="175">
        <f t="shared" si="10"/>
        <v>6.5930000000000002E-2</v>
      </c>
      <c r="AO16" s="175"/>
      <c r="AP16" s="175">
        <f t="shared" si="14"/>
        <v>6.6280000000000006E-2</v>
      </c>
      <c r="AQ16" s="175"/>
      <c r="AR16" s="53">
        <f t="shared" si="11"/>
        <v>16577.16</v>
      </c>
      <c r="AS16" s="175"/>
      <c r="AT16" s="53">
        <f t="shared" ref="AT16:AT37" si="15">ROUND(AP16*AL16,0)</f>
        <v>3115160</v>
      </c>
      <c r="AU16" s="175"/>
      <c r="AV16" s="53">
        <v>0</v>
      </c>
      <c r="AW16" s="175"/>
      <c r="AX16" s="53">
        <f t="shared" si="12"/>
        <v>188519.71000000017</v>
      </c>
      <c r="AY16" s="175"/>
      <c r="AZ16" s="53"/>
      <c r="BA16" s="175"/>
      <c r="BB16" s="53">
        <f t="shared" si="13"/>
        <v>46811480.289999999</v>
      </c>
      <c r="BF16" s="56"/>
      <c r="BG16" s="53"/>
      <c r="BH16" s="100"/>
      <c r="BI16" s="52"/>
      <c r="BJ16" s="77"/>
      <c r="BL16" s="53"/>
      <c r="BM16" s="53"/>
      <c r="BN16" s="53"/>
      <c r="BO16" s="53"/>
      <c r="BP16" s="53"/>
      <c r="BQ16" s="53"/>
      <c r="BR16" s="53"/>
      <c r="BV16" s="44"/>
    </row>
    <row r="17" spans="1:75" x14ac:dyDescent="0.25">
      <c r="A17" s="48">
        <f t="shared" si="0"/>
        <v>8</v>
      </c>
      <c r="B17" s="44" t="s">
        <v>179</v>
      </c>
      <c r="C17" s="175">
        <v>2.4500000000000001E-2</v>
      </c>
      <c r="D17" s="61">
        <v>43783</v>
      </c>
      <c r="E17" s="61">
        <v>47392</v>
      </c>
      <c r="F17" s="53">
        <v>45390000</v>
      </c>
      <c r="G17" s="53">
        <f t="shared" si="1"/>
        <v>45390000</v>
      </c>
      <c r="H17" s="53">
        <f t="shared" si="1"/>
        <v>45390000</v>
      </c>
      <c r="I17" s="53">
        <f t="shared" ref="I17:I18" si="16">H17</f>
        <v>45390000</v>
      </c>
      <c r="J17" s="53">
        <f t="shared" ref="J17:J18" si="17">I17</f>
        <v>45390000</v>
      </c>
      <c r="K17" s="53">
        <f t="shared" ref="K17:K18" si="18">J17</f>
        <v>45390000</v>
      </c>
      <c r="L17" s="53">
        <f t="shared" ref="L17:L18" si="19">K17</f>
        <v>45390000</v>
      </c>
      <c r="M17" s="53">
        <f t="shared" ref="M17:M18" si="20">L17</f>
        <v>45390000</v>
      </c>
      <c r="N17" s="53">
        <f t="shared" ref="N17:N18" si="21">M17</f>
        <v>45390000</v>
      </c>
      <c r="O17" s="53">
        <f t="shared" ref="O17:O18" si="22">N17</f>
        <v>45390000</v>
      </c>
      <c r="P17" s="53">
        <f t="shared" ref="P17:P18" si="23">O17</f>
        <v>45390000</v>
      </c>
      <c r="Q17" s="53">
        <f t="shared" ref="Q17:Q18" si="24">P17</f>
        <v>45390000</v>
      </c>
      <c r="R17" s="53">
        <f t="shared" ref="R17:R18" si="25">Q17</f>
        <v>45390000</v>
      </c>
      <c r="S17" s="53">
        <f t="shared" ref="S17:S18" si="26">R17</f>
        <v>45390000</v>
      </c>
      <c r="T17" s="53">
        <f t="shared" ref="T17:T18" si="27">S17</f>
        <v>45390000</v>
      </c>
      <c r="U17" s="53">
        <f t="shared" ref="U17:U18" si="28">T17</f>
        <v>45390000</v>
      </c>
      <c r="V17" s="53">
        <f t="shared" ref="V17:V18" si="29">U17</f>
        <v>45390000</v>
      </c>
      <c r="W17" s="53">
        <f t="shared" ref="W17:W18" si="30">V17</f>
        <v>45390000</v>
      </c>
      <c r="X17" s="53">
        <f t="shared" ref="X17:X18" si="31">W17</f>
        <v>45390000</v>
      </c>
      <c r="Y17" s="53">
        <f t="shared" ref="Y17:Y18" si="32">X17</f>
        <v>45390000</v>
      </c>
      <c r="Z17" s="53">
        <f t="shared" ref="Z17:Z18" si="33">Y17</f>
        <v>45390000</v>
      </c>
      <c r="AA17" s="53">
        <f t="shared" si="2"/>
        <v>45390000</v>
      </c>
      <c r="AB17" s="53">
        <f t="shared" si="3"/>
        <v>45390000</v>
      </c>
      <c r="AC17" s="53">
        <f t="shared" si="4"/>
        <v>45390000</v>
      </c>
      <c r="AD17" s="53">
        <f t="shared" si="5"/>
        <v>45390000</v>
      </c>
      <c r="AE17" s="53">
        <f t="shared" si="6"/>
        <v>45390000</v>
      </c>
      <c r="AF17" s="53">
        <f t="shared" si="6"/>
        <v>45390000</v>
      </c>
      <c r="AG17" s="53">
        <f t="shared" si="6"/>
        <v>45390000</v>
      </c>
      <c r="AH17" s="56">
        <f t="shared" si="7"/>
        <v>45390000</v>
      </c>
      <c r="AI17" s="48"/>
      <c r="AJ17" s="44" t="str">
        <f t="shared" si="8"/>
        <v xml:space="preserve">    Series 2.45% Note</v>
      </c>
      <c r="AK17" s="175"/>
      <c r="AL17" s="56">
        <f t="shared" si="9"/>
        <v>45390000</v>
      </c>
      <c r="AM17" s="175"/>
      <c r="AN17" s="175">
        <f t="shared" si="10"/>
        <v>2.4500000000000001E-2</v>
      </c>
      <c r="AO17" s="175"/>
      <c r="AP17" s="175">
        <f t="shared" si="14"/>
        <v>2.58E-2</v>
      </c>
      <c r="AQ17" s="175"/>
      <c r="AR17" s="53">
        <f t="shared" si="11"/>
        <v>58845.24000000002</v>
      </c>
      <c r="AS17" s="175"/>
      <c r="AT17" s="53">
        <f t="shared" si="15"/>
        <v>1171062</v>
      </c>
      <c r="AU17" s="175"/>
      <c r="AV17" s="53">
        <v>0</v>
      </c>
      <c r="AW17" s="175"/>
      <c r="AX17" s="53">
        <f t="shared" si="12"/>
        <v>191589.81</v>
      </c>
      <c r="AY17" s="175"/>
      <c r="AZ17" s="53"/>
      <c r="BA17" s="175"/>
      <c r="BB17" s="53">
        <f t="shared" si="13"/>
        <v>45198410.189999998</v>
      </c>
      <c r="BF17" s="56"/>
      <c r="BG17" s="53"/>
      <c r="BH17" s="100"/>
      <c r="BI17" s="52"/>
      <c r="BJ17" s="77"/>
      <c r="BL17" s="53"/>
      <c r="BM17" s="53"/>
      <c r="BN17" s="53"/>
      <c r="BO17" s="53"/>
      <c r="BP17" s="53"/>
      <c r="BQ17" s="53"/>
      <c r="BR17" s="53"/>
      <c r="BV17" s="44"/>
    </row>
    <row r="18" spans="1:75" x14ac:dyDescent="0.25">
      <c r="A18" s="48">
        <f t="shared" si="0"/>
        <v>9</v>
      </c>
      <c r="B18" s="44" t="s">
        <v>179</v>
      </c>
      <c r="C18" s="175">
        <v>2.4500000000000001E-2</v>
      </c>
      <c r="D18" s="61">
        <v>43783</v>
      </c>
      <c r="E18" s="61">
        <v>47392</v>
      </c>
      <c r="F18" s="53">
        <v>26000000</v>
      </c>
      <c r="G18" s="53">
        <f t="shared" si="1"/>
        <v>26000000</v>
      </c>
      <c r="H18" s="53">
        <f t="shared" si="1"/>
        <v>26000000</v>
      </c>
      <c r="I18" s="53">
        <f t="shared" si="16"/>
        <v>26000000</v>
      </c>
      <c r="J18" s="53">
        <f t="shared" si="17"/>
        <v>26000000</v>
      </c>
      <c r="K18" s="53">
        <f t="shared" si="18"/>
        <v>26000000</v>
      </c>
      <c r="L18" s="53">
        <f t="shared" si="19"/>
        <v>26000000</v>
      </c>
      <c r="M18" s="53">
        <f t="shared" si="20"/>
        <v>26000000</v>
      </c>
      <c r="N18" s="53">
        <f t="shared" si="21"/>
        <v>26000000</v>
      </c>
      <c r="O18" s="53">
        <f t="shared" si="22"/>
        <v>26000000</v>
      </c>
      <c r="P18" s="53">
        <f t="shared" si="23"/>
        <v>26000000</v>
      </c>
      <c r="Q18" s="53">
        <f t="shared" si="24"/>
        <v>26000000</v>
      </c>
      <c r="R18" s="53">
        <f t="shared" si="25"/>
        <v>26000000</v>
      </c>
      <c r="S18" s="53">
        <f t="shared" si="26"/>
        <v>26000000</v>
      </c>
      <c r="T18" s="53">
        <f t="shared" si="27"/>
        <v>26000000</v>
      </c>
      <c r="U18" s="53">
        <f t="shared" si="28"/>
        <v>26000000</v>
      </c>
      <c r="V18" s="53">
        <f t="shared" si="29"/>
        <v>26000000</v>
      </c>
      <c r="W18" s="53">
        <f t="shared" si="30"/>
        <v>26000000</v>
      </c>
      <c r="X18" s="53">
        <f t="shared" si="31"/>
        <v>26000000</v>
      </c>
      <c r="Y18" s="53">
        <f t="shared" si="32"/>
        <v>26000000</v>
      </c>
      <c r="Z18" s="53">
        <f t="shared" si="33"/>
        <v>26000000</v>
      </c>
      <c r="AA18" s="53">
        <f t="shared" si="2"/>
        <v>26000000</v>
      </c>
      <c r="AB18" s="53">
        <f t="shared" si="3"/>
        <v>26000000</v>
      </c>
      <c r="AC18" s="53">
        <f t="shared" si="4"/>
        <v>26000000</v>
      </c>
      <c r="AD18" s="53">
        <f t="shared" si="5"/>
        <v>26000000</v>
      </c>
      <c r="AE18" s="53">
        <f t="shared" si="6"/>
        <v>26000000</v>
      </c>
      <c r="AF18" s="53">
        <f t="shared" si="6"/>
        <v>26000000</v>
      </c>
      <c r="AG18" s="53">
        <f t="shared" si="6"/>
        <v>26000000</v>
      </c>
      <c r="AH18" s="56">
        <f t="shared" si="7"/>
        <v>26000000</v>
      </c>
      <c r="AI18" s="48"/>
      <c r="AJ18" s="44" t="str">
        <f t="shared" si="8"/>
        <v xml:space="preserve">    Series 2.45% Note</v>
      </c>
      <c r="AK18" s="175"/>
      <c r="AL18" s="56">
        <f t="shared" si="9"/>
        <v>26000000</v>
      </c>
      <c r="AM18" s="175"/>
      <c r="AN18" s="175">
        <f t="shared" si="10"/>
        <v>2.4500000000000001E-2</v>
      </c>
      <c r="AO18" s="175"/>
      <c r="AP18" s="175">
        <f t="shared" si="14"/>
        <v>2.5899999999999999E-2</v>
      </c>
      <c r="AQ18" s="175"/>
      <c r="AR18" s="53">
        <f t="shared" si="11"/>
        <v>36375.24</v>
      </c>
      <c r="AS18" s="175"/>
      <c r="AT18" s="53">
        <f t="shared" si="15"/>
        <v>673400</v>
      </c>
      <c r="AU18" s="175"/>
      <c r="AV18" s="53">
        <v>0</v>
      </c>
      <c r="AW18" s="175"/>
      <c r="AX18" s="53">
        <f t="shared" si="12"/>
        <v>118431.45000000032</v>
      </c>
      <c r="AY18" s="175"/>
      <c r="AZ18" s="53"/>
      <c r="BA18" s="175"/>
      <c r="BB18" s="53">
        <f t="shared" si="13"/>
        <v>25881568.550000001</v>
      </c>
      <c r="BF18" s="56"/>
      <c r="BG18" s="53"/>
      <c r="BH18" s="100"/>
      <c r="BI18" s="52"/>
      <c r="BJ18" s="77"/>
      <c r="BL18" s="53"/>
      <c r="BM18" s="53"/>
      <c r="BN18" s="53"/>
      <c r="BO18" s="53"/>
      <c r="BP18" s="53"/>
      <c r="BQ18" s="53"/>
      <c r="BR18" s="53"/>
      <c r="BV18" s="44"/>
    </row>
    <row r="19" spans="1:75" x14ac:dyDescent="0.25">
      <c r="A19" s="48">
        <f t="shared" si="0"/>
        <v>10</v>
      </c>
      <c r="B19" s="44" t="s">
        <v>180</v>
      </c>
      <c r="C19" s="175">
        <v>5.0500000000000003E-2</v>
      </c>
      <c r="D19" s="61">
        <v>40868</v>
      </c>
      <c r="E19" s="61">
        <v>50328</v>
      </c>
      <c r="F19" s="53">
        <v>20000000</v>
      </c>
      <c r="G19" s="53">
        <f t="shared" ref="G19:W19" si="34">F19</f>
        <v>20000000</v>
      </c>
      <c r="H19" s="53">
        <f t="shared" si="34"/>
        <v>20000000</v>
      </c>
      <c r="I19" s="53">
        <f t="shared" si="34"/>
        <v>20000000</v>
      </c>
      <c r="J19" s="53">
        <f t="shared" si="34"/>
        <v>20000000</v>
      </c>
      <c r="K19" s="53">
        <f t="shared" si="34"/>
        <v>20000000</v>
      </c>
      <c r="L19" s="53">
        <f t="shared" si="34"/>
        <v>20000000</v>
      </c>
      <c r="M19" s="53">
        <f t="shared" si="34"/>
        <v>20000000</v>
      </c>
      <c r="N19" s="53">
        <f t="shared" si="34"/>
        <v>20000000</v>
      </c>
      <c r="O19" s="53">
        <f t="shared" si="34"/>
        <v>20000000</v>
      </c>
      <c r="P19" s="53">
        <f t="shared" si="34"/>
        <v>20000000</v>
      </c>
      <c r="Q19" s="53">
        <f t="shared" si="34"/>
        <v>20000000</v>
      </c>
      <c r="R19" s="53">
        <f t="shared" si="34"/>
        <v>20000000</v>
      </c>
      <c r="S19" s="53">
        <f t="shared" si="34"/>
        <v>20000000</v>
      </c>
      <c r="T19" s="53">
        <f t="shared" si="34"/>
        <v>20000000</v>
      </c>
      <c r="U19" s="53">
        <f t="shared" si="34"/>
        <v>20000000</v>
      </c>
      <c r="V19" s="53">
        <f t="shared" si="34"/>
        <v>20000000</v>
      </c>
      <c r="W19" s="53">
        <f t="shared" si="34"/>
        <v>20000000</v>
      </c>
      <c r="X19" s="53">
        <f t="shared" ref="X19:AG25" si="35">+W19</f>
        <v>20000000</v>
      </c>
      <c r="Y19" s="53">
        <f t="shared" si="35"/>
        <v>20000000</v>
      </c>
      <c r="Z19" s="53">
        <f t="shared" si="35"/>
        <v>20000000</v>
      </c>
      <c r="AA19" s="53">
        <f t="shared" si="35"/>
        <v>20000000</v>
      </c>
      <c r="AB19" s="53">
        <f t="shared" si="35"/>
        <v>20000000</v>
      </c>
      <c r="AC19" s="53">
        <f t="shared" si="35"/>
        <v>20000000</v>
      </c>
      <c r="AD19" s="53">
        <f t="shared" si="35"/>
        <v>20000000</v>
      </c>
      <c r="AE19" s="53">
        <f t="shared" si="35"/>
        <v>20000000</v>
      </c>
      <c r="AF19" s="53">
        <f t="shared" si="35"/>
        <v>20000000</v>
      </c>
      <c r="AG19" s="53">
        <f t="shared" si="35"/>
        <v>20000000</v>
      </c>
      <c r="AH19" s="56">
        <f t="shared" si="7"/>
        <v>20000000</v>
      </c>
      <c r="AI19" s="48"/>
      <c r="AJ19" s="44" t="str">
        <f t="shared" si="8"/>
        <v xml:space="preserve">    Series 5.05%    Note</v>
      </c>
      <c r="AK19" s="175"/>
      <c r="AL19" s="56">
        <f t="shared" si="9"/>
        <v>20000000</v>
      </c>
      <c r="AM19" s="175"/>
      <c r="AN19" s="175">
        <f t="shared" si="10"/>
        <v>5.0500000000000003E-2</v>
      </c>
      <c r="AO19" s="175"/>
      <c r="AP19" s="175">
        <f t="shared" si="14"/>
        <v>5.0500000000000003E-2</v>
      </c>
      <c r="AQ19" s="175"/>
      <c r="AR19" s="53">
        <f t="shared" si="11"/>
        <v>0</v>
      </c>
      <c r="AS19" s="175"/>
      <c r="AT19" s="53">
        <f t="shared" si="15"/>
        <v>1010000</v>
      </c>
      <c r="AU19" s="175"/>
      <c r="AV19" s="53">
        <v>0</v>
      </c>
      <c r="AW19" s="175"/>
      <c r="AX19" s="53">
        <f t="shared" si="12"/>
        <v>0</v>
      </c>
      <c r="AY19" s="175"/>
      <c r="AZ19" s="53"/>
      <c r="BA19" s="175"/>
      <c r="BB19" s="53">
        <f>AL19-AV19-AX19</f>
        <v>20000000</v>
      </c>
      <c r="BF19" s="56"/>
      <c r="BG19" s="53"/>
      <c r="BH19" s="100"/>
      <c r="BI19" s="52"/>
      <c r="BJ19" s="77"/>
      <c r="BL19" s="53"/>
      <c r="BM19" s="53"/>
      <c r="BN19" s="53"/>
      <c r="BO19" s="53"/>
      <c r="BP19" s="53"/>
      <c r="BQ19" s="53"/>
      <c r="BR19" s="53"/>
      <c r="BV19" s="44"/>
    </row>
    <row r="20" spans="1:75" x14ac:dyDescent="0.25">
      <c r="A20" s="48">
        <f t="shared" si="0"/>
        <v>11</v>
      </c>
      <c r="B20" s="44" t="s">
        <v>181</v>
      </c>
      <c r="C20" s="175">
        <v>0.04</v>
      </c>
      <c r="D20" s="61">
        <v>41409</v>
      </c>
      <c r="E20" s="61">
        <v>50328</v>
      </c>
      <c r="F20" s="53">
        <v>7859000</v>
      </c>
      <c r="G20" s="53">
        <f t="shared" ref="G20:W20" si="36">F20</f>
        <v>7859000</v>
      </c>
      <c r="H20" s="53">
        <f t="shared" si="36"/>
        <v>7859000</v>
      </c>
      <c r="I20" s="53">
        <f t="shared" si="36"/>
        <v>7859000</v>
      </c>
      <c r="J20" s="53">
        <f t="shared" si="36"/>
        <v>7859000</v>
      </c>
      <c r="K20" s="53">
        <f t="shared" si="36"/>
        <v>7859000</v>
      </c>
      <c r="L20" s="53">
        <f t="shared" si="36"/>
        <v>7859000</v>
      </c>
      <c r="M20" s="53">
        <f t="shared" si="36"/>
        <v>7859000</v>
      </c>
      <c r="N20" s="53">
        <f t="shared" si="36"/>
        <v>7859000</v>
      </c>
      <c r="O20" s="53">
        <f t="shared" si="36"/>
        <v>7859000</v>
      </c>
      <c r="P20" s="53">
        <f t="shared" si="36"/>
        <v>7859000</v>
      </c>
      <c r="Q20" s="53">
        <f t="shared" si="36"/>
        <v>7859000</v>
      </c>
      <c r="R20" s="53">
        <f t="shared" si="36"/>
        <v>7859000</v>
      </c>
      <c r="S20" s="53">
        <f t="shared" si="36"/>
        <v>7859000</v>
      </c>
      <c r="T20" s="53">
        <f t="shared" si="36"/>
        <v>7859000</v>
      </c>
      <c r="U20" s="53">
        <f t="shared" si="36"/>
        <v>7859000</v>
      </c>
      <c r="V20" s="53">
        <f t="shared" si="36"/>
        <v>7859000</v>
      </c>
      <c r="W20" s="53">
        <f t="shared" si="36"/>
        <v>7859000</v>
      </c>
      <c r="X20" s="53">
        <f t="shared" ref="X20:AE22" si="37">W20</f>
        <v>7859000</v>
      </c>
      <c r="Y20" s="53">
        <f t="shared" si="37"/>
        <v>7859000</v>
      </c>
      <c r="Z20" s="53">
        <f t="shared" si="37"/>
        <v>7859000</v>
      </c>
      <c r="AA20" s="53">
        <f t="shared" si="37"/>
        <v>7859000</v>
      </c>
      <c r="AB20" s="53">
        <f t="shared" si="37"/>
        <v>7859000</v>
      </c>
      <c r="AC20" s="53">
        <f t="shared" si="37"/>
        <v>7859000</v>
      </c>
      <c r="AD20" s="53">
        <f t="shared" si="37"/>
        <v>7859000</v>
      </c>
      <c r="AE20" s="53">
        <f t="shared" si="37"/>
        <v>7859000</v>
      </c>
      <c r="AF20" s="53">
        <f t="shared" si="35"/>
        <v>7859000</v>
      </c>
      <c r="AG20" s="53">
        <f t="shared" si="35"/>
        <v>7859000</v>
      </c>
      <c r="AH20" s="56">
        <f t="shared" si="7"/>
        <v>7859000</v>
      </c>
      <c r="AI20" s="48"/>
      <c r="AJ20" s="44" t="str">
        <f t="shared" si="8"/>
        <v xml:space="preserve">    Series 4.00%    Note</v>
      </c>
      <c r="AK20" s="175"/>
      <c r="AL20" s="56">
        <f t="shared" si="9"/>
        <v>7859000</v>
      </c>
      <c r="AM20" s="175"/>
      <c r="AN20" s="175">
        <f t="shared" si="10"/>
        <v>0.04</v>
      </c>
      <c r="AO20" s="175"/>
      <c r="AP20" s="175">
        <f>IF(AL20=0,0,ROUND(((AL20*AN20)+AR20)/AL20,5))</f>
        <v>0.04</v>
      </c>
      <c r="AQ20" s="175"/>
      <c r="AR20" s="53">
        <f t="shared" si="11"/>
        <v>0</v>
      </c>
      <c r="AS20" s="175"/>
      <c r="AT20" s="53">
        <f t="shared" si="15"/>
        <v>314360</v>
      </c>
      <c r="AU20" s="175"/>
      <c r="AV20" s="53">
        <v>0</v>
      </c>
      <c r="AW20" s="175"/>
      <c r="AX20" s="53">
        <f t="shared" si="12"/>
        <v>0</v>
      </c>
      <c r="AY20" s="175"/>
      <c r="AZ20" s="53"/>
      <c r="BA20" s="175"/>
      <c r="BB20" s="53">
        <f>AL20-AV20-AX20</f>
        <v>7859000</v>
      </c>
      <c r="BD20" s="44"/>
      <c r="BF20" s="56"/>
      <c r="BG20" s="53"/>
      <c r="BH20" s="100"/>
      <c r="BI20" s="52"/>
      <c r="BJ20" s="77"/>
      <c r="BK20" s="52"/>
      <c r="BL20" s="53"/>
      <c r="BM20" s="53"/>
      <c r="BN20" s="53"/>
      <c r="BO20" s="53"/>
      <c r="BP20" s="53"/>
      <c r="BQ20" s="53"/>
      <c r="BR20" s="53"/>
      <c r="BV20" s="44"/>
    </row>
    <row r="21" spans="1:75" x14ac:dyDescent="0.25">
      <c r="A21" s="48">
        <f t="shared" si="0"/>
        <v>12</v>
      </c>
      <c r="B21" s="44" t="s">
        <v>181</v>
      </c>
      <c r="C21" s="175">
        <v>0.04</v>
      </c>
      <c r="D21" s="61">
        <v>42691</v>
      </c>
      <c r="E21" s="61">
        <v>53662</v>
      </c>
      <c r="F21" s="53">
        <v>5000000</v>
      </c>
      <c r="G21" s="53">
        <f t="shared" ref="G21:P21" si="38">F21</f>
        <v>5000000</v>
      </c>
      <c r="H21" s="53">
        <f t="shared" si="38"/>
        <v>5000000</v>
      </c>
      <c r="I21" s="53">
        <f t="shared" si="38"/>
        <v>5000000</v>
      </c>
      <c r="J21" s="53">
        <f t="shared" si="38"/>
        <v>5000000</v>
      </c>
      <c r="K21" s="53">
        <f t="shared" si="38"/>
        <v>5000000</v>
      </c>
      <c r="L21" s="53">
        <f t="shared" si="38"/>
        <v>5000000</v>
      </c>
      <c r="M21" s="53">
        <f t="shared" si="38"/>
        <v>5000000</v>
      </c>
      <c r="N21" s="53">
        <f t="shared" si="38"/>
        <v>5000000</v>
      </c>
      <c r="O21" s="53">
        <f t="shared" si="38"/>
        <v>5000000</v>
      </c>
      <c r="P21" s="53">
        <f t="shared" si="38"/>
        <v>5000000</v>
      </c>
      <c r="Q21" s="53">
        <f>5000000</f>
        <v>5000000</v>
      </c>
      <c r="R21" s="53">
        <f t="shared" ref="R21:W21" si="39">Q21</f>
        <v>5000000</v>
      </c>
      <c r="S21" s="53">
        <f t="shared" si="39"/>
        <v>5000000</v>
      </c>
      <c r="T21" s="53">
        <f t="shared" si="39"/>
        <v>5000000</v>
      </c>
      <c r="U21" s="53">
        <f t="shared" si="39"/>
        <v>5000000</v>
      </c>
      <c r="V21" s="53">
        <f t="shared" si="39"/>
        <v>5000000</v>
      </c>
      <c r="W21" s="53">
        <f t="shared" si="39"/>
        <v>5000000</v>
      </c>
      <c r="X21" s="53">
        <f t="shared" si="37"/>
        <v>5000000</v>
      </c>
      <c r="Y21" s="53">
        <f t="shared" si="37"/>
        <v>5000000</v>
      </c>
      <c r="Z21" s="53">
        <f t="shared" si="37"/>
        <v>5000000</v>
      </c>
      <c r="AA21" s="53">
        <f t="shared" si="37"/>
        <v>5000000</v>
      </c>
      <c r="AB21" s="53">
        <f t="shared" si="37"/>
        <v>5000000</v>
      </c>
      <c r="AC21" s="53">
        <f t="shared" si="37"/>
        <v>5000000</v>
      </c>
      <c r="AD21" s="53">
        <f t="shared" si="37"/>
        <v>5000000</v>
      </c>
      <c r="AE21" s="53">
        <f t="shared" si="37"/>
        <v>5000000</v>
      </c>
      <c r="AF21" s="53">
        <f t="shared" si="35"/>
        <v>5000000</v>
      </c>
      <c r="AG21" s="53">
        <f t="shared" si="35"/>
        <v>5000000</v>
      </c>
      <c r="AH21" s="56">
        <f t="shared" si="7"/>
        <v>5000000</v>
      </c>
      <c r="AI21" s="48"/>
      <c r="AJ21" s="44" t="str">
        <f t="shared" si="8"/>
        <v xml:space="preserve">    Series 4.00%    Note</v>
      </c>
      <c r="AK21" s="175"/>
      <c r="AL21" s="56">
        <f t="shared" si="9"/>
        <v>5000000</v>
      </c>
      <c r="AM21" s="175"/>
      <c r="AN21" s="175">
        <f t="shared" si="10"/>
        <v>0.04</v>
      </c>
      <c r="AO21" s="175"/>
      <c r="AP21" s="175">
        <f t="shared" si="14"/>
        <v>4.0629999999999999E-2</v>
      </c>
      <c r="AQ21" s="175"/>
      <c r="AR21" s="53">
        <f>AH111+AH176</f>
        <v>3132.1200000000008</v>
      </c>
      <c r="AS21" s="175"/>
      <c r="AT21" s="53">
        <f>ROUND(AP21*AL21,0)</f>
        <v>203150</v>
      </c>
      <c r="AU21" s="175"/>
      <c r="AV21" s="53">
        <f>AH148</f>
        <v>28275.139999999938</v>
      </c>
      <c r="AW21" s="175"/>
      <c r="AX21" s="53">
        <f t="shared" si="12"/>
        <v>35691.969999999987</v>
      </c>
      <c r="AY21" s="175"/>
      <c r="AZ21" s="53"/>
      <c r="BA21" s="175"/>
      <c r="BB21" s="53">
        <f>AL21-AV21-AX21</f>
        <v>4936032.8900000006</v>
      </c>
      <c r="BF21" s="56"/>
      <c r="BH21" s="100"/>
      <c r="BI21" s="52"/>
      <c r="BJ21" s="77"/>
      <c r="BV21" s="44"/>
    </row>
    <row r="22" spans="1:75" x14ac:dyDescent="0.25">
      <c r="A22" s="48">
        <f t="shared" si="0"/>
        <v>13</v>
      </c>
      <c r="B22" s="44" t="s">
        <v>182</v>
      </c>
      <c r="C22" s="175">
        <v>3.7499999999999999E-2</v>
      </c>
      <c r="D22" s="61">
        <v>42991</v>
      </c>
      <c r="E22" s="61">
        <v>53936</v>
      </c>
      <c r="F22" s="53">
        <v>5000000</v>
      </c>
      <c r="G22" s="53">
        <f t="shared" ref="G22:P22" si="40">F22</f>
        <v>5000000</v>
      </c>
      <c r="H22" s="53">
        <f t="shared" si="40"/>
        <v>5000000</v>
      </c>
      <c r="I22" s="53">
        <f t="shared" si="40"/>
        <v>5000000</v>
      </c>
      <c r="J22" s="53">
        <f t="shared" si="40"/>
        <v>5000000</v>
      </c>
      <c r="K22" s="53">
        <f t="shared" si="40"/>
        <v>5000000</v>
      </c>
      <c r="L22" s="53">
        <f t="shared" si="40"/>
        <v>5000000</v>
      </c>
      <c r="M22" s="53">
        <f t="shared" si="40"/>
        <v>5000000</v>
      </c>
      <c r="N22" s="53">
        <f t="shared" si="40"/>
        <v>5000000</v>
      </c>
      <c r="O22" s="53">
        <f t="shared" si="40"/>
        <v>5000000</v>
      </c>
      <c r="P22" s="53">
        <f t="shared" si="40"/>
        <v>5000000</v>
      </c>
      <c r="Q22" s="53">
        <f>P22</f>
        <v>5000000</v>
      </c>
      <c r="R22" s="53">
        <f t="shared" ref="R22" si="41">Q22</f>
        <v>5000000</v>
      </c>
      <c r="S22" s="53">
        <f>R22</f>
        <v>5000000</v>
      </c>
      <c r="T22" s="53">
        <f>S22</f>
        <v>5000000</v>
      </c>
      <c r="U22" s="53">
        <f>T22</f>
        <v>5000000</v>
      </c>
      <c r="V22" s="53">
        <f>U22</f>
        <v>5000000</v>
      </c>
      <c r="W22" s="53">
        <f>V22</f>
        <v>5000000</v>
      </c>
      <c r="X22" s="53">
        <f t="shared" si="37"/>
        <v>5000000</v>
      </c>
      <c r="Y22" s="53">
        <f t="shared" si="37"/>
        <v>5000000</v>
      </c>
      <c r="Z22" s="53">
        <f t="shared" si="37"/>
        <v>5000000</v>
      </c>
      <c r="AA22" s="53">
        <f t="shared" si="37"/>
        <v>5000000</v>
      </c>
      <c r="AB22" s="53">
        <f t="shared" si="37"/>
        <v>5000000</v>
      </c>
      <c r="AC22" s="53">
        <f t="shared" si="37"/>
        <v>5000000</v>
      </c>
      <c r="AD22" s="53">
        <f t="shared" si="37"/>
        <v>5000000</v>
      </c>
      <c r="AE22" s="53">
        <f t="shared" si="37"/>
        <v>5000000</v>
      </c>
      <c r="AF22" s="53">
        <f t="shared" si="35"/>
        <v>5000000</v>
      </c>
      <c r="AG22" s="53">
        <f t="shared" si="35"/>
        <v>5000000</v>
      </c>
      <c r="AH22" s="56">
        <f t="shared" si="7"/>
        <v>5000000</v>
      </c>
      <c r="AI22" s="48"/>
      <c r="AJ22" s="44" t="str">
        <f t="shared" si="8"/>
        <v xml:space="preserve">    Series 3.75%    Note</v>
      </c>
      <c r="AK22" s="175"/>
      <c r="AL22" s="56">
        <f t="shared" si="9"/>
        <v>5000000</v>
      </c>
      <c r="AM22" s="175"/>
      <c r="AN22" s="175">
        <f t="shared" si="10"/>
        <v>3.7499999999999999E-2</v>
      </c>
      <c r="AO22" s="175"/>
      <c r="AP22" s="175">
        <f t="shared" si="14"/>
        <v>3.7949999999999998E-2</v>
      </c>
      <c r="AQ22" s="175"/>
      <c r="AR22" s="53">
        <f>AH112+AH177</f>
        <v>2242.8000000000002</v>
      </c>
      <c r="AS22" s="175"/>
      <c r="AT22" s="53">
        <f t="shared" si="15"/>
        <v>189750</v>
      </c>
      <c r="AU22" s="175"/>
      <c r="AV22" s="53">
        <f>AH149</f>
        <v>10824.859999999975</v>
      </c>
      <c r="AW22" s="175"/>
      <c r="AX22" s="53">
        <f t="shared" si="12"/>
        <v>36647.600000000006</v>
      </c>
      <c r="AY22" s="175"/>
      <c r="AZ22" s="53"/>
      <c r="BA22" s="175"/>
      <c r="BB22" s="53">
        <f>AL22-AV22-AX22</f>
        <v>4952527.54</v>
      </c>
      <c r="BF22" s="56"/>
      <c r="BH22" s="100"/>
      <c r="BI22" s="52"/>
      <c r="BJ22" s="77"/>
      <c r="BV22" s="44"/>
    </row>
    <row r="23" spans="1:75" x14ac:dyDescent="0.25">
      <c r="A23" s="48">
        <f t="shared" si="0"/>
        <v>14</v>
      </c>
      <c r="B23" s="44" t="s">
        <v>183</v>
      </c>
      <c r="C23" s="175">
        <v>4.1500000000000002E-2</v>
      </c>
      <c r="D23" s="61">
        <v>43607</v>
      </c>
      <c r="E23" s="61">
        <v>54575</v>
      </c>
      <c r="F23" s="53">
        <v>16000000</v>
      </c>
      <c r="G23" s="53">
        <f t="shared" ref="G23:M30" si="42">F23</f>
        <v>16000000</v>
      </c>
      <c r="H23" s="53">
        <f t="shared" si="42"/>
        <v>16000000</v>
      </c>
      <c r="I23" s="53">
        <f t="shared" si="42"/>
        <v>16000000</v>
      </c>
      <c r="J23" s="53">
        <f t="shared" si="42"/>
        <v>16000000</v>
      </c>
      <c r="K23" s="53">
        <f t="shared" si="42"/>
        <v>16000000</v>
      </c>
      <c r="L23" s="53">
        <f>+K23</f>
        <v>16000000</v>
      </c>
      <c r="M23" s="53">
        <f>+L23</f>
        <v>16000000</v>
      </c>
      <c r="N23" s="53">
        <f>+M23</f>
        <v>16000000</v>
      </c>
      <c r="O23" s="53">
        <f t="shared" si="1"/>
        <v>16000000</v>
      </c>
      <c r="P23" s="53">
        <f t="shared" si="1"/>
        <v>16000000</v>
      </c>
      <c r="Q23" s="53">
        <f t="shared" si="1"/>
        <v>16000000</v>
      </c>
      <c r="R23" s="53">
        <f t="shared" si="1"/>
        <v>16000000</v>
      </c>
      <c r="S23" s="53">
        <f t="shared" si="1"/>
        <v>16000000</v>
      </c>
      <c r="T23" s="53">
        <f t="shared" si="1"/>
        <v>16000000</v>
      </c>
      <c r="U23" s="53">
        <f t="shared" si="1"/>
        <v>16000000</v>
      </c>
      <c r="V23" s="53">
        <f t="shared" si="1"/>
        <v>16000000</v>
      </c>
      <c r="W23" s="53">
        <f t="shared" si="1"/>
        <v>16000000</v>
      </c>
      <c r="X23" s="53">
        <f t="shared" si="1"/>
        <v>16000000</v>
      </c>
      <c r="Y23" s="53">
        <f t="shared" si="1"/>
        <v>16000000</v>
      </c>
      <c r="Z23" s="53">
        <f t="shared" si="1"/>
        <v>16000000</v>
      </c>
      <c r="AA23" s="53">
        <f t="shared" si="2"/>
        <v>16000000</v>
      </c>
      <c r="AB23" s="53">
        <f t="shared" si="3"/>
        <v>16000000</v>
      </c>
      <c r="AC23" s="53">
        <f t="shared" si="4"/>
        <v>16000000</v>
      </c>
      <c r="AD23" s="53">
        <f t="shared" si="5"/>
        <v>16000000</v>
      </c>
      <c r="AE23" s="53">
        <f t="shared" si="6"/>
        <v>16000000</v>
      </c>
      <c r="AF23" s="53">
        <f t="shared" si="35"/>
        <v>16000000</v>
      </c>
      <c r="AG23" s="53">
        <f t="shared" si="35"/>
        <v>16000000</v>
      </c>
      <c r="AH23" s="56">
        <f t="shared" si="7"/>
        <v>16000000</v>
      </c>
      <c r="AI23" s="48"/>
      <c r="AJ23" s="44" t="str">
        <f t="shared" si="8"/>
        <v xml:space="preserve">    Series 4.15%    Note</v>
      </c>
      <c r="AK23" s="175"/>
      <c r="AL23" s="56">
        <f t="shared" si="9"/>
        <v>16000000</v>
      </c>
      <c r="AM23" s="175"/>
      <c r="AN23" s="175">
        <f t="shared" si="10"/>
        <v>4.1500000000000002E-2</v>
      </c>
      <c r="AO23" s="175"/>
      <c r="AP23" s="175">
        <f t="shared" si="14"/>
        <v>4.2020000000000002E-2</v>
      </c>
      <c r="AQ23" s="175"/>
      <c r="AR23" s="53">
        <f>AH113+AH178</f>
        <v>8375.0400000000027</v>
      </c>
      <c r="AS23" s="175"/>
      <c r="AT23" s="53">
        <f t="shared" si="15"/>
        <v>672320</v>
      </c>
      <c r="AU23" s="175"/>
      <c r="AV23" s="53">
        <f>AH150</f>
        <v>64723.789999999986</v>
      </c>
      <c r="AW23" s="175"/>
      <c r="AX23" s="53">
        <f t="shared" si="12"/>
        <v>127250.5100000001</v>
      </c>
      <c r="AY23" s="175"/>
      <c r="AZ23" s="53"/>
      <c r="BA23" s="175"/>
      <c r="BB23" s="53">
        <f t="shared" si="13"/>
        <v>15808025.700000001</v>
      </c>
      <c r="BD23" s="44"/>
      <c r="BF23" s="56"/>
      <c r="BG23" s="53"/>
      <c r="BH23" s="100"/>
      <c r="BI23" s="52"/>
      <c r="BJ23" s="77"/>
      <c r="BK23" s="52"/>
      <c r="BL23" s="53"/>
      <c r="BM23" s="53"/>
      <c r="BN23" s="53"/>
      <c r="BO23" s="53"/>
      <c r="BP23" s="53"/>
      <c r="BQ23" s="53"/>
      <c r="BR23" s="53"/>
      <c r="BU23" s="177"/>
      <c r="BV23" s="52"/>
      <c r="BW23" s="175"/>
    </row>
    <row r="24" spans="1:75" x14ac:dyDescent="0.25">
      <c r="A24" s="48">
        <f t="shared" si="0"/>
        <v>15</v>
      </c>
      <c r="B24" s="44" t="s">
        <v>184</v>
      </c>
      <c r="C24" s="175">
        <v>3.2500000000000001E-2</v>
      </c>
      <c r="D24" s="61">
        <v>44340</v>
      </c>
      <c r="E24" s="61">
        <v>55305</v>
      </c>
      <c r="F24" s="53">
        <v>13000000</v>
      </c>
      <c r="G24" s="53">
        <v>13000000</v>
      </c>
      <c r="H24" s="53">
        <v>13000000</v>
      </c>
      <c r="I24" s="53">
        <v>13000000</v>
      </c>
      <c r="J24" s="53">
        <v>13000000</v>
      </c>
      <c r="K24" s="53">
        <v>13000000</v>
      </c>
      <c r="L24" s="53">
        <v>13000000</v>
      </c>
      <c r="M24" s="53">
        <v>13000000</v>
      </c>
      <c r="N24" s="53">
        <v>13000000</v>
      </c>
      <c r="O24" s="53">
        <v>13000000</v>
      </c>
      <c r="P24" s="53">
        <v>13000000</v>
      </c>
      <c r="Q24" s="53">
        <v>13000000</v>
      </c>
      <c r="R24" s="53">
        <v>13000000</v>
      </c>
      <c r="S24" s="53">
        <v>13000000</v>
      </c>
      <c r="T24" s="53">
        <v>13000000</v>
      </c>
      <c r="U24" s="53">
        <v>13000000</v>
      </c>
      <c r="V24" s="53">
        <v>13000000</v>
      </c>
      <c r="W24" s="53">
        <v>13000000</v>
      </c>
      <c r="X24" s="53">
        <v>13000000</v>
      </c>
      <c r="Y24" s="53">
        <v>13000000</v>
      </c>
      <c r="Z24" s="53">
        <v>13000000</v>
      </c>
      <c r="AA24" s="53">
        <v>13000000</v>
      </c>
      <c r="AB24" s="53">
        <v>13000000</v>
      </c>
      <c r="AC24" s="53">
        <v>13000000</v>
      </c>
      <c r="AD24" s="53">
        <v>13000000</v>
      </c>
      <c r="AE24" s="53">
        <v>13000000</v>
      </c>
      <c r="AF24" s="53">
        <v>13000000</v>
      </c>
      <c r="AG24" s="53">
        <v>13000000</v>
      </c>
      <c r="AH24" s="56">
        <f t="shared" si="7"/>
        <v>13000000</v>
      </c>
      <c r="AI24" s="48"/>
      <c r="AJ24" s="44" t="str">
        <f t="shared" si="8"/>
        <v xml:space="preserve">    Series 3.25%  Note</v>
      </c>
      <c r="AK24" s="175"/>
      <c r="AL24" s="56">
        <f t="shared" si="9"/>
        <v>13000000</v>
      </c>
      <c r="AM24" s="175"/>
      <c r="AN24" s="175">
        <f t="shared" si="10"/>
        <v>3.2500000000000001E-2</v>
      </c>
      <c r="AO24" s="175"/>
      <c r="AP24" s="175">
        <f t="shared" si="14"/>
        <v>3.295E-2</v>
      </c>
      <c r="AQ24" s="175"/>
      <c r="AR24" s="53">
        <f>AH114+AH179</f>
        <v>5856.72</v>
      </c>
      <c r="AS24" s="175"/>
      <c r="AT24" s="53">
        <f t="shared" si="15"/>
        <v>428350</v>
      </c>
      <c r="AU24" s="175"/>
      <c r="AV24" s="53">
        <f>AH151</f>
        <v>30939.079999999914</v>
      </c>
      <c r="AW24" s="175"/>
      <c r="AX24" s="53">
        <f t="shared" si="12"/>
        <v>115001.16000000009</v>
      </c>
      <c r="AY24" s="175"/>
      <c r="AZ24" s="53"/>
      <c r="BA24" s="175"/>
      <c r="BB24" s="53">
        <f t="shared" si="13"/>
        <v>12854059.76</v>
      </c>
      <c r="BF24" s="56"/>
      <c r="BG24" s="53"/>
      <c r="BH24" s="100"/>
      <c r="BI24" s="52"/>
      <c r="BJ24" s="77"/>
      <c r="BL24" s="53"/>
      <c r="BM24" s="53"/>
      <c r="BN24" s="53"/>
      <c r="BO24" s="53"/>
      <c r="BP24" s="53"/>
      <c r="BQ24" s="53"/>
      <c r="BR24" s="53"/>
      <c r="BV24" s="44"/>
    </row>
    <row r="25" spans="1:75" x14ac:dyDescent="0.25">
      <c r="A25" s="48">
        <f t="shared" si="0"/>
        <v>16</v>
      </c>
      <c r="B25" s="44" t="s">
        <v>185</v>
      </c>
      <c r="C25" s="175">
        <v>4.4499999999999998E-2</v>
      </c>
      <c r="D25" s="61">
        <v>44699</v>
      </c>
      <c r="E25" s="61">
        <v>48366</v>
      </c>
      <c r="F25" s="53">
        <v>10000000</v>
      </c>
      <c r="G25" s="53">
        <f t="shared" si="42"/>
        <v>10000000</v>
      </c>
      <c r="H25" s="53">
        <f t="shared" si="42"/>
        <v>10000000</v>
      </c>
      <c r="I25" s="53">
        <f t="shared" si="42"/>
        <v>10000000</v>
      </c>
      <c r="J25" s="53">
        <f t="shared" si="42"/>
        <v>10000000</v>
      </c>
      <c r="K25" s="53">
        <f t="shared" si="42"/>
        <v>10000000</v>
      </c>
      <c r="L25" s="53">
        <f t="shared" si="42"/>
        <v>10000000</v>
      </c>
      <c r="M25" s="53">
        <f t="shared" si="42"/>
        <v>10000000</v>
      </c>
      <c r="N25" s="53">
        <f t="shared" si="1"/>
        <v>10000000</v>
      </c>
      <c r="O25" s="53">
        <f>N25</f>
        <v>10000000</v>
      </c>
      <c r="P25" s="53">
        <f t="shared" ref="P25:W30" si="43">O25</f>
        <v>10000000</v>
      </c>
      <c r="Q25" s="53">
        <f t="shared" si="43"/>
        <v>10000000</v>
      </c>
      <c r="R25" s="53">
        <f t="shared" si="43"/>
        <v>10000000</v>
      </c>
      <c r="S25" s="53">
        <f t="shared" si="43"/>
        <v>10000000</v>
      </c>
      <c r="T25" s="53">
        <f t="shared" si="43"/>
        <v>10000000</v>
      </c>
      <c r="U25" s="53">
        <f t="shared" si="43"/>
        <v>10000000</v>
      </c>
      <c r="V25" s="53">
        <f t="shared" si="43"/>
        <v>10000000</v>
      </c>
      <c r="W25" s="53">
        <f t="shared" si="43"/>
        <v>10000000</v>
      </c>
      <c r="X25" s="53">
        <f t="shared" ref="X25:Z25" si="44">+W25</f>
        <v>10000000</v>
      </c>
      <c r="Y25" s="53">
        <f t="shared" si="44"/>
        <v>10000000</v>
      </c>
      <c r="Z25" s="53">
        <f t="shared" si="44"/>
        <v>10000000</v>
      </c>
      <c r="AA25" s="53">
        <f t="shared" ref="AA25" si="45">+Z25</f>
        <v>10000000</v>
      </c>
      <c r="AB25" s="53">
        <f t="shared" ref="AB25" si="46">+AA25</f>
        <v>10000000</v>
      </c>
      <c r="AC25" s="53">
        <f t="shared" ref="AC25" si="47">+AB25</f>
        <v>10000000</v>
      </c>
      <c r="AD25" s="53">
        <f t="shared" ref="AD25" si="48">+AC25</f>
        <v>10000000</v>
      </c>
      <c r="AE25" s="53">
        <f t="shared" ref="AE25" si="49">+AD25</f>
        <v>10000000</v>
      </c>
      <c r="AF25" s="53">
        <f t="shared" si="35"/>
        <v>10000000</v>
      </c>
      <c r="AG25" s="53">
        <f t="shared" si="35"/>
        <v>10000000</v>
      </c>
      <c r="AH25" s="56">
        <f t="shared" si="7"/>
        <v>10000000</v>
      </c>
      <c r="AI25" s="48"/>
      <c r="AJ25" s="44" t="str">
        <f t="shared" si="8"/>
        <v xml:space="preserve">    Series 4.45%  Note</v>
      </c>
      <c r="AK25" s="175"/>
      <c r="AL25" s="56">
        <f t="shared" si="9"/>
        <v>10000000</v>
      </c>
      <c r="AM25" s="175"/>
      <c r="AN25" s="175">
        <f t="shared" si="10"/>
        <v>4.4499999999999998E-2</v>
      </c>
      <c r="AO25" s="175"/>
      <c r="AP25" s="175">
        <f t="shared" si="14"/>
        <v>4.5659999999999999E-2</v>
      </c>
      <c r="AQ25" s="175"/>
      <c r="AR25" s="53">
        <f>AH115+AH180</f>
        <v>11573.520000000002</v>
      </c>
      <c r="AS25" s="175"/>
      <c r="AT25" s="53">
        <f t="shared" si="15"/>
        <v>456600</v>
      </c>
      <c r="AU25" s="175"/>
      <c r="AV25" s="53">
        <f>AH152</f>
        <v>18621.469999999976</v>
      </c>
      <c r="AW25" s="175"/>
      <c r="AX25" s="53">
        <f t="shared" si="12"/>
        <v>49856.800000000039</v>
      </c>
      <c r="AY25" s="175"/>
      <c r="AZ25" s="53"/>
      <c r="BA25" s="175"/>
      <c r="BB25" s="53">
        <f t="shared" si="13"/>
        <v>9931521.7299999986</v>
      </c>
      <c r="BD25" s="44"/>
      <c r="BF25" s="56"/>
      <c r="BG25" s="53"/>
      <c r="BH25" s="100"/>
      <c r="BI25" s="52"/>
      <c r="BJ25" s="77"/>
      <c r="BK25" s="52"/>
      <c r="BL25" s="53"/>
      <c r="BM25" s="53"/>
      <c r="BN25" s="53"/>
      <c r="BO25" s="53"/>
      <c r="BP25" s="53"/>
      <c r="BQ25" s="53"/>
      <c r="BR25" s="53"/>
      <c r="BV25" s="44"/>
    </row>
    <row r="26" spans="1:75" x14ac:dyDescent="0.25">
      <c r="A26" s="48">
        <f t="shared" si="0"/>
        <v>17</v>
      </c>
      <c r="B26" s="44" t="s">
        <v>186</v>
      </c>
      <c r="C26" s="175">
        <v>3.875E-2</v>
      </c>
      <c r="D26" s="61">
        <v>45170</v>
      </c>
      <c r="E26" s="61">
        <v>46997</v>
      </c>
      <c r="F26" s="53">
        <v>26000000</v>
      </c>
      <c r="G26" s="53">
        <f t="shared" ref="G26:G29" si="50">F26</f>
        <v>26000000</v>
      </c>
      <c r="H26" s="53">
        <f t="shared" si="42"/>
        <v>26000000</v>
      </c>
      <c r="I26" s="53">
        <f t="shared" si="42"/>
        <v>26000000</v>
      </c>
      <c r="J26" s="53">
        <f t="shared" si="42"/>
        <v>26000000</v>
      </c>
      <c r="K26" s="53">
        <f t="shared" si="42"/>
        <v>26000000</v>
      </c>
      <c r="L26" s="53">
        <f t="shared" si="42"/>
        <v>26000000</v>
      </c>
      <c r="M26" s="53">
        <f t="shared" si="42"/>
        <v>26000000</v>
      </c>
      <c r="N26" s="53">
        <f t="shared" si="1"/>
        <v>26000000</v>
      </c>
      <c r="O26" s="53">
        <f t="shared" ref="O26:O30" si="51">N26</f>
        <v>26000000</v>
      </c>
      <c r="P26" s="53">
        <f t="shared" si="43"/>
        <v>26000000</v>
      </c>
      <c r="Q26" s="53">
        <f t="shared" si="43"/>
        <v>26000000</v>
      </c>
      <c r="R26" s="53">
        <f t="shared" si="43"/>
        <v>26000000</v>
      </c>
      <c r="S26" s="53">
        <f t="shared" si="43"/>
        <v>26000000</v>
      </c>
      <c r="T26" s="53">
        <f t="shared" si="43"/>
        <v>26000000</v>
      </c>
      <c r="U26" s="53">
        <f t="shared" si="43"/>
        <v>26000000</v>
      </c>
      <c r="V26" s="53">
        <f t="shared" si="43"/>
        <v>26000000</v>
      </c>
      <c r="W26" s="53">
        <f t="shared" si="43"/>
        <v>26000000</v>
      </c>
      <c r="X26" s="53">
        <f t="shared" ref="X26:X30" si="52">W26</f>
        <v>26000000</v>
      </c>
      <c r="Y26" s="53">
        <f t="shared" ref="Y26:Y30" si="53">X26</f>
        <v>26000000</v>
      </c>
      <c r="Z26" s="53">
        <f t="shared" ref="Z26:Z30" si="54">Y26</f>
        <v>26000000</v>
      </c>
      <c r="AA26" s="53">
        <f t="shared" ref="AA26:AA30" si="55">Z26</f>
        <v>26000000</v>
      </c>
      <c r="AB26" s="53">
        <f t="shared" ref="AB26:AB30" si="56">AA26</f>
        <v>26000000</v>
      </c>
      <c r="AC26" s="53">
        <f t="shared" ref="AC26:AC30" si="57">AB26</f>
        <v>26000000</v>
      </c>
      <c r="AD26" s="53">
        <f t="shared" ref="AD26:AD30" si="58">AC26</f>
        <v>26000000</v>
      </c>
      <c r="AE26" s="53">
        <f t="shared" ref="AE26:AE30" si="59">AD26</f>
        <v>26000000</v>
      </c>
      <c r="AF26" s="53">
        <f t="shared" ref="AF26:AF30" si="60">AE26</f>
        <v>26000000</v>
      </c>
      <c r="AG26" s="53">
        <f t="shared" ref="AG26:AG30" si="61">AF26</f>
        <v>26000000</v>
      </c>
      <c r="AH26" s="56">
        <f t="shared" si="7"/>
        <v>26000000</v>
      </c>
      <c r="AI26" s="48"/>
      <c r="AJ26" s="44" t="str">
        <f t="shared" si="8"/>
        <v xml:space="preserve">    Series 3.875%  Note</v>
      </c>
      <c r="AK26" s="175"/>
      <c r="AL26" s="56">
        <f t="shared" si="9"/>
        <v>26000000</v>
      </c>
      <c r="AM26" s="175"/>
      <c r="AN26" s="175">
        <f t="shared" si="10"/>
        <v>3.875E-2</v>
      </c>
      <c r="AO26" s="175"/>
      <c r="AP26" s="175">
        <f t="shared" si="14"/>
        <v>4.0759999999999998E-2</v>
      </c>
      <c r="AQ26" s="175"/>
      <c r="AR26" s="53">
        <f>AH116</f>
        <v>52308.84</v>
      </c>
      <c r="AS26" s="175"/>
      <c r="AT26" s="53">
        <f t="shared" si="15"/>
        <v>1059760</v>
      </c>
      <c r="AU26" s="175"/>
      <c r="AV26" s="53">
        <v>0</v>
      </c>
      <c r="AW26" s="175"/>
      <c r="AX26" s="53">
        <f t="shared" si="12"/>
        <v>113353.36999999998</v>
      </c>
      <c r="AY26" s="175"/>
      <c r="AZ26" s="53"/>
      <c r="BA26" s="175"/>
      <c r="BB26" s="53">
        <f t="shared" si="13"/>
        <v>25886646.629999999</v>
      </c>
      <c r="BF26" s="56"/>
      <c r="BH26" s="100"/>
      <c r="BI26" s="52"/>
      <c r="BJ26" s="77"/>
      <c r="BV26" s="44"/>
    </row>
    <row r="27" spans="1:75" x14ac:dyDescent="0.25">
      <c r="A27" s="48">
        <f t="shared" si="0"/>
        <v>18</v>
      </c>
      <c r="B27" s="44" t="s">
        <v>187</v>
      </c>
      <c r="C27" s="175">
        <v>3.6249999999999998E-2</v>
      </c>
      <c r="D27" s="61">
        <v>45184</v>
      </c>
      <c r="E27" s="61">
        <v>46188</v>
      </c>
      <c r="F27" s="53">
        <v>19000000</v>
      </c>
      <c r="G27" s="53">
        <f t="shared" si="50"/>
        <v>19000000</v>
      </c>
      <c r="H27" s="53">
        <f t="shared" si="42"/>
        <v>19000000</v>
      </c>
      <c r="I27" s="53">
        <f t="shared" si="42"/>
        <v>19000000</v>
      </c>
      <c r="J27" s="53">
        <f t="shared" si="42"/>
        <v>19000000</v>
      </c>
      <c r="K27" s="53">
        <f t="shared" si="42"/>
        <v>19000000</v>
      </c>
      <c r="L27" s="53">
        <f t="shared" si="42"/>
        <v>19000000</v>
      </c>
      <c r="M27" s="53">
        <f t="shared" si="42"/>
        <v>19000000</v>
      </c>
      <c r="N27" s="53">
        <f t="shared" si="1"/>
        <v>19000000</v>
      </c>
      <c r="O27" s="53">
        <f t="shared" si="51"/>
        <v>19000000</v>
      </c>
      <c r="P27" s="53">
        <f t="shared" si="43"/>
        <v>19000000</v>
      </c>
      <c r="Q27" s="53">
        <f t="shared" si="43"/>
        <v>19000000</v>
      </c>
      <c r="R27" s="53">
        <f t="shared" si="43"/>
        <v>19000000</v>
      </c>
      <c r="S27" s="53">
        <f t="shared" si="43"/>
        <v>19000000</v>
      </c>
      <c r="T27" s="53">
        <f t="shared" si="43"/>
        <v>19000000</v>
      </c>
      <c r="U27" s="53">
        <f t="shared" si="43"/>
        <v>19000000</v>
      </c>
      <c r="V27" s="53">
        <f t="shared" si="43"/>
        <v>19000000</v>
      </c>
      <c r="W27" s="53">
        <f t="shared" si="43"/>
        <v>19000000</v>
      </c>
      <c r="X27" s="53">
        <f t="shared" si="52"/>
        <v>19000000</v>
      </c>
      <c r="Y27" s="53">
        <f t="shared" si="53"/>
        <v>19000000</v>
      </c>
      <c r="Z27" s="53">
        <f t="shared" si="54"/>
        <v>19000000</v>
      </c>
      <c r="AA27" s="53">
        <v>0</v>
      </c>
      <c r="AB27" s="53">
        <f t="shared" si="56"/>
        <v>0</v>
      </c>
      <c r="AC27" s="53">
        <f t="shared" si="57"/>
        <v>0</v>
      </c>
      <c r="AD27" s="53">
        <f t="shared" si="58"/>
        <v>0</v>
      </c>
      <c r="AE27" s="53">
        <f t="shared" si="59"/>
        <v>0</v>
      </c>
      <c r="AF27" s="53">
        <f t="shared" si="60"/>
        <v>0</v>
      </c>
      <c r="AG27" s="53">
        <f t="shared" si="61"/>
        <v>0</v>
      </c>
      <c r="AH27" s="56">
        <f t="shared" si="7"/>
        <v>8769230.7692307699</v>
      </c>
      <c r="AI27" s="48"/>
      <c r="AJ27" s="44" t="str">
        <f t="shared" si="8"/>
        <v xml:space="preserve">    Series 3.625%  Note</v>
      </c>
      <c r="AK27" s="175"/>
      <c r="AL27" s="56">
        <f t="shared" si="9"/>
        <v>8769230.7692307699</v>
      </c>
      <c r="AM27" s="175"/>
      <c r="AN27" s="175">
        <f t="shared" si="10"/>
        <v>3.6249999999999998E-2</v>
      </c>
      <c r="AO27" s="175"/>
      <c r="AP27" s="175">
        <f t="shared" si="14"/>
        <v>4.0840000000000001E-2</v>
      </c>
      <c r="AQ27" s="175"/>
      <c r="AR27" s="53">
        <f>AH117</f>
        <v>40228.1</v>
      </c>
      <c r="AS27" s="175"/>
      <c r="AT27" s="53">
        <f t="shared" si="15"/>
        <v>358135</v>
      </c>
      <c r="AU27" s="175"/>
      <c r="AV27" s="53">
        <v>0</v>
      </c>
      <c r="AW27" s="175"/>
      <c r="AX27" s="53">
        <f t="shared" si="12"/>
        <v>11058.978461538498</v>
      </c>
      <c r="AY27" s="175"/>
      <c r="AZ27" s="53"/>
      <c r="BA27" s="175"/>
      <c r="BB27" s="53">
        <f t="shared" si="13"/>
        <v>8758171.7907692306</v>
      </c>
      <c r="BF27" s="56"/>
      <c r="BH27" s="100"/>
      <c r="BI27" s="52"/>
      <c r="BJ27" s="77"/>
      <c r="BV27" s="44"/>
    </row>
    <row r="28" spans="1:75" x14ac:dyDescent="0.25">
      <c r="A28" s="48">
        <f t="shared" si="0"/>
        <v>19</v>
      </c>
      <c r="B28" s="44" t="s">
        <v>188</v>
      </c>
      <c r="C28" s="175">
        <v>5.1499999999999997E-2</v>
      </c>
      <c r="D28" s="61">
        <v>45427</v>
      </c>
      <c r="E28" s="61">
        <v>49004</v>
      </c>
      <c r="F28" s="53">
        <v>14000000</v>
      </c>
      <c r="G28" s="53">
        <f t="shared" si="50"/>
        <v>14000000</v>
      </c>
      <c r="H28" s="53">
        <f t="shared" si="42"/>
        <v>14000000</v>
      </c>
      <c r="I28" s="53">
        <f t="shared" si="42"/>
        <v>14000000</v>
      </c>
      <c r="J28" s="53">
        <f t="shared" si="42"/>
        <v>14000000</v>
      </c>
      <c r="K28" s="53">
        <f t="shared" si="42"/>
        <v>14000000</v>
      </c>
      <c r="L28" s="53">
        <f t="shared" si="42"/>
        <v>14000000</v>
      </c>
      <c r="M28" s="53">
        <f t="shared" si="42"/>
        <v>14000000</v>
      </c>
      <c r="N28" s="53">
        <f t="shared" si="1"/>
        <v>14000000</v>
      </c>
      <c r="O28" s="53">
        <f t="shared" si="51"/>
        <v>14000000</v>
      </c>
      <c r="P28" s="53">
        <f t="shared" si="43"/>
        <v>14000000</v>
      </c>
      <c r="Q28" s="53">
        <f t="shared" si="43"/>
        <v>14000000</v>
      </c>
      <c r="R28" s="53">
        <f t="shared" si="43"/>
        <v>14000000</v>
      </c>
      <c r="S28" s="53">
        <f t="shared" si="43"/>
        <v>14000000</v>
      </c>
      <c r="T28" s="53">
        <f t="shared" si="43"/>
        <v>14000000</v>
      </c>
      <c r="U28" s="53">
        <f t="shared" si="43"/>
        <v>14000000</v>
      </c>
      <c r="V28" s="53">
        <f t="shared" si="43"/>
        <v>14000000</v>
      </c>
      <c r="W28" s="53">
        <f t="shared" si="43"/>
        <v>14000000</v>
      </c>
      <c r="X28" s="53">
        <f t="shared" si="52"/>
        <v>14000000</v>
      </c>
      <c r="Y28" s="53">
        <f t="shared" si="53"/>
        <v>14000000</v>
      </c>
      <c r="Z28" s="53">
        <f t="shared" si="54"/>
        <v>14000000</v>
      </c>
      <c r="AA28" s="53">
        <f t="shared" si="55"/>
        <v>14000000</v>
      </c>
      <c r="AB28" s="53">
        <f t="shared" si="56"/>
        <v>14000000</v>
      </c>
      <c r="AC28" s="53">
        <f t="shared" si="57"/>
        <v>14000000</v>
      </c>
      <c r="AD28" s="53">
        <f t="shared" si="58"/>
        <v>14000000</v>
      </c>
      <c r="AE28" s="53">
        <f t="shared" si="59"/>
        <v>14000000</v>
      </c>
      <c r="AF28" s="53">
        <f t="shared" si="60"/>
        <v>14000000</v>
      </c>
      <c r="AG28" s="53">
        <f t="shared" si="61"/>
        <v>14000000</v>
      </c>
      <c r="AH28" s="56">
        <f t="shared" si="7"/>
        <v>14000000</v>
      </c>
      <c r="AI28" s="48"/>
      <c r="AJ28" s="44" t="str">
        <f t="shared" si="8"/>
        <v xml:space="preserve">    Series 5.15%  Note</v>
      </c>
      <c r="AK28" s="175"/>
      <c r="AL28" s="56">
        <f t="shared" si="9"/>
        <v>14000000</v>
      </c>
      <c r="AM28" s="175"/>
      <c r="AN28" s="175">
        <f t="shared" si="10"/>
        <v>5.1499999999999997E-2</v>
      </c>
      <c r="AO28" s="175"/>
      <c r="AP28" s="175">
        <f t="shared" si="14"/>
        <v>5.2670000000000002E-2</v>
      </c>
      <c r="AQ28" s="175"/>
      <c r="AR28" s="53">
        <f>AH118+AH181</f>
        <v>16353.359999999999</v>
      </c>
      <c r="AS28" s="175"/>
      <c r="AT28" s="53">
        <f t="shared" si="15"/>
        <v>737380</v>
      </c>
      <c r="AU28" s="175"/>
      <c r="AV28" s="53">
        <f>AH153</f>
        <v>34142.36999999993</v>
      </c>
      <c r="AW28" s="175"/>
      <c r="AX28" s="53">
        <f t="shared" si="12"/>
        <v>91247.369999999937</v>
      </c>
      <c r="AY28" s="175"/>
      <c r="AZ28" s="53"/>
      <c r="BA28" s="175"/>
      <c r="BB28" s="53">
        <f t="shared" si="13"/>
        <v>13874610.260000002</v>
      </c>
      <c r="BF28" s="56"/>
      <c r="BH28" s="100"/>
      <c r="BI28" s="52"/>
      <c r="BJ28" s="77"/>
      <c r="BV28" s="44"/>
    </row>
    <row r="29" spans="1:75" x14ac:dyDescent="0.25">
      <c r="A29" s="48">
        <f t="shared" si="0"/>
        <v>20</v>
      </c>
      <c r="B29" s="44" t="s">
        <v>189</v>
      </c>
      <c r="C29" s="175">
        <v>5.45E-2</v>
      </c>
      <c r="D29" s="61">
        <v>45427</v>
      </c>
      <c r="E29" s="61">
        <v>56309</v>
      </c>
      <c r="F29" s="53">
        <v>14000000</v>
      </c>
      <c r="G29" s="53">
        <f t="shared" si="50"/>
        <v>14000000</v>
      </c>
      <c r="H29" s="53">
        <f t="shared" si="42"/>
        <v>14000000</v>
      </c>
      <c r="I29" s="53">
        <f t="shared" si="42"/>
        <v>14000000</v>
      </c>
      <c r="J29" s="53">
        <f t="shared" si="42"/>
        <v>14000000</v>
      </c>
      <c r="K29" s="53">
        <f t="shared" si="42"/>
        <v>14000000</v>
      </c>
      <c r="L29" s="53">
        <f t="shared" si="42"/>
        <v>14000000</v>
      </c>
      <c r="M29" s="53">
        <f t="shared" si="42"/>
        <v>14000000</v>
      </c>
      <c r="N29" s="53">
        <f t="shared" si="1"/>
        <v>14000000</v>
      </c>
      <c r="O29" s="53">
        <f t="shared" si="51"/>
        <v>14000000</v>
      </c>
      <c r="P29" s="53">
        <f t="shared" si="43"/>
        <v>14000000</v>
      </c>
      <c r="Q29" s="53">
        <f t="shared" si="43"/>
        <v>14000000</v>
      </c>
      <c r="R29" s="53">
        <f t="shared" si="43"/>
        <v>14000000</v>
      </c>
      <c r="S29" s="53">
        <f t="shared" si="43"/>
        <v>14000000</v>
      </c>
      <c r="T29" s="53">
        <f t="shared" si="43"/>
        <v>14000000</v>
      </c>
      <c r="U29" s="53">
        <f t="shared" si="43"/>
        <v>14000000</v>
      </c>
      <c r="V29" s="53">
        <f t="shared" si="43"/>
        <v>14000000</v>
      </c>
      <c r="W29" s="53">
        <f t="shared" si="43"/>
        <v>14000000</v>
      </c>
      <c r="X29" s="53">
        <f t="shared" si="52"/>
        <v>14000000</v>
      </c>
      <c r="Y29" s="53">
        <f t="shared" si="53"/>
        <v>14000000</v>
      </c>
      <c r="Z29" s="53">
        <f t="shared" si="54"/>
        <v>14000000</v>
      </c>
      <c r="AA29" s="53">
        <f t="shared" si="55"/>
        <v>14000000</v>
      </c>
      <c r="AB29" s="53">
        <f t="shared" si="56"/>
        <v>14000000</v>
      </c>
      <c r="AC29" s="53">
        <f t="shared" si="57"/>
        <v>14000000</v>
      </c>
      <c r="AD29" s="53">
        <f t="shared" si="58"/>
        <v>14000000</v>
      </c>
      <c r="AE29" s="53">
        <f t="shared" si="59"/>
        <v>14000000</v>
      </c>
      <c r="AF29" s="53">
        <f t="shared" si="60"/>
        <v>14000000</v>
      </c>
      <c r="AG29" s="53">
        <f t="shared" si="61"/>
        <v>14000000</v>
      </c>
      <c r="AH29" s="56">
        <f t="shared" si="7"/>
        <v>14000000</v>
      </c>
      <c r="AI29" s="48"/>
      <c r="AJ29" s="44" t="str">
        <f t="shared" si="8"/>
        <v xml:space="preserve">    Series 5.45%  Note</v>
      </c>
      <c r="AK29" s="49"/>
      <c r="AL29" s="56">
        <f t="shared" si="9"/>
        <v>14000000</v>
      </c>
      <c r="AM29" s="49"/>
      <c r="AN29" s="175">
        <f t="shared" si="10"/>
        <v>5.45E-2</v>
      </c>
      <c r="AO29" s="49"/>
      <c r="AP29" s="175">
        <f t="shared" si="14"/>
        <v>5.5160000000000001E-2</v>
      </c>
      <c r="AQ29" s="49"/>
      <c r="AR29" s="53">
        <f>AH119+AH182</f>
        <v>9237.24</v>
      </c>
      <c r="AS29" s="49"/>
      <c r="AT29" s="53">
        <f t="shared" si="15"/>
        <v>772240</v>
      </c>
      <c r="AU29" s="49"/>
      <c r="AV29" s="53">
        <f>AH154</f>
        <v>116990.65999999989</v>
      </c>
      <c r="AW29" s="49"/>
      <c r="AX29" s="53">
        <f t="shared" si="12"/>
        <v>138583.53999999975</v>
      </c>
      <c r="AY29" s="49"/>
      <c r="AZ29" s="53"/>
      <c r="BA29" s="49"/>
      <c r="BB29" s="53">
        <f t="shared" si="13"/>
        <v>13744425.800000001</v>
      </c>
      <c r="BF29" s="56"/>
      <c r="BH29" s="100"/>
      <c r="BI29" s="52"/>
      <c r="BJ29" s="77"/>
      <c r="BV29" s="44"/>
    </row>
    <row r="30" spans="1:75" x14ac:dyDescent="0.25">
      <c r="A30" s="48">
        <f t="shared" si="0"/>
        <v>21</v>
      </c>
      <c r="B30" s="98" t="s">
        <v>190</v>
      </c>
      <c r="C30" s="175">
        <v>5.2499999999999998E-2</v>
      </c>
      <c r="D30" s="61">
        <v>45731</v>
      </c>
      <c r="E30" s="61">
        <v>49369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10000000</v>
      </c>
      <c r="M30" s="53">
        <f t="shared" si="42"/>
        <v>10000000</v>
      </c>
      <c r="N30" s="53">
        <f t="shared" ref="N30" si="62">M30</f>
        <v>10000000</v>
      </c>
      <c r="O30" s="53">
        <f t="shared" si="51"/>
        <v>10000000</v>
      </c>
      <c r="P30" s="53">
        <f t="shared" si="43"/>
        <v>10000000</v>
      </c>
      <c r="Q30" s="53">
        <f t="shared" si="43"/>
        <v>10000000</v>
      </c>
      <c r="R30" s="53">
        <f t="shared" si="43"/>
        <v>10000000</v>
      </c>
      <c r="S30" s="53">
        <f t="shared" si="43"/>
        <v>10000000</v>
      </c>
      <c r="T30" s="53">
        <f t="shared" si="43"/>
        <v>10000000</v>
      </c>
      <c r="U30" s="53">
        <f t="shared" si="43"/>
        <v>10000000</v>
      </c>
      <c r="V30" s="53">
        <f t="shared" si="43"/>
        <v>10000000</v>
      </c>
      <c r="W30" s="53">
        <f t="shared" si="43"/>
        <v>10000000</v>
      </c>
      <c r="X30" s="53">
        <f t="shared" si="52"/>
        <v>10000000</v>
      </c>
      <c r="Y30" s="53">
        <f t="shared" si="53"/>
        <v>10000000</v>
      </c>
      <c r="Z30" s="53">
        <f t="shared" si="54"/>
        <v>10000000</v>
      </c>
      <c r="AA30" s="53">
        <f t="shared" si="55"/>
        <v>10000000</v>
      </c>
      <c r="AB30" s="53">
        <f t="shared" si="56"/>
        <v>10000000</v>
      </c>
      <c r="AC30" s="53">
        <f t="shared" si="57"/>
        <v>10000000</v>
      </c>
      <c r="AD30" s="53">
        <f t="shared" si="58"/>
        <v>10000000</v>
      </c>
      <c r="AE30" s="53">
        <f t="shared" si="59"/>
        <v>10000000</v>
      </c>
      <c r="AF30" s="53">
        <f t="shared" si="60"/>
        <v>10000000</v>
      </c>
      <c r="AG30" s="53">
        <f t="shared" si="61"/>
        <v>10000000</v>
      </c>
      <c r="AH30" s="56">
        <f t="shared" si="7"/>
        <v>10000000</v>
      </c>
      <c r="AI30" s="48"/>
      <c r="AJ30" s="44" t="str">
        <f t="shared" si="8"/>
        <v xml:space="preserve">    Proposed 2025 Issuance (10-year)</v>
      </c>
      <c r="AK30" s="49"/>
      <c r="AL30" s="56">
        <f t="shared" si="9"/>
        <v>10000000</v>
      </c>
      <c r="AM30" s="49"/>
      <c r="AN30" s="175">
        <f t="shared" si="10"/>
        <v>5.2499999999999998E-2</v>
      </c>
      <c r="AO30" s="49"/>
      <c r="AP30" s="175">
        <f>IF(AL30=0,0,ROUND(((AL30*AN30)+AR30)/AL30,5))</f>
        <v>5.3409999999999999E-2</v>
      </c>
      <c r="AQ30" s="49"/>
      <c r="AR30" s="53">
        <f>AH120+AH183-AH228</f>
        <v>9065.2643281941946</v>
      </c>
      <c r="AS30" s="49"/>
      <c r="AT30" s="53">
        <f>ROUND(AP30*AL30,0)</f>
        <v>534100</v>
      </c>
      <c r="AU30" s="49"/>
      <c r="AV30" s="53">
        <f>AH155</f>
        <v>33320.341822514871</v>
      </c>
      <c r="AW30" s="49"/>
      <c r="AX30" s="53">
        <f t="shared" si="12"/>
        <v>76431.732000000105</v>
      </c>
      <c r="AY30" s="49"/>
      <c r="AZ30" s="53">
        <f>+AH207</f>
        <v>31161.442232757567</v>
      </c>
      <c r="BA30" s="49"/>
      <c r="BB30" s="53">
        <f>AL30-AV30-AX30+AZ30</f>
        <v>9921409.3684102427</v>
      </c>
      <c r="BD30" s="41"/>
      <c r="BF30" s="56"/>
      <c r="BH30" s="100"/>
      <c r="BI30" s="52"/>
      <c r="BJ30" s="77"/>
      <c r="BV30" s="44"/>
    </row>
    <row r="31" spans="1:75" x14ac:dyDescent="0.25">
      <c r="A31" s="48">
        <f t="shared" si="0"/>
        <v>22</v>
      </c>
      <c r="B31" s="98" t="s">
        <v>191</v>
      </c>
      <c r="C31" s="175">
        <v>5.7000000000000002E-2</v>
      </c>
      <c r="D31" s="61">
        <v>45915</v>
      </c>
      <c r="E31" s="61">
        <v>56888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13000000</v>
      </c>
      <c r="S31" s="53">
        <f t="shared" ref="S31" si="63">R31</f>
        <v>13000000</v>
      </c>
      <c r="T31" s="53">
        <f t="shared" ref="T31" si="64">S31</f>
        <v>13000000</v>
      </c>
      <c r="U31" s="53">
        <f t="shared" ref="U31" si="65">T31</f>
        <v>13000000</v>
      </c>
      <c r="V31" s="53">
        <f t="shared" ref="V31" si="66">U31</f>
        <v>13000000</v>
      </c>
      <c r="W31" s="53">
        <f t="shared" ref="W31" si="67">V31</f>
        <v>13000000</v>
      </c>
      <c r="X31" s="53">
        <f t="shared" ref="X31" si="68">W31</f>
        <v>13000000</v>
      </c>
      <c r="Y31" s="53">
        <f t="shared" ref="Y31:Y33" si="69">X31</f>
        <v>13000000</v>
      </c>
      <c r="Z31" s="53">
        <f t="shared" ref="Z31:Z33" si="70">Y31</f>
        <v>13000000</v>
      </c>
      <c r="AA31" s="53">
        <f t="shared" ref="AA31:AA33" si="71">Z31</f>
        <v>13000000</v>
      </c>
      <c r="AB31" s="53">
        <f t="shared" ref="AB31:AB33" si="72">AA31</f>
        <v>13000000</v>
      </c>
      <c r="AC31" s="53">
        <f t="shared" ref="AC31:AC33" si="73">AB31</f>
        <v>13000000</v>
      </c>
      <c r="AD31" s="53">
        <f t="shared" ref="AD31:AD33" si="74">AC31</f>
        <v>13000000</v>
      </c>
      <c r="AE31" s="53">
        <f t="shared" ref="AE31:AE35" si="75">AD31</f>
        <v>13000000</v>
      </c>
      <c r="AF31" s="53">
        <f t="shared" ref="AF31:AF35" si="76">AE31</f>
        <v>13000000</v>
      </c>
      <c r="AG31" s="53">
        <f t="shared" ref="AG31:AG35" si="77">AF31</f>
        <v>13000000</v>
      </c>
      <c r="AH31" s="56">
        <f t="shared" si="7"/>
        <v>13000000</v>
      </c>
      <c r="AI31" s="48"/>
      <c r="AJ31" s="44" t="str">
        <f t="shared" si="8"/>
        <v xml:space="preserve">    Proposed 2025 Issuance (30-year)</v>
      </c>
      <c r="AK31" s="49"/>
      <c r="AL31" s="56">
        <f t="shared" si="9"/>
        <v>13000000</v>
      </c>
      <c r="AM31" s="49"/>
      <c r="AN31" s="175">
        <f t="shared" si="10"/>
        <v>5.7000000000000002E-2</v>
      </c>
      <c r="AO31" s="49"/>
      <c r="AP31" s="175">
        <f t="shared" si="14"/>
        <v>5.7529999999999998E-2</v>
      </c>
      <c r="AQ31" s="49"/>
      <c r="AR31" s="53">
        <f>AH121</f>
        <v>6877.7999999999984</v>
      </c>
      <c r="AS31" s="49"/>
      <c r="AT31" s="53">
        <f t="shared" ref="AT31:AT34" si="78">ROUND(AP31*AL31,0)</f>
        <v>747890</v>
      </c>
      <c r="AU31" s="49"/>
      <c r="AV31" s="53">
        <f>AH156</f>
        <v>101174.19999999992</v>
      </c>
      <c r="AW31" s="49"/>
      <c r="AX31" s="53">
        <f t="shared" si="12"/>
        <v>200621.10000000006</v>
      </c>
      <c r="AY31" s="49"/>
      <c r="AZ31" s="53">
        <f>+AH208</f>
        <v>256922.49000000002</v>
      </c>
      <c r="BA31" s="49"/>
      <c r="BB31" s="53">
        <f>AL31-AV31-AX31+AZ31</f>
        <v>12955127.190000001</v>
      </c>
      <c r="BD31" s="41"/>
      <c r="BF31" s="56"/>
      <c r="BH31" s="100"/>
      <c r="BI31" s="52"/>
      <c r="BJ31" s="77"/>
      <c r="BV31" s="44"/>
    </row>
    <row r="32" spans="1:75" x14ac:dyDescent="0.25">
      <c r="A32" s="48">
        <f t="shared" si="0"/>
        <v>23</v>
      </c>
      <c r="B32" s="98" t="s">
        <v>192</v>
      </c>
      <c r="C32" s="175">
        <v>5.5995500000000004E-2</v>
      </c>
      <c r="D32" s="61">
        <v>46096</v>
      </c>
      <c r="E32" s="61">
        <v>49766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9250000</v>
      </c>
      <c r="Y32" s="53">
        <f t="shared" si="69"/>
        <v>9250000</v>
      </c>
      <c r="Z32" s="53">
        <f t="shared" si="70"/>
        <v>9250000</v>
      </c>
      <c r="AA32" s="53">
        <f t="shared" si="71"/>
        <v>9250000</v>
      </c>
      <c r="AB32" s="53">
        <f t="shared" si="72"/>
        <v>9250000</v>
      </c>
      <c r="AC32" s="53">
        <f t="shared" si="73"/>
        <v>9250000</v>
      </c>
      <c r="AD32" s="53">
        <f t="shared" si="74"/>
        <v>9250000</v>
      </c>
      <c r="AE32" s="53">
        <f t="shared" si="75"/>
        <v>9250000</v>
      </c>
      <c r="AF32" s="53">
        <f t="shared" si="76"/>
        <v>9250000</v>
      </c>
      <c r="AG32" s="53">
        <f t="shared" si="77"/>
        <v>9250000</v>
      </c>
      <c r="AH32" s="56">
        <f t="shared" si="7"/>
        <v>7115384.615384615</v>
      </c>
      <c r="AI32" s="48"/>
      <c r="AJ32" s="44" t="str">
        <f t="shared" si="8"/>
        <v xml:space="preserve">    Proposed 2026 Issuance (10-year)</v>
      </c>
      <c r="AK32" s="49"/>
      <c r="AL32" s="56">
        <f t="shared" si="9"/>
        <v>7115384.615384615</v>
      </c>
      <c r="AM32" s="49"/>
      <c r="AN32" s="175">
        <f t="shared" si="10"/>
        <v>5.5995500000000004E-2</v>
      </c>
      <c r="AO32" s="49"/>
      <c r="AP32" s="175">
        <f t="shared" si="14"/>
        <v>5.7020000000000001E-2</v>
      </c>
      <c r="AQ32" s="49"/>
      <c r="AR32" s="53">
        <f>AH122</f>
        <v>7322.9166666666661</v>
      </c>
      <c r="AS32" s="49"/>
      <c r="AT32" s="53">
        <f t="shared" si="78"/>
        <v>405719</v>
      </c>
      <c r="AU32" s="49"/>
      <c r="AV32" s="53"/>
      <c r="AW32" s="49"/>
      <c r="AX32" s="53">
        <f t="shared" si="12"/>
        <v>88645.833333333343</v>
      </c>
      <c r="AY32" s="49"/>
      <c r="AZ32" s="53"/>
      <c r="BA32" s="49"/>
      <c r="BB32" s="53">
        <f t="shared" ref="BB32:BB35" si="79">AL32-AV32-AX32</f>
        <v>7026738.782051282</v>
      </c>
      <c r="BF32" s="56"/>
      <c r="BH32" s="100"/>
      <c r="BI32" s="52"/>
      <c r="BJ32" s="77"/>
      <c r="BV32" s="44"/>
    </row>
    <row r="33" spans="1:76" x14ac:dyDescent="0.25">
      <c r="A33" s="48">
        <f t="shared" si="0"/>
        <v>24</v>
      </c>
      <c r="B33" s="98" t="s">
        <v>193</v>
      </c>
      <c r="C33" s="175">
        <v>5.7989555555555551E-2</v>
      </c>
      <c r="D33" s="61">
        <v>46096</v>
      </c>
      <c r="E33" s="61">
        <v>57071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f>X32</f>
        <v>9250000</v>
      </c>
      <c r="Y33" s="53">
        <f t="shared" si="69"/>
        <v>9250000</v>
      </c>
      <c r="Z33" s="53">
        <f t="shared" si="70"/>
        <v>9250000</v>
      </c>
      <c r="AA33" s="53">
        <f t="shared" si="71"/>
        <v>9250000</v>
      </c>
      <c r="AB33" s="53">
        <f t="shared" si="72"/>
        <v>9250000</v>
      </c>
      <c r="AC33" s="53">
        <f t="shared" si="73"/>
        <v>9250000</v>
      </c>
      <c r="AD33" s="53">
        <f t="shared" si="74"/>
        <v>9250000</v>
      </c>
      <c r="AE33" s="53">
        <f t="shared" si="75"/>
        <v>9250000</v>
      </c>
      <c r="AF33" s="53">
        <f t="shared" si="76"/>
        <v>9250000</v>
      </c>
      <c r="AG33" s="53">
        <f t="shared" si="77"/>
        <v>9250000</v>
      </c>
      <c r="AH33" s="56">
        <f t="shared" si="7"/>
        <v>7115384.615384615</v>
      </c>
      <c r="AI33" s="48"/>
      <c r="AJ33" s="44" t="str">
        <f t="shared" si="8"/>
        <v xml:space="preserve">    Proposed 2026 Issuance (30-year)</v>
      </c>
      <c r="AK33" s="49"/>
      <c r="AL33" s="56">
        <f t="shared" si="9"/>
        <v>7115384.615384615</v>
      </c>
      <c r="AM33" s="49"/>
      <c r="AN33" s="175">
        <f t="shared" si="10"/>
        <v>5.7989555555555551E-2</v>
      </c>
      <c r="AO33" s="49"/>
      <c r="AP33" s="175">
        <f t="shared" si="14"/>
        <v>5.833E-2</v>
      </c>
      <c r="AQ33" s="49"/>
      <c r="AR33" s="53">
        <f>AH123</f>
        <v>2440.9722222222217</v>
      </c>
      <c r="AS33" s="49"/>
      <c r="AT33" s="53">
        <f t="shared" si="78"/>
        <v>415040</v>
      </c>
      <c r="AU33" s="49"/>
      <c r="AV33" s="53"/>
      <c r="AW33" s="49"/>
      <c r="AX33" s="53">
        <f t="shared" si="12"/>
        <v>91215.27777777781</v>
      </c>
      <c r="AY33" s="49"/>
      <c r="AZ33" s="53"/>
      <c r="BA33" s="49"/>
      <c r="BB33" s="53">
        <f t="shared" si="79"/>
        <v>7024169.337606837</v>
      </c>
      <c r="BF33" s="56"/>
      <c r="BH33" s="100"/>
      <c r="BI33" s="52"/>
      <c r="BJ33" s="77"/>
      <c r="BV33" s="44"/>
    </row>
    <row r="34" spans="1:76" x14ac:dyDescent="0.25">
      <c r="A34" s="48">
        <f t="shared" si="0"/>
        <v>25</v>
      </c>
      <c r="B34" s="98" t="s">
        <v>192</v>
      </c>
      <c r="C34" s="175">
        <v>5.5995500000000004E-2</v>
      </c>
      <c r="D34" s="61">
        <v>46280</v>
      </c>
      <c r="E34" s="61">
        <v>49949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3">
        <v>9250000</v>
      </c>
      <c r="AE34" s="53">
        <f t="shared" si="75"/>
        <v>9250000</v>
      </c>
      <c r="AF34" s="53">
        <f t="shared" si="76"/>
        <v>9250000</v>
      </c>
      <c r="AG34" s="53">
        <f t="shared" si="77"/>
        <v>9250000</v>
      </c>
      <c r="AH34" s="56">
        <f t="shared" si="7"/>
        <v>2846153.846153846</v>
      </c>
      <c r="AI34" s="48"/>
      <c r="AJ34" s="44" t="str">
        <f t="shared" si="8"/>
        <v xml:space="preserve">    Proposed 2026 Issuance (10-year)</v>
      </c>
      <c r="AK34" s="49"/>
      <c r="AL34" s="56">
        <f t="shared" si="9"/>
        <v>2846153.846153846</v>
      </c>
      <c r="AM34" s="49"/>
      <c r="AN34" s="175">
        <f t="shared" si="10"/>
        <v>5.5995500000000004E-2</v>
      </c>
      <c r="AO34" s="49"/>
      <c r="AP34" s="175">
        <f t="shared" si="14"/>
        <v>5.6939999999999998E-2</v>
      </c>
      <c r="AQ34" s="49"/>
      <c r="AR34" s="53">
        <f>AH124</f>
        <v>2697.916666666667</v>
      </c>
      <c r="AS34" s="49"/>
      <c r="AT34" s="53">
        <f t="shared" si="78"/>
        <v>162060</v>
      </c>
      <c r="AU34" s="49"/>
      <c r="AV34" s="53"/>
      <c r="AW34" s="49"/>
      <c r="AX34" s="53">
        <f t="shared" si="12"/>
        <v>90958.333333333343</v>
      </c>
      <c r="AY34" s="49"/>
      <c r="AZ34" s="53"/>
      <c r="BA34" s="49"/>
      <c r="BB34" s="53">
        <f t="shared" si="79"/>
        <v>2755195.5128205125</v>
      </c>
      <c r="BF34" s="56"/>
      <c r="BH34" s="100"/>
      <c r="BI34" s="52"/>
      <c r="BJ34" s="77"/>
      <c r="BV34" s="44"/>
    </row>
    <row r="35" spans="1:76" x14ac:dyDescent="0.25">
      <c r="A35" s="48">
        <f t="shared" si="0"/>
        <v>26</v>
      </c>
      <c r="B35" s="98" t="s">
        <v>193</v>
      </c>
      <c r="C35" s="175">
        <v>5.7989555555555551E-2</v>
      </c>
      <c r="D35" s="61">
        <v>46280</v>
      </c>
      <c r="E35" s="61">
        <v>57254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f>AD34</f>
        <v>9250000</v>
      </c>
      <c r="AE35" s="53">
        <f t="shared" si="75"/>
        <v>9250000</v>
      </c>
      <c r="AF35" s="53">
        <f t="shared" si="76"/>
        <v>9250000</v>
      </c>
      <c r="AG35" s="53">
        <f t="shared" si="77"/>
        <v>9250000</v>
      </c>
      <c r="AH35" s="56">
        <f t="shared" si="7"/>
        <v>2846153.846153846</v>
      </c>
      <c r="AI35" s="48"/>
      <c r="AJ35" s="44" t="str">
        <f t="shared" si="8"/>
        <v xml:space="preserve">    Proposed 2026 Issuance (30-year)</v>
      </c>
      <c r="AK35" s="49"/>
      <c r="AL35" s="56">
        <f t="shared" si="9"/>
        <v>2846153.846153846</v>
      </c>
      <c r="AM35" s="49"/>
      <c r="AN35" s="175">
        <f t="shared" si="10"/>
        <v>5.7989555555555551E-2</v>
      </c>
      <c r="AO35" s="49"/>
      <c r="AP35" s="175">
        <f t="shared" si="14"/>
        <v>5.8310000000000001E-2</v>
      </c>
      <c r="AQ35" s="49"/>
      <c r="AR35" s="53">
        <f>AH125</f>
        <v>899.30555555555554</v>
      </c>
      <c r="AS35" s="49"/>
      <c r="AT35" s="53">
        <f>ROUND(AP35*AL35,0)</f>
        <v>165959</v>
      </c>
      <c r="AU35" s="49"/>
      <c r="AV35" s="53"/>
      <c r="AW35" s="49"/>
      <c r="AX35" s="53">
        <f t="shared" si="12"/>
        <v>91986.111111111124</v>
      </c>
      <c r="AY35" s="49"/>
      <c r="AZ35" s="53"/>
      <c r="BA35" s="49"/>
      <c r="BB35" s="53">
        <f t="shared" si="79"/>
        <v>2754167.735042735</v>
      </c>
      <c r="BF35" s="56"/>
      <c r="BH35" s="100"/>
      <c r="BI35" s="52"/>
      <c r="BJ35" s="77"/>
      <c r="BV35" s="44"/>
    </row>
    <row r="36" spans="1:76" x14ac:dyDescent="0.25">
      <c r="A36" s="48">
        <f t="shared" si="0"/>
        <v>27</v>
      </c>
      <c r="C36" s="175"/>
      <c r="D36" s="61"/>
      <c r="E36" s="61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6"/>
      <c r="AI36" s="48"/>
      <c r="AK36" s="49"/>
      <c r="AL36" s="53"/>
      <c r="AM36" s="49"/>
      <c r="AN36" s="49"/>
      <c r="AO36" s="49"/>
      <c r="AP36" s="175"/>
      <c r="AQ36" s="49"/>
      <c r="AR36" s="53"/>
      <c r="AS36" s="49"/>
      <c r="AT36" s="53"/>
      <c r="AU36" s="49"/>
      <c r="AV36" s="53"/>
      <c r="AW36" s="49"/>
      <c r="AX36" s="53"/>
      <c r="AY36" s="49"/>
      <c r="AZ36" s="53"/>
      <c r="BA36" s="49"/>
      <c r="BB36" s="53"/>
      <c r="BF36" s="56"/>
      <c r="BH36" s="100"/>
      <c r="BI36" s="52"/>
      <c r="BJ36" s="77"/>
      <c r="BV36" s="44"/>
    </row>
    <row r="37" spans="1:76" x14ac:dyDescent="0.25">
      <c r="A37" s="48">
        <f t="shared" si="0"/>
        <v>28</v>
      </c>
      <c r="C37" s="175"/>
      <c r="D37" s="61"/>
      <c r="E37" s="61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6"/>
      <c r="AI37" s="48"/>
      <c r="AJ37" s="58" t="s">
        <v>143</v>
      </c>
      <c r="AK37" s="49"/>
      <c r="AL37" s="53">
        <v>0</v>
      </c>
      <c r="AM37" s="49"/>
      <c r="AN37" s="49">
        <v>0</v>
      </c>
      <c r="AO37" s="49"/>
      <c r="AP37" s="175">
        <v>0</v>
      </c>
      <c r="AQ37" s="49"/>
      <c r="AR37" s="53">
        <f>AH127</f>
        <v>45636</v>
      </c>
      <c r="AS37" s="49"/>
      <c r="AT37" s="53">
        <f t="shared" si="15"/>
        <v>0</v>
      </c>
      <c r="AU37" s="49"/>
      <c r="AV37" s="53">
        <v>0</v>
      </c>
      <c r="AW37" s="49"/>
      <c r="AX37" s="53">
        <f>AH81</f>
        <v>590838.73999999941</v>
      </c>
      <c r="AY37" s="49"/>
      <c r="AZ37" s="53"/>
      <c r="BA37" s="49"/>
      <c r="BB37" s="53">
        <f t="shared" si="13"/>
        <v>-590838.73999999941</v>
      </c>
      <c r="BF37" s="56"/>
      <c r="BH37" s="100"/>
      <c r="BI37" s="52"/>
      <c r="BJ37" s="77"/>
      <c r="BV37" s="44"/>
    </row>
    <row r="38" spans="1:76" x14ac:dyDescent="0.25">
      <c r="A38" s="48">
        <f t="shared" si="0"/>
        <v>29</v>
      </c>
      <c r="C38" s="175"/>
      <c r="D38" s="61"/>
      <c r="E38" s="61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48"/>
      <c r="AK38" s="49"/>
      <c r="AL38" s="53"/>
      <c r="AM38" s="49"/>
      <c r="AN38" s="49"/>
      <c r="AO38" s="49"/>
      <c r="AP38" s="49"/>
      <c r="AQ38" s="49"/>
      <c r="AR38" s="53"/>
      <c r="AS38" s="49"/>
      <c r="AT38" s="53"/>
      <c r="AU38" s="49"/>
      <c r="AV38" s="53"/>
      <c r="AW38" s="49"/>
      <c r="AX38" s="53"/>
      <c r="AY38" s="49"/>
      <c r="AZ38" s="53"/>
      <c r="BA38" s="49"/>
      <c r="BB38" s="53"/>
      <c r="BD38" s="44"/>
      <c r="BF38" s="56"/>
      <c r="BG38" s="56"/>
      <c r="BH38" s="100"/>
      <c r="BI38" s="52"/>
      <c r="BJ38" s="77"/>
      <c r="BL38" s="56"/>
      <c r="BM38" s="56"/>
      <c r="BN38" s="56"/>
      <c r="BO38" s="56"/>
      <c r="BP38" s="56"/>
      <c r="BQ38" s="56"/>
      <c r="BR38" s="56"/>
      <c r="BV38" s="44"/>
    </row>
    <row r="39" spans="1:76" x14ac:dyDescent="0.25">
      <c r="A39" s="48">
        <f t="shared" si="0"/>
        <v>30</v>
      </c>
      <c r="D39" s="61"/>
      <c r="E39" s="61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48"/>
      <c r="AL39" s="53"/>
      <c r="AR39" s="53"/>
      <c r="AT39" s="53"/>
      <c r="AV39" s="53"/>
      <c r="AX39" s="53"/>
      <c r="AZ39" s="53"/>
      <c r="BB39" s="53"/>
      <c r="BH39" s="100"/>
      <c r="BJ39" s="77"/>
      <c r="BU39" s="44"/>
    </row>
    <row r="40" spans="1:76" ht="15.75" thickBot="1" x14ac:dyDescent="0.3">
      <c r="A40" s="48">
        <f t="shared" si="0"/>
        <v>31</v>
      </c>
      <c r="B40" s="44" t="s">
        <v>194</v>
      </c>
      <c r="D40" s="61"/>
      <c r="E40" s="61"/>
      <c r="F40" s="158">
        <f t="shared" ref="F40:AH40" si="80">SUM(F13:F39)</f>
        <v>284749000</v>
      </c>
      <c r="G40" s="158">
        <f t="shared" si="80"/>
        <v>284749000</v>
      </c>
      <c r="H40" s="158">
        <f t="shared" si="80"/>
        <v>284749000</v>
      </c>
      <c r="I40" s="158">
        <f t="shared" si="80"/>
        <v>284749000</v>
      </c>
      <c r="J40" s="158">
        <f t="shared" si="80"/>
        <v>284749000</v>
      </c>
      <c r="K40" s="158">
        <f t="shared" si="80"/>
        <v>284749000</v>
      </c>
      <c r="L40" s="158">
        <f t="shared" si="80"/>
        <v>294749000</v>
      </c>
      <c r="M40" s="158">
        <f t="shared" si="80"/>
        <v>294749000</v>
      </c>
      <c r="N40" s="158">
        <f t="shared" si="80"/>
        <v>294749000</v>
      </c>
      <c r="O40" s="158">
        <f t="shared" si="80"/>
        <v>294749000</v>
      </c>
      <c r="P40" s="158">
        <f t="shared" si="80"/>
        <v>294749000</v>
      </c>
      <c r="Q40" s="158">
        <f t="shared" si="80"/>
        <v>294749000</v>
      </c>
      <c r="R40" s="158">
        <f t="shared" si="80"/>
        <v>307749000</v>
      </c>
      <c r="S40" s="158">
        <f t="shared" si="80"/>
        <v>307749000</v>
      </c>
      <c r="T40" s="158">
        <f t="shared" si="80"/>
        <v>307749000</v>
      </c>
      <c r="U40" s="158">
        <f t="shared" si="80"/>
        <v>307749000</v>
      </c>
      <c r="V40" s="158">
        <f t="shared" si="80"/>
        <v>307749000</v>
      </c>
      <c r="W40" s="158">
        <f t="shared" si="80"/>
        <v>307749000</v>
      </c>
      <c r="X40" s="158">
        <f t="shared" si="80"/>
        <v>326249000</v>
      </c>
      <c r="Y40" s="158">
        <f t="shared" si="80"/>
        <v>326249000</v>
      </c>
      <c r="Z40" s="158">
        <f t="shared" si="80"/>
        <v>326249000</v>
      </c>
      <c r="AA40" s="158">
        <f t="shared" si="80"/>
        <v>307249000</v>
      </c>
      <c r="AB40" s="158">
        <f t="shared" si="80"/>
        <v>307249000</v>
      </c>
      <c r="AC40" s="158">
        <f t="shared" si="80"/>
        <v>307249000</v>
      </c>
      <c r="AD40" s="178">
        <f t="shared" si="80"/>
        <v>325749000</v>
      </c>
      <c r="AE40" s="158">
        <f t="shared" si="80"/>
        <v>325749000</v>
      </c>
      <c r="AF40" s="158">
        <f t="shared" si="80"/>
        <v>325749000</v>
      </c>
      <c r="AG40" s="158">
        <f t="shared" si="80"/>
        <v>325749000</v>
      </c>
      <c r="AH40" s="178">
        <f t="shared" si="80"/>
        <v>317441307.69230777</v>
      </c>
      <c r="AI40" s="48"/>
      <c r="AJ40" s="44"/>
      <c r="AL40" s="158">
        <f>SUM(AL12:AL38)</f>
        <v>317441307.69230777</v>
      </c>
      <c r="AR40" s="158">
        <f>SUM(AR12:AR38)</f>
        <v>341713.75543930539</v>
      </c>
      <c r="AT40" s="158">
        <f>SUM(AT12:AT38)</f>
        <v>14763425</v>
      </c>
      <c r="AV40" s="158">
        <f>SUM(AV12:AV38)</f>
        <v>439011.91182251449</v>
      </c>
      <c r="AX40" s="158">
        <f>SUM(AX12:AX38)</f>
        <v>2455635.6260170937</v>
      </c>
      <c r="AZ40" s="158">
        <f>SUM(AZ12:AZ38)</f>
        <v>288083.93223275756</v>
      </c>
      <c r="BB40" s="158">
        <f>SUM(BB12:BB38)</f>
        <v>314834744.0867008</v>
      </c>
      <c r="BH40" s="100"/>
      <c r="BJ40" s="56"/>
      <c r="BL40" s="56"/>
      <c r="BU40" s="44"/>
      <c r="BW40" s="48"/>
      <c r="BX40" s="48"/>
    </row>
    <row r="41" spans="1:76" ht="15.75" thickTop="1" x14ac:dyDescent="0.25">
      <c r="A41" s="48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48"/>
      <c r="AJ41" s="179"/>
      <c r="AL41" s="44"/>
      <c r="AR41" s="44"/>
      <c r="AT41" s="44"/>
      <c r="AV41" s="44"/>
      <c r="AX41" s="44"/>
      <c r="AZ41" s="44"/>
      <c r="BB41" s="44"/>
      <c r="BL41" s="73"/>
      <c r="BU41" s="44"/>
    </row>
    <row r="42" spans="1:76" x14ac:dyDescent="0.25">
      <c r="A42" s="48"/>
      <c r="F42" s="56"/>
      <c r="I42" s="56"/>
      <c r="J42" s="56"/>
      <c r="P42" s="44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56"/>
      <c r="AI42" s="48"/>
      <c r="AJ42" s="179"/>
      <c r="AL42" s="56"/>
      <c r="AR42" s="56"/>
      <c r="AT42" s="56"/>
      <c r="AV42" s="56"/>
      <c r="AX42" s="56"/>
      <c r="AZ42" s="56"/>
      <c r="BB42" s="56"/>
      <c r="BL42" s="156"/>
      <c r="BU42" s="44"/>
    </row>
    <row r="43" spans="1:76" ht="15.75" thickBot="1" x14ac:dyDescent="0.3">
      <c r="A43" s="44"/>
      <c r="B43" s="44"/>
      <c r="C43" s="48"/>
      <c r="D43" s="48"/>
      <c r="E43" s="48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48"/>
      <c r="AJ43" s="63" t="s">
        <v>146</v>
      </c>
      <c r="AK43" s="44"/>
      <c r="AL43" s="55">
        <f>AT40/BB40</f>
        <v>4.6892616768924249E-2</v>
      </c>
      <c r="AM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U43" s="44"/>
    </row>
    <row r="44" spans="1:76" ht="15.75" thickTop="1" x14ac:dyDescent="0.25">
      <c r="A44" s="161" t="s">
        <v>159</v>
      </c>
      <c r="B44" s="44"/>
      <c r="C44" s="48"/>
      <c r="D44" s="48"/>
      <c r="E44" s="48"/>
      <c r="F44" s="44"/>
      <c r="G44" s="44"/>
      <c r="H44" s="44"/>
      <c r="I44" s="44"/>
      <c r="J44" s="44"/>
      <c r="K44" s="44"/>
      <c r="L44" s="44"/>
      <c r="M44" s="44"/>
      <c r="N44" s="44"/>
      <c r="O44" s="162" t="str">
        <f>$O$1</f>
        <v>W/P - 7-4</v>
      </c>
      <c r="P44" s="44"/>
      <c r="Q44" s="44"/>
      <c r="R44" s="44"/>
      <c r="S44" s="44"/>
      <c r="T44" s="44"/>
      <c r="V44" s="44"/>
      <c r="W44" s="44"/>
      <c r="X44" s="44"/>
      <c r="Y44" s="162" t="str">
        <f>$O$44</f>
        <v>W/P - 7-4</v>
      </c>
      <c r="Z44" s="44"/>
      <c r="AB44" s="44"/>
      <c r="AC44" s="44"/>
      <c r="AD44" s="44"/>
      <c r="AE44" s="44"/>
      <c r="AF44" s="44"/>
      <c r="AG44" s="44"/>
      <c r="AH44" s="162" t="str">
        <f>$O$44</f>
        <v>W/P - 7-4</v>
      </c>
      <c r="AI44" s="48"/>
      <c r="AK44" s="44"/>
      <c r="AM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S44" s="44"/>
    </row>
    <row r="45" spans="1:76" x14ac:dyDescent="0.25">
      <c r="A45" s="161" t="s">
        <v>160</v>
      </c>
      <c r="B45" s="44"/>
      <c r="C45" s="48"/>
      <c r="D45" s="48"/>
      <c r="E45" s="48"/>
      <c r="F45" s="44"/>
      <c r="G45" s="44"/>
      <c r="H45" s="44"/>
      <c r="I45" s="44"/>
      <c r="J45" s="44"/>
      <c r="K45" s="44"/>
      <c r="L45" s="44"/>
      <c r="M45" s="44"/>
      <c r="N45" s="44"/>
      <c r="O45" s="162" t="str">
        <f>O2</f>
        <v>KAW_R_PSCHDR_NUM002_100625_Attachment   Sch J WPs</v>
      </c>
      <c r="P45" s="44"/>
      <c r="Q45" s="44"/>
      <c r="R45" s="44"/>
      <c r="S45" s="44"/>
      <c r="T45" s="44"/>
      <c r="U45" s="44"/>
      <c r="V45" s="44"/>
      <c r="W45" s="44"/>
      <c r="X45" s="44"/>
      <c r="Y45" s="162" t="str">
        <f>Y2</f>
        <v>KAW_R_PSCHDR_NUM002_100625_Attachment   Sch J WPs</v>
      </c>
      <c r="Z45" s="44"/>
      <c r="AB45" s="44"/>
      <c r="AC45" s="44"/>
      <c r="AD45" s="44"/>
      <c r="AE45" s="44"/>
      <c r="AF45" s="44"/>
      <c r="AG45" s="44"/>
      <c r="AH45" s="162" t="str">
        <f>AH2</f>
        <v>KAW_R_PSCHDR_NUM002_100625_Attachment   Sch J WPs</v>
      </c>
      <c r="AI45" s="48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S45" s="44"/>
    </row>
    <row r="46" spans="1:76" x14ac:dyDescent="0.25">
      <c r="A46" s="161"/>
      <c r="B46" s="44"/>
      <c r="C46" s="48"/>
      <c r="D46" s="48"/>
      <c r="E46" s="48"/>
      <c r="F46" s="44"/>
      <c r="G46" s="44"/>
      <c r="H46" s="44"/>
      <c r="I46" s="44"/>
      <c r="J46" s="44"/>
      <c r="K46" s="44"/>
      <c r="L46" s="44"/>
      <c r="M46" s="44"/>
      <c r="N46" s="44"/>
      <c r="O46" s="162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8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S46" s="44"/>
    </row>
    <row r="47" spans="1:76" x14ac:dyDescent="0.25">
      <c r="A47" s="57" t="s">
        <v>161</v>
      </c>
      <c r="P47" s="44"/>
      <c r="AI47" s="48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</row>
    <row r="48" spans="1:76" x14ac:dyDescent="0.25">
      <c r="A48" s="57" t="s">
        <v>195</v>
      </c>
      <c r="P48" s="44"/>
      <c r="AI48" s="48"/>
      <c r="BS48" s="44"/>
    </row>
    <row r="49" spans="1:72" x14ac:dyDescent="0.25">
      <c r="C49" s="180"/>
      <c r="D49" s="180"/>
      <c r="E49" s="180"/>
      <c r="P49" s="44"/>
      <c r="AI49" s="48"/>
      <c r="BS49" s="44"/>
    </row>
    <row r="50" spans="1:72" x14ac:dyDescent="0.25">
      <c r="A50" s="166"/>
      <c r="B50" s="166" t="s">
        <v>124</v>
      </c>
      <c r="C50" s="166"/>
      <c r="D50" s="166"/>
      <c r="E50" s="166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48"/>
      <c r="BS50" s="44"/>
      <c r="BT50" s="40">
        <v>2</v>
      </c>
    </row>
    <row r="51" spans="1:72" x14ac:dyDescent="0.25">
      <c r="A51" s="48" t="s">
        <v>86</v>
      </c>
      <c r="B51" s="48" t="s">
        <v>165</v>
      </c>
      <c r="C51" s="48" t="s">
        <v>115</v>
      </c>
      <c r="D51" s="48"/>
      <c r="E51" s="48"/>
      <c r="F51" s="48" t="s">
        <v>166</v>
      </c>
      <c r="G51" s="48" t="s">
        <v>166</v>
      </c>
      <c r="H51" s="48" t="s">
        <v>166</v>
      </c>
      <c r="I51" s="48" t="s">
        <v>166</v>
      </c>
      <c r="J51" s="48" t="s">
        <v>166</v>
      </c>
      <c r="K51" s="48" t="s">
        <v>166</v>
      </c>
      <c r="L51" s="48" t="s">
        <v>166</v>
      </c>
      <c r="M51" s="48" t="s">
        <v>166</v>
      </c>
      <c r="N51" s="48" t="s">
        <v>166</v>
      </c>
      <c r="O51" s="48" t="s">
        <v>166</v>
      </c>
      <c r="P51" s="48" t="s">
        <v>166</v>
      </c>
      <c r="Q51" s="48" t="s">
        <v>166</v>
      </c>
      <c r="R51" s="48" t="s">
        <v>166</v>
      </c>
      <c r="S51" s="48" t="s">
        <v>166</v>
      </c>
      <c r="T51" s="48" t="s">
        <v>166</v>
      </c>
      <c r="U51" s="48" t="s">
        <v>166</v>
      </c>
      <c r="V51" s="48" t="s">
        <v>166</v>
      </c>
      <c r="W51" s="48" t="s">
        <v>166</v>
      </c>
      <c r="X51" s="48" t="s">
        <v>166</v>
      </c>
      <c r="Y51" s="48" t="s">
        <v>166</v>
      </c>
      <c r="Z51" s="48" t="s">
        <v>166</v>
      </c>
      <c r="AA51" s="48" t="s">
        <v>166</v>
      </c>
      <c r="AB51" s="48" t="s">
        <v>166</v>
      </c>
      <c r="AC51" s="48" t="s">
        <v>166</v>
      </c>
      <c r="AD51" s="48" t="s">
        <v>166</v>
      </c>
      <c r="AE51" s="48" t="s">
        <v>166</v>
      </c>
      <c r="AF51" s="48" t="s">
        <v>166</v>
      </c>
      <c r="AG51" s="48" t="s">
        <v>166</v>
      </c>
      <c r="AH51" s="48" t="s">
        <v>85</v>
      </c>
      <c r="AI51" s="48"/>
      <c r="BS51" s="44"/>
    </row>
    <row r="52" spans="1:72" x14ac:dyDescent="0.25">
      <c r="A52" s="169" t="s">
        <v>91</v>
      </c>
      <c r="B52" s="169" t="s">
        <v>118</v>
      </c>
      <c r="C52" s="169" t="s">
        <v>118</v>
      </c>
      <c r="D52" s="169" t="s">
        <v>168</v>
      </c>
      <c r="E52" s="169" t="s">
        <v>169</v>
      </c>
      <c r="F52" s="170">
        <f>F$9</f>
        <v>45565</v>
      </c>
      <c r="G52" s="170">
        <f t="shared" ref="G52:AG52" si="81">G$9</f>
        <v>45596</v>
      </c>
      <c r="H52" s="170">
        <f t="shared" si="81"/>
        <v>45626</v>
      </c>
      <c r="I52" s="170">
        <f t="shared" si="81"/>
        <v>45657</v>
      </c>
      <c r="J52" s="170">
        <f t="shared" si="81"/>
        <v>45688</v>
      </c>
      <c r="K52" s="170">
        <f t="shared" si="81"/>
        <v>45716</v>
      </c>
      <c r="L52" s="170">
        <f t="shared" si="81"/>
        <v>45747</v>
      </c>
      <c r="M52" s="170">
        <f t="shared" si="81"/>
        <v>45777</v>
      </c>
      <c r="N52" s="170">
        <f t="shared" si="81"/>
        <v>45808</v>
      </c>
      <c r="O52" s="170">
        <f t="shared" si="81"/>
        <v>45838</v>
      </c>
      <c r="P52" s="170">
        <f t="shared" si="81"/>
        <v>45869</v>
      </c>
      <c r="Q52" s="170">
        <f t="shared" si="81"/>
        <v>45900</v>
      </c>
      <c r="R52" s="170">
        <f t="shared" si="81"/>
        <v>45930</v>
      </c>
      <c r="S52" s="170">
        <f t="shared" si="81"/>
        <v>45961</v>
      </c>
      <c r="T52" s="170">
        <f t="shared" si="81"/>
        <v>45991</v>
      </c>
      <c r="U52" s="170">
        <f t="shared" si="81"/>
        <v>46022</v>
      </c>
      <c r="V52" s="170">
        <f t="shared" si="81"/>
        <v>46053</v>
      </c>
      <c r="W52" s="170">
        <f t="shared" si="81"/>
        <v>46081</v>
      </c>
      <c r="X52" s="170">
        <f t="shared" si="81"/>
        <v>46112</v>
      </c>
      <c r="Y52" s="170">
        <f t="shared" si="81"/>
        <v>46142</v>
      </c>
      <c r="Z52" s="170">
        <f t="shared" si="81"/>
        <v>46173</v>
      </c>
      <c r="AA52" s="170">
        <f t="shared" si="81"/>
        <v>46203</v>
      </c>
      <c r="AB52" s="170">
        <f t="shared" si="81"/>
        <v>46234</v>
      </c>
      <c r="AC52" s="170">
        <f t="shared" si="81"/>
        <v>46265</v>
      </c>
      <c r="AD52" s="170">
        <f t="shared" si="81"/>
        <v>46295</v>
      </c>
      <c r="AE52" s="170">
        <f t="shared" si="81"/>
        <v>46326</v>
      </c>
      <c r="AF52" s="170">
        <f t="shared" si="81"/>
        <v>46356</v>
      </c>
      <c r="AG52" s="170">
        <f t="shared" si="81"/>
        <v>46387</v>
      </c>
      <c r="AH52" s="171" t="s">
        <v>90</v>
      </c>
      <c r="AI52" s="48"/>
      <c r="BS52" s="44"/>
    </row>
    <row r="53" spans="1:72" x14ac:dyDescent="0.25">
      <c r="A53" s="48">
        <v>1</v>
      </c>
      <c r="AI53" s="48"/>
      <c r="BS53" s="44"/>
    </row>
    <row r="54" spans="1:72" x14ac:dyDescent="0.25">
      <c r="A54" s="48">
        <f>A53+1</f>
        <v>2</v>
      </c>
      <c r="AI54" s="48"/>
    </row>
    <row r="55" spans="1:72" x14ac:dyDescent="0.25">
      <c r="A55" s="48">
        <f t="shared" ref="A55:A85" si="82">A54+1</f>
        <v>3</v>
      </c>
      <c r="B55" s="58" t="s">
        <v>175</v>
      </c>
      <c r="AI55" s="48"/>
    </row>
    <row r="56" spans="1:72" x14ac:dyDescent="0.25">
      <c r="A56" s="48">
        <f t="shared" si="82"/>
        <v>4</v>
      </c>
      <c r="B56" s="176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48"/>
    </row>
    <row r="57" spans="1:72" x14ac:dyDescent="0.25">
      <c r="A57" s="48">
        <f t="shared" si="82"/>
        <v>5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48"/>
    </row>
    <row r="58" spans="1:72" x14ac:dyDescent="0.25">
      <c r="A58" s="48">
        <f t="shared" si="82"/>
        <v>6</v>
      </c>
      <c r="B58" s="44" t="str">
        <f t="shared" ref="B58:E79" si="83">B14</f>
        <v xml:space="preserve">    Series 7.15%   GMB</v>
      </c>
      <c r="C58" s="175">
        <f t="shared" si="83"/>
        <v>7.1499999999999994E-2</v>
      </c>
      <c r="D58" s="61">
        <f t="shared" si="83"/>
        <v>35462</v>
      </c>
      <c r="E58" s="61">
        <f t="shared" si="83"/>
        <v>46419</v>
      </c>
      <c r="F58" s="53">
        <f t="shared" ref="F58:H62" si="84">G58+F104</f>
        <v>5675.6199999999963</v>
      </c>
      <c r="G58" s="53">
        <f t="shared" si="84"/>
        <v>5474.1199999999963</v>
      </c>
      <c r="H58" s="53">
        <f t="shared" si="84"/>
        <v>5272.6199999999963</v>
      </c>
      <c r="I58" s="53">
        <v>5071.1199999999963</v>
      </c>
      <c r="J58" s="53">
        <f t="shared" ref="J58:AE58" si="85">I58-J104</f>
        <v>4869.6199999999963</v>
      </c>
      <c r="K58" s="53">
        <v>4681.5499999999965</v>
      </c>
      <c r="L58" s="53">
        <v>4459.8999999999969</v>
      </c>
      <c r="M58" s="53">
        <v>4258.6999999999971</v>
      </c>
      <c r="N58" s="53">
        <v>4057.4999999999973</v>
      </c>
      <c r="O58" s="53">
        <v>3856.2999999999975</v>
      </c>
      <c r="P58" s="53">
        <v>3655.0999999999976</v>
      </c>
      <c r="Q58" s="53">
        <v>3453.8999999999978</v>
      </c>
      <c r="R58" s="53">
        <f t="shared" si="85"/>
        <v>3252.3999999999978</v>
      </c>
      <c r="S58" s="53">
        <f t="shared" si="85"/>
        <v>3050.8999999999978</v>
      </c>
      <c r="T58" s="53">
        <f t="shared" si="85"/>
        <v>2849.3999999999978</v>
      </c>
      <c r="U58" s="53">
        <f t="shared" si="85"/>
        <v>2647.8999999999978</v>
      </c>
      <c r="V58" s="53">
        <f t="shared" si="85"/>
        <v>2446.3999999999978</v>
      </c>
      <c r="W58" s="53">
        <f t="shared" si="85"/>
        <v>2244.8999999999978</v>
      </c>
      <c r="X58" s="53">
        <f t="shared" si="85"/>
        <v>2043.3999999999978</v>
      </c>
      <c r="Y58" s="53">
        <f t="shared" si="85"/>
        <v>1841.8999999999978</v>
      </c>
      <c r="Z58" s="53">
        <f t="shared" si="85"/>
        <v>1640.3999999999978</v>
      </c>
      <c r="AA58" s="53">
        <f t="shared" si="85"/>
        <v>1438.8999999999978</v>
      </c>
      <c r="AB58" s="53">
        <f t="shared" si="85"/>
        <v>1237.3999999999978</v>
      </c>
      <c r="AC58" s="53">
        <f t="shared" si="85"/>
        <v>1035.8999999999978</v>
      </c>
      <c r="AD58" s="53">
        <f t="shared" si="85"/>
        <v>834.39999999999782</v>
      </c>
      <c r="AE58" s="53">
        <f t="shared" si="85"/>
        <v>632.89999999999782</v>
      </c>
      <c r="AF58" s="53">
        <f>AE58-AF104</f>
        <v>431.39999999999782</v>
      </c>
      <c r="AG58" s="53">
        <f>AF58-AG104</f>
        <v>229.89999999999782</v>
      </c>
      <c r="AH58" s="53">
        <f>AVERAGE(U58:AG58)</f>
        <v>1438.8999999999978</v>
      </c>
      <c r="AI58" s="48"/>
    </row>
    <row r="59" spans="1:72" x14ac:dyDescent="0.25">
      <c r="A59" s="48">
        <f t="shared" si="82"/>
        <v>7</v>
      </c>
      <c r="B59" s="44" t="str">
        <f t="shared" si="83"/>
        <v xml:space="preserve">    Series 6.99%   GMB</v>
      </c>
      <c r="C59" s="175">
        <f t="shared" si="83"/>
        <v>6.9900000000000004E-2</v>
      </c>
      <c r="D59" s="61">
        <f t="shared" si="83"/>
        <v>35947</v>
      </c>
      <c r="E59" s="61">
        <f t="shared" si="83"/>
        <v>46905</v>
      </c>
      <c r="F59" s="53">
        <f t="shared" si="84"/>
        <v>11963.000000000002</v>
      </c>
      <c r="G59" s="53">
        <f t="shared" si="84"/>
        <v>11692.150000000001</v>
      </c>
      <c r="H59" s="53">
        <f t="shared" si="84"/>
        <v>11421.300000000001</v>
      </c>
      <c r="I59" s="53">
        <v>11150.45</v>
      </c>
      <c r="J59" s="53">
        <f t="shared" ref="J59:AG59" si="86">I59-J105</f>
        <v>10879.6</v>
      </c>
      <c r="K59" s="53">
        <v>10626.81</v>
      </c>
      <c r="L59" s="53">
        <v>10328.879999999999</v>
      </c>
      <c r="M59" s="53">
        <v>10058.269999999999</v>
      </c>
      <c r="N59" s="53">
        <v>9787.659999999998</v>
      </c>
      <c r="O59" s="53">
        <v>9517.0499999999975</v>
      </c>
      <c r="P59" s="53">
        <v>9246.4399999999969</v>
      </c>
      <c r="Q59" s="53">
        <v>8975.8299999999963</v>
      </c>
      <c r="R59" s="53">
        <f t="shared" si="86"/>
        <v>8704.9799999999959</v>
      </c>
      <c r="S59" s="53">
        <f t="shared" si="86"/>
        <v>8434.1299999999956</v>
      </c>
      <c r="T59" s="53">
        <f t="shared" si="86"/>
        <v>8163.2799999999952</v>
      </c>
      <c r="U59" s="53">
        <f t="shared" si="86"/>
        <v>7892.4299999999948</v>
      </c>
      <c r="V59" s="53">
        <f t="shared" si="86"/>
        <v>7621.5799999999945</v>
      </c>
      <c r="W59" s="53">
        <f t="shared" si="86"/>
        <v>7350.7299999999941</v>
      </c>
      <c r="X59" s="53">
        <f t="shared" si="86"/>
        <v>7079.8799999999937</v>
      </c>
      <c r="Y59" s="53">
        <f t="shared" si="86"/>
        <v>6809.0299999999934</v>
      </c>
      <c r="Z59" s="53">
        <f t="shared" si="86"/>
        <v>6538.179999999993</v>
      </c>
      <c r="AA59" s="53">
        <f t="shared" si="86"/>
        <v>6267.3299999999927</v>
      </c>
      <c r="AB59" s="53">
        <f t="shared" si="86"/>
        <v>5996.4799999999923</v>
      </c>
      <c r="AC59" s="53">
        <f t="shared" si="86"/>
        <v>5725.6299999999919</v>
      </c>
      <c r="AD59" s="53">
        <f t="shared" si="86"/>
        <v>5454.7799999999916</v>
      </c>
      <c r="AE59" s="53">
        <f t="shared" si="86"/>
        <v>5183.9299999999912</v>
      </c>
      <c r="AF59" s="53">
        <f t="shared" si="86"/>
        <v>4913.0799999999908</v>
      </c>
      <c r="AG59" s="53">
        <f t="shared" si="86"/>
        <v>4642.2299999999905</v>
      </c>
      <c r="AH59" s="53">
        <f t="shared" ref="AH59:AH74" si="87">AVERAGE(U59:AG59)</f>
        <v>6267.3299999999927</v>
      </c>
      <c r="AI59" s="48"/>
    </row>
    <row r="60" spans="1:72" x14ac:dyDescent="0.25">
      <c r="A60" s="48">
        <f t="shared" si="82"/>
        <v>8</v>
      </c>
      <c r="B60" s="44" t="str">
        <f t="shared" si="83"/>
        <v xml:space="preserve">    Series 6.593%  Note</v>
      </c>
      <c r="C60" s="175">
        <f t="shared" si="83"/>
        <v>6.5930000000000002E-2</v>
      </c>
      <c r="D60" s="61">
        <f t="shared" si="83"/>
        <v>39377</v>
      </c>
      <c r="E60" s="61">
        <f t="shared" si="83"/>
        <v>50328</v>
      </c>
      <c r="F60" s="53">
        <f t="shared" si="84"/>
        <v>217574.23000000004</v>
      </c>
      <c r="G60" s="53">
        <f t="shared" si="84"/>
        <v>216192.80000000005</v>
      </c>
      <c r="H60" s="53">
        <f t="shared" si="84"/>
        <v>214811.37000000005</v>
      </c>
      <c r="I60" s="53">
        <v>213429.94000000006</v>
      </c>
      <c r="J60" s="53">
        <f t="shared" ref="J60:AG60" si="88">I60-J106</f>
        <v>212048.51000000007</v>
      </c>
      <c r="K60" s="53">
        <v>210759.18000000008</v>
      </c>
      <c r="L60" s="53">
        <v>209239.61000000007</v>
      </c>
      <c r="M60" s="53">
        <v>207858.49000000008</v>
      </c>
      <c r="N60" s="53">
        <v>206477.37000000008</v>
      </c>
      <c r="O60" s="53">
        <v>205096.25000000009</v>
      </c>
      <c r="P60" s="53">
        <v>203715.13000000009</v>
      </c>
      <c r="Q60" s="53">
        <v>202334.0100000001</v>
      </c>
      <c r="R60" s="53">
        <f t="shared" si="88"/>
        <v>200952.5800000001</v>
      </c>
      <c r="S60" s="53">
        <f t="shared" si="88"/>
        <v>199571.15000000011</v>
      </c>
      <c r="T60" s="53">
        <f t="shared" si="88"/>
        <v>198189.72000000012</v>
      </c>
      <c r="U60" s="53">
        <f t="shared" si="88"/>
        <v>196808.29000000012</v>
      </c>
      <c r="V60" s="53">
        <f t="shared" si="88"/>
        <v>195426.86000000013</v>
      </c>
      <c r="W60" s="53">
        <f t="shared" si="88"/>
        <v>194045.43000000014</v>
      </c>
      <c r="X60" s="53">
        <f t="shared" si="88"/>
        <v>192664.00000000015</v>
      </c>
      <c r="Y60" s="53">
        <f t="shared" si="88"/>
        <v>191282.57000000015</v>
      </c>
      <c r="Z60" s="53">
        <f t="shared" si="88"/>
        <v>189901.14000000016</v>
      </c>
      <c r="AA60" s="53">
        <f t="shared" si="88"/>
        <v>188519.71000000017</v>
      </c>
      <c r="AB60" s="53">
        <f t="shared" si="88"/>
        <v>187138.28000000017</v>
      </c>
      <c r="AC60" s="53">
        <f t="shared" si="88"/>
        <v>185756.85000000018</v>
      </c>
      <c r="AD60" s="53">
        <f t="shared" si="88"/>
        <v>184375.42000000019</v>
      </c>
      <c r="AE60" s="53">
        <f t="shared" si="88"/>
        <v>182993.99000000019</v>
      </c>
      <c r="AF60" s="53">
        <f t="shared" si="88"/>
        <v>181612.5600000002</v>
      </c>
      <c r="AG60" s="53">
        <f t="shared" si="88"/>
        <v>180231.13000000021</v>
      </c>
      <c r="AH60" s="53">
        <f t="shared" si="87"/>
        <v>188519.71000000017</v>
      </c>
      <c r="AI60" s="48"/>
    </row>
    <row r="61" spans="1:72" x14ac:dyDescent="0.25">
      <c r="A61" s="48">
        <f t="shared" si="82"/>
        <v>9</v>
      </c>
      <c r="B61" s="44" t="str">
        <f t="shared" si="83"/>
        <v xml:space="preserve">    Series 2.45% Note</v>
      </c>
      <c r="C61" s="175">
        <f t="shared" si="83"/>
        <v>2.4500000000000001E-2</v>
      </c>
      <c r="D61" s="61">
        <f t="shared" si="83"/>
        <v>43783</v>
      </c>
      <c r="E61" s="61">
        <f t="shared" si="83"/>
        <v>47392</v>
      </c>
      <c r="F61" s="53">
        <f t="shared" si="84"/>
        <v>294717.34999999998</v>
      </c>
      <c r="G61" s="53">
        <f t="shared" si="84"/>
        <v>289813.57999999996</v>
      </c>
      <c r="H61" s="53">
        <f t="shared" si="84"/>
        <v>284909.80999999994</v>
      </c>
      <c r="I61" s="53">
        <v>280006.03999999992</v>
      </c>
      <c r="J61" s="53">
        <f t="shared" ref="J61:AG61" si="89">I61-J107</f>
        <v>275102.2699999999</v>
      </c>
      <c r="K61" s="53">
        <v>270525.40999999992</v>
      </c>
      <c r="L61" s="53">
        <v>265131.25999999989</v>
      </c>
      <c r="M61" s="53">
        <v>260230.50999999989</v>
      </c>
      <c r="N61" s="53">
        <v>255329.75999999989</v>
      </c>
      <c r="O61" s="53">
        <v>250429.00999999989</v>
      </c>
      <c r="P61" s="53">
        <v>245528.25999999989</v>
      </c>
      <c r="Q61" s="53">
        <v>240627.50999999989</v>
      </c>
      <c r="R61" s="53">
        <f t="shared" si="89"/>
        <v>235723.7399999999</v>
      </c>
      <c r="S61" s="53">
        <f t="shared" si="89"/>
        <v>230819.96999999991</v>
      </c>
      <c r="T61" s="53">
        <f t="shared" si="89"/>
        <v>225916.19999999992</v>
      </c>
      <c r="U61" s="53">
        <f t="shared" si="89"/>
        <v>221012.42999999993</v>
      </c>
      <c r="V61" s="53">
        <f t="shared" si="89"/>
        <v>216108.65999999995</v>
      </c>
      <c r="W61" s="53">
        <f t="shared" si="89"/>
        <v>211204.88999999996</v>
      </c>
      <c r="X61" s="53">
        <f t="shared" si="89"/>
        <v>206301.11999999997</v>
      </c>
      <c r="Y61" s="53">
        <f t="shared" si="89"/>
        <v>201397.34999999998</v>
      </c>
      <c r="Z61" s="53">
        <f t="shared" si="89"/>
        <v>196493.58</v>
      </c>
      <c r="AA61" s="53">
        <f t="shared" si="89"/>
        <v>191589.81</v>
      </c>
      <c r="AB61" s="53">
        <f t="shared" si="89"/>
        <v>186686.04</v>
      </c>
      <c r="AC61" s="53">
        <f t="shared" si="89"/>
        <v>181782.27000000002</v>
      </c>
      <c r="AD61" s="53">
        <f t="shared" si="89"/>
        <v>176878.50000000003</v>
      </c>
      <c r="AE61" s="53">
        <f t="shared" si="89"/>
        <v>171974.73000000004</v>
      </c>
      <c r="AF61" s="53">
        <f t="shared" si="89"/>
        <v>167070.96000000005</v>
      </c>
      <c r="AG61" s="53">
        <f t="shared" si="89"/>
        <v>162167.19000000006</v>
      </c>
      <c r="AH61" s="53">
        <f t="shared" si="87"/>
        <v>191589.81</v>
      </c>
      <c r="AI61" s="48"/>
    </row>
    <row r="62" spans="1:72" x14ac:dyDescent="0.25">
      <c r="A62" s="48">
        <f t="shared" si="82"/>
        <v>10</v>
      </c>
      <c r="B62" s="44" t="str">
        <f t="shared" si="83"/>
        <v xml:space="preserve">    Series 2.45% Note</v>
      </c>
      <c r="C62" s="175">
        <f t="shared" si="83"/>
        <v>2.4500000000000001E-2</v>
      </c>
      <c r="D62" s="61">
        <f t="shared" si="83"/>
        <v>43783</v>
      </c>
      <c r="E62" s="61">
        <f t="shared" si="83"/>
        <v>47392</v>
      </c>
      <c r="F62" s="53">
        <f t="shared" si="84"/>
        <v>182179.82000000018</v>
      </c>
      <c r="G62" s="53">
        <f t="shared" si="84"/>
        <v>179148.55000000019</v>
      </c>
      <c r="H62" s="53">
        <f t="shared" si="84"/>
        <v>176117.2800000002</v>
      </c>
      <c r="I62" s="53">
        <v>173086.01000000021</v>
      </c>
      <c r="J62" s="53">
        <f t="shared" ref="J62:AG62" si="90">I62-J108</f>
        <v>170054.74000000022</v>
      </c>
      <c r="K62" s="53">
        <v>167225.55000000022</v>
      </c>
      <c r="L62" s="53">
        <v>163891.15000000023</v>
      </c>
      <c r="M62" s="53">
        <v>160861.75000000023</v>
      </c>
      <c r="N62" s="53">
        <v>157832.35000000024</v>
      </c>
      <c r="O62" s="53">
        <v>154802.95000000024</v>
      </c>
      <c r="P62" s="53">
        <v>151773.55000000025</v>
      </c>
      <c r="Q62" s="53">
        <v>148744.15000000026</v>
      </c>
      <c r="R62" s="53">
        <f t="shared" si="90"/>
        <v>145712.88000000027</v>
      </c>
      <c r="S62" s="53">
        <f t="shared" si="90"/>
        <v>142681.61000000028</v>
      </c>
      <c r="T62" s="53">
        <f t="shared" si="90"/>
        <v>139650.34000000029</v>
      </c>
      <c r="U62" s="53">
        <f t="shared" si="90"/>
        <v>136619.0700000003</v>
      </c>
      <c r="V62" s="53">
        <f t="shared" si="90"/>
        <v>133587.80000000031</v>
      </c>
      <c r="W62" s="53">
        <f t="shared" si="90"/>
        <v>130556.5300000003</v>
      </c>
      <c r="X62" s="53">
        <f t="shared" si="90"/>
        <v>127525.2600000003</v>
      </c>
      <c r="Y62" s="53">
        <f t="shared" si="90"/>
        <v>124493.9900000003</v>
      </c>
      <c r="Z62" s="53">
        <f t="shared" si="90"/>
        <v>121462.72000000029</v>
      </c>
      <c r="AA62" s="53">
        <f t="shared" si="90"/>
        <v>118431.45000000029</v>
      </c>
      <c r="AB62" s="53">
        <f t="shared" si="90"/>
        <v>115400.18000000028</v>
      </c>
      <c r="AC62" s="53">
        <f t="shared" si="90"/>
        <v>112368.91000000028</v>
      </c>
      <c r="AD62" s="53">
        <f t="shared" si="90"/>
        <v>109337.64000000028</v>
      </c>
      <c r="AE62" s="53">
        <f t="shared" si="90"/>
        <v>106306.37000000027</v>
      </c>
      <c r="AF62" s="53">
        <f t="shared" si="90"/>
        <v>103275.10000000027</v>
      </c>
      <c r="AG62" s="53">
        <f t="shared" si="90"/>
        <v>100243.83000000026</v>
      </c>
      <c r="AH62" s="53">
        <f t="shared" si="87"/>
        <v>118431.45000000032</v>
      </c>
      <c r="AI62" s="48"/>
    </row>
    <row r="63" spans="1:72" x14ac:dyDescent="0.25">
      <c r="A63" s="48">
        <f t="shared" si="82"/>
        <v>11</v>
      </c>
      <c r="B63" s="44" t="str">
        <f t="shared" si="83"/>
        <v xml:space="preserve">    Series 5.05%    Note</v>
      </c>
      <c r="C63" s="175">
        <f t="shared" si="83"/>
        <v>5.0500000000000003E-2</v>
      </c>
      <c r="D63" s="61">
        <f t="shared" si="83"/>
        <v>40868</v>
      </c>
      <c r="E63" s="61">
        <f t="shared" si="83"/>
        <v>50328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48"/>
    </row>
    <row r="64" spans="1:72" x14ac:dyDescent="0.25">
      <c r="A64" s="48">
        <f t="shared" si="82"/>
        <v>12</v>
      </c>
      <c r="B64" s="44" t="str">
        <f t="shared" si="83"/>
        <v xml:space="preserve">    Series 4.00%    Note</v>
      </c>
      <c r="C64" s="175">
        <f t="shared" si="83"/>
        <v>0.04</v>
      </c>
      <c r="D64" s="61">
        <f t="shared" si="83"/>
        <v>41409</v>
      </c>
      <c r="E64" s="61">
        <f t="shared" si="83"/>
        <v>50328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48"/>
    </row>
    <row r="65" spans="1:35" x14ac:dyDescent="0.25">
      <c r="A65" s="48">
        <f t="shared" si="82"/>
        <v>13</v>
      </c>
      <c r="B65" s="44" t="str">
        <f t="shared" si="83"/>
        <v xml:space="preserve">    Series 4.00%    Note</v>
      </c>
      <c r="C65" s="175">
        <f t="shared" si="83"/>
        <v>0.04</v>
      </c>
      <c r="D65" s="61">
        <f t="shared" si="83"/>
        <v>42691</v>
      </c>
      <c r="E65" s="61">
        <f t="shared" si="83"/>
        <v>53662</v>
      </c>
      <c r="F65" s="53">
        <f t="shared" ref="F65:H73" si="91">G65+F111</f>
        <v>38754.529999999977</v>
      </c>
      <c r="G65" s="53">
        <f t="shared" si="91"/>
        <v>38608.919999999976</v>
      </c>
      <c r="H65" s="53">
        <f t="shared" si="91"/>
        <v>38463.309999999976</v>
      </c>
      <c r="I65" s="53">
        <v>38317.699999999975</v>
      </c>
      <c r="J65" s="53">
        <f t="shared" ref="J65:AG65" si="92">I65-J111</f>
        <v>38172.089999999975</v>
      </c>
      <c r="K65" s="53">
        <v>38036.189999999973</v>
      </c>
      <c r="L65" s="53">
        <v>37876.019999999975</v>
      </c>
      <c r="M65" s="53">
        <v>37730.429999999978</v>
      </c>
      <c r="N65" s="53">
        <v>37584.839999999982</v>
      </c>
      <c r="O65" s="53">
        <v>37439.249999999985</v>
      </c>
      <c r="P65" s="53">
        <v>37293.659999999989</v>
      </c>
      <c r="Q65" s="53">
        <v>37148.069999999992</v>
      </c>
      <c r="R65" s="53">
        <f t="shared" si="92"/>
        <v>37002.459999999992</v>
      </c>
      <c r="S65" s="53">
        <f t="shared" si="92"/>
        <v>36856.849999999991</v>
      </c>
      <c r="T65" s="53">
        <f t="shared" si="92"/>
        <v>36711.239999999991</v>
      </c>
      <c r="U65" s="53">
        <f t="shared" si="92"/>
        <v>36565.62999999999</v>
      </c>
      <c r="V65" s="53">
        <f t="shared" si="92"/>
        <v>36420.01999999999</v>
      </c>
      <c r="W65" s="53">
        <f t="shared" si="92"/>
        <v>36274.409999999989</v>
      </c>
      <c r="X65" s="53">
        <f t="shared" si="92"/>
        <v>36128.799999999988</v>
      </c>
      <c r="Y65" s="53">
        <f t="shared" si="92"/>
        <v>35983.189999999988</v>
      </c>
      <c r="Z65" s="53">
        <f t="shared" si="92"/>
        <v>35837.579999999987</v>
      </c>
      <c r="AA65" s="53">
        <f t="shared" si="92"/>
        <v>35691.969999999987</v>
      </c>
      <c r="AB65" s="53">
        <f t="shared" si="92"/>
        <v>35546.359999999986</v>
      </c>
      <c r="AC65" s="53">
        <f t="shared" si="92"/>
        <v>35400.749999999985</v>
      </c>
      <c r="AD65" s="53">
        <f t="shared" si="92"/>
        <v>35255.139999999985</v>
      </c>
      <c r="AE65" s="53">
        <f t="shared" si="92"/>
        <v>35109.529999999984</v>
      </c>
      <c r="AF65" s="53">
        <f t="shared" si="92"/>
        <v>34963.919999999984</v>
      </c>
      <c r="AG65" s="53">
        <f t="shared" si="92"/>
        <v>34818.309999999983</v>
      </c>
      <c r="AH65" s="53">
        <f t="shared" si="87"/>
        <v>35691.969999999987</v>
      </c>
      <c r="AI65" s="48"/>
    </row>
    <row r="66" spans="1:35" x14ac:dyDescent="0.25">
      <c r="A66" s="48">
        <f t="shared" si="82"/>
        <v>14</v>
      </c>
      <c r="B66" s="44" t="str">
        <f t="shared" si="83"/>
        <v xml:space="preserve">    Series 3.75%    Note</v>
      </c>
      <c r="C66" s="175">
        <f t="shared" si="83"/>
        <v>3.7499999999999999E-2</v>
      </c>
      <c r="D66" s="61">
        <f t="shared" si="83"/>
        <v>42991</v>
      </c>
      <c r="E66" s="61">
        <f t="shared" si="83"/>
        <v>53936</v>
      </c>
      <c r="F66" s="53">
        <f t="shared" si="91"/>
        <v>39680.719999999994</v>
      </c>
      <c r="G66" s="53">
        <f t="shared" si="91"/>
        <v>39536.509999999995</v>
      </c>
      <c r="H66" s="53">
        <f t="shared" si="91"/>
        <v>39392.299999999996</v>
      </c>
      <c r="I66" s="53">
        <v>39248.089999999997</v>
      </c>
      <c r="J66" s="53">
        <f t="shared" ref="J66:AG66" si="93">I66-J112</f>
        <v>39103.879999999997</v>
      </c>
      <c r="K66" s="53">
        <v>38969.279999999999</v>
      </c>
      <c r="L66" s="53">
        <v>38810.65</v>
      </c>
      <c r="M66" s="53">
        <v>38666.46</v>
      </c>
      <c r="N66" s="53">
        <v>38522.269999999997</v>
      </c>
      <c r="O66" s="53">
        <v>38378.079999999994</v>
      </c>
      <c r="P66" s="53">
        <v>38233.889999999992</v>
      </c>
      <c r="Q66" s="53">
        <v>38089.69999999999</v>
      </c>
      <c r="R66" s="53">
        <f t="shared" si="93"/>
        <v>37945.489999999991</v>
      </c>
      <c r="S66" s="53">
        <f t="shared" si="93"/>
        <v>37801.279999999992</v>
      </c>
      <c r="T66" s="53">
        <f t="shared" si="93"/>
        <v>37657.069999999992</v>
      </c>
      <c r="U66" s="53">
        <f t="shared" si="93"/>
        <v>37512.859999999993</v>
      </c>
      <c r="V66" s="53">
        <f t="shared" si="93"/>
        <v>37368.649999999994</v>
      </c>
      <c r="W66" s="53">
        <f t="shared" si="93"/>
        <v>37224.439999999995</v>
      </c>
      <c r="X66" s="53">
        <f t="shared" si="93"/>
        <v>37080.229999999996</v>
      </c>
      <c r="Y66" s="53">
        <f t="shared" si="93"/>
        <v>36936.019999999997</v>
      </c>
      <c r="Z66" s="53">
        <f t="shared" si="93"/>
        <v>36791.81</v>
      </c>
      <c r="AA66" s="53">
        <f t="shared" si="93"/>
        <v>36647.599999999999</v>
      </c>
      <c r="AB66" s="53">
        <f t="shared" si="93"/>
        <v>36503.39</v>
      </c>
      <c r="AC66" s="53">
        <f t="shared" si="93"/>
        <v>36359.18</v>
      </c>
      <c r="AD66" s="53">
        <f t="shared" si="93"/>
        <v>36214.97</v>
      </c>
      <c r="AE66" s="53">
        <f t="shared" si="93"/>
        <v>36070.76</v>
      </c>
      <c r="AF66" s="53">
        <f t="shared" si="93"/>
        <v>35926.550000000003</v>
      </c>
      <c r="AG66" s="53">
        <f t="shared" si="93"/>
        <v>35782.340000000004</v>
      </c>
      <c r="AH66" s="53">
        <f t="shared" si="87"/>
        <v>36647.600000000006</v>
      </c>
      <c r="AI66" s="48"/>
    </row>
    <row r="67" spans="1:35" x14ac:dyDescent="0.25">
      <c r="A67" s="48">
        <f t="shared" si="82"/>
        <v>15</v>
      </c>
      <c r="B67" s="44" t="str">
        <f t="shared" si="83"/>
        <v xml:space="preserve">    Series 4.15%    Note</v>
      </c>
      <c r="C67" s="175">
        <f t="shared" si="83"/>
        <v>4.1500000000000002E-2</v>
      </c>
      <c r="D67" s="61">
        <f t="shared" si="83"/>
        <v>43607</v>
      </c>
      <c r="E67" s="61">
        <f t="shared" si="83"/>
        <v>54575</v>
      </c>
      <c r="F67" s="53">
        <f t="shared" si="91"/>
        <v>136979.44000000012</v>
      </c>
      <c r="G67" s="53">
        <f t="shared" si="91"/>
        <v>136516.88000000012</v>
      </c>
      <c r="H67" s="53">
        <f t="shared" si="91"/>
        <v>136054.32000000012</v>
      </c>
      <c r="I67" s="53">
        <v>135591.76000000013</v>
      </c>
      <c r="J67" s="53">
        <f t="shared" ref="J67:AG67" si="94">I67-J113</f>
        <v>135129.20000000013</v>
      </c>
      <c r="K67" s="53">
        <v>134697.48000000013</v>
      </c>
      <c r="L67" s="53">
        <v>134188.66000000012</v>
      </c>
      <c r="M67" s="53">
        <v>133726.15000000011</v>
      </c>
      <c r="N67" s="53">
        <v>133263.6400000001</v>
      </c>
      <c r="O67" s="53">
        <v>132801.13000000009</v>
      </c>
      <c r="P67" s="53">
        <v>132338.62000000008</v>
      </c>
      <c r="Q67" s="53">
        <v>131876.11000000007</v>
      </c>
      <c r="R67" s="53">
        <f t="shared" si="94"/>
        <v>131413.55000000008</v>
      </c>
      <c r="S67" s="53">
        <f t="shared" si="94"/>
        <v>130950.99000000008</v>
      </c>
      <c r="T67" s="53">
        <f t="shared" si="94"/>
        <v>130488.43000000008</v>
      </c>
      <c r="U67" s="53">
        <f t="shared" si="94"/>
        <v>130025.87000000008</v>
      </c>
      <c r="V67" s="53">
        <f t="shared" si="94"/>
        <v>129563.31000000008</v>
      </c>
      <c r="W67" s="53">
        <f t="shared" si="94"/>
        <v>129100.75000000009</v>
      </c>
      <c r="X67" s="53">
        <f t="shared" si="94"/>
        <v>128638.19000000009</v>
      </c>
      <c r="Y67" s="53">
        <f t="shared" si="94"/>
        <v>128175.63000000009</v>
      </c>
      <c r="Z67" s="53">
        <f t="shared" si="94"/>
        <v>127713.07000000009</v>
      </c>
      <c r="AA67" s="53">
        <f t="shared" si="94"/>
        <v>127250.5100000001</v>
      </c>
      <c r="AB67" s="53">
        <f t="shared" si="94"/>
        <v>126787.9500000001</v>
      </c>
      <c r="AC67" s="53">
        <f t="shared" si="94"/>
        <v>126325.3900000001</v>
      </c>
      <c r="AD67" s="53">
        <f t="shared" si="94"/>
        <v>125862.8300000001</v>
      </c>
      <c r="AE67" s="53">
        <f t="shared" si="94"/>
        <v>125400.27000000011</v>
      </c>
      <c r="AF67" s="53">
        <f t="shared" si="94"/>
        <v>124937.71000000011</v>
      </c>
      <c r="AG67" s="53">
        <f t="shared" si="94"/>
        <v>124475.15000000011</v>
      </c>
      <c r="AH67" s="53">
        <f t="shared" si="87"/>
        <v>127250.5100000001</v>
      </c>
      <c r="AI67" s="48"/>
    </row>
    <row r="68" spans="1:35" x14ac:dyDescent="0.25">
      <c r="A68" s="48">
        <f t="shared" si="82"/>
        <v>16</v>
      </c>
      <c r="B68" s="44" t="str">
        <f t="shared" si="83"/>
        <v xml:space="preserve">    Series 3.25%  Note</v>
      </c>
      <c r="C68" s="175">
        <f t="shared" si="83"/>
        <v>3.2500000000000001E-2</v>
      </c>
      <c r="D68" s="61">
        <f t="shared" si="83"/>
        <v>44340</v>
      </c>
      <c r="E68" s="61">
        <f t="shared" si="83"/>
        <v>55305</v>
      </c>
      <c r="F68" s="53">
        <f t="shared" si="91"/>
        <v>123089.95000000008</v>
      </c>
      <c r="G68" s="53">
        <f t="shared" si="91"/>
        <v>122705.37000000008</v>
      </c>
      <c r="H68" s="53">
        <f t="shared" si="91"/>
        <v>122320.79000000008</v>
      </c>
      <c r="I68" s="53">
        <v>121936.21000000008</v>
      </c>
      <c r="J68" s="53">
        <f t="shared" ref="J68:AG68" si="95">I68-J114</f>
        <v>121551.63000000008</v>
      </c>
      <c r="K68" s="53">
        <v>121192.69000000008</v>
      </c>
      <c r="L68" s="53">
        <v>120769.66000000008</v>
      </c>
      <c r="M68" s="53">
        <v>120385.12000000008</v>
      </c>
      <c r="N68" s="53">
        <v>120000.58000000009</v>
      </c>
      <c r="O68" s="53">
        <v>119616.0400000001</v>
      </c>
      <c r="P68" s="53">
        <v>119231.5000000001</v>
      </c>
      <c r="Q68" s="53">
        <v>118846.96000000011</v>
      </c>
      <c r="R68" s="53">
        <f t="shared" si="95"/>
        <v>118462.38000000011</v>
      </c>
      <c r="S68" s="53">
        <f t="shared" si="95"/>
        <v>118077.8000000001</v>
      </c>
      <c r="T68" s="53">
        <f t="shared" si="95"/>
        <v>117693.2200000001</v>
      </c>
      <c r="U68" s="53">
        <f t="shared" si="95"/>
        <v>117308.6400000001</v>
      </c>
      <c r="V68" s="53">
        <f t="shared" si="95"/>
        <v>116924.0600000001</v>
      </c>
      <c r="W68" s="53">
        <f t="shared" si="95"/>
        <v>116539.4800000001</v>
      </c>
      <c r="X68" s="53">
        <f t="shared" si="95"/>
        <v>116154.9000000001</v>
      </c>
      <c r="Y68" s="53">
        <f t="shared" si="95"/>
        <v>115770.32000000009</v>
      </c>
      <c r="Z68" s="53">
        <f t="shared" si="95"/>
        <v>115385.74000000009</v>
      </c>
      <c r="AA68" s="53">
        <f t="shared" si="95"/>
        <v>115001.16000000009</v>
      </c>
      <c r="AB68" s="53">
        <f t="shared" si="95"/>
        <v>114616.58000000009</v>
      </c>
      <c r="AC68" s="53">
        <f t="shared" si="95"/>
        <v>114232.00000000009</v>
      </c>
      <c r="AD68" s="53">
        <f t="shared" si="95"/>
        <v>113847.42000000009</v>
      </c>
      <c r="AE68" s="53">
        <f t="shared" si="95"/>
        <v>113462.84000000008</v>
      </c>
      <c r="AF68" s="53">
        <f t="shared" si="95"/>
        <v>113078.26000000008</v>
      </c>
      <c r="AG68" s="53">
        <f t="shared" si="95"/>
        <v>112693.68000000008</v>
      </c>
      <c r="AH68" s="53">
        <f t="shared" si="87"/>
        <v>115001.16000000009</v>
      </c>
      <c r="AI68" s="48"/>
    </row>
    <row r="69" spans="1:35" x14ac:dyDescent="0.25">
      <c r="A69" s="48">
        <f t="shared" si="82"/>
        <v>17</v>
      </c>
      <c r="B69" s="44" t="str">
        <f t="shared" si="83"/>
        <v xml:space="preserve">    Series 4.45%  Note</v>
      </c>
      <c r="C69" s="175">
        <f t="shared" si="83"/>
        <v>4.4499999999999998E-2</v>
      </c>
      <c r="D69" s="61">
        <f t="shared" si="83"/>
        <v>44699</v>
      </c>
      <c r="E69" s="61">
        <f t="shared" si="83"/>
        <v>48366</v>
      </c>
      <c r="F69" s="53">
        <f t="shared" si="91"/>
        <v>64624.850000000064</v>
      </c>
      <c r="G69" s="53">
        <f t="shared" si="91"/>
        <v>63922.660000000062</v>
      </c>
      <c r="H69" s="53">
        <f t="shared" si="91"/>
        <v>63220.470000000059</v>
      </c>
      <c r="I69" s="53">
        <v>62518.280000000057</v>
      </c>
      <c r="J69" s="53">
        <f t="shared" ref="J69:AG69" si="96">I69-J115</f>
        <v>61816.090000000055</v>
      </c>
      <c r="K69" s="53">
        <v>61160.710000000057</v>
      </c>
      <c r="L69" s="53">
        <v>60388.300000000054</v>
      </c>
      <c r="M69" s="53">
        <v>59686.380000000056</v>
      </c>
      <c r="N69" s="53">
        <v>58984.460000000057</v>
      </c>
      <c r="O69" s="53">
        <v>58282.540000000059</v>
      </c>
      <c r="P69" s="53">
        <v>57580.620000000061</v>
      </c>
      <c r="Q69" s="53">
        <v>56878.700000000063</v>
      </c>
      <c r="R69" s="53">
        <f t="shared" si="96"/>
        <v>56176.51000000006</v>
      </c>
      <c r="S69" s="53">
        <f t="shared" si="96"/>
        <v>55474.320000000058</v>
      </c>
      <c r="T69" s="53">
        <f t="shared" si="96"/>
        <v>54772.130000000056</v>
      </c>
      <c r="U69" s="53">
        <f t="shared" si="96"/>
        <v>54069.940000000053</v>
      </c>
      <c r="V69" s="53">
        <f t="shared" si="96"/>
        <v>53367.750000000051</v>
      </c>
      <c r="W69" s="53">
        <f t="shared" si="96"/>
        <v>52665.560000000049</v>
      </c>
      <c r="X69" s="53">
        <f t="shared" si="96"/>
        <v>51963.370000000046</v>
      </c>
      <c r="Y69" s="53">
        <f t="shared" si="96"/>
        <v>51261.180000000044</v>
      </c>
      <c r="Z69" s="53">
        <f t="shared" si="96"/>
        <v>50558.990000000042</v>
      </c>
      <c r="AA69" s="53">
        <f t="shared" si="96"/>
        <v>49856.800000000039</v>
      </c>
      <c r="AB69" s="53">
        <f t="shared" si="96"/>
        <v>49154.610000000037</v>
      </c>
      <c r="AC69" s="53">
        <f t="shared" si="96"/>
        <v>48452.420000000035</v>
      </c>
      <c r="AD69" s="53">
        <f t="shared" si="96"/>
        <v>47750.230000000032</v>
      </c>
      <c r="AE69" s="53">
        <f t="shared" si="96"/>
        <v>47048.04000000003</v>
      </c>
      <c r="AF69" s="53">
        <f t="shared" si="96"/>
        <v>46345.850000000028</v>
      </c>
      <c r="AG69" s="53">
        <f t="shared" si="96"/>
        <v>45643.660000000025</v>
      </c>
      <c r="AH69" s="53">
        <f t="shared" si="87"/>
        <v>49856.800000000039</v>
      </c>
      <c r="AI69" s="48"/>
    </row>
    <row r="70" spans="1:35" x14ac:dyDescent="0.25">
      <c r="A70" s="48">
        <f t="shared" si="82"/>
        <v>18</v>
      </c>
      <c r="B70" s="44" t="str">
        <f t="shared" si="83"/>
        <v xml:space="preserve">    Series 3.875%  Note</v>
      </c>
      <c r="C70" s="175">
        <f t="shared" si="83"/>
        <v>3.875E-2</v>
      </c>
      <c r="D70" s="61">
        <f t="shared" si="83"/>
        <v>45170</v>
      </c>
      <c r="E70" s="61">
        <f t="shared" si="83"/>
        <v>46997</v>
      </c>
      <c r="F70" s="53">
        <f t="shared" si="91"/>
        <v>205021.37000000002</v>
      </c>
      <c r="G70" s="53">
        <f t="shared" si="91"/>
        <v>200662.30000000002</v>
      </c>
      <c r="H70" s="53">
        <f t="shared" si="91"/>
        <v>196303.23</v>
      </c>
      <c r="I70" s="53">
        <v>191944.16</v>
      </c>
      <c r="J70" s="53">
        <f t="shared" ref="J70:AG70" si="97">I70-J116</f>
        <v>187585.09</v>
      </c>
      <c r="K70" s="53">
        <v>183516.64</v>
      </c>
      <c r="L70" s="53">
        <v>178721.67</v>
      </c>
      <c r="M70" s="53">
        <v>174366.15000000002</v>
      </c>
      <c r="N70" s="53">
        <v>170010.63000000003</v>
      </c>
      <c r="O70" s="53">
        <v>165655.11000000004</v>
      </c>
      <c r="P70" s="53">
        <v>161299.59000000005</v>
      </c>
      <c r="Q70" s="53">
        <v>156944.07000000007</v>
      </c>
      <c r="R70" s="53">
        <f t="shared" si="97"/>
        <v>152585.00000000006</v>
      </c>
      <c r="S70" s="53">
        <f t="shared" si="97"/>
        <v>148225.93000000005</v>
      </c>
      <c r="T70" s="53">
        <f t="shared" si="97"/>
        <v>143866.86000000004</v>
      </c>
      <c r="U70" s="53">
        <f t="shared" si="97"/>
        <v>139507.79000000004</v>
      </c>
      <c r="V70" s="53">
        <f t="shared" si="97"/>
        <v>135148.72000000003</v>
      </c>
      <c r="W70" s="53">
        <f t="shared" si="97"/>
        <v>130789.65000000002</v>
      </c>
      <c r="X70" s="53">
        <f t="shared" si="97"/>
        <v>126430.58000000002</v>
      </c>
      <c r="Y70" s="53">
        <f t="shared" si="97"/>
        <v>122071.51000000001</v>
      </c>
      <c r="Z70" s="53">
        <f t="shared" si="97"/>
        <v>117712.44</v>
      </c>
      <c r="AA70" s="53">
        <f t="shared" si="97"/>
        <v>113353.37</v>
      </c>
      <c r="AB70" s="53">
        <f t="shared" si="97"/>
        <v>108994.29999999999</v>
      </c>
      <c r="AC70" s="53">
        <f t="shared" si="97"/>
        <v>104635.22999999998</v>
      </c>
      <c r="AD70" s="53">
        <f t="shared" si="97"/>
        <v>100276.15999999997</v>
      </c>
      <c r="AE70" s="53">
        <f t="shared" si="97"/>
        <v>95917.089999999967</v>
      </c>
      <c r="AF70" s="53">
        <f t="shared" si="97"/>
        <v>91558.01999999996</v>
      </c>
      <c r="AG70" s="53">
        <f t="shared" si="97"/>
        <v>87198.949999999953</v>
      </c>
      <c r="AH70" s="53">
        <f t="shared" si="87"/>
        <v>113353.36999999998</v>
      </c>
      <c r="AI70" s="48"/>
    </row>
    <row r="71" spans="1:35" x14ac:dyDescent="0.25">
      <c r="A71" s="48">
        <f t="shared" si="82"/>
        <v>19</v>
      </c>
      <c r="B71" s="44" t="str">
        <f t="shared" si="83"/>
        <v xml:space="preserve">    Series 3.625%  Note</v>
      </c>
      <c r="C71" s="175">
        <f t="shared" si="83"/>
        <v>3.6249999999999998E-2</v>
      </c>
      <c r="D71" s="61">
        <f t="shared" si="83"/>
        <v>45184</v>
      </c>
      <c r="E71" s="61">
        <f t="shared" si="83"/>
        <v>46188</v>
      </c>
      <c r="F71" s="53">
        <f t="shared" si="91"/>
        <v>164935.15000000005</v>
      </c>
      <c r="G71" s="53">
        <f t="shared" si="91"/>
        <v>156889.53000000006</v>
      </c>
      <c r="H71" s="53">
        <f t="shared" si="91"/>
        <v>148843.91000000006</v>
      </c>
      <c r="I71" s="53">
        <v>140798.29000000007</v>
      </c>
      <c r="J71" s="53">
        <f t="shared" ref="J71:Y71" si="98">I71-J117</f>
        <v>132752.67000000007</v>
      </c>
      <c r="K71" s="53">
        <v>125243.43000000007</v>
      </c>
      <c r="L71" s="53">
        <v>116393.25000000006</v>
      </c>
      <c r="M71" s="53">
        <v>108366.13000000006</v>
      </c>
      <c r="N71" s="53">
        <v>100339.01000000007</v>
      </c>
      <c r="O71" s="53">
        <v>92311.890000000072</v>
      </c>
      <c r="P71" s="53">
        <v>84284.770000000077</v>
      </c>
      <c r="Q71" s="53">
        <v>76257.650000000081</v>
      </c>
      <c r="R71" s="53">
        <f t="shared" si="98"/>
        <v>68212.030000000086</v>
      </c>
      <c r="S71" s="53">
        <f t="shared" si="98"/>
        <v>60166.410000000084</v>
      </c>
      <c r="T71" s="53">
        <f t="shared" si="98"/>
        <v>52120.790000000081</v>
      </c>
      <c r="U71" s="53">
        <f t="shared" si="98"/>
        <v>44075.170000000078</v>
      </c>
      <c r="V71" s="53">
        <f t="shared" si="98"/>
        <v>36029.550000000076</v>
      </c>
      <c r="W71" s="53">
        <f t="shared" si="98"/>
        <v>27983.930000000077</v>
      </c>
      <c r="X71" s="53">
        <f t="shared" si="98"/>
        <v>19938.310000000078</v>
      </c>
      <c r="Y71" s="53">
        <f t="shared" si="98"/>
        <v>11892.690000000079</v>
      </c>
      <c r="Z71" s="53">
        <f>Y71-Z117</f>
        <v>3847.0700000000788</v>
      </c>
      <c r="AA71" s="53">
        <v>0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  <c r="AG71" s="53">
        <v>0</v>
      </c>
      <c r="AH71" s="53">
        <f>AVERAGE(U71:AG71)</f>
        <v>11058.978461538498</v>
      </c>
      <c r="AI71" s="48"/>
    </row>
    <row r="72" spans="1:35" x14ac:dyDescent="0.25">
      <c r="A72" s="48">
        <f t="shared" si="82"/>
        <v>20</v>
      </c>
      <c r="B72" s="44" t="str">
        <f t="shared" si="83"/>
        <v xml:space="preserve">    Series 5.15%  Note</v>
      </c>
      <c r="C72" s="175">
        <f t="shared" si="83"/>
        <v>5.1499999999999997E-2</v>
      </c>
      <c r="D72" s="61">
        <f t="shared" si="83"/>
        <v>45427</v>
      </c>
      <c r="E72" s="61">
        <f t="shared" si="83"/>
        <v>49004</v>
      </c>
      <c r="F72" s="53">
        <f t="shared" si="91"/>
        <v>112106.68</v>
      </c>
      <c r="G72" s="53">
        <f t="shared" si="91"/>
        <v>111114.87999999999</v>
      </c>
      <c r="H72" s="53">
        <f t="shared" si="91"/>
        <v>110123.07999999999</v>
      </c>
      <c r="I72" s="53">
        <v>109131.27999999998</v>
      </c>
      <c r="J72" s="53">
        <f t="shared" ref="J72:Z72" si="99">I72-J118</f>
        <v>108139.47999999998</v>
      </c>
      <c r="K72" s="53">
        <v>107213.79999999999</v>
      </c>
      <c r="L72" s="53">
        <v>106122.81999999999</v>
      </c>
      <c r="M72" s="53">
        <v>105131.32999999999</v>
      </c>
      <c r="N72" s="53">
        <v>104139.83999999998</v>
      </c>
      <c r="O72" s="53">
        <v>103148.34999999998</v>
      </c>
      <c r="P72" s="53">
        <v>102156.85999999997</v>
      </c>
      <c r="Q72" s="53">
        <v>101165.36999999997</v>
      </c>
      <c r="R72" s="53">
        <f t="shared" si="99"/>
        <v>100173.56999999996</v>
      </c>
      <c r="S72" s="53">
        <f t="shared" si="99"/>
        <v>99181.76999999996</v>
      </c>
      <c r="T72" s="53">
        <f t="shared" si="99"/>
        <v>98189.969999999958</v>
      </c>
      <c r="U72" s="53">
        <f t="shared" si="99"/>
        <v>97198.169999999955</v>
      </c>
      <c r="V72" s="53">
        <f t="shared" si="99"/>
        <v>96206.369999999952</v>
      </c>
      <c r="W72" s="53">
        <f t="shared" si="99"/>
        <v>95214.569999999949</v>
      </c>
      <c r="X72" s="53">
        <f t="shared" si="99"/>
        <v>94222.769999999946</v>
      </c>
      <c r="Y72" s="53">
        <f t="shared" si="99"/>
        <v>93230.969999999943</v>
      </c>
      <c r="Z72" s="53">
        <f t="shared" si="99"/>
        <v>92239.16999999994</v>
      </c>
      <c r="AA72" s="53">
        <f t="shared" ref="AA72:AG77" si="100">Z72-AA118</f>
        <v>91247.369999999937</v>
      </c>
      <c r="AB72" s="53">
        <f t="shared" si="100"/>
        <v>90255.569999999934</v>
      </c>
      <c r="AC72" s="53">
        <f t="shared" si="100"/>
        <v>89263.769999999931</v>
      </c>
      <c r="AD72" s="53">
        <f t="shared" si="100"/>
        <v>88271.969999999928</v>
      </c>
      <c r="AE72" s="53">
        <f t="shared" si="100"/>
        <v>87280.169999999925</v>
      </c>
      <c r="AF72" s="53">
        <f t="shared" si="100"/>
        <v>86288.369999999923</v>
      </c>
      <c r="AG72" s="53">
        <f t="shared" si="100"/>
        <v>85296.56999999992</v>
      </c>
      <c r="AH72" s="53">
        <f t="shared" si="87"/>
        <v>91247.369999999937</v>
      </c>
      <c r="AI72" s="48"/>
    </row>
    <row r="73" spans="1:35" x14ac:dyDescent="0.25">
      <c r="A73" s="48">
        <f t="shared" si="82"/>
        <v>21</v>
      </c>
      <c r="B73" s="44" t="str">
        <f t="shared" si="83"/>
        <v xml:space="preserve">    Series 5.45%  Note</v>
      </c>
      <c r="C73" s="175">
        <f t="shared" si="83"/>
        <v>5.45E-2</v>
      </c>
      <c r="D73" s="61">
        <f t="shared" si="83"/>
        <v>45427</v>
      </c>
      <c r="E73" s="61">
        <f t="shared" si="83"/>
        <v>56309</v>
      </c>
      <c r="F73" s="53">
        <f t="shared" si="91"/>
        <v>147363.06999999995</v>
      </c>
      <c r="G73" s="53">
        <f t="shared" si="91"/>
        <v>146945.64999999994</v>
      </c>
      <c r="H73" s="53">
        <f t="shared" si="91"/>
        <v>146528.22999999992</v>
      </c>
      <c r="I73" s="53">
        <v>146110.80999999991</v>
      </c>
      <c r="J73" s="53">
        <f t="shared" ref="J73:Z73" si="101">I73-J119</f>
        <v>145693.3899999999</v>
      </c>
      <c r="K73" s="53">
        <v>145303.7999999999</v>
      </c>
      <c r="L73" s="53">
        <v>144844.6399999999</v>
      </c>
      <c r="M73" s="53">
        <v>144427.25999999989</v>
      </c>
      <c r="N73" s="53">
        <v>144009.87999999989</v>
      </c>
      <c r="O73" s="53">
        <v>143592.49999999988</v>
      </c>
      <c r="P73" s="53">
        <v>143175.11999999988</v>
      </c>
      <c r="Q73" s="53">
        <v>142757.73999999987</v>
      </c>
      <c r="R73" s="53">
        <f t="shared" si="101"/>
        <v>142340.31999999986</v>
      </c>
      <c r="S73" s="53">
        <f t="shared" si="101"/>
        <v>141922.89999999985</v>
      </c>
      <c r="T73" s="53">
        <f t="shared" si="101"/>
        <v>141505.47999999984</v>
      </c>
      <c r="U73" s="53">
        <f t="shared" si="101"/>
        <v>141088.05999999982</v>
      </c>
      <c r="V73" s="53">
        <f t="shared" si="101"/>
        <v>140670.63999999981</v>
      </c>
      <c r="W73" s="53">
        <f t="shared" si="101"/>
        <v>140253.2199999998</v>
      </c>
      <c r="X73" s="53">
        <f t="shared" si="101"/>
        <v>139835.79999999978</v>
      </c>
      <c r="Y73" s="53">
        <f t="shared" si="101"/>
        <v>139418.37999999977</v>
      </c>
      <c r="Z73" s="53">
        <f t="shared" si="101"/>
        <v>139000.95999999976</v>
      </c>
      <c r="AA73" s="53">
        <f t="shared" si="100"/>
        <v>138583.53999999975</v>
      </c>
      <c r="AB73" s="53">
        <f t="shared" si="100"/>
        <v>138166.11999999973</v>
      </c>
      <c r="AC73" s="53">
        <f t="shared" si="100"/>
        <v>137748.69999999972</v>
      </c>
      <c r="AD73" s="53">
        <f t="shared" si="100"/>
        <v>137331.27999999971</v>
      </c>
      <c r="AE73" s="53">
        <f t="shared" si="100"/>
        <v>136913.85999999969</v>
      </c>
      <c r="AF73" s="53">
        <f t="shared" si="100"/>
        <v>136496.43999999968</v>
      </c>
      <c r="AG73" s="53">
        <f t="shared" si="100"/>
        <v>136079.01999999967</v>
      </c>
      <c r="AH73" s="53">
        <f t="shared" si="87"/>
        <v>138583.53999999975</v>
      </c>
      <c r="AI73" s="48"/>
    </row>
    <row r="74" spans="1:35" x14ac:dyDescent="0.25">
      <c r="A74" s="48">
        <f t="shared" si="82"/>
        <v>22</v>
      </c>
      <c r="B74" s="44" t="str">
        <f t="shared" si="83"/>
        <v xml:space="preserve">    Proposed 2025 Issuance (10-year)</v>
      </c>
      <c r="C74" s="175">
        <f t="shared" si="83"/>
        <v>5.2499999999999998E-2</v>
      </c>
      <c r="D74" s="61">
        <f t="shared" si="83"/>
        <v>45731</v>
      </c>
      <c r="E74" s="61">
        <f t="shared" si="83"/>
        <v>49369</v>
      </c>
      <c r="F74" s="53"/>
      <c r="G74" s="53"/>
      <c r="H74" s="53"/>
      <c r="I74" s="53"/>
      <c r="J74" s="53"/>
      <c r="K74" s="53"/>
      <c r="L74" s="53">
        <v>64422.702000000027</v>
      </c>
      <c r="M74" s="53">
        <f t="shared" ref="M74:Z74" si="102">L74-M120</f>
        <v>63881.482000000025</v>
      </c>
      <c r="N74" s="53">
        <f t="shared" si="102"/>
        <v>63340.262000000024</v>
      </c>
      <c r="O74" s="53">
        <v>85266.152000000002</v>
      </c>
      <c r="P74" s="53">
        <v>84513.212</v>
      </c>
      <c r="Q74" s="53">
        <v>83778.532000000036</v>
      </c>
      <c r="R74" s="53">
        <f t="shared" si="102"/>
        <v>83043.852000000043</v>
      </c>
      <c r="S74" s="53">
        <f t="shared" si="102"/>
        <v>82309.17200000005</v>
      </c>
      <c r="T74" s="53">
        <f t="shared" si="102"/>
        <v>81574.492000000057</v>
      </c>
      <c r="U74" s="53">
        <f t="shared" si="102"/>
        <v>80839.812000000064</v>
      </c>
      <c r="V74" s="53">
        <f t="shared" si="102"/>
        <v>80105.132000000071</v>
      </c>
      <c r="W74" s="53">
        <f t="shared" si="102"/>
        <v>79370.452000000078</v>
      </c>
      <c r="X74" s="53">
        <f t="shared" si="102"/>
        <v>78635.772000000085</v>
      </c>
      <c r="Y74" s="53">
        <f t="shared" si="102"/>
        <v>77901.092000000092</v>
      </c>
      <c r="Z74" s="53">
        <f t="shared" si="102"/>
        <v>77166.412000000098</v>
      </c>
      <c r="AA74" s="53">
        <f t="shared" si="100"/>
        <v>76431.732000000105</v>
      </c>
      <c r="AB74" s="53">
        <f t="shared" si="100"/>
        <v>75697.052000000112</v>
      </c>
      <c r="AC74" s="53">
        <f t="shared" si="100"/>
        <v>74962.372000000119</v>
      </c>
      <c r="AD74" s="53">
        <f t="shared" si="100"/>
        <v>74227.692000000126</v>
      </c>
      <c r="AE74" s="53">
        <f t="shared" si="100"/>
        <v>73493.012000000133</v>
      </c>
      <c r="AF74" s="53">
        <f t="shared" si="100"/>
        <v>72758.33200000014</v>
      </c>
      <c r="AG74" s="53">
        <f t="shared" si="100"/>
        <v>72023.652000000147</v>
      </c>
      <c r="AH74" s="53">
        <f t="shared" si="87"/>
        <v>76431.732000000105</v>
      </c>
      <c r="AI74" s="48"/>
    </row>
    <row r="75" spans="1:35" x14ac:dyDescent="0.25">
      <c r="A75" s="48">
        <f t="shared" si="82"/>
        <v>23</v>
      </c>
      <c r="B75" s="44" t="str">
        <f t="shared" si="83"/>
        <v xml:space="preserve">    Proposed 2025 Issuance (30-year)</v>
      </c>
      <c r="C75" s="175">
        <f t="shared" si="83"/>
        <v>5.7000000000000002E-2</v>
      </c>
      <c r="D75" s="61">
        <f t="shared" si="83"/>
        <v>45915</v>
      </c>
      <c r="E75" s="61">
        <f t="shared" si="83"/>
        <v>56888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>
        <f>165866.05+40199.97-R121</f>
        <v>205779.44999999998</v>
      </c>
      <c r="S75" s="53">
        <f>R75-S121</f>
        <v>205206.3</v>
      </c>
      <c r="T75" s="53">
        <f>S75-T121</f>
        <v>204633.15</v>
      </c>
      <c r="U75" s="53">
        <f t="shared" ref="U75:Z75" si="103">T75-U121</f>
        <v>204060</v>
      </c>
      <c r="V75" s="53">
        <f t="shared" si="103"/>
        <v>203486.85</v>
      </c>
      <c r="W75" s="53">
        <f t="shared" si="103"/>
        <v>202913.7</v>
      </c>
      <c r="X75" s="53">
        <f t="shared" si="103"/>
        <v>202340.55000000002</v>
      </c>
      <c r="Y75" s="53">
        <f t="shared" si="103"/>
        <v>201767.40000000002</v>
      </c>
      <c r="Z75" s="53">
        <f t="shared" si="103"/>
        <v>201194.25000000003</v>
      </c>
      <c r="AA75" s="53">
        <f t="shared" si="100"/>
        <v>200621.10000000003</v>
      </c>
      <c r="AB75" s="53">
        <f t="shared" si="100"/>
        <v>200047.95000000004</v>
      </c>
      <c r="AC75" s="53">
        <f t="shared" si="100"/>
        <v>199474.80000000005</v>
      </c>
      <c r="AD75" s="53">
        <f t="shared" si="100"/>
        <v>198901.65000000005</v>
      </c>
      <c r="AE75" s="53">
        <f t="shared" si="100"/>
        <v>198328.50000000006</v>
      </c>
      <c r="AF75" s="53">
        <f t="shared" si="100"/>
        <v>197755.35000000006</v>
      </c>
      <c r="AG75" s="53">
        <f t="shared" si="100"/>
        <v>197182.20000000007</v>
      </c>
      <c r="AH75" s="53">
        <f t="shared" ref="AH75:AH76" si="104">AVERAGE(U75:AG75)</f>
        <v>200621.10000000006</v>
      </c>
      <c r="AI75" s="48"/>
    </row>
    <row r="76" spans="1:35" x14ac:dyDescent="0.25">
      <c r="A76" s="48">
        <f t="shared" si="82"/>
        <v>24</v>
      </c>
      <c r="B76" s="44" t="str">
        <f t="shared" si="83"/>
        <v xml:space="preserve">    Proposed 2026 Issuance (10-year)</v>
      </c>
      <c r="C76" s="175">
        <f t="shared" si="83"/>
        <v>5.5995500000000004E-2</v>
      </c>
      <c r="D76" s="61">
        <f t="shared" si="83"/>
        <v>46096</v>
      </c>
      <c r="E76" s="61">
        <f t="shared" si="83"/>
        <v>49766</v>
      </c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>
        <f>(X32*0.01)-X122</f>
        <v>92114.583333333328</v>
      </c>
      <c r="Y76" s="53">
        <f>X76-Y122</f>
        <v>91343.75</v>
      </c>
      <c r="Z76" s="53">
        <f>Y76-Z122</f>
        <v>90572.916666666672</v>
      </c>
      <c r="AA76" s="53">
        <f t="shared" si="100"/>
        <v>89802.083333333343</v>
      </c>
      <c r="AB76" s="53">
        <f t="shared" si="100"/>
        <v>89031.250000000015</v>
      </c>
      <c r="AC76" s="53">
        <f t="shared" si="100"/>
        <v>88260.416666666686</v>
      </c>
      <c r="AD76" s="53">
        <f t="shared" si="100"/>
        <v>87489.583333333358</v>
      </c>
      <c r="AE76" s="53">
        <f t="shared" si="100"/>
        <v>86718.750000000029</v>
      </c>
      <c r="AF76" s="53">
        <f t="shared" si="100"/>
        <v>85947.916666666701</v>
      </c>
      <c r="AG76" s="53">
        <f t="shared" si="100"/>
        <v>85177.083333333372</v>
      </c>
      <c r="AH76" s="53">
        <f t="shared" si="104"/>
        <v>88645.833333333343</v>
      </c>
      <c r="AI76" s="48"/>
    </row>
    <row r="77" spans="1:35" x14ac:dyDescent="0.25">
      <c r="A77" s="48">
        <f t="shared" si="82"/>
        <v>25</v>
      </c>
      <c r="B77" s="44" t="str">
        <f t="shared" si="83"/>
        <v xml:space="preserve">    Proposed 2026 Issuance (30-year)</v>
      </c>
      <c r="C77" s="175">
        <f t="shared" si="83"/>
        <v>5.7989555555555551E-2</v>
      </c>
      <c r="D77" s="61">
        <f t="shared" si="83"/>
        <v>46096</v>
      </c>
      <c r="E77" s="61">
        <f t="shared" si="83"/>
        <v>57071</v>
      </c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>
        <f>(X33*0.01)-X123</f>
        <v>92371.527777777781</v>
      </c>
      <c r="Y77" s="53">
        <f>X77-Y123</f>
        <v>92114.583333333343</v>
      </c>
      <c r="Z77" s="53">
        <f>Y77-Z123</f>
        <v>91857.638888888905</v>
      </c>
      <c r="AA77" s="53">
        <f t="shared" si="100"/>
        <v>91600.694444444467</v>
      </c>
      <c r="AB77" s="53">
        <f t="shared" si="100"/>
        <v>91343.750000000029</v>
      </c>
      <c r="AC77" s="53">
        <f t="shared" si="100"/>
        <v>91086.805555555591</v>
      </c>
      <c r="AD77" s="53">
        <f t="shared" si="100"/>
        <v>90829.861111111153</v>
      </c>
      <c r="AE77" s="53">
        <f t="shared" si="100"/>
        <v>90572.916666666715</v>
      </c>
      <c r="AF77" s="53">
        <f t="shared" si="100"/>
        <v>90315.972222222277</v>
      </c>
      <c r="AG77" s="53">
        <f t="shared" si="100"/>
        <v>90059.027777777839</v>
      </c>
      <c r="AH77" s="53">
        <f t="shared" ref="AH77" si="105">AVERAGE(U77:AG77)</f>
        <v>91215.27777777781</v>
      </c>
      <c r="AI77" s="48"/>
    </row>
    <row r="78" spans="1:35" x14ac:dyDescent="0.25">
      <c r="A78" s="48">
        <f t="shared" si="82"/>
        <v>26</v>
      </c>
      <c r="B78" s="44" t="str">
        <f t="shared" si="83"/>
        <v xml:space="preserve">    Proposed 2026 Issuance (10-year)</v>
      </c>
      <c r="C78" s="175">
        <f t="shared" si="83"/>
        <v>5.5995500000000004E-2</v>
      </c>
      <c r="D78" s="61">
        <f t="shared" si="83"/>
        <v>46280</v>
      </c>
      <c r="E78" s="61">
        <f t="shared" si="83"/>
        <v>49949</v>
      </c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>
        <f>(AD34*0.01)-AD124</f>
        <v>92114.583333333328</v>
      </c>
      <c r="AE78" s="53">
        <f t="shared" ref="AE78:AG79" si="106">AD78-AE124</f>
        <v>91343.75</v>
      </c>
      <c r="AF78" s="53">
        <f t="shared" si="106"/>
        <v>90572.916666666672</v>
      </c>
      <c r="AG78" s="53">
        <f t="shared" si="106"/>
        <v>89802.083333333343</v>
      </c>
      <c r="AH78" s="53">
        <f t="shared" ref="AH78:AH79" si="107">AVERAGE(U78:AG78)</f>
        <v>90958.333333333343</v>
      </c>
      <c r="AI78" s="48"/>
    </row>
    <row r="79" spans="1:35" x14ac:dyDescent="0.25">
      <c r="A79" s="48">
        <f t="shared" si="82"/>
        <v>27</v>
      </c>
      <c r="B79" s="44" t="str">
        <f t="shared" si="83"/>
        <v xml:space="preserve">    Proposed 2026 Issuance (30-year)</v>
      </c>
      <c r="C79" s="175">
        <f t="shared" si="83"/>
        <v>5.7989555555555551E-2</v>
      </c>
      <c r="D79" s="61">
        <f t="shared" si="83"/>
        <v>46280</v>
      </c>
      <c r="E79" s="61">
        <f t="shared" si="83"/>
        <v>57254</v>
      </c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>
        <f>(AD35*0.01)-AD125</f>
        <v>92371.527777777781</v>
      </c>
      <c r="AE79" s="53">
        <f t="shared" si="106"/>
        <v>92114.583333333343</v>
      </c>
      <c r="AF79" s="53">
        <f t="shared" si="106"/>
        <v>91857.638888888905</v>
      </c>
      <c r="AG79" s="53">
        <f t="shared" si="106"/>
        <v>91600.694444444467</v>
      </c>
      <c r="AH79" s="53">
        <f t="shared" si="107"/>
        <v>91986.111111111124</v>
      </c>
      <c r="AI79" s="48"/>
    </row>
    <row r="80" spans="1:35" x14ac:dyDescent="0.25">
      <c r="A80" s="48">
        <f t="shared" si="82"/>
        <v>28</v>
      </c>
      <c r="B80" s="44"/>
      <c r="C80" s="175"/>
      <c r="D80" s="61"/>
      <c r="E80" s="61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48"/>
    </row>
    <row r="81" spans="1:35" x14ac:dyDescent="0.25">
      <c r="A81" s="48">
        <f t="shared" si="82"/>
        <v>29</v>
      </c>
      <c r="B81" s="44" t="s">
        <v>196</v>
      </c>
      <c r="C81" s="175"/>
      <c r="D81" s="175"/>
      <c r="E81" s="175"/>
      <c r="F81" s="53">
        <f>G81+F127</f>
        <v>670701.73999999953</v>
      </c>
      <c r="G81" s="53">
        <f>H81+G127</f>
        <v>666898.73999999953</v>
      </c>
      <c r="H81" s="53">
        <f>I81+H127</f>
        <v>663095.73999999953</v>
      </c>
      <c r="I81" s="53">
        <v>659292.73999999953</v>
      </c>
      <c r="J81" s="53">
        <f t="shared" ref="J81:AG81" si="108">I81-J127</f>
        <v>655489.73999999953</v>
      </c>
      <c r="K81" s="53">
        <f t="shared" si="108"/>
        <v>651686.73999999953</v>
      </c>
      <c r="L81" s="53">
        <f t="shared" si="108"/>
        <v>647883.73999999953</v>
      </c>
      <c r="M81" s="53">
        <v>643803.40999999957</v>
      </c>
      <c r="N81" s="53">
        <v>640277.73999999953</v>
      </c>
      <c r="O81" s="53">
        <f t="shared" si="108"/>
        <v>636474.73999999953</v>
      </c>
      <c r="P81" s="53">
        <f t="shared" si="108"/>
        <v>632671.73999999953</v>
      </c>
      <c r="Q81" s="53">
        <f t="shared" si="108"/>
        <v>628868.73999999953</v>
      </c>
      <c r="R81" s="53">
        <f t="shared" si="108"/>
        <v>625065.73999999953</v>
      </c>
      <c r="S81" s="53">
        <f t="shared" si="108"/>
        <v>621262.73999999953</v>
      </c>
      <c r="T81" s="53">
        <f t="shared" si="108"/>
        <v>617459.73999999953</v>
      </c>
      <c r="U81" s="53">
        <f t="shared" si="108"/>
        <v>613656.73999999953</v>
      </c>
      <c r="V81" s="53">
        <f t="shared" si="108"/>
        <v>609853.73999999953</v>
      </c>
      <c r="W81" s="53">
        <f t="shared" si="108"/>
        <v>606050.73999999953</v>
      </c>
      <c r="X81" s="53">
        <f t="shared" si="108"/>
        <v>602247.73999999953</v>
      </c>
      <c r="Y81" s="53">
        <f t="shared" si="108"/>
        <v>598444.73999999953</v>
      </c>
      <c r="Z81" s="53">
        <f t="shared" si="108"/>
        <v>594641.73999999953</v>
      </c>
      <c r="AA81" s="53">
        <f t="shared" si="108"/>
        <v>590838.73999999953</v>
      </c>
      <c r="AB81" s="53">
        <f t="shared" si="108"/>
        <v>587035.73999999953</v>
      </c>
      <c r="AC81" s="53">
        <f t="shared" si="108"/>
        <v>583232.73999999953</v>
      </c>
      <c r="AD81" s="53">
        <f t="shared" si="108"/>
        <v>579429.73999999953</v>
      </c>
      <c r="AE81" s="53">
        <f t="shared" si="108"/>
        <v>575626.73999999953</v>
      </c>
      <c r="AF81" s="53">
        <f t="shared" si="108"/>
        <v>571823.73999999953</v>
      </c>
      <c r="AG81" s="53">
        <f t="shared" si="108"/>
        <v>568020.73999999953</v>
      </c>
      <c r="AH81" s="53">
        <f t="shared" ref="AH81" si="109">AVERAGE(U81:AG81)</f>
        <v>590838.73999999941</v>
      </c>
      <c r="AI81" s="48"/>
    </row>
    <row r="82" spans="1:35" x14ac:dyDescent="0.25">
      <c r="A82" s="48">
        <f t="shared" si="82"/>
        <v>30</v>
      </c>
      <c r="C82" s="175"/>
      <c r="D82" s="175"/>
      <c r="E82" s="175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48"/>
    </row>
    <row r="83" spans="1:35" x14ac:dyDescent="0.25">
      <c r="A83" s="48">
        <f t="shared" si="82"/>
        <v>31</v>
      </c>
      <c r="C83" s="175"/>
      <c r="D83" s="175"/>
      <c r="E83" s="175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48"/>
    </row>
    <row r="84" spans="1:35" x14ac:dyDescent="0.25">
      <c r="A84" s="48">
        <f t="shared" si="82"/>
        <v>32</v>
      </c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48"/>
    </row>
    <row r="85" spans="1:35" ht="15.75" thickBot="1" x14ac:dyDescent="0.3">
      <c r="A85" s="48">
        <f t="shared" si="82"/>
        <v>33</v>
      </c>
      <c r="B85" s="44" t="s">
        <v>194</v>
      </c>
      <c r="F85" s="158">
        <f t="shared" ref="F85:AH85" si="110">SUM(F58:F81)</f>
        <v>2415367.5200000005</v>
      </c>
      <c r="G85" s="158">
        <f t="shared" si="110"/>
        <v>2386122.6399999997</v>
      </c>
      <c r="H85" s="158">
        <f t="shared" si="110"/>
        <v>2356877.7599999998</v>
      </c>
      <c r="I85" s="158">
        <f t="shared" si="110"/>
        <v>2327632.88</v>
      </c>
      <c r="J85" s="158">
        <f t="shared" si="110"/>
        <v>2298388</v>
      </c>
      <c r="K85" s="158">
        <f t="shared" si="110"/>
        <v>2270839.2599999998</v>
      </c>
      <c r="L85" s="158">
        <f t="shared" si="110"/>
        <v>2303472.912</v>
      </c>
      <c r="M85" s="158">
        <f t="shared" si="110"/>
        <v>2273438.0219999999</v>
      </c>
      <c r="N85" s="158">
        <f t="shared" si="110"/>
        <v>2243957.7920000004</v>
      </c>
      <c r="O85" s="158">
        <f t="shared" si="110"/>
        <v>2236667.3420000002</v>
      </c>
      <c r="P85" s="158">
        <f t="shared" si="110"/>
        <v>2206698.0619999999</v>
      </c>
      <c r="Q85" s="158">
        <f t="shared" si="110"/>
        <v>2176747.0420000004</v>
      </c>
      <c r="R85" s="158">
        <f t="shared" si="110"/>
        <v>2352546.932</v>
      </c>
      <c r="S85" s="158">
        <f t="shared" si="110"/>
        <v>2321994.2220000001</v>
      </c>
      <c r="T85" s="158">
        <f t="shared" si="110"/>
        <v>2291441.5119999996</v>
      </c>
      <c r="U85" s="158">
        <f t="shared" si="110"/>
        <v>2260888.8020000001</v>
      </c>
      <c r="V85" s="158">
        <f t="shared" si="110"/>
        <v>2230336.0920000002</v>
      </c>
      <c r="W85" s="158">
        <f t="shared" si="110"/>
        <v>2199783.3819999998</v>
      </c>
      <c r="X85" s="158">
        <f t="shared" si="110"/>
        <v>2353716.7831111113</v>
      </c>
      <c r="Y85" s="158">
        <f t="shared" si="110"/>
        <v>2322136.2953333333</v>
      </c>
      <c r="Z85" s="158">
        <f t="shared" si="110"/>
        <v>2290555.8075555554</v>
      </c>
      <c r="AA85" s="158">
        <f t="shared" si="110"/>
        <v>2263173.8697777782</v>
      </c>
      <c r="AB85" s="158">
        <f t="shared" si="110"/>
        <v>2239639.0019999994</v>
      </c>
      <c r="AC85" s="158">
        <f t="shared" si="110"/>
        <v>2216104.1342222225</v>
      </c>
      <c r="AD85" s="158">
        <f t="shared" si="110"/>
        <v>2377055.3775555557</v>
      </c>
      <c r="AE85" s="158">
        <f t="shared" si="110"/>
        <v>2352492.7319999998</v>
      </c>
      <c r="AF85" s="158">
        <f t="shared" si="110"/>
        <v>2327930.086444445</v>
      </c>
      <c r="AG85" s="158">
        <f t="shared" si="110"/>
        <v>2303367.4408888891</v>
      </c>
      <c r="AH85" s="158">
        <f t="shared" si="110"/>
        <v>2455635.6260170937</v>
      </c>
      <c r="AI85" s="48"/>
    </row>
    <row r="86" spans="1:35" ht="15.75" thickTop="1" x14ac:dyDescent="0.25">
      <c r="A86" s="48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AI86" s="48"/>
    </row>
    <row r="87" spans="1:35" x14ac:dyDescent="0.25">
      <c r="A87" s="48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I87" s="48"/>
    </row>
    <row r="88" spans="1:35" x14ac:dyDescent="0.25">
      <c r="A88" s="48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I88" s="48"/>
    </row>
    <row r="89" spans="1:35" x14ac:dyDescent="0.25">
      <c r="A89" s="48"/>
      <c r="AI89" s="48"/>
    </row>
    <row r="90" spans="1:35" x14ac:dyDescent="0.25">
      <c r="A90" s="161" t="s">
        <v>159</v>
      </c>
      <c r="O90" s="162" t="str">
        <f>$O$1</f>
        <v>W/P - 7-4</v>
      </c>
      <c r="Y90" s="162" t="str">
        <f>$O$90</f>
        <v>W/P - 7-4</v>
      </c>
      <c r="AH90" s="162" t="str">
        <f>$O$90</f>
        <v>W/P - 7-4</v>
      </c>
      <c r="AI90" s="48"/>
    </row>
    <row r="91" spans="1:35" x14ac:dyDescent="0.25">
      <c r="A91" s="161" t="s">
        <v>160</v>
      </c>
      <c r="O91" s="162" t="str">
        <f>O2</f>
        <v>KAW_R_PSCHDR_NUM002_100625_Attachment   Sch J WPs</v>
      </c>
      <c r="Y91" s="162" t="str">
        <f>Y2</f>
        <v>KAW_R_PSCHDR_NUM002_100625_Attachment   Sch J WPs</v>
      </c>
      <c r="AH91" s="162" t="str">
        <f>AH2</f>
        <v>KAW_R_PSCHDR_NUM002_100625_Attachment   Sch J WPs</v>
      </c>
      <c r="AI91" s="48"/>
    </row>
    <row r="92" spans="1:35" x14ac:dyDescent="0.25">
      <c r="A92" s="48"/>
      <c r="AI92" s="48"/>
    </row>
    <row r="93" spans="1:35" x14ac:dyDescent="0.25">
      <c r="A93" s="57" t="s">
        <v>161</v>
      </c>
      <c r="AI93" s="48"/>
    </row>
    <row r="94" spans="1:35" x14ac:dyDescent="0.25">
      <c r="A94" s="57" t="s">
        <v>197</v>
      </c>
      <c r="AI94" s="48"/>
    </row>
    <row r="95" spans="1:35" x14ac:dyDescent="0.25">
      <c r="AI95" s="48"/>
    </row>
    <row r="96" spans="1:35" x14ac:dyDescent="0.25">
      <c r="A96" s="166"/>
      <c r="B96" s="166" t="s">
        <v>124</v>
      </c>
      <c r="C96" s="166"/>
      <c r="D96" s="166"/>
      <c r="E96" s="166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48"/>
    </row>
    <row r="97" spans="1:35" x14ac:dyDescent="0.25">
      <c r="A97" s="48" t="s">
        <v>86</v>
      </c>
      <c r="B97" s="48" t="s">
        <v>165</v>
      </c>
      <c r="C97" s="48" t="s">
        <v>115</v>
      </c>
      <c r="D97" s="48"/>
      <c r="E97" s="48"/>
      <c r="F97" s="48" t="s">
        <v>198</v>
      </c>
      <c r="G97" s="48" t="s">
        <v>198</v>
      </c>
      <c r="H97" s="48" t="s">
        <v>198</v>
      </c>
      <c r="I97" s="48" t="s">
        <v>198</v>
      </c>
      <c r="J97" s="48" t="s">
        <v>198</v>
      </c>
      <c r="K97" s="48" t="s">
        <v>198</v>
      </c>
      <c r="L97" s="48" t="s">
        <v>198</v>
      </c>
      <c r="M97" s="48" t="s">
        <v>198</v>
      </c>
      <c r="N97" s="48" t="s">
        <v>198</v>
      </c>
      <c r="O97" s="48" t="s">
        <v>198</v>
      </c>
      <c r="P97" s="48" t="s">
        <v>198</v>
      </c>
      <c r="Q97" s="48" t="s">
        <v>198</v>
      </c>
      <c r="R97" s="48" t="s">
        <v>198</v>
      </c>
      <c r="S97" s="48" t="s">
        <v>198</v>
      </c>
      <c r="T97" s="48" t="s">
        <v>198</v>
      </c>
      <c r="U97" s="48" t="s">
        <v>198</v>
      </c>
      <c r="V97" s="48" t="s">
        <v>198</v>
      </c>
      <c r="W97" s="48" t="s">
        <v>198</v>
      </c>
      <c r="X97" s="48" t="s">
        <v>198</v>
      </c>
      <c r="Y97" s="48" t="s">
        <v>198</v>
      </c>
      <c r="Z97" s="48" t="s">
        <v>198</v>
      </c>
      <c r="AA97" s="48" t="s">
        <v>198</v>
      </c>
      <c r="AB97" s="48" t="s">
        <v>198</v>
      </c>
      <c r="AC97" s="48" t="s">
        <v>198</v>
      </c>
      <c r="AD97" s="48" t="s">
        <v>198</v>
      </c>
      <c r="AE97" s="48" t="s">
        <v>198</v>
      </c>
      <c r="AF97" s="48" t="s">
        <v>198</v>
      </c>
      <c r="AG97" s="48" t="s">
        <v>198</v>
      </c>
      <c r="AH97" s="48" t="s">
        <v>199</v>
      </c>
      <c r="AI97" s="48"/>
    </row>
    <row r="98" spans="1:35" x14ac:dyDescent="0.25">
      <c r="A98" s="169" t="s">
        <v>91</v>
      </c>
      <c r="B98" s="169" t="s">
        <v>118</v>
      </c>
      <c r="C98" s="169" t="s">
        <v>118</v>
      </c>
      <c r="D98" s="169" t="s">
        <v>168</v>
      </c>
      <c r="E98" s="169" t="s">
        <v>169</v>
      </c>
      <c r="F98" s="170">
        <f>F$9</f>
        <v>45565</v>
      </c>
      <c r="G98" s="170">
        <f t="shared" ref="G98:AG98" si="111">G$9</f>
        <v>45596</v>
      </c>
      <c r="H98" s="170">
        <f t="shared" si="111"/>
        <v>45626</v>
      </c>
      <c r="I98" s="170">
        <f t="shared" si="111"/>
        <v>45657</v>
      </c>
      <c r="J98" s="170">
        <f t="shared" si="111"/>
        <v>45688</v>
      </c>
      <c r="K98" s="170">
        <f t="shared" si="111"/>
        <v>45716</v>
      </c>
      <c r="L98" s="170">
        <f t="shared" si="111"/>
        <v>45747</v>
      </c>
      <c r="M98" s="170">
        <f t="shared" si="111"/>
        <v>45777</v>
      </c>
      <c r="N98" s="170">
        <f t="shared" si="111"/>
        <v>45808</v>
      </c>
      <c r="O98" s="170">
        <f t="shared" si="111"/>
        <v>45838</v>
      </c>
      <c r="P98" s="170">
        <f t="shared" si="111"/>
        <v>45869</v>
      </c>
      <c r="Q98" s="170">
        <f t="shared" si="111"/>
        <v>45900</v>
      </c>
      <c r="R98" s="170">
        <f t="shared" si="111"/>
        <v>45930</v>
      </c>
      <c r="S98" s="170">
        <f t="shared" si="111"/>
        <v>45961</v>
      </c>
      <c r="T98" s="170">
        <f t="shared" si="111"/>
        <v>45991</v>
      </c>
      <c r="U98" s="170">
        <f t="shared" si="111"/>
        <v>46022</v>
      </c>
      <c r="V98" s="170">
        <f t="shared" si="111"/>
        <v>46053</v>
      </c>
      <c r="W98" s="170">
        <f t="shared" si="111"/>
        <v>46081</v>
      </c>
      <c r="X98" s="170">
        <f t="shared" si="111"/>
        <v>46112</v>
      </c>
      <c r="Y98" s="170">
        <f t="shared" si="111"/>
        <v>46142</v>
      </c>
      <c r="Z98" s="170">
        <f t="shared" si="111"/>
        <v>46173</v>
      </c>
      <c r="AA98" s="170">
        <f t="shared" si="111"/>
        <v>46203</v>
      </c>
      <c r="AB98" s="170">
        <f t="shared" si="111"/>
        <v>46234</v>
      </c>
      <c r="AC98" s="170">
        <f t="shared" si="111"/>
        <v>46265</v>
      </c>
      <c r="AD98" s="170">
        <f t="shared" si="111"/>
        <v>46295</v>
      </c>
      <c r="AE98" s="170">
        <f t="shared" si="111"/>
        <v>46326</v>
      </c>
      <c r="AF98" s="170">
        <f t="shared" si="111"/>
        <v>46356</v>
      </c>
      <c r="AG98" s="170">
        <f t="shared" si="111"/>
        <v>46387</v>
      </c>
      <c r="AH98" s="171" t="s">
        <v>158</v>
      </c>
      <c r="AI98" s="48"/>
    </row>
    <row r="99" spans="1:35" x14ac:dyDescent="0.25">
      <c r="A99" s="48">
        <v>1</v>
      </c>
      <c r="AI99" s="48"/>
    </row>
    <row r="100" spans="1:35" x14ac:dyDescent="0.25">
      <c r="A100" s="48">
        <f>A99+1</f>
        <v>2</v>
      </c>
      <c r="AI100" s="48"/>
    </row>
    <row r="101" spans="1:35" x14ac:dyDescent="0.25">
      <c r="A101" s="48">
        <f t="shared" ref="A101:A130" si="112">A100+1</f>
        <v>3</v>
      </c>
      <c r="B101" s="58" t="s">
        <v>175</v>
      </c>
      <c r="AI101" s="48"/>
    </row>
    <row r="102" spans="1:35" x14ac:dyDescent="0.25">
      <c r="A102" s="48">
        <f t="shared" si="112"/>
        <v>4</v>
      </c>
      <c r="B102" s="176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3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48"/>
    </row>
    <row r="103" spans="1:35" x14ac:dyDescent="0.25">
      <c r="A103" s="48">
        <f t="shared" si="112"/>
        <v>5</v>
      </c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48"/>
    </row>
    <row r="104" spans="1:35" x14ac:dyDescent="0.25">
      <c r="A104" s="48">
        <f t="shared" si="112"/>
        <v>6</v>
      </c>
      <c r="B104" s="44" t="str">
        <f t="shared" ref="B104:E125" si="113">B14</f>
        <v xml:space="preserve">    Series 7.15%   GMB</v>
      </c>
      <c r="C104" s="175">
        <f t="shared" si="113"/>
        <v>7.1499999999999994E-2</v>
      </c>
      <c r="D104" s="61">
        <f t="shared" si="113"/>
        <v>35462</v>
      </c>
      <c r="E104" s="61">
        <f t="shared" si="113"/>
        <v>46419</v>
      </c>
      <c r="F104" s="100">
        <v>201.5</v>
      </c>
      <c r="G104" s="100">
        <v>201.5</v>
      </c>
      <c r="H104" s="100">
        <v>201.5</v>
      </c>
      <c r="I104" s="100">
        <v>201.5</v>
      </c>
      <c r="J104" s="53">
        <f t="shared" ref="J104:J108" si="114">I104</f>
        <v>201.5</v>
      </c>
      <c r="K104" s="53">
        <f t="shared" ref="K104:K108" si="115">J104</f>
        <v>201.5</v>
      </c>
      <c r="L104" s="53">
        <f t="shared" ref="L104:L108" si="116">K104</f>
        <v>201.5</v>
      </c>
      <c r="M104" s="53">
        <f t="shared" ref="G104:T112" si="117">L104</f>
        <v>201.5</v>
      </c>
      <c r="N104" s="53">
        <f t="shared" si="117"/>
        <v>201.5</v>
      </c>
      <c r="O104" s="53">
        <f t="shared" si="117"/>
        <v>201.5</v>
      </c>
      <c r="P104" s="53">
        <f t="shared" si="117"/>
        <v>201.5</v>
      </c>
      <c r="Q104" s="53">
        <f t="shared" si="117"/>
        <v>201.5</v>
      </c>
      <c r="R104" s="53">
        <f t="shared" si="117"/>
        <v>201.5</v>
      </c>
      <c r="S104" s="53">
        <f t="shared" si="117"/>
        <v>201.5</v>
      </c>
      <c r="T104" s="53">
        <f t="shared" si="117"/>
        <v>201.5</v>
      </c>
      <c r="U104" s="53">
        <f t="shared" ref="U104:Z120" si="118">T104</f>
        <v>201.5</v>
      </c>
      <c r="V104" s="53">
        <f t="shared" si="118"/>
        <v>201.5</v>
      </c>
      <c r="W104" s="53">
        <f t="shared" si="118"/>
        <v>201.5</v>
      </c>
      <c r="X104" s="53">
        <f t="shared" si="118"/>
        <v>201.5</v>
      </c>
      <c r="Y104" s="53">
        <f t="shared" si="118"/>
        <v>201.5</v>
      </c>
      <c r="Z104" s="53">
        <f>Y104</f>
        <v>201.5</v>
      </c>
      <c r="AA104" s="53">
        <f t="shared" ref="AA104:AA120" si="119">Z104</f>
        <v>201.5</v>
      </c>
      <c r="AB104" s="53">
        <f t="shared" ref="AB104:AB120" si="120">AA104</f>
        <v>201.5</v>
      </c>
      <c r="AC104" s="53">
        <f t="shared" ref="AC104:AC120" si="121">AB104</f>
        <v>201.5</v>
      </c>
      <c r="AD104" s="53">
        <f t="shared" ref="AD104:AD120" si="122">AC104</f>
        <v>201.5</v>
      </c>
      <c r="AE104" s="53">
        <f t="shared" ref="AE104:AG120" si="123">AD104</f>
        <v>201.5</v>
      </c>
      <c r="AF104" s="53">
        <f t="shared" si="123"/>
        <v>201.5</v>
      </c>
      <c r="AG104" s="53">
        <f t="shared" si="123"/>
        <v>201.5</v>
      </c>
      <c r="AH104" s="56">
        <f t="shared" ref="AH104:AH119" si="124">SUM(V104:AG104)</f>
        <v>2418</v>
      </c>
      <c r="AI104" s="48"/>
    </row>
    <row r="105" spans="1:35" x14ac:dyDescent="0.25">
      <c r="A105" s="48">
        <f t="shared" si="112"/>
        <v>7</v>
      </c>
      <c r="B105" s="44" t="str">
        <f t="shared" si="113"/>
        <v xml:space="preserve">    Series 6.99%   GMB</v>
      </c>
      <c r="C105" s="175">
        <f t="shared" si="113"/>
        <v>6.9900000000000004E-2</v>
      </c>
      <c r="D105" s="61">
        <f t="shared" si="113"/>
        <v>35947</v>
      </c>
      <c r="E105" s="61">
        <f t="shared" si="113"/>
        <v>46905</v>
      </c>
      <c r="F105" s="100">
        <v>270.85000000000002</v>
      </c>
      <c r="G105" s="100">
        <v>270.85000000000002</v>
      </c>
      <c r="H105" s="100">
        <v>270.85000000000002</v>
      </c>
      <c r="I105" s="100">
        <v>270.85000000000002</v>
      </c>
      <c r="J105" s="53">
        <f t="shared" si="114"/>
        <v>270.85000000000002</v>
      </c>
      <c r="K105" s="53">
        <f t="shared" si="115"/>
        <v>270.85000000000002</v>
      </c>
      <c r="L105" s="53">
        <f t="shared" si="116"/>
        <v>270.85000000000002</v>
      </c>
      <c r="M105" s="53">
        <f t="shared" si="117"/>
        <v>270.85000000000002</v>
      </c>
      <c r="N105" s="53">
        <f t="shared" si="117"/>
        <v>270.85000000000002</v>
      </c>
      <c r="O105" s="53">
        <f t="shared" si="117"/>
        <v>270.85000000000002</v>
      </c>
      <c r="P105" s="53">
        <f t="shared" si="117"/>
        <v>270.85000000000002</v>
      </c>
      <c r="Q105" s="53">
        <f t="shared" si="117"/>
        <v>270.85000000000002</v>
      </c>
      <c r="R105" s="53">
        <f t="shared" si="117"/>
        <v>270.85000000000002</v>
      </c>
      <c r="S105" s="53">
        <f t="shared" si="117"/>
        <v>270.85000000000002</v>
      </c>
      <c r="T105" s="53">
        <f t="shared" si="117"/>
        <v>270.85000000000002</v>
      </c>
      <c r="U105" s="53">
        <f t="shared" si="118"/>
        <v>270.85000000000002</v>
      </c>
      <c r="V105" s="53">
        <f t="shared" si="118"/>
        <v>270.85000000000002</v>
      </c>
      <c r="W105" s="53">
        <f t="shared" si="118"/>
        <v>270.85000000000002</v>
      </c>
      <c r="X105" s="53">
        <f t="shared" si="118"/>
        <v>270.85000000000002</v>
      </c>
      <c r="Y105" s="53">
        <f t="shared" si="118"/>
        <v>270.85000000000002</v>
      </c>
      <c r="Z105" s="53">
        <f t="shared" si="118"/>
        <v>270.85000000000002</v>
      </c>
      <c r="AA105" s="53">
        <f t="shared" si="119"/>
        <v>270.85000000000002</v>
      </c>
      <c r="AB105" s="53">
        <f t="shared" si="120"/>
        <v>270.85000000000002</v>
      </c>
      <c r="AC105" s="53">
        <f t="shared" si="121"/>
        <v>270.85000000000002</v>
      </c>
      <c r="AD105" s="53">
        <f t="shared" si="122"/>
        <v>270.85000000000002</v>
      </c>
      <c r="AE105" s="53">
        <f t="shared" si="123"/>
        <v>270.85000000000002</v>
      </c>
      <c r="AF105" s="53">
        <f t="shared" si="123"/>
        <v>270.85000000000002</v>
      </c>
      <c r="AG105" s="53">
        <f t="shared" si="123"/>
        <v>270.85000000000002</v>
      </c>
      <c r="AH105" s="56">
        <f t="shared" si="124"/>
        <v>3250.1999999999994</v>
      </c>
      <c r="AI105" s="48"/>
    </row>
    <row r="106" spans="1:35" x14ac:dyDescent="0.25">
      <c r="A106" s="48">
        <f t="shared" si="112"/>
        <v>8</v>
      </c>
      <c r="B106" s="44" t="str">
        <f t="shared" si="113"/>
        <v xml:space="preserve">    Series 6.593%  Note</v>
      </c>
      <c r="C106" s="175">
        <f t="shared" si="113"/>
        <v>6.5930000000000002E-2</v>
      </c>
      <c r="D106" s="61">
        <f t="shared" si="113"/>
        <v>39377</v>
      </c>
      <c r="E106" s="61">
        <f t="shared" si="113"/>
        <v>50328</v>
      </c>
      <c r="F106" s="100">
        <v>1381.43</v>
      </c>
      <c r="G106" s="100">
        <v>1381.43</v>
      </c>
      <c r="H106" s="100">
        <v>1381.43</v>
      </c>
      <c r="I106" s="100">
        <v>1381.43</v>
      </c>
      <c r="J106" s="53">
        <f t="shared" si="114"/>
        <v>1381.43</v>
      </c>
      <c r="K106" s="53">
        <f t="shared" si="115"/>
        <v>1381.43</v>
      </c>
      <c r="L106" s="53">
        <f t="shared" si="116"/>
        <v>1381.43</v>
      </c>
      <c r="M106" s="53">
        <f t="shared" ref="M106:M108" si="125">L106</f>
        <v>1381.43</v>
      </c>
      <c r="N106" s="53">
        <f t="shared" si="117"/>
        <v>1381.43</v>
      </c>
      <c r="O106" s="53">
        <f t="shared" si="117"/>
        <v>1381.43</v>
      </c>
      <c r="P106" s="53">
        <f t="shared" si="117"/>
        <v>1381.43</v>
      </c>
      <c r="Q106" s="53">
        <f t="shared" si="117"/>
        <v>1381.43</v>
      </c>
      <c r="R106" s="53">
        <f t="shared" si="117"/>
        <v>1381.43</v>
      </c>
      <c r="S106" s="53">
        <f t="shared" si="117"/>
        <v>1381.43</v>
      </c>
      <c r="T106" s="53">
        <f t="shared" si="117"/>
        <v>1381.43</v>
      </c>
      <c r="U106" s="53">
        <f t="shared" si="118"/>
        <v>1381.43</v>
      </c>
      <c r="V106" s="53">
        <f t="shared" si="118"/>
        <v>1381.43</v>
      </c>
      <c r="W106" s="53">
        <f t="shared" si="118"/>
        <v>1381.43</v>
      </c>
      <c r="X106" s="53">
        <f t="shared" si="118"/>
        <v>1381.43</v>
      </c>
      <c r="Y106" s="53">
        <f t="shared" si="118"/>
        <v>1381.43</v>
      </c>
      <c r="Z106" s="53">
        <f t="shared" si="118"/>
        <v>1381.43</v>
      </c>
      <c r="AA106" s="53">
        <f t="shared" si="119"/>
        <v>1381.43</v>
      </c>
      <c r="AB106" s="53">
        <f t="shared" si="120"/>
        <v>1381.43</v>
      </c>
      <c r="AC106" s="53">
        <f t="shared" si="121"/>
        <v>1381.43</v>
      </c>
      <c r="AD106" s="53">
        <f t="shared" si="122"/>
        <v>1381.43</v>
      </c>
      <c r="AE106" s="53">
        <f t="shared" si="123"/>
        <v>1381.43</v>
      </c>
      <c r="AF106" s="53">
        <f t="shared" si="123"/>
        <v>1381.43</v>
      </c>
      <c r="AG106" s="53">
        <f t="shared" si="123"/>
        <v>1381.43</v>
      </c>
      <c r="AH106" s="56">
        <f t="shared" si="124"/>
        <v>16577.16</v>
      </c>
      <c r="AI106" s="48"/>
    </row>
    <row r="107" spans="1:35" x14ac:dyDescent="0.25">
      <c r="A107" s="48">
        <f t="shared" si="112"/>
        <v>9</v>
      </c>
      <c r="B107" s="44" t="str">
        <f t="shared" si="113"/>
        <v xml:space="preserve">    Series 2.45% Note</v>
      </c>
      <c r="C107" s="175">
        <f t="shared" si="113"/>
        <v>2.4500000000000001E-2</v>
      </c>
      <c r="D107" s="61">
        <f t="shared" si="113"/>
        <v>43783</v>
      </c>
      <c r="E107" s="61">
        <f t="shared" si="113"/>
        <v>47392</v>
      </c>
      <c r="F107" s="100">
        <v>4903.7700000000004</v>
      </c>
      <c r="G107" s="100">
        <v>4903.7700000000004</v>
      </c>
      <c r="H107" s="100">
        <v>4903.7700000000004</v>
      </c>
      <c r="I107" s="100">
        <v>4903.7700000000004</v>
      </c>
      <c r="J107" s="53">
        <f t="shared" si="114"/>
        <v>4903.7700000000004</v>
      </c>
      <c r="K107" s="53">
        <f t="shared" si="115"/>
        <v>4903.7700000000004</v>
      </c>
      <c r="L107" s="53">
        <f t="shared" si="116"/>
        <v>4903.7700000000004</v>
      </c>
      <c r="M107" s="53">
        <f t="shared" si="125"/>
        <v>4903.7700000000004</v>
      </c>
      <c r="N107" s="53">
        <f t="shared" si="117"/>
        <v>4903.7700000000004</v>
      </c>
      <c r="O107" s="53">
        <f t="shared" si="117"/>
        <v>4903.7700000000004</v>
      </c>
      <c r="P107" s="53">
        <f t="shared" si="117"/>
        <v>4903.7700000000004</v>
      </c>
      <c r="Q107" s="53">
        <f t="shared" si="117"/>
        <v>4903.7700000000004</v>
      </c>
      <c r="R107" s="53">
        <f t="shared" si="117"/>
        <v>4903.7700000000004</v>
      </c>
      <c r="S107" s="53">
        <f t="shared" si="117"/>
        <v>4903.7700000000004</v>
      </c>
      <c r="T107" s="53">
        <f t="shared" si="117"/>
        <v>4903.7700000000004</v>
      </c>
      <c r="U107" s="53">
        <f t="shared" si="118"/>
        <v>4903.7700000000004</v>
      </c>
      <c r="V107" s="53">
        <f t="shared" si="118"/>
        <v>4903.7700000000004</v>
      </c>
      <c r="W107" s="53">
        <f t="shared" si="118"/>
        <v>4903.7700000000004</v>
      </c>
      <c r="X107" s="53">
        <f t="shared" si="118"/>
        <v>4903.7700000000004</v>
      </c>
      <c r="Y107" s="53">
        <f t="shared" si="118"/>
        <v>4903.7700000000004</v>
      </c>
      <c r="Z107" s="53">
        <f t="shared" si="118"/>
        <v>4903.7700000000004</v>
      </c>
      <c r="AA107" s="53">
        <f t="shared" si="119"/>
        <v>4903.7700000000004</v>
      </c>
      <c r="AB107" s="53">
        <f t="shared" si="120"/>
        <v>4903.7700000000004</v>
      </c>
      <c r="AC107" s="53">
        <f t="shared" si="121"/>
        <v>4903.7700000000004</v>
      </c>
      <c r="AD107" s="53">
        <f t="shared" si="122"/>
        <v>4903.7700000000004</v>
      </c>
      <c r="AE107" s="53">
        <f t="shared" si="123"/>
        <v>4903.7700000000004</v>
      </c>
      <c r="AF107" s="53">
        <f t="shared" si="123"/>
        <v>4903.7700000000004</v>
      </c>
      <c r="AG107" s="53">
        <f t="shared" si="123"/>
        <v>4903.7700000000004</v>
      </c>
      <c r="AH107" s="56">
        <f t="shared" si="124"/>
        <v>58845.24000000002</v>
      </c>
      <c r="AI107" s="48"/>
    </row>
    <row r="108" spans="1:35" x14ac:dyDescent="0.25">
      <c r="A108" s="48">
        <f t="shared" si="112"/>
        <v>10</v>
      </c>
      <c r="B108" s="44" t="str">
        <f t="shared" si="113"/>
        <v xml:space="preserve">    Series 2.45% Note</v>
      </c>
      <c r="C108" s="175">
        <f t="shared" si="113"/>
        <v>2.4500000000000001E-2</v>
      </c>
      <c r="D108" s="61">
        <f t="shared" si="113"/>
        <v>43783</v>
      </c>
      <c r="E108" s="61">
        <f t="shared" si="113"/>
        <v>47392</v>
      </c>
      <c r="F108" s="100">
        <v>3031.27</v>
      </c>
      <c r="G108" s="100">
        <v>3031.27</v>
      </c>
      <c r="H108" s="100">
        <v>3031.27</v>
      </c>
      <c r="I108" s="100">
        <v>3031.27</v>
      </c>
      <c r="J108" s="53">
        <f t="shared" si="114"/>
        <v>3031.27</v>
      </c>
      <c r="K108" s="53">
        <f t="shared" si="115"/>
        <v>3031.27</v>
      </c>
      <c r="L108" s="53">
        <f t="shared" si="116"/>
        <v>3031.27</v>
      </c>
      <c r="M108" s="53">
        <f t="shared" si="125"/>
        <v>3031.27</v>
      </c>
      <c r="N108" s="53">
        <f t="shared" si="117"/>
        <v>3031.27</v>
      </c>
      <c r="O108" s="53">
        <f t="shared" si="117"/>
        <v>3031.27</v>
      </c>
      <c r="P108" s="53">
        <f t="shared" si="117"/>
        <v>3031.27</v>
      </c>
      <c r="Q108" s="53">
        <f t="shared" si="117"/>
        <v>3031.27</v>
      </c>
      <c r="R108" s="53">
        <f t="shared" si="117"/>
        <v>3031.27</v>
      </c>
      <c r="S108" s="53">
        <f t="shared" si="117"/>
        <v>3031.27</v>
      </c>
      <c r="T108" s="53">
        <f t="shared" si="117"/>
        <v>3031.27</v>
      </c>
      <c r="U108" s="53">
        <f t="shared" si="118"/>
        <v>3031.27</v>
      </c>
      <c r="V108" s="53">
        <f t="shared" si="118"/>
        <v>3031.27</v>
      </c>
      <c r="W108" s="53">
        <f t="shared" si="118"/>
        <v>3031.27</v>
      </c>
      <c r="X108" s="53">
        <f t="shared" si="118"/>
        <v>3031.27</v>
      </c>
      <c r="Y108" s="53">
        <f t="shared" si="118"/>
        <v>3031.27</v>
      </c>
      <c r="Z108" s="53">
        <f t="shared" si="118"/>
        <v>3031.27</v>
      </c>
      <c r="AA108" s="53">
        <f t="shared" si="119"/>
        <v>3031.27</v>
      </c>
      <c r="AB108" s="53">
        <f t="shared" si="120"/>
        <v>3031.27</v>
      </c>
      <c r="AC108" s="53">
        <f t="shared" si="121"/>
        <v>3031.27</v>
      </c>
      <c r="AD108" s="53">
        <f t="shared" si="122"/>
        <v>3031.27</v>
      </c>
      <c r="AE108" s="53">
        <f t="shared" si="123"/>
        <v>3031.27</v>
      </c>
      <c r="AF108" s="53">
        <f t="shared" si="123"/>
        <v>3031.27</v>
      </c>
      <c r="AG108" s="53">
        <f t="shared" si="123"/>
        <v>3031.27</v>
      </c>
      <c r="AH108" s="56">
        <f>SUM(V108:AG108)</f>
        <v>36375.24</v>
      </c>
      <c r="AI108" s="48"/>
    </row>
    <row r="109" spans="1:35" x14ac:dyDescent="0.25">
      <c r="A109" s="48">
        <f t="shared" si="112"/>
        <v>11</v>
      </c>
      <c r="B109" s="44" t="str">
        <f t="shared" si="113"/>
        <v xml:space="preserve">    Series 5.05%    Note</v>
      </c>
      <c r="C109" s="175">
        <f t="shared" si="113"/>
        <v>5.0500000000000003E-2</v>
      </c>
      <c r="D109" s="61">
        <f t="shared" si="113"/>
        <v>40868</v>
      </c>
      <c r="E109" s="61">
        <f t="shared" si="113"/>
        <v>50328</v>
      </c>
      <c r="F109" s="53">
        <v>0</v>
      </c>
      <c r="G109" s="53">
        <f t="shared" si="117"/>
        <v>0</v>
      </c>
      <c r="H109" s="53">
        <f t="shared" si="117"/>
        <v>0</v>
      </c>
      <c r="I109" s="53">
        <f t="shared" si="117"/>
        <v>0</v>
      </c>
      <c r="J109" s="53">
        <f t="shared" ref="J109:J119" si="126">I109</f>
        <v>0</v>
      </c>
      <c r="K109" s="53">
        <f t="shared" ref="K109:K119" si="127">J109</f>
        <v>0</v>
      </c>
      <c r="L109" s="53">
        <f t="shared" ref="L109:L119" si="128">K109</f>
        <v>0</v>
      </c>
      <c r="M109" s="53">
        <f t="shared" ref="M109:M119" si="129">L109</f>
        <v>0</v>
      </c>
      <c r="N109" s="53">
        <f t="shared" si="117"/>
        <v>0</v>
      </c>
      <c r="O109" s="53">
        <f t="shared" si="117"/>
        <v>0</v>
      </c>
      <c r="P109" s="53">
        <f t="shared" si="117"/>
        <v>0</v>
      </c>
      <c r="Q109" s="53">
        <f t="shared" si="117"/>
        <v>0</v>
      </c>
      <c r="R109" s="53">
        <f t="shared" si="117"/>
        <v>0</v>
      </c>
      <c r="S109" s="53">
        <f t="shared" si="117"/>
        <v>0</v>
      </c>
      <c r="T109" s="53">
        <f t="shared" si="117"/>
        <v>0</v>
      </c>
      <c r="U109" s="53">
        <f t="shared" si="118"/>
        <v>0</v>
      </c>
      <c r="V109" s="53">
        <f t="shared" si="118"/>
        <v>0</v>
      </c>
      <c r="W109" s="53">
        <f t="shared" si="118"/>
        <v>0</v>
      </c>
      <c r="X109" s="53">
        <f t="shared" si="118"/>
        <v>0</v>
      </c>
      <c r="Y109" s="53">
        <f t="shared" si="118"/>
        <v>0</v>
      </c>
      <c r="Z109" s="53">
        <f t="shared" si="118"/>
        <v>0</v>
      </c>
      <c r="AA109" s="53">
        <f t="shared" si="119"/>
        <v>0</v>
      </c>
      <c r="AB109" s="53">
        <f t="shared" si="120"/>
        <v>0</v>
      </c>
      <c r="AC109" s="53">
        <f t="shared" si="121"/>
        <v>0</v>
      </c>
      <c r="AD109" s="53">
        <f t="shared" si="122"/>
        <v>0</v>
      </c>
      <c r="AE109" s="53">
        <f t="shared" si="123"/>
        <v>0</v>
      </c>
      <c r="AF109" s="53">
        <f t="shared" si="123"/>
        <v>0</v>
      </c>
      <c r="AG109" s="53">
        <f t="shared" si="123"/>
        <v>0</v>
      </c>
      <c r="AH109" s="56">
        <f t="shared" si="124"/>
        <v>0</v>
      </c>
      <c r="AI109" s="48"/>
    </row>
    <row r="110" spans="1:35" x14ac:dyDescent="0.25">
      <c r="A110" s="48">
        <f t="shared" si="112"/>
        <v>12</v>
      </c>
      <c r="B110" s="44" t="str">
        <f t="shared" si="113"/>
        <v xml:space="preserve">    Series 4.00%    Note</v>
      </c>
      <c r="C110" s="175">
        <f t="shared" si="113"/>
        <v>0.04</v>
      </c>
      <c r="D110" s="61">
        <f t="shared" si="113"/>
        <v>41409</v>
      </c>
      <c r="E110" s="61">
        <f t="shared" si="113"/>
        <v>50328</v>
      </c>
      <c r="F110" s="53">
        <v>0</v>
      </c>
      <c r="G110" s="53">
        <f t="shared" si="117"/>
        <v>0</v>
      </c>
      <c r="H110" s="53">
        <f t="shared" si="117"/>
        <v>0</v>
      </c>
      <c r="I110" s="53">
        <f t="shared" si="117"/>
        <v>0</v>
      </c>
      <c r="J110" s="53">
        <f t="shared" si="126"/>
        <v>0</v>
      </c>
      <c r="K110" s="53">
        <f t="shared" si="127"/>
        <v>0</v>
      </c>
      <c r="L110" s="53">
        <f t="shared" si="128"/>
        <v>0</v>
      </c>
      <c r="M110" s="53">
        <f t="shared" si="129"/>
        <v>0</v>
      </c>
      <c r="N110" s="53">
        <f t="shared" si="117"/>
        <v>0</v>
      </c>
      <c r="O110" s="53">
        <f t="shared" si="117"/>
        <v>0</v>
      </c>
      <c r="P110" s="53">
        <f t="shared" si="117"/>
        <v>0</v>
      </c>
      <c r="Q110" s="53">
        <f t="shared" si="117"/>
        <v>0</v>
      </c>
      <c r="R110" s="53">
        <f t="shared" si="117"/>
        <v>0</v>
      </c>
      <c r="S110" s="53">
        <f t="shared" si="117"/>
        <v>0</v>
      </c>
      <c r="T110" s="53">
        <f t="shared" si="117"/>
        <v>0</v>
      </c>
      <c r="U110" s="53">
        <f t="shared" si="118"/>
        <v>0</v>
      </c>
      <c r="V110" s="53">
        <f t="shared" si="118"/>
        <v>0</v>
      </c>
      <c r="W110" s="53">
        <f t="shared" si="118"/>
        <v>0</v>
      </c>
      <c r="X110" s="53">
        <f t="shared" si="118"/>
        <v>0</v>
      </c>
      <c r="Y110" s="53">
        <f t="shared" si="118"/>
        <v>0</v>
      </c>
      <c r="Z110" s="53">
        <f t="shared" si="118"/>
        <v>0</v>
      </c>
      <c r="AA110" s="53">
        <f t="shared" si="119"/>
        <v>0</v>
      </c>
      <c r="AB110" s="53">
        <f t="shared" si="120"/>
        <v>0</v>
      </c>
      <c r="AC110" s="53">
        <f t="shared" si="121"/>
        <v>0</v>
      </c>
      <c r="AD110" s="53">
        <f t="shared" si="122"/>
        <v>0</v>
      </c>
      <c r="AE110" s="53">
        <f t="shared" si="123"/>
        <v>0</v>
      </c>
      <c r="AF110" s="53">
        <f t="shared" si="123"/>
        <v>0</v>
      </c>
      <c r="AG110" s="53">
        <f t="shared" si="123"/>
        <v>0</v>
      </c>
      <c r="AH110" s="56">
        <f t="shared" si="124"/>
        <v>0</v>
      </c>
      <c r="AI110" s="48"/>
    </row>
    <row r="111" spans="1:35" x14ac:dyDescent="0.25">
      <c r="A111" s="48">
        <f t="shared" si="112"/>
        <v>13</v>
      </c>
      <c r="B111" s="44" t="str">
        <f t="shared" si="113"/>
        <v xml:space="preserve">    Series 4.00%    Note</v>
      </c>
      <c r="C111" s="175">
        <f t="shared" si="113"/>
        <v>0.04</v>
      </c>
      <c r="D111" s="61">
        <f t="shared" si="113"/>
        <v>42691</v>
      </c>
      <c r="E111" s="61">
        <f t="shared" si="113"/>
        <v>53662</v>
      </c>
      <c r="F111" s="100">
        <v>145.61000000000001</v>
      </c>
      <c r="G111" s="100">
        <v>145.61000000000001</v>
      </c>
      <c r="H111" s="100">
        <v>145.61000000000001</v>
      </c>
      <c r="I111" s="100">
        <v>145.61000000000001</v>
      </c>
      <c r="J111" s="53">
        <f t="shared" si="126"/>
        <v>145.61000000000001</v>
      </c>
      <c r="K111" s="53">
        <f t="shared" si="127"/>
        <v>145.61000000000001</v>
      </c>
      <c r="L111" s="53">
        <f t="shared" si="128"/>
        <v>145.61000000000001</v>
      </c>
      <c r="M111" s="53">
        <f t="shared" si="129"/>
        <v>145.61000000000001</v>
      </c>
      <c r="N111" s="53">
        <f t="shared" si="117"/>
        <v>145.61000000000001</v>
      </c>
      <c r="O111" s="53">
        <f t="shared" si="117"/>
        <v>145.61000000000001</v>
      </c>
      <c r="P111" s="53">
        <f t="shared" ref="P111:P119" si="130">O111</f>
        <v>145.61000000000001</v>
      </c>
      <c r="Q111" s="53">
        <f t="shared" ref="Q111:Q119" si="131">P111</f>
        <v>145.61000000000001</v>
      </c>
      <c r="R111" s="53">
        <f t="shared" ref="R111:R120" si="132">Q111</f>
        <v>145.61000000000001</v>
      </c>
      <c r="S111" s="53">
        <f t="shared" ref="S111:S120" si="133">R111</f>
        <v>145.61000000000001</v>
      </c>
      <c r="T111" s="53">
        <f t="shared" ref="T111:T121" si="134">S111</f>
        <v>145.61000000000001</v>
      </c>
      <c r="U111" s="53">
        <f t="shared" si="118"/>
        <v>145.61000000000001</v>
      </c>
      <c r="V111" s="53">
        <f t="shared" si="118"/>
        <v>145.61000000000001</v>
      </c>
      <c r="W111" s="53">
        <f t="shared" si="118"/>
        <v>145.61000000000001</v>
      </c>
      <c r="X111" s="53">
        <f t="shared" si="118"/>
        <v>145.61000000000001</v>
      </c>
      <c r="Y111" s="53">
        <f t="shared" si="118"/>
        <v>145.61000000000001</v>
      </c>
      <c r="Z111" s="53">
        <f t="shared" si="118"/>
        <v>145.61000000000001</v>
      </c>
      <c r="AA111" s="53">
        <f t="shared" si="119"/>
        <v>145.61000000000001</v>
      </c>
      <c r="AB111" s="53">
        <f t="shared" si="120"/>
        <v>145.61000000000001</v>
      </c>
      <c r="AC111" s="53">
        <f t="shared" si="121"/>
        <v>145.61000000000001</v>
      </c>
      <c r="AD111" s="53">
        <f t="shared" si="122"/>
        <v>145.61000000000001</v>
      </c>
      <c r="AE111" s="53">
        <f t="shared" si="123"/>
        <v>145.61000000000001</v>
      </c>
      <c r="AF111" s="53">
        <f t="shared" si="123"/>
        <v>145.61000000000001</v>
      </c>
      <c r="AG111" s="53">
        <f t="shared" si="123"/>
        <v>145.61000000000001</v>
      </c>
      <c r="AH111" s="56">
        <f t="shared" si="124"/>
        <v>1747.3200000000006</v>
      </c>
      <c r="AI111" s="48"/>
    </row>
    <row r="112" spans="1:35" x14ac:dyDescent="0.25">
      <c r="A112" s="48">
        <f t="shared" si="112"/>
        <v>14</v>
      </c>
      <c r="B112" s="44" t="str">
        <f t="shared" si="113"/>
        <v xml:space="preserve">    Series 3.75%    Note</v>
      </c>
      <c r="C112" s="175">
        <f t="shared" si="113"/>
        <v>3.7499999999999999E-2</v>
      </c>
      <c r="D112" s="61">
        <f t="shared" si="113"/>
        <v>42991</v>
      </c>
      <c r="E112" s="61">
        <f t="shared" si="113"/>
        <v>53936</v>
      </c>
      <c r="F112" s="100">
        <v>144.21</v>
      </c>
      <c r="G112" s="100">
        <v>144.21</v>
      </c>
      <c r="H112" s="100">
        <v>144.21</v>
      </c>
      <c r="I112" s="100">
        <v>144.21</v>
      </c>
      <c r="J112" s="53">
        <f t="shared" si="126"/>
        <v>144.21</v>
      </c>
      <c r="K112" s="53">
        <f t="shared" si="127"/>
        <v>144.21</v>
      </c>
      <c r="L112" s="53">
        <f t="shared" si="128"/>
        <v>144.21</v>
      </c>
      <c r="M112" s="53">
        <f t="shared" si="129"/>
        <v>144.21</v>
      </c>
      <c r="N112" s="53">
        <f t="shared" si="117"/>
        <v>144.21</v>
      </c>
      <c r="O112" s="53">
        <f t="shared" si="117"/>
        <v>144.21</v>
      </c>
      <c r="P112" s="53">
        <f t="shared" si="130"/>
        <v>144.21</v>
      </c>
      <c r="Q112" s="53">
        <f t="shared" si="131"/>
        <v>144.21</v>
      </c>
      <c r="R112" s="53">
        <f t="shared" si="132"/>
        <v>144.21</v>
      </c>
      <c r="S112" s="53">
        <f t="shared" si="133"/>
        <v>144.21</v>
      </c>
      <c r="T112" s="53">
        <f t="shared" si="134"/>
        <v>144.21</v>
      </c>
      <c r="U112" s="53">
        <f t="shared" si="118"/>
        <v>144.21</v>
      </c>
      <c r="V112" s="53">
        <f t="shared" si="118"/>
        <v>144.21</v>
      </c>
      <c r="W112" s="53">
        <f t="shared" si="118"/>
        <v>144.21</v>
      </c>
      <c r="X112" s="53">
        <f t="shared" si="118"/>
        <v>144.21</v>
      </c>
      <c r="Y112" s="53">
        <f t="shared" si="118"/>
        <v>144.21</v>
      </c>
      <c r="Z112" s="53">
        <f t="shared" si="118"/>
        <v>144.21</v>
      </c>
      <c r="AA112" s="53">
        <f t="shared" si="119"/>
        <v>144.21</v>
      </c>
      <c r="AB112" s="53">
        <f t="shared" si="120"/>
        <v>144.21</v>
      </c>
      <c r="AC112" s="53">
        <f t="shared" si="121"/>
        <v>144.21</v>
      </c>
      <c r="AD112" s="53">
        <f t="shared" si="122"/>
        <v>144.21</v>
      </c>
      <c r="AE112" s="53">
        <f t="shared" si="123"/>
        <v>144.21</v>
      </c>
      <c r="AF112" s="53">
        <f t="shared" si="123"/>
        <v>144.21</v>
      </c>
      <c r="AG112" s="53">
        <f t="shared" si="123"/>
        <v>144.21</v>
      </c>
      <c r="AH112" s="56">
        <f t="shared" si="124"/>
        <v>1730.5200000000002</v>
      </c>
      <c r="AI112" s="48"/>
    </row>
    <row r="113" spans="1:36" x14ac:dyDescent="0.25">
      <c r="A113" s="48">
        <f t="shared" si="112"/>
        <v>15</v>
      </c>
      <c r="B113" s="44" t="str">
        <f t="shared" si="113"/>
        <v xml:space="preserve">    Series 4.15%    Note</v>
      </c>
      <c r="C113" s="175">
        <f t="shared" si="113"/>
        <v>4.1500000000000002E-2</v>
      </c>
      <c r="D113" s="61">
        <f t="shared" si="113"/>
        <v>43607</v>
      </c>
      <c r="E113" s="61">
        <f t="shared" si="113"/>
        <v>54575</v>
      </c>
      <c r="F113" s="100">
        <v>462.56</v>
      </c>
      <c r="G113" s="100">
        <v>462.56</v>
      </c>
      <c r="H113" s="100">
        <v>462.56</v>
      </c>
      <c r="I113" s="100">
        <v>462.56</v>
      </c>
      <c r="J113" s="53">
        <f t="shared" si="126"/>
        <v>462.56</v>
      </c>
      <c r="K113" s="53">
        <f t="shared" si="127"/>
        <v>462.56</v>
      </c>
      <c r="L113" s="53">
        <f t="shared" si="128"/>
        <v>462.56</v>
      </c>
      <c r="M113" s="53">
        <f t="shared" si="129"/>
        <v>462.56</v>
      </c>
      <c r="N113" s="53">
        <f t="shared" ref="N113:N120" si="135">M113</f>
        <v>462.56</v>
      </c>
      <c r="O113" s="53">
        <f t="shared" ref="O113:O120" si="136">N113</f>
        <v>462.56</v>
      </c>
      <c r="P113" s="53">
        <f t="shared" si="130"/>
        <v>462.56</v>
      </c>
      <c r="Q113" s="53">
        <f t="shared" si="131"/>
        <v>462.56</v>
      </c>
      <c r="R113" s="53">
        <f t="shared" si="132"/>
        <v>462.56</v>
      </c>
      <c r="S113" s="53">
        <f t="shared" si="133"/>
        <v>462.56</v>
      </c>
      <c r="T113" s="53">
        <f t="shared" si="134"/>
        <v>462.56</v>
      </c>
      <c r="U113" s="53">
        <f t="shared" si="118"/>
        <v>462.56</v>
      </c>
      <c r="V113" s="53">
        <f t="shared" si="118"/>
        <v>462.56</v>
      </c>
      <c r="W113" s="53">
        <f t="shared" si="118"/>
        <v>462.56</v>
      </c>
      <c r="X113" s="53">
        <f t="shared" si="118"/>
        <v>462.56</v>
      </c>
      <c r="Y113" s="53">
        <f t="shared" si="118"/>
        <v>462.56</v>
      </c>
      <c r="Z113" s="53">
        <f t="shared" si="118"/>
        <v>462.56</v>
      </c>
      <c r="AA113" s="53">
        <f t="shared" si="119"/>
        <v>462.56</v>
      </c>
      <c r="AB113" s="53">
        <f t="shared" si="120"/>
        <v>462.56</v>
      </c>
      <c r="AC113" s="53">
        <f t="shared" si="121"/>
        <v>462.56</v>
      </c>
      <c r="AD113" s="53">
        <f t="shared" si="122"/>
        <v>462.56</v>
      </c>
      <c r="AE113" s="53">
        <f t="shared" si="123"/>
        <v>462.56</v>
      </c>
      <c r="AF113" s="53">
        <f t="shared" ref="AF113:AF120" si="137">AE113</f>
        <v>462.56</v>
      </c>
      <c r="AG113" s="53">
        <f t="shared" si="123"/>
        <v>462.56</v>
      </c>
      <c r="AH113" s="56">
        <f t="shared" si="124"/>
        <v>5550.7200000000012</v>
      </c>
      <c r="AI113" s="48"/>
    </row>
    <row r="114" spans="1:36" x14ac:dyDescent="0.25">
      <c r="A114" s="48">
        <f t="shared" si="112"/>
        <v>16</v>
      </c>
      <c r="B114" s="44" t="str">
        <f t="shared" si="113"/>
        <v xml:space="preserve">    Series 3.25%  Note</v>
      </c>
      <c r="C114" s="175">
        <f t="shared" si="113"/>
        <v>3.2500000000000001E-2</v>
      </c>
      <c r="D114" s="61">
        <f t="shared" si="113"/>
        <v>44340</v>
      </c>
      <c r="E114" s="61">
        <f t="shared" si="113"/>
        <v>55305</v>
      </c>
      <c r="F114" s="100">
        <v>384.58</v>
      </c>
      <c r="G114" s="100">
        <v>384.58</v>
      </c>
      <c r="H114" s="100">
        <v>384.58</v>
      </c>
      <c r="I114" s="100">
        <v>384.58</v>
      </c>
      <c r="J114" s="53">
        <f t="shared" si="126"/>
        <v>384.58</v>
      </c>
      <c r="K114" s="53">
        <f t="shared" si="127"/>
        <v>384.58</v>
      </c>
      <c r="L114" s="53">
        <f t="shared" si="128"/>
        <v>384.58</v>
      </c>
      <c r="M114" s="53">
        <f t="shared" si="129"/>
        <v>384.58</v>
      </c>
      <c r="N114" s="53">
        <f t="shared" si="135"/>
        <v>384.58</v>
      </c>
      <c r="O114" s="53">
        <f t="shared" si="136"/>
        <v>384.58</v>
      </c>
      <c r="P114" s="53">
        <f t="shared" si="130"/>
        <v>384.58</v>
      </c>
      <c r="Q114" s="53">
        <f t="shared" si="131"/>
        <v>384.58</v>
      </c>
      <c r="R114" s="53">
        <f t="shared" si="132"/>
        <v>384.58</v>
      </c>
      <c r="S114" s="53">
        <f t="shared" si="133"/>
        <v>384.58</v>
      </c>
      <c r="T114" s="53">
        <f t="shared" si="134"/>
        <v>384.58</v>
      </c>
      <c r="U114" s="53">
        <f t="shared" si="118"/>
        <v>384.58</v>
      </c>
      <c r="V114" s="53">
        <f t="shared" si="118"/>
        <v>384.58</v>
      </c>
      <c r="W114" s="53">
        <f t="shared" si="118"/>
        <v>384.58</v>
      </c>
      <c r="X114" s="53">
        <f t="shared" si="118"/>
        <v>384.58</v>
      </c>
      <c r="Y114" s="53">
        <f t="shared" si="118"/>
        <v>384.58</v>
      </c>
      <c r="Z114" s="53">
        <f t="shared" si="118"/>
        <v>384.58</v>
      </c>
      <c r="AA114" s="53">
        <f t="shared" si="119"/>
        <v>384.58</v>
      </c>
      <c r="AB114" s="53">
        <f t="shared" si="120"/>
        <v>384.58</v>
      </c>
      <c r="AC114" s="53">
        <f t="shared" si="121"/>
        <v>384.58</v>
      </c>
      <c r="AD114" s="53">
        <f t="shared" si="122"/>
        <v>384.58</v>
      </c>
      <c r="AE114" s="53">
        <f t="shared" si="123"/>
        <v>384.58</v>
      </c>
      <c r="AF114" s="53">
        <f t="shared" si="137"/>
        <v>384.58</v>
      </c>
      <c r="AG114" s="53">
        <f t="shared" si="123"/>
        <v>384.58</v>
      </c>
      <c r="AH114" s="56">
        <f t="shared" si="124"/>
        <v>4614.96</v>
      </c>
      <c r="AI114" s="48"/>
    </row>
    <row r="115" spans="1:36" x14ac:dyDescent="0.25">
      <c r="A115" s="48">
        <f t="shared" si="112"/>
        <v>17</v>
      </c>
      <c r="B115" s="44" t="str">
        <f t="shared" si="113"/>
        <v xml:space="preserve">    Series 4.45%  Note</v>
      </c>
      <c r="C115" s="175">
        <f t="shared" si="113"/>
        <v>4.4499999999999998E-2</v>
      </c>
      <c r="D115" s="61">
        <f t="shared" si="113"/>
        <v>44699</v>
      </c>
      <c r="E115" s="61">
        <f t="shared" si="113"/>
        <v>48366</v>
      </c>
      <c r="F115" s="100">
        <v>702.19</v>
      </c>
      <c r="G115" s="100">
        <v>702.19</v>
      </c>
      <c r="H115" s="100">
        <v>702.19</v>
      </c>
      <c r="I115" s="100">
        <v>702.19</v>
      </c>
      <c r="J115" s="53">
        <f t="shared" si="126"/>
        <v>702.19</v>
      </c>
      <c r="K115" s="53">
        <f t="shared" si="127"/>
        <v>702.19</v>
      </c>
      <c r="L115" s="53">
        <f t="shared" si="128"/>
        <v>702.19</v>
      </c>
      <c r="M115" s="53">
        <f t="shared" si="129"/>
        <v>702.19</v>
      </c>
      <c r="N115" s="53">
        <f t="shared" si="135"/>
        <v>702.19</v>
      </c>
      <c r="O115" s="53">
        <f t="shared" si="136"/>
        <v>702.19</v>
      </c>
      <c r="P115" s="53">
        <f t="shared" si="130"/>
        <v>702.19</v>
      </c>
      <c r="Q115" s="53">
        <f t="shared" si="131"/>
        <v>702.19</v>
      </c>
      <c r="R115" s="53">
        <f t="shared" si="132"/>
        <v>702.19</v>
      </c>
      <c r="S115" s="53">
        <f t="shared" si="133"/>
        <v>702.19</v>
      </c>
      <c r="T115" s="53">
        <f t="shared" si="134"/>
        <v>702.19</v>
      </c>
      <c r="U115" s="53">
        <f t="shared" si="118"/>
        <v>702.19</v>
      </c>
      <c r="V115" s="53">
        <f t="shared" si="118"/>
        <v>702.19</v>
      </c>
      <c r="W115" s="53">
        <f t="shared" si="118"/>
        <v>702.19</v>
      </c>
      <c r="X115" s="53">
        <f t="shared" si="118"/>
        <v>702.19</v>
      </c>
      <c r="Y115" s="53">
        <f t="shared" si="118"/>
        <v>702.19</v>
      </c>
      <c r="Z115" s="53">
        <f t="shared" si="118"/>
        <v>702.19</v>
      </c>
      <c r="AA115" s="53">
        <f t="shared" si="119"/>
        <v>702.19</v>
      </c>
      <c r="AB115" s="53">
        <f t="shared" si="120"/>
        <v>702.19</v>
      </c>
      <c r="AC115" s="53">
        <f t="shared" si="121"/>
        <v>702.19</v>
      </c>
      <c r="AD115" s="53">
        <f t="shared" si="122"/>
        <v>702.19</v>
      </c>
      <c r="AE115" s="53">
        <f t="shared" si="123"/>
        <v>702.19</v>
      </c>
      <c r="AF115" s="53">
        <f t="shared" si="137"/>
        <v>702.19</v>
      </c>
      <c r="AG115" s="53">
        <f t="shared" si="123"/>
        <v>702.19</v>
      </c>
      <c r="AH115" s="56">
        <f t="shared" si="124"/>
        <v>8426.2800000000025</v>
      </c>
      <c r="AI115" s="48"/>
    </row>
    <row r="116" spans="1:36" x14ac:dyDescent="0.25">
      <c r="A116" s="48">
        <f t="shared" si="112"/>
        <v>18</v>
      </c>
      <c r="B116" s="44" t="str">
        <f t="shared" si="113"/>
        <v xml:space="preserve">    Series 3.875%  Note</v>
      </c>
      <c r="C116" s="175">
        <f t="shared" si="113"/>
        <v>3.875E-2</v>
      </c>
      <c r="D116" s="61">
        <f t="shared" si="113"/>
        <v>45170</v>
      </c>
      <c r="E116" s="61">
        <f t="shared" si="113"/>
        <v>46997</v>
      </c>
      <c r="F116" s="100">
        <v>4359.07</v>
      </c>
      <c r="G116" s="100">
        <v>4359.07</v>
      </c>
      <c r="H116" s="100">
        <v>4359.07</v>
      </c>
      <c r="I116" s="100">
        <v>4359.07</v>
      </c>
      <c r="J116" s="53">
        <f t="shared" si="126"/>
        <v>4359.07</v>
      </c>
      <c r="K116" s="53">
        <f t="shared" si="127"/>
        <v>4359.07</v>
      </c>
      <c r="L116" s="53">
        <f t="shared" si="128"/>
        <v>4359.07</v>
      </c>
      <c r="M116" s="53">
        <f t="shared" si="129"/>
        <v>4359.07</v>
      </c>
      <c r="N116" s="53">
        <f t="shared" si="135"/>
        <v>4359.07</v>
      </c>
      <c r="O116" s="53">
        <f t="shared" si="136"/>
        <v>4359.07</v>
      </c>
      <c r="P116" s="53">
        <f t="shared" si="130"/>
        <v>4359.07</v>
      </c>
      <c r="Q116" s="53">
        <f t="shared" si="131"/>
        <v>4359.07</v>
      </c>
      <c r="R116" s="53">
        <f t="shared" si="132"/>
        <v>4359.07</v>
      </c>
      <c r="S116" s="53">
        <f t="shared" si="133"/>
        <v>4359.07</v>
      </c>
      <c r="T116" s="53">
        <f t="shared" si="134"/>
        <v>4359.07</v>
      </c>
      <c r="U116" s="53">
        <f t="shared" si="118"/>
        <v>4359.07</v>
      </c>
      <c r="V116" s="53">
        <f t="shared" si="118"/>
        <v>4359.07</v>
      </c>
      <c r="W116" s="53">
        <f t="shared" si="118"/>
        <v>4359.07</v>
      </c>
      <c r="X116" s="53">
        <f t="shared" si="118"/>
        <v>4359.07</v>
      </c>
      <c r="Y116" s="53">
        <f t="shared" si="118"/>
        <v>4359.07</v>
      </c>
      <c r="Z116" s="53">
        <f t="shared" si="118"/>
        <v>4359.07</v>
      </c>
      <c r="AA116" s="53">
        <f t="shared" si="119"/>
        <v>4359.07</v>
      </c>
      <c r="AB116" s="53">
        <f t="shared" si="120"/>
        <v>4359.07</v>
      </c>
      <c r="AC116" s="53">
        <f t="shared" si="121"/>
        <v>4359.07</v>
      </c>
      <c r="AD116" s="53">
        <f t="shared" si="122"/>
        <v>4359.07</v>
      </c>
      <c r="AE116" s="53">
        <f t="shared" si="123"/>
        <v>4359.07</v>
      </c>
      <c r="AF116" s="53">
        <f t="shared" si="137"/>
        <v>4359.07</v>
      </c>
      <c r="AG116" s="53">
        <f t="shared" si="123"/>
        <v>4359.07</v>
      </c>
      <c r="AH116" s="56">
        <f>SUM(V116:AG116)</f>
        <v>52308.84</v>
      </c>
      <c r="AI116" s="48"/>
    </row>
    <row r="117" spans="1:36" x14ac:dyDescent="0.25">
      <c r="A117" s="48">
        <f t="shared" si="112"/>
        <v>19</v>
      </c>
      <c r="B117" s="44" t="str">
        <f t="shared" si="113"/>
        <v xml:space="preserve">    Series 3.625%  Note</v>
      </c>
      <c r="C117" s="175">
        <f t="shared" si="113"/>
        <v>3.6249999999999998E-2</v>
      </c>
      <c r="D117" s="61">
        <f t="shared" si="113"/>
        <v>45184</v>
      </c>
      <c r="E117" s="61">
        <f t="shared" si="113"/>
        <v>46188</v>
      </c>
      <c r="F117" s="100">
        <v>8045.62</v>
      </c>
      <c r="G117" s="100">
        <v>8045.62</v>
      </c>
      <c r="H117" s="100">
        <v>8045.62</v>
      </c>
      <c r="I117" s="100">
        <v>8045.62</v>
      </c>
      <c r="J117" s="53">
        <f t="shared" si="126"/>
        <v>8045.62</v>
      </c>
      <c r="K117" s="53">
        <f t="shared" si="127"/>
        <v>8045.62</v>
      </c>
      <c r="L117" s="53">
        <f t="shared" si="128"/>
        <v>8045.62</v>
      </c>
      <c r="M117" s="53">
        <f t="shared" si="129"/>
        <v>8045.62</v>
      </c>
      <c r="N117" s="53">
        <f t="shared" si="135"/>
        <v>8045.62</v>
      </c>
      <c r="O117" s="53">
        <f t="shared" si="136"/>
        <v>8045.62</v>
      </c>
      <c r="P117" s="53">
        <f t="shared" si="130"/>
        <v>8045.62</v>
      </c>
      <c r="Q117" s="53">
        <f t="shared" si="131"/>
        <v>8045.62</v>
      </c>
      <c r="R117" s="53">
        <f t="shared" si="132"/>
        <v>8045.62</v>
      </c>
      <c r="S117" s="53">
        <f t="shared" si="133"/>
        <v>8045.62</v>
      </c>
      <c r="T117" s="53">
        <f t="shared" si="134"/>
        <v>8045.62</v>
      </c>
      <c r="U117" s="53">
        <f t="shared" si="118"/>
        <v>8045.62</v>
      </c>
      <c r="V117" s="53">
        <f t="shared" si="118"/>
        <v>8045.62</v>
      </c>
      <c r="W117" s="53">
        <f t="shared" si="118"/>
        <v>8045.62</v>
      </c>
      <c r="X117" s="53">
        <f t="shared" si="118"/>
        <v>8045.62</v>
      </c>
      <c r="Y117" s="53">
        <f t="shared" si="118"/>
        <v>8045.62</v>
      </c>
      <c r="Z117" s="53">
        <f t="shared" si="118"/>
        <v>8045.62</v>
      </c>
      <c r="AA117" s="53">
        <v>0</v>
      </c>
      <c r="AB117" s="53">
        <f t="shared" si="120"/>
        <v>0</v>
      </c>
      <c r="AC117" s="53">
        <f t="shared" si="121"/>
        <v>0</v>
      </c>
      <c r="AD117" s="53">
        <f t="shared" si="122"/>
        <v>0</v>
      </c>
      <c r="AE117" s="53">
        <f t="shared" si="123"/>
        <v>0</v>
      </c>
      <c r="AF117" s="53">
        <f t="shared" si="137"/>
        <v>0</v>
      </c>
      <c r="AG117" s="53">
        <f t="shared" si="123"/>
        <v>0</v>
      </c>
      <c r="AH117" s="56">
        <f>SUM(V117:AG117)</f>
        <v>40228.1</v>
      </c>
      <c r="AI117" s="48"/>
      <c r="AJ117" s="100"/>
    </row>
    <row r="118" spans="1:36" x14ac:dyDescent="0.25">
      <c r="A118" s="48">
        <f t="shared" si="112"/>
        <v>20</v>
      </c>
      <c r="B118" s="44" t="str">
        <f t="shared" si="113"/>
        <v xml:space="preserve">    Series 5.15%  Note</v>
      </c>
      <c r="C118" s="175">
        <f t="shared" si="113"/>
        <v>5.1499999999999997E-2</v>
      </c>
      <c r="D118" s="61">
        <f t="shared" si="113"/>
        <v>45427</v>
      </c>
      <c r="E118" s="61">
        <f t="shared" si="113"/>
        <v>49004</v>
      </c>
      <c r="F118" s="100">
        <v>991.8</v>
      </c>
      <c r="G118" s="100">
        <v>991.8</v>
      </c>
      <c r="H118" s="100">
        <v>991.8</v>
      </c>
      <c r="I118" s="100">
        <v>991.8</v>
      </c>
      <c r="J118" s="53">
        <f t="shared" si="126"/>
        <v>991.8</v>
      </c>
      <c r="K118" s="53">
        <f t="shared" si="127"/>
        <v>991.8</v>
      </c>
      <c r="L118" s="53">
        <f t="shared" si="128"/>
        <v>991.8</v>
      </c>
      <c r="M118" s="53">
        <f t="shared" si="129"/>
        <v>991.8</v>
      </c>
      <c r="N118" s="53">
        <f t="shared" si="135"/>
        <v>991.8</v>
      </c>
      <c r="O118" s="53">
        <f t="shared" si="136"/>
        <v>991.8</v>
      </c>
      <c r="P118" s="53">
        <f t="shared" si="130"/>
        <v>991.8</v>
      </c>
      <c r="Q118" s="53">
        <f t="shared" si="131"/>
        <v>991.8</v>
      </c>
      <c r="R118" s="53">
        <f t="shared" si="132"/>
        <v>991.8</v>
      </c>
      <c r="S118" s="53">
        <f t="shared" si="133"/>
        <v>991.8</v>
      </c>
      <c r="T118" s="53">
        <f t="shared" si="134"/>
        <v>991.8</v>
      </c>
      <c r="U118" s="53">
        <f t="shared" si="118"/>
        <v>991.8</v>
      </c>
      <c r="V118" s="53">
        <f t="shared" si="118"/>
        <v>991.8</v>
      </c>
      <c r="W118" s="53">
        <f t="shared" si="118"/>
        <v>991.8</v>
      </c>
      <c r="X118" s="53">
        <f t="shared" si="118"/>
        <v>991.8</v>
      </c>
      <c r="Y118" s="53">
        <f t="shared" si="118"/>
        <v>991.8</v>
      </c>
      <c r="Z118" s="53">
        <f t="shared" si="118"/>
        <v>991.8</v>
      </c>
      <c r="AA118" s="53">
        <f t="shared" si="119"/>
        <v>991.8</v>
      </c>
      <c r="AB118" s="53">
        <f t="shared" si="120"/>
        <v>991.8</v>
      </c>
      <c r="AC118" s="53">
        <f t="shared" si="121"/>
        <v>991.8</v>
      </c>
      <c r="AD118" s="53">
        <f t="shared" si="122"/>
        <v>991.8</v>
      </c>
      <c r="AE118" s="53">
        <f t="shared" si="123"/>
        <v>991.8</v>
      </c>
      <c r="AF118" s="53">
        <f t="shared" si="137"/>
        <v>991.8</v>
      </c>
      <c r="AG118" s="53">
        <f t="shared" si="123"/>
        <v>991.8</v>
      </c>
      <c r="AH118" s="56">
        <f t="shared" si="124"/>
        <v>11901.599999999999</v>
      </c>
      <c r="AI118" s="48"/>
    </row>
    <row r="119" spans="1:36" x14ac:dyDescent="0.25">
      <c r="A119" s="48">
        <f t="shared" si="112"/>
        <v>21</v>
      </c>
      <c r="B119" s="44" t="str">
        <f t="shared" si="113"/>
        <v xml:space="preserve">    Series 5.45%  Note</v>
      </c>
      <c r="C119" s="175">
        <f t="shared" si="113"/>
        <v>5.45E-2</v>
      </c>
      <c r="D119" s="61">
        <f t="shared" si="113"/>
        <v>45427</v>
      </c>
      <c r="E119" s="61">
        <f t="shared" si="113"/>
        <v>56309</v>
      </c>
      <c r="F119" s="100">
        <v>417.42</v>
      </c>
      <c r="G119" s="100">
        <v>417.42</v>
      </c>
      <c r="H119" s="100">
        <v>417.42</v>
      </c>
      <c r="I119" s="100">
        <v>417.42</v>
      </c>
      <c r="J119" s="53">
        <f t="shared" si="126"/>
        <v>417.42</v>
      </c>
      <c r="K119" s="53">
        <f t="shared" si="127"/>
        <v>417.42</v>
      </c>
      <c r="L119" s="53">
        <f t="shared" si="128"/>
        <v>417.42</v>
      </c>
      <c r="M119" s="53">
        <f t="shared" si="129"/>
        <v>417.42</v>
      </c>
      <c r="N119" s="53">
        <f t="shared" si="135"/>
        <v>417.42</v>
      </c>
      <c r="O119" s="53">
        <f t="shared" si="136"/>
        <v>417.42</v>
      </c>
      <c r="P119" s="53">
        <f t="shared" si="130"/>
        <v>417.42</v>
      </c>
      <c r="Q119" s="53">
        <f t="shared" si="131"/>
        <v>417.42</v>
      </c>
      <c r="R119" s="53">
        <f t="shared" si="132"/>
        <v>417.42</v>
      </c>
      <c r="S119" s="53">
        <f t="shared" si="133"/>
        <v>417.42</v>
      </c>
      <c r="T119" s="53">
        <f t="shared" si="134"/>
        <v>417.42</v>
      </c>
      <c r="U119" s="53">
        <f t="shared" si="118"/>
        <v>417.42</v>
      </c>
      <c r="V119" s="53">
        <f t="shared" si="118"/>
        <v>417.42</v>
      </c>
      <c r="W119" s="53">
        <f t="shared" si="118"/>
        <v>417.42</v>
      </c>
      <c r="X119" s="53">
        <f t="shared" si="118"/>
        <v>417.42</v>
      </c>
      <c r="Y119" s="53">
        <f t="shared" si="118"/>
        <v>417.42</v>
      </c>
      <c r="Z119" s="53">
        <f t="shared" si="118"/>
        <v>417.42</v>
      </c>
      <c r="AA119" s="53">
        <f t="shared" si="119"/>
        <v>417.42</v>
      </c>
      <c r="AB119" s="53">
        <f t="shared" si="120"/>
        <v>417.42</v>
      </c>
      <c r="AC119" s="53">
        <f t="shared" si="121"/>
        <v>417.42</v>
      </c>
      <c r="AD119" s="53">
        <f t="shared" si="122"/>
        <v>417.42</v>
      </c>
      <c r="AE119" s="53">
        <f t="shared" si="123"/>
        <v>417.42</v>
      </c>
      <c r="AF119" s="53">
        <f t="shared" si="137"/>
        <v>417.42</v>
      </c>
      <c r="AG119" s="53">
        <f t="shared" si="123"/>
        <v>417.42</v>
      </c>
      <c r="AH119" s="56">
        <f t="shared" si="124"/>
        <v>5009.04</v>
      </c>
      <c r="AI119" s="48"/>
    </row>
    <row r="120" spans="1:36" x14ac:dyDescent="0.25">
      <c r="A120" s="48">
        <f t="shared" si="112"/>
        <v>22</v>
      </c>
      <c r="B120" s="44" t="str">
        <f t="shared" si="113"/>
        <v xml:space="preserve">    Proposed 2025 Issuance (10-year)</v>
      </c>
      <c r="C120" s="175">
        <f t="shared" si="113"/>
        <v>5.2499999999999998E-2</v>
      </c>
      <c r="D120" s="61">
        <f t="shared" si="113"/>
        <v>45731</v>
      </c>
      <c r="E120" s="61">
        <f t="shared" si="113"/>
        <v>49369</v>
      </c>
      <c r="F120" s="100"/>
      <c r="G120" s="100"/>
      <c r="H120" s="100"/>
      <c r="I120" s="100"/>
      <c r="J120" s="53"/>
      <c r="K120" s="53"/>
      <c r="L120" s="53">
        <v>288.73</v>
      </c>
      <c r="M120" s="53">
        <v>541.22000000000116</v>
      </c>
      <c r="N120" s="53">
        <f t="shared" si="135"/>
        <v>541.22000000000116</v>
      </c>
      <c r="O120" s="53">
        <f t="shared" si="136"/>
        <v>541.22000000000116</v>
      </c>
      <c r="P120" s="53">
        <v>752.93999999999994</v>
      </c>
      <c r="Q120" s="53">
        <v>734.68</v>
      </c>
      <c r="R120" s="53">
        <f t="shared" si="132"/>
        <v>734.68</v>
      </c>
      <c r="S120" s="53">
        <f t="shared" si="133"/>
        <v>734.68</v>
      </c>
      <c r="T120" s="53">
        <f t="shared" si="134"/>
        <v>734.68</v>
      </c>
      <c r="U120" s="53">
        <f t="shared" si="118"/>
        <v>734.68</v>
      </c>
      <c r="V120" s="53">
        <f t="shared" si="118"/>
        <v>734.68</v>
      </c>
      <c r="W120" s="53">
        <f t="shared" si="118"/>
        <v>734.68</v>
      </c>
      <c r="X120" s="53">
        <f t="shared" si="118"/>
        <v>734.68</v>
      </c>
      <c r="Y120" s="53">
        <f t="shared" si="118"/>
        <v>734.68</v>
      </c>
      <c r="Z120" s="53">
        <f t="shared" si="118"/>
        <v>734.68</v>
      </c>
      <c r="AA120" s="53">
        <f t="shared" si="119"/>
        <v>734.68</v>
      </c>
      <c r="AB120" s="53">
        <f t="shared" si="120"/>
        <v>734.68</v>
      </c>
      <c r="AC120" s="53">
        <f t="shared" si="121"/>
        <v>734.68</v>
      </c>
      <c r="AD120" s="53">
        <f t="shared" si="122"/>
        <v>734.68</v>
      </c>
      <c r="AE120" s="53">
        <f t="shared" si="123"/>
        <v>734.68</v>
      </c>
      <c r="AF120" s="53">
        <f t="shared" si="137"/>
        <v>734.68</v>
      </c>
      <c r="AG120" s="53">
        <f t="shared" si="123"/>
        <v>734.68</v>
      </c>
      <c r="AH120" s="56">
        <f>SUM(V120:AG120)</f>
        <v>8816.1600000000017</v>
      </c>
      <c r="AI120" s="48"/>
    </row>
    <row r="121" spans="1:36" x14ac:dyDescent="0.25">
      <c r="A121" s="48">
        <f t="shared" si="112"/>
        <v>23</v>
      </c>
      <c r="B121" s="44" t="str">
        <f t="shared" si="113"/>
        <v xml:space="preserve">    Proposed 2025 Issuance (30-year)</v>
      </c>
      <c r="C121" s="175">
        <f t="shared" si="113"/>
        <v>5.7000000000000002E-2</v>
      </c>
      <c r="D121" s="61">
        <f t="shared" si="113"/>
        <v>45915</v>
      </c>
      <c r="E121" s="61">
        <f t="shared" si="113"/>
        <v>56888</v>
      </c>
      <c r="F121" s="100"/>
      <c r="G121" s="100"/>
      <c r="H121" s="100"/>
      <c r="I121" s="100"/>
      <c r="J121" s="53"/>
      <c r="K121" s="53"/>
      <c r="L121" s="53"/>
      <c r="M121" s="53"/>
      <c r="N121" s="53"/>
      <c r="O121" s="53"/>
      <c r="P121" s="53"/>
      <c r="Q121" s="53"/>
      <c r="R121" s="53">
        <v>286.57</v>
      </c>
      <c r="S121" s="53">
        <v>573.15</v>
      </c>
      <c r="T121" s="53">
        <f t="shared" si="134"/>
        <v>573.15</v>
      </c>
      <c r="U121" s="53">
        <f t="shared" ref="U121" si="138">T121</f>
        <v>573.15</v>
      </c>
      <c r="V121" s="53">
        <f t="shared" ref="V121" si="139">U121</f>
        <v>573.15</v>
      </c>
      <c r="W121" s="53">
        <f t="shared" ref="W121" si="140">V121</f>
        <v>573.15</v>
      </c>
      <c r="X121" s="53">
        <f t="shared" ref="X121" si="141">W121</f>
        <v>573.15</v>
      </c>
      <c r="Y121" s="53">
        <f t="shared" ref="Y121" si="142">X121</f>
        <v>573.15</v>
      </c>
      <c r="Z121" s="53">
        <f t="shared" ref="Z121" si="143">Y121</f>
        <v>573.15</v>
      </c>
      <c r="AA121" s="53">
        <f t="shared" ref="AA121:AA123" si="144">Z121</f>
        <v>573.15</v>
      </c>
      <c r="AB121" s="53">
        <f t="shared" ref="AB121:AB123" si="145">AA121</f>
        <v>573.15</v>
      </c>
      <c r="AC121" s="53">
        <f t="shared" ref="AC121:AC123" si="146">AB121</f>
        <v>573.15</v>
      </c>
      <c r="AD121" s="53">
        <f t="shared" ref="AD121:AD123" si="147">AC121</f>
        <v>573.15</v>
      </c>
      <c r="AE121" s="53">
        <f t="shared" ref="AE121:AE123" si="148">AD121</f>
        <v>573.15</v>
      </c>
      <c r="AF121" s="53">
        <f t="shared" ref="AF121:AF125" si="149">AE121</f>
        <v>573.15</v>
      </c>
      <c r="AG121" s="53">
        <f t="shared" ref="AG121:AG125" si="150">AF121</f>
        <v>573.15</v>
      </c>
      <c r="AH121" s="56">
        <f t="shared" ref="AH121" si="151">SUM(V121:AG121)</f>
        <v>6877.7999999999984</v>
      </c>
      <c r="AI121" s="48"/>
    </row>
    <row r="122" spans="1:36" x14ac:dyDescent="0.25">
      <c r="A122" s="48">
        <f t="shared" si="112"/>
        <v>24</v>
      </c>
      <c r="B122" s="44" t="str">
        <f t="shared" si="113"/>
        <v xml:space="preserve">    Proposed 2026 Issuance (10-year)</v>
      </c>
      <c r="C122" s="175">
        <f t="shared" si="113"/>
        <v>5.5995500000000004E-2</v>
      </c>
      <c r="D122" s="61">
        <f t="shared" si="113"/>
        <v>46096</v>
      </c>
      <c r="E122" s="61">
        <f t="shared" si="113"/>
        <v>49766</v>
      </c>
      <c r="F122" s="100"/>
      <c r="G122" s="100"/>
      <c r="H122" s="100"/>
      <c r="I122" s="100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>
        <f>((0.01*X32)/120)/2</f>
        <v>385.41666666666669</v>
      </c>
      <c r="Y122" s="53">
        <f>((0.01*Y32)/120)</f>
        <v>770.83333333333337</v>
      </c>
      <c r="Z122" s="53">
        <f t="shared" ref="Z122:Z123" si="152">Y122</f>
        <v>770.83333333333337</v>
      </c>
      <c r="AA122" s="53">
        <f t="shared" si="144"/>
        <v>770.83333333333337</v>
      </c>
      <c r="AB122" s="53">
        <f t="shared" si="145"/>
        <v>770.83333333333337</v>
      </c>
      <c r="AC122" s="53">
        <f t="shared" si="146"/>
        <v>770.83333333333337</v>
      </c>
      <c r="AD122" s="53">
        <f t="shared" si="147"/>
        <v>770.83333333333337</v>
      </c>
      <c r="AE122" s="53">
        <f t="shared" si="148"/>
        <v>770.83333333333337</v>
      </c>
      <c r="AF122" s="53">
        <f t="shared" si="149"/>
        <v>770.83333333333337</v>
      </c>
      <c r="AG122" s="53">
        <f t="shared" si="150"/>
        <v>770.83333333333337</v>
      </c>
      <c r="AH122" s="56">
        <f>SUM(V122:AG122)</f>
        <v>7322.9166666666661</v>
      </c>
      <c r="AI122" s="48"/>
    </row>
    <row r="123" spans="1:36" x14ac:dyDescent="0.25">
      <c r="A123" s="48">
        <f t="shared" si="112"/>
        <v>25</v>
      </c>
      <c r="B123" s="44" t="str">
        <f t="shared" si="113"/>
        <v xml:space="preserve">    Proposed 2026 Issuance (30-year)</v>
      </c>
      <c r="C123" s="175">
        <f t="shared" si="113"/>
        <v>5.7989555555555551E-2</v>
      </c>
      <c r="D123" s="61">
        <f t="shared" si="113"/>
        <v>46096</v>
      </c>
      <c r="E123" s="61">
        <f t="shared" si="113"/>
        <v>57071</v>
      </c>
      <c r="F123" s="100"/>
      <c r="G123" s="100"/>
      <c r="H123" s="100"/>
      <c r="I123" s="100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>
        <f>((0.01*X33)/360)/2</f>
        <v>128.47222222222223</v>
      </c>
      <c r="Y123" s="53">
        <f>((0.01*Y33)/360)</f>
        <v>256.94444444444446</v>
      </c>
      <c r="Z123" s="53">
        <f t="shared" si="152"/>
        <v>256.94444444444446</v>
      </c>
      <c r="AA123" s="53">
        <f t="shared" si="144"/>
        <v>256.94444444444446</v>
      </c>
      <c r="AB123" s="53">
        <f t="shared" si="145"/>
        <v>256.94444444444446</v>
      </c>
      <c r="AC123" s="53">
        <f t="shared" si="146"/>
        <v>256.94444444444446</v>
      </c>
      <c r="AD123" s="53">
        <f t="shared" si="147"/>
        <v>256.94444444444446</v>
      </c>
      <c r="AE123" s="53">
        <f t="shared" si="148"/>
        <v>256.94444444444446</v>
      </c>
      <c r="AF123" s="53">
        <f t="shared" si="149"/>
        <v>256.94444444444446</v>
      </c>
      <c r="AG123" s="53">
        <f t="shared" si="150"/>
        <v>256.94444444444446</v>
      </c>
      <c r="AH123" s="56">
        <f t="shared" ref="AH123:AH124" si="153">SUM(V123:AG123)</f>
        <v>2440.9722222222217</v>
      </c>
      <c r="AI123" s="48"/>
    </row>
    <row r="124" spans="1:36" x14ac:dyDescent="0.25">
      <c r="A124" s="48">
        <f t="shared" si="112"/>
        <v>26</v>
      </c>
      <c r="B124" s="44" t="str">
        <f t="shared" si="113"/>
        <v xml:space="preserve">    Proposed 2026 Issuance (10-year)</v>
      </c>
      <c r="C124" s="175">
        <f t="shared" si="113"/>
        <v>5.5995500000000004E-2</v>
      </c>
      <c r="D124" s="61">
        <f t="shared" si="113"/>
        <v>46280</v>
      </c>
      <c r="E124" s="61">
        <f t="shared" si="113"/>
        <v>49949</v>
      </c>
      <c r="F124" s="100"/>
      <c r="G124" s="100"/>
      <c r="H124" s="100"/>
      <c r="I124" s="100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>
        <f>((0.01*AD34)/120)/2</f>
        <v>385.41666666666669</v>
      </c>
      <c r="AE124" s="53">
        <f>((0.01*AE34)/120)</f>
        <v>770.83333333333337</v>
      </c>
      <c r="AF124" s="53">
        <f t="shared" si="149"/>
        <v>770.83333333333337</v>
      </c>
      <c r="AG124" s="53">
        <f t="shared" si="150"/>
        <v>770.83333333333337</v>
      </c>
      <c r="AH124" s="56">
        <f t="shared" si="153"/>
        <v>2697.916666666667</v>
      </c>
      <c r="AI124" s="48"/>
    </row>
    <row r="125" spans="1:36" x14ac:dyDescent="0.25">
      <c r="A125" s="48">
        <f t="shared" si="112"/>
        <v>27</v>
      </c>
      <c r="B125" s="44" t="str">
        <f t="shared" si="113"/>
        <v xml:space="preserve">    Proposed 2026 Issuance (30-year)</v>
      </c>
      <c r="C125" s="175">
        <f t="shared" si="113"/>
        <v>5.7989555555555551E-2</v>
      </c>
      <c r="D125" s="61">
        <f t="shared" si="113"/>
        <v>46280</v>
      </c>
      <c r="E125" s="61">
        <f t="shared" si="113"/>
        <v>57254</v>
      </c>
      <c r="F125" s="100"/>
      <c r="G125" s="100"/>
      <c r="H125" s="100"/>
      <c r="I125" s="100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>
        <f>((0.01*AD35)/360)/2</f>
        <v>128.47222222222223</v>
      </c>
      <c r="AE125" s="53">
        <f>((0.01*AE35)/360)</f>
        <v>256.94444444444446</v>
      </c>
      <c r="AF125" s="53">
        <f t="shared" si="149"/>
        <v>256.94444444444446</v>
      </c>
      <c r="AG125" s="53">
        <f t="shared" si="150"/>
        <v>256.94444444444446</v>
      </c>
      <c r="AH125" s="56">
        <f>SUM(V125:AG125)</f>
        <v>899.30555555555554</v>
      </c>
      <c r="AI125" s="48"/>
    </row>
    <row r="126" spans="1:36" x14ac:dyDescent="0.25">
      <c r="A126" s="48">
        <f t="shared" si="112"/>
        <v>28</v>
      </c>
      <c r="B126" s="44"/>
      <c r="C126" s="175"/>
      <c r="D126" s="61"/>
      <c r="E126" s="61"/>
      <c r="F126" s="100"/>
      <c r="G126" s="100"/>
      <c r="H126" s="100"/>
      <c r="I126" s="100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6"/>
      <c r="AI126" s="48"/>
    </row>
    <row r="127" spans="1:36" x14ac:dyDescent="0.25">
      <c r="A127" s="48">
        <f t="shared" si="112"/>
        <v>29</v>
      </c>
      <c r="B127" s="44" t="s">
        <v>196</v>
      </c>
      <c r="F127" s="77">
        <v>3803</v>
      </c>
      <c r="G127" s="77">
        <v>3803</v>
      </c>
      <c r="H127" s="77">
        <v>3803</v>
      </c>
      <c r="I127" s="77">
        <v>3803</v>
      </c>
      <c r="J127" s="53">
        <f t="shared" ref="J127" si="154">I127</f>
        <v>3803</v>
      </c>
      <c r="K127" s="53">
        <f t="shared" ref="K127" si="155">J127</f>
        <v>3803</v>
      </c>
      <c r="L127" s="53">
        <f t="shared" ref="L127" si="156">K127</f>
        <v>3803</v>
      </c>
      <c r="M127" s="53">
        <f t="shared" ref="M127" si="157">L127</f>
        <v>3803</v>
      </c>
      <c r="N127" s="53">
        <f t="shared" ref="N127" si="158">M127</f>
        <v>3803</v>
      </c>
      <c r="O127" s="53">
        <f t="shared" ref="O127" si="159">N127</f>
        <v>3803</v>
      </c>
      <c r="P127" s="53">
        <f t="shared" ref="P127" si="160">O127</f>
        <v>3803</v>
      </c>
      <c r="Q127" s="53">
        <f t="shared" ref="Q127" si="161">P127</f>
        <v>3803</v>
      </c>
      <c r="R127" s="53">
        <f t="shared" ref="R127" si="162">Q127</f>
        <v>3803</v>
      </c>
      <c r="S127" s="53">
        <f t="shared" ref="S127" si="163">R127</f>
        <v>3803</v>
      </c>
      <c r="T127" s="53">
        <f t="shared" ref="T127" si="164">S127</f>
        <v>3803</v>
      </c>
      <c r="U127" s="53">
        <f t="shared" ref="U127" si="165">T127</f>
        <v>3803</v>
      </c>
      <c r="V127" s="53">
        <f t="shared" ref="V127" si="166">U127</f>
        <v>3803</v>
      </c>
      <c r="W127" s="53">
        <f t="shared" ref="W127" si="167">V127</f>
        <v>3803</v>
      </c>
      <c r="X127" s="53">
        <f t="shared" ref="X127" si="168">W127</f>
        <v>3803</v>
      </c>
      <c r="Y127" s="53">
        <f t="shared" ref="Y127" si="169">X127</f>
        <v>3803</v>
      </c>
      <c r="Z127" s="53">
        <f t="shared" ref="Z127" si="170">Y127</f>
        <v>3803</v>
      </c>
      <c r="AA127" s="53">
        <f t="shared" ref="AA127" si="171">Z127</f>
        <v>3803</v>
      </c>
      <c r="AB127" s="53">
        <f t="shared" ref="AB127" si="172">AA127</f>
        <v>3803</v>
      </c>
      <c r="AC127" s="53">
        <f t="shared" ref="AC127" si="173">AB127</f>
        <v>3803</v>
      </c>
      <c r="AD127" s="53">
        <f t="shared" ref="AD127" si="174">AC127</f>
        <v>3803</v>
      </c>
      <c r="AE127" s="53">
        <f t="shared" ref="AE127" si="175">AD127</f>
        <v>3803</v>
      </c>
      <c r="AF127" s="53">
        <f t="shared" ref="AF127" si="176">AE127</f>
        <v>3803</v>
      </c>
      <c r="AG127" s="53">
        <f t="shared" ref="AG127" si="177">AF127</f>
        <v>3803</v>
      </c>
      <c r="AH127" s="56">
        <f t="shared" ref="AH127" si="178">SUM(V127:AG127)</f>
        <v>45636</v>
      </c>
      <c r="AI127" s="48"/>
    </row>
    <row r="128" spans="1:36" x14ac:dyDescent="0.25">
      <c r="A128" s="48">
        <f t="shared" si="112"/>
        <v>30</v>
      </c>
      <c r="K128" s="100"/>
      <c r="AI128" s="48"/>
    </row>
    <row r="129" spans="1:40" x14ac:dyDescent="0.25">
      <c r="A129" s="48">
        <f t="shared" si="112"/>
        <v>31</v>
      </c>
      <c r="K129" s="100"/>
      <c r="AI129" s="48"/>
    </row>
    <row r="130" spans="1:40" ht="15.75" thickBot="1" x14ac:dyDescent="0.3">
      <c r="A130" s="48">
        <f t="shared" si="112"/>
        <v>32</v>
      </c>
      <c r="B130" s="44" t="s">
        <v>194</v>
      </c>
      <c r="F130" s="158">
        <f t="shared" ref="F130:AH130" si="179">SUM(F101:F127)</f>
        <v>29244.879999999997</v>
      </c>
      <c r="G130" s="158">
        <f t="shared" si="179"/>
        <v>29244.879999999997</v>
      </c>
      <c r="H130" s="158">
        <f t="shared" si="179"/>
        <v>29244.879999999997</v>
      </c>
      <c r="I130" s="158">
        <f t="shared" si="179"/>
        <v>29244.879999999997</v>
      </c>
      <c r="J130" s="158">
        <f t="shared" si="179"/>
        <v>29244.879999999997</v>
      </c>
      <c r="K130" s="158">
        <f t="shared" si="179"/>
        <v>29244.879999999997</v>
      </c>
      <c r="L130" s="158">
        <f t="shared" si="179"/>
        <v>29533.609999999997</v>
      </c>
      <c r="M130" s="158">
        <f t="shared" si="179"/>
        <v>29786.1</v>
      </c>
      <c r="N130" s="158">
        <f t="shared" si="179"/>
        <v>29786.1</v>
      </c>
      <c r="O130" s="158">
        <f t="shared" si="179"/>
        <v>29786.1</v>
      </c>
      <c r="P130" s="158">
        <f t="shared" si="179"/>
        <v>29997.819999999996</v>
      </c>
      <c r="Q130" s="158">
        <f t="shared" si="179"/>
        <v>29979.559999999998</v>
      </c>
      <c r="R130" s="158">
        <f t="shared" si="179"/>
        <v>30266.129999999997</v>
      </c>
      <c r="S130" s="158">
        <f t="shared" si="179"/>
        <v>30552.71</v>
      </c>
      <c r="T130" s="158">
        <f t="shared" si="179"/>
        <v>30552.71</v>
      </c>
      <c r="U130" s="158">
        <f t="shared" si="179"/>
        <v>30552.71</v>
      </c>
      <c r="V130" s="158">
        <f t="shared" si="179"/>
        <v>30552.71</v>
      </c>
      <c r="W130" s="158">
        <f t="shared" si="179"/>
        <v>30552.71</v>
      </c>
      <c r="X130" s="158">
        <f t="shared" si="179"/>
        <v>31066.59888888889</v>
      </c>
      <c r="Y130" s="158">
        <f t="shared" si="179"/>
        <v>31580.487777777777</v>
      </c>
      <c r="Z130" s="158">
        <f t="shared" si="179"/>
        <v>31580.487777777777</v>
      </c>
      <c r="AA130" s="158">
        <f t="shared" si="179"/>
        <v>23534.867777777778</v>
      </c>
      <c r="AB130" s="158">
        <f t="shared" si="179"/>
        <v>23534.867777777778</v>
      </c>
      <c r="AC130" s="158">
        <f t="shared" si="179"/>
        <v>23534.867777777778</v>
      </c>
      <c r="AD130" s="158">
        <f t="shared" si="179"/>
        <v>24048.756666666668</v>
      </c>
      <c r="AE130" s="158">
        <f t="shared" si="179"/>
        <v>24562.645555555555</v>
      </c>
      <c r="AF130" s="158">
        <f t="shared" si="179"/>
        <v>24562.645555555555</v>
      </c>
      <c r="AG130" s="158">
        <f t="shared" si="179"/>
        <v>24562.645555555555</v>
      </c>
      <c r="AH130" s="158">
        <f t="shared" si="179"/>
        <v>323674.29111111123</v>
      </c>
      <c r="AI130" s="48"/>
      <c r="AN130" s="56"/>
    </row>
    <row r="131" spans="1:40" ht="15.75" thickTop="1" x14ac:dyDescent="0.25">
      <c r="A131" s="48"/>
      <c r="AI131" s="48"/>
    </row>
    <row r="132" spans="1:40" x14ac:dyDescent="0.25">
      <c r="A132" s="48"/>
      <c r="I132" s="56"/>
      <c r="J132" s="56"/>
      <c r="K132" s="56"/>
      <c r="AI132" s="48"/>
    </row>
    <row r="133" spans="1:40" x14ac:dyDescent="0.25">
      <c r="A133" s="48"/>
      <c r="F133" s="53"/>
      <c r="J133" s="181"/>
      <c r="AI133" s="48"/>
    </row>
    <row r="134" spans="1:40" x14ac:dyDescent="0.25">
      <c r="A134" s="48"/>
      <c r="F134" s="182"/>
      <c r="AI134" s="48"/>
    </row>
    <row r="135" spans="1:40" x14ac:dyDescent="0.25">
      <c r="A135" s="161" t="s">
        <v>159</v>
      </c>
      <c r="F135" s="182"/>
      <c r="O135" s="162" t="str">
        <f>$O$1</f>
        <v>W/P - 7-4</v>
      </c>
      <c r="Y135" s="162" t="str">
        <f>$O$90</f>
        <v>W/P - 7-4</v>
      </c>
      <c r="AH135" s="162" t="str">
        <f>$O$90</f>
        <v>W/P - 7-4</v>
      </c>
      <c r="AI135" s="48"/>
    </row>
    <row r="136" spans="1:40" x14ac:dyDescent="0.25">
      <c r="A136" s="161" t="s">
        <v>160</v>
      </c>
      <c r="F136" s="182"/>
      <c r="O136" s="162" t="str">
        <f>O2</f>
        <v>KAW_R_PSCHDR_NUM002_100625_Attachment   Sch J WPs</v>
      </c>
      <c r="Y136" s="162" t="str">
        <f>Y2</f>
        <v>KAW_R_PSCHDR_NUM002_100625_Attachment   Sch J WPs</v>
      </c>
      <c r="AH136" s="162" t="str">
        <f>AH2</f>
        <v>KAW_R_PSCHDR_NUM002_100625_Attachment   Sch J WPs</v>
      </c>
      <c r="AI136" s="48"/>
    </row>
    <row r="137" spans="1:40" x14ac:dyDescent="0.25">
      <c r="A137" s="48"/>
      <c r="F137" s="182"/>
      <c r="AI137" s="48"/>
    </row>
    <row r="138" spans="1:40" x14ac:dyDescent="0.25">
      <c r="A138" s="57" t="s">
        <v>161</v>
      </c>
      <c r="F138" s="182"/>
      <c r="AI138" s="48"/>
    </row>
    <row r="139" spans="1:40" x14ac:dyDescent="0.25">
      <c r="A139" s="57" t="s">
        <v>200</v>
      </c>
      <c r="F139" s="182"/>
      <c r="AI139" s="48"/>
    </row>
    <row r="140" spans="1:40" x14ac:dyDescent="0.25">
      <c r="F140" s="182"/>
      <c r="AI140" s="48"/>
    </row>
    <row r="141" spans="1:40" x14ac:dyDescent="0.25">
      <c r="A141" s="166"/>
      <c r="B141" s="166" t="s">
        <v>124</v>
      </c>
      <c r="C141" s="166"/>
      <c r="D141" s="166"/>
      <c r="E141" s="166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48"/>
    </row>
    <row r="142" spans="1:40" x14ac:dyDescent="0.25">
      <c r="A142" s="48" t="s">
        <v>86</v>
      </c>
      <c r="B142" s="48" t="s">
        <v>165</v>
      </c>
      <c r="C142" s="48" t="s">
        <v>115</v>
      </c>
      <c r="D142" s="48"/>
      <c r="E142" s="48"/>
      <c r="F142" s="48" t="s">
        <v>198</v>
      </c>
      <c r="G142" s="48" t="s">
        <v>198</v>
      </c>
      <c r="H142" s="48" t="s">
        <v>198</v>
      </c>
      <c r="I142" s="48" t="s">
        <v>198</v>
      </c>
      <c r="J142" s="48" t="s">
        <v>198</v>
      </c>
      <c r="K142" s="48" t="s">
        <v>198</v>
      </c>
      <c r="L142" s="48" t="s">
        <v>198</v>
      </c>
      <c r="M142" s="48" t="s">
        <v>198</v>
      </c>
      <c r="N142" s="48" t="s">
        <v>198</v>
      </c>
      <c r="O142" s="48" t="s">
        <v>198</v>
      </c>
      <c r="P142" s="48" t="s">
        <v>198</v>
      </c>
      <c r="Q142" s="48" t="s">
        <v>198</v>
      </c>
      <c r="R142" s="48" t="s">
        <v>198</v>
      </c>
      <c r="S142" s="48" t="s">
        <v>198</v>
      </c>
      <c r="T142" s="48" t="s">
        <v>198</v>
      </c>
      <c r="U142" s="48" t="s">
        <v>198</v>
      </c>
      <c r="V142" s="48" t="s">
        <v>198</v>
      </c>
      <c r="W142" s="48" t="s">
        <v>198</v>
      </c>
      <c r="X142" s="48" t="s">
        <v>198</v>
      </c>
      <c r="Y142" s="48" t="s">
        <v>198</v>
      </c>
      <c r="Z142" s="48" t="s">
        <v>198</v>
      </c>
      <c r="AA142" s="48" t="s">
        <v>198</v>
      </c>
      <c r="AB142" s="48" t="s">
        <v>198</v>
      </c>
      <c r="AC142" s="48" t="s">
        <v>198</v>
      </c>
      <c r="AD142" s="48" t="s">
        <v>198</v>
      </c>
      <c r="AE142" s="48" t="s">
        <v>198</v>
      </c>
      <c r="AF142" s="48" t="s">
        <v>198</v>
      </c>
      <c r="AG142" s="48" t="s">
        <v>198</v>
      </c>
      <c r="AH142" s="48" t="s">
        <v>85</v>
      </c>
      <c r="AI142" s="48"/>
    </row>
    <row r="143" spans="1:40" x14ac:dyDescent="0.25">
      <c r="A143" s="169" t="s">
        <v>91</v>
      </c>
      <c r="B143" s="169" t="s">
        <v>118</v>
      </c>
      <c r="C143" s="169" t="s">
        <v>118</v>
      </c>
      <c r="D143" s="169" t="s">
        <v>168</v>
      </c>
      <c r="E143" s="169" t="s">
        <v>169</v>
      </c>
      <c r="F143" s="170">
        <f>F$9</f>
        <v>45565</v>
      </c>
      <c r="G143" s="170">
        <f t="shared" ref="G143:AG143" si="180">G$9</f>
        <v>45596</v>
      </c>
      <c r="H143" s="170">
        <f t="shared" si="180"/>
        <v>45626</v>
      </c>
      <c r="I143" s="170">
        <f t="shared" si="180"/>
        <v>45657</v>
      </c>
      <c r="J143" s="170">
        <f t="shared" si="180"/>
        <v>45688</v>
      </c>
      <c r="K143" s="170">
        <f t="shared" si="180"/>
        <v>45716</v>
      </c>
      <c r="L143" s="170">
        <f t="shared" si="180"/>
        <v>45747</v>
      </c>
      <c r="M143" s="170">
        <f t="shared" si="180"/>
        <v>45777</v>
      </c>
      <c r="N143" s="170">
        <f t="shared" si="180"/>
        <v>45808</v>
      </c>
      <c r="O143" s="170">
        <f t="shared" si="180"/>
        <v>45838</v>
      </c>
      <c r="P143" s="170">
        <f t="shared" si="180"/>
        <v>45869</v>
      </c>
      <c r="Q143" s="170">
        <f t="shared" si="180"/>
        <v>45900</v>
      </c>
      <c r="R143" s="170">
        <f t="shared" si="180"/>
        <v>45930</v>
      </c>
      <c r="S143" s="170">
        <f t="shared" si="180"/>
        <v>45961</v>
      </c>
      <c r="T143" s="170">
        <f t="shared" si="180"/>
        <v>45991</v>
      </c>
      <c r="U143" s="170">
        <f t="shared" si="180"/>
        <v>46022</v>
      </c>
      <c r="V143" s="170">
        <f t="shared" si="180"/>
        <v>46053</v>
      </c>
      <c r="W143" s="170">
        <f t="shared" si="180"/>
        <v>46081</v>
      </c>
      <c r="X143" s="170">
        <f t="shared" si="180"/>
        <v>46112</v>
      </c>
      <c r="Y143" s="170">
        <f t="shared" si="180"/>
        <v>46142</v>
      </c>
      <c r="Z143" s="170">
        <f t="shared" si="180"/>
        <v>46173</v>
      </c>
      <c r="AA143" s="170">
        <f t="shared" si="180"/>
        <v>46203</v>
      </c>
      <c r="AB143" s="170">
        <f t="shared" si="180"/>
        <v>46234</v>
      </c>
      <c r="AC143" s="170">
        <f t="shared" si="180"/>
        <v>46265</v>
      </c>
      <c r="AD143" s="170">
        <f t="shared" si="180"/>
        <v>46295</v>
      </c>
      <c r="AE143" s="170">
        <f t="shared" si="180"/>
        <v>46326</v>
      </c>
      <c r="AF143" s="170">
        <f t="shared" si="180"/>
        <v>46356</v>
      </c>
      <c r="AG143" s="170">
        <f t="shared" si="180"/>
        <v>46387</v>
      </c>
      <c r="AH143" s="171" t="s">
        <v>90</v>
      </c>
      <c r="AI143" s="48"/>
    </row>
    <row r="144" spans="1:40" x14ac:dyDescent="0.25">
      <c r="A144" s="48">
        <v>1</v>
      </c>
      <c r="F144" s="182"/>
      <c r="AI144" s="48"/>
    </row>
    <row r="145" spans="1:53" x14ac:dyDescent="0.25">
      <c r="A145" s="48">
        <f>A144+1</f>
        <v>2</v>
      </c>
      <c r="F145" s="182"/>
      <c r="AI145" s="48"/>
    </row>
    <row r="146" spans="1:53" x14ac:dyDescent="0.25">
      <c r="A146" s="48">
        <f t="shared" ref="A146:A158" si="181">A145+1</f>
        <v>3</v>
      </c>
      <c r="B146" s="58" t="s">
        <v>175</v>
      </c>
      <c r="F146" s="182"/>
      <c r="AI146" s="48"/>
    </row>
    <row r="147" spans="1:53" x14ac:dyDescent="0.25">
      <c r="A147" s="48">
        <f t="shared" si="181"/>
        <v>4</v>
      </c>
      <c r="F147" s="182"/>
      <c r="AI147" s="48"/>
    </row>
    <row r="148" spans="1:53" x14ac:dyDescent="0.25">
      <c r="A148" s="48">
        <f t="shared" si="181"/>
        <v>5</v>
      </c>
      <c r="B148" s="40" t="s">
        <v>181</v>
      </c>
      <c r="C148" s="175">
        <v>0.04</v>
      </c>
      <c r="D148" s="61">
        <v>42691</v>
      </c>
      <c r="E148" s="61">
        <v>53662</v>
      </c>
      <c r="F148" s="179">
        <v>30698.539999999972</v>
      </c>
      <c r="G148" s="179">
        <f t="shared" ref="G148:AG148" si="182">F148-G176</f>
        <v>30583.13999999997</v>
      </c>
      <c r="H148" s="179">
        <f t="shared" si="182"/>
        <v>30467.739999999969</v>
      </c>
      <c r="I148" s="179">
        <f t="shared" si="182"/>
        <v>30352.339999999967</v>
      </c>
      <c r="J148" s="179">
        <f t="shared" si="182"/>
        <v>30236.939999999966</v>
      </c>
      <c r="K148" s="179">
        <f t="shared" si="182"/>
        <v>30121.539999999964</v>
      </c>
      <c r="L148" s="179">
        <f t="shared" si="182"/>
        <v>30006.139999999963</v>
      </c>
      <c r="M148" s="179">
        <f t="shared" si="182"/>
        <v>29890.739999999962</v>
      </c>
      <c r="N148" s="179">
        <f t="shared" si="182"/>
        <v>29775.33999999996</v>
      </c>
      <c r="O148" s="179">
        <f t="shared" si="182"/>
        <v>29659.939999999959</v>
      </c>
      <c r="P148" s="179">
        <f t="shared" si="182"/>
        <v>29544.539999999957</v>
      </c>
      <c r="Q148" s="179">
        <f t="shared" si="182"/>
        <v>29429.139999999956</v>
      </c>
      <c r="R148" s="179">
        <f t="shared" si="182"/>
        <v>29313.739999999954</v>
      </c>
      <c r="S148" s="179">
        <f t="shared" si="182"/>
        <v>29198.339999999953</v>
      </c>
      <c r="T148" s="179">
        <f t="shared" si="182"/>
        <v>29082.939999999951</v>
      </c>
      <c r="U148" s="179">
        <f t="shared" si="182"/>
        <v>28967.53999999995</v>
      </c>
      <c r="V148" s="179">
        <f t="shared" si="182"/>
        <v>28852.139999999948</v>
      </c>
      <c r="W148" s="179">
        <f t="shared" si="182"/>
        <v>28736.739999999947</v>
      </c>
      <c r="X148" s="179">
        <f t="shared" si="182"/>
        <v>28621.339999999946</v>
      </c>
      <c r="Y148" s="179">
        <f t="shared" si="182"/>
        <v>28505.939999999944</v>
      </c>
      <c r="Z148" s="179">
        <f t="shared" si="182"/>
        <v>28390.539999999943</v>
      </c>
      <c r="AA148" s="179">
        <f t="shared" si="182"/>
        <v>28275.139999999941</v>
      </c>
      <c r="AB148" s="179">
        <f t="shared" si="182"/>
        <v>28159.73999999994</v>
      </c>
      <c r="AC148" s="179">
        <f t="shared" si="182"/>
        <v>28044.339999999938</v>
      </c>
      <c r="AD148" s="179">
        <f t="shared" si="182"/>
        <v>27928.939999999937</v>
      </c>
      <c r="AE148" s="179">
        <f t="shared" si="182"/>
        <v>27813.539999999935</v>
      </c>
      <c r="AF148" s="179">
        <f t="shared" si="182"/>
        <v>27698.139999999934</v>
      </c>
      <c r="AG148" s="179">
        <f t="shared" si="182"/>
        <v>27582.739999999932</v>
      </c>
      <c r="AH148" s="179">
        <f>AVERAGE(U148:AG148)</f>
        <v>28275.139999999938</v>
      </c>
      <c r="AI148" s="48"/>
    </row>
    <row r="149" spans="1:53" x14ac:dyDescent="0.25">
      <c r="A149" s="48">
        <f t="shared" si="181"/>
        <v>6</v>
      </c>
      <c r="B149" s="40" t="s">
        <v>182</v>
      </c>
      <c r="C149" s="175">
        <v>3.7499999999999999E-2</v>
      </c>
      <c r="D149" s="61">
        <v>42991</v>
      </c>
      <c r="E149" s="61">
        <v>53936</v>
      </c>
      <c r="F149" s="179">
        <v>11721.349999999986</v>
      </c>
      <c r="G149" s="179">
        <f t="shared" ref="G149:AG149" si="183">F149-G177</f>
        <v>11678.659999999985</v>
      </c>
      <c r="H149" s="179">
        <f t="shared" si="183"/>
        <v>11635.969999999985</v>
      </c>
      <c r="I149" s="179">
        <f t="shared" si="183"/>
        <v>11593.279999999984</v>
      </c>
      <c r="J149" s="179">
        <f t="shared" si="183"/>
        <v>11550.589999999984</v>
      </c>
      <c r="K149" s="179">
        <f t="shared" si="183"/>
        <v>11507.899999999983</v>
      </c>
      <c r="L149" s="179">
        <f t="shared" si="183"/>
        <v>11465.209999999983</v>
      </c>
      <c r="M149" s="179">
        <f t="shared" si="183"/>
        <v>11422.519999999982</v>
      </c>
      <c r="N149" s="179">
        <f t="shared" si="183"/>
        <v>11379.829999999982</v>
      </c>
      <c r="O149" s="179">
        <f t="shared" si="183"/>
        <v>11337.139999999981</v>
      </c>
      <c r="P149" s="179">
        <f t="shared" si="183"/>
        <v>11294.449999999981</v>
      </c>
      <c r="Q149" s="179">
        <f t="shared" si="183"/>
        <v>11251.75999999998</v>
      </c>
      <c r="R149" s="179">
        <f t="shared" si="183"/>
        <v>11209.06999999998</v>
      </c>
      <c r="S149" s="179">
        <f t="shared" si="183"/>
        <v>11166.379999999979</v>
      </c>
      <c r="T149" s="179">
        <f t="shared" si="183"/>
        <v>11123.689999999979</v>
      </c>
      <c r="U149" s="179">
        <f t="shared" si="183"/>
        <v>11080.999999999978</v>
      </c>
      <c r="V149" s="179">
        <f t="shared" si="183"/>
        <v>11038.309999999978</v>
      </c>
      <c r="W149" s="179">
        <f t="shared" si="183"/>
        <v>10995.619999999977</v>
      </c>
      <c r="X149" s="179">
        <f t="shared" si="183"/>
        <v>10952.929999999977</v>
      </c>
      <c r="Y149" s="179">
        <f t="shared" si="183"/>
        <v>10910.239999999976</v>
      </c>
      <c r="Z149" s="179">
        <f t="shared" si="183"/>
        <v>10867.549999999976</v>
      </c>
      <c r="AA149" s="179">
        <f t="shared" si="183"/>
        <v>10824.859999999975</v>
      </c>
      <c r="AB149" s="179">
        <f t="shared" si="183"/>
        <v>10782.169999999975</v>
      </c>
      <c r="AC149" s="179">
        <f t="shared" si="183"/>
        <v>10739.479999999974</v>
      </c>
      <c r="AD149" s="179">
        <f t="shared" si="183"/>
        <v>10696.789999999974</v>
      </c>
      <c r="AE149" s="179">
        <f t="shared" si="183"/>
        <v>10654.099999999973</v>
      </c>
      <c r="AF149" s="179">
        <f t="shared" si="183"/>
        <v>10611.409999999973</v>
      </c>
      <c r="AG149" s="179">
        <f t="shared" si="183"/>
        <v>10568.719999999972</v>
      </c>
      <c r="AH149" s="179">
        <f t="shared" ref="AH149:AH152" si="184">AVERAGE(U149:AG149)</f>
        <v>10824.859999999975</v>
      </c>
      <c r="AI149" s="48"/>
    </row>
    <row r="150" spans="1:53" x14ac:dyDescent="0.25">
      <c r="A150" s="48">
        <f t="shared" si="181"/>
        <v>7</v>
      </c>
      <c r="B150" s="40" t="s">
        <v>183</v>
      </c>
      <c r="C150" s="175">
        <v>4.1500000000000002E-2</v>
      </c>
      <c r="D150" s="61">
        <v>43607</v>
      </c>
      <c r="E150" s="61">
        <v>54575</v>
      </c>
      <c r="F150" s="179">
        <v>69666.349999999991</v>
      </c>
      <c r="G150" s="179">
        <f t="shared" ref="G150:AG150" si="185">F150-G178</f>
        <v>69430.989999999991</v>
      </c>
      <c r="H150" s="179">
        <f t="shared" si="185"/>
        <v>69195.62999999999</v>
      </c>
      <c r="I150" s="179">
        <f t="shared" si="185"/>
        <v>68960.26999999999</v>
      </c>
      <c r="J150" s="179">
        <f t="shared" si="185"/>
        <v>68724.909999999989</v>
      </c>
      <c r="K150" s="179">
        <f t="shared" si="185"/>
        <v>68489.549999999988</v>
      </c>
      <c r="L150" s="179">
        <f t="shared" si="185"/>
        <v>68254.189999999988</v>
      </c>
      <c r="M150" s="179">
        <f t="shared" si="185"/>
        <v>68018.829999999987</v>
      </c>
      <c r="N150" s="179">
        <f t="shared" si="185"/>
        <v>67783.469999999987</v>
      </c>
      <c r="O150" s="179">
        <f t="shared" si="185"/>
        <v>67548.109999999986</v>
      </c>
      <c r="P150" s="179">
        <f t="shared" si="185"/>
        <v>67312.749999999985</v>
      </c>
      <c r="Q150" s="179">
        <f t="shared" si="185"/>
        <v>67077.389999999985</v>
      </c>
      <c r="R150" s="179">
        <f t="shared" si="185"/>
        <v>66842.029999999984</v>
      </c>
      <c r="S150" s="179">
        <f t="shared" si="185"/>
        <v>66606.669999999984</v>
      </c>
      <c r="T150" s="179">
        <f t="shared" si="185"/>
        <v>66371.309999999983</v>
      </c>
      <c r="U150" s="179">
        <f t="shared" si="185"/>
        <v>66135.949999999983</v>
      </c>
      <c r="V150" s="179">
        <f t="shared" si="185"/>
        <v>65900.589999999982</v>
      </c>
      <c r="W150" s="179">
        <f t="shared" si="185"/>
        <v>65665.229999999981</v>
      </c>
      <c r="X150" s="179">
        <f t="shared" si="185"/>
        <v>65429.869999999981</v>
      </c>
      <c r="Y150" s="179">
        <f t="shared" si="185"/>
        <v>65194.50999999998</v>
      </c>
      <c r="Z150" s="179">
        <f t="shared" si="185"/>
        <v>64959.14999999998</v>
      </c>
      <c r="AA150" s="179">
        <f t="shared" si="185"/>
        <v>64723.789999999979</v>
      </c>
      <c r="AB150" s="179">
        <f t="shared" si="185"/>
        <v>64488.429999999978</v>
      </c>
      <c r="AC150" s="179">
        <f t="shared" si="185"/>
        <v>64253.069999999978</v>
      </c>
      <c r="AD150" s="179">
        <f t="shared" si="185"/>
        <v>64017.709999999977</v>
      </c>
      <c r="AE150" s="179">
        <f t="shared" si="185"/>
        <v>63782.349999999977</v>
      </c>
      <c r="AF150" s="179">
        <f t="shared" si="185"/>
        <v>63546.989999999976</v>
      </c>
      <c r="AG150" s="179">
        <f t="shared" si="185"/>
        <v>63311.629999999976</v>
      </c>
      <c r="AH150" s="179">
        <f t="shared" si="184"/>
        <v>64723.789999999986</v>
      </c>
      <c r="AI150" s="48"/>
    </row>
    <row r="151" spans="1:53" x14ac:dyDescent="0.25">
      <c r="A151" s="48">
        <f t="shared" si="181"/>
        <v>8</v>
      </c>
      <c r="B151" s="40" t="s">
        <v>184</v>
      </c>
      <c r="C151" s="175">
        <v>3.2500000000000001E-2</v>
      </c>
      <c r="D151" s="61">
        <v>44340</v>
      </c>
      <c r="E151" s="61">
        <v>55305</v>
      </c>
      <c r="F151" s="179">
        <v>33112.159999999916</v>
      </c>
      <c r="G151" s="179">
        <f t="shared" ref="G151:AG151" si="186">F151-G179</f>
        <v>33008.679999999913</v>
      </c>
      <c r="H151" s="179">
        <f t="shared" si="186"/>
        <v>32905.19999999991</v>
      </c>
      <c r="I151" s="179">
        <f t="shared" si="186"/>
        <v>32801.719999999907</v>
      </c>
      <c r="J151" s="179">
        <f t="shared" si="186"/>
        <v>32698.239999999907</v>
      </c>
      <c r="K151" s="179">
        <f t="shared" si="186"/>
        <v>32594.759999999907</v>
      </c>
      <c r="L151" s="179">
        <f t="shared" si="186"/>
        <v>32491.279999999908</v>
      </c>
      <c r="M151" s="179">
        <f t="shared" si="186"/>
        <v>32387.799999999908</v>
      </c>
      <c r="N151" s="179">
        <f t="shared" si="186"/>
        <v>32284.319999999909</v>
      </c>
      <c r="O151" s="179">
        <f t="shared" si="186"/>
        <v>32180.839999999909</v>
      </c>
      <c r="P151" s="179">
        <f t="shared" si="186"/>
        <v>32077.35999999991</v>
      </c>
      <c r="Q151" s="179">
        <f t="shared" si="186"/>
        <v>31973.87999999991</v>
      </c>
      <c r="R151" s="179">
        <f t="shared" si="186"/>
        <v>31870.399999999911</v>
      </c>
      <c r="S151" s="179">
        <f t="shared" si="186"/>
        <v>31766.919999999911</v>
      </c>
      <c r="T151" s="179">
        <f t="shared" si="186"/>
        <v>31663.439999999911</v>
      </c>
      <c r="U151" s="179">
        <f t="shared" si="186"/>
        <v>31559.959999999912</v>
      </c>
      <c r="V151" s="179">
        <f t="shared" si="186"/>
        <v>31456.479999999912</v>
      </c>
      <c r="W151" s="179">
        <f t="shared" si="186"/>
        <v>31352.999999999913</v>
      </c>
      <c r="X151" s="179">
        <f t="shared" si="186"/>
        <v>31249.519999999913</v>
      </c>
      <c r="Y151" s="179">
        <f t="shared" si="186"/>
        <v>31146.039999999914</v>
      </c>
      <c r="Z151" s="179">
        <f t="shared" si="186"/>
        <v>31042.559999999914</v>
      </c>
      <c r="AA151" s="179">
        <f t="shared" si="186"/>
        <v>30939.079999999914</v>
      </c>
      <c r="AB151" s="179">
        <f t="shared" si="186"/>
        <v>30835.599999999915</v>
      </c>
      <c r="AC151" s="179">
        <f t="shared" si="186"/>
        <v>30732.119999999915</v>
      </c>
      <c r="AD151" s="179">
        <f t="shared" si="186"/>
        <v>30628.639999999916</v>
      </c>
      <c r="AE151" s="179">
        <f t="shared" si="186"/>
        <v>30525.159999999916</v>
      </c>
      <c r="AF151" s="179">
        <f t="shared" si="186"/>
        <v>30421.679999999917</v>
      </c>
      <c r="AG151" s="179">
        <f t="shared" si="186"/>
        <v>30318.199999999917</v>
      </c>
      <c r="AH151" s="179">
        <f t="shared" si="184"/>
        <v>30939.079999999914</v>
      </c>
      <c r="AI151" s="48"/>
    </row>
    <row r="152" spans="1:53" x14ac:dyDescent="0.25">
      <c r="A152" s="48">
        <f t="shared" si="181"/>
        <v>9</v>
      </c>
      <c r="B152" s="40" t="s">
        <v>185</v>
      </c>
      <c r="C152" s="175">
        <v>4.4499999999999998E-2</v>
      </c>
      <c r="D152" s="61">
        <v>44699</v>
      </c>
      <c r="E152" s="61">
        <v>48366</v>
      </c>
      <c r="F152" s="179">
        <v>24129.139999999989</v>
      </c>
      <c r="G152" s="179">
        <f t="shared" ref="G152:AG152" si="187">F152-G180</f>
        <v>23866.869999999988</v>
      </c>
      <c r="H152" s="179">
        <f t="shared" si="187"/>
        <v>23604.599999999988</v>
      </c>
      <c r="I152" s="179">
        <f t="shared" si="187"/>
        <v>23342.329999999987</v>
      </c>
      <c r="J152" s="179">
        <f t="shared" si="187"/>
        <v>23080.059999999987</v>
      </c>
      <c r="K152" s="179">
        <f t="shared" si="187"/>
        <v>22817.789999999986</v>
      </c>
      <c r="L152" s="179">
        <f t="shared" si="187"/>
        <v>22555.519999999986</v>
      </c>
      <c r="M152" s="179">
        <f t="shared" si="187"/>
        <v>22293.249999999985</v>
      </c>
      <c r="N152" s="179">
        <f t="shared" si="187"/>
        <v>22030.979999999985</v>
      </c>
      <c r="O152" s="179">
        <f t="shared" si="187"/>
        <v>21768.709999999985</v>
      </c>
      <c r="P152" s="179">
        <f t="shared" si="187"/>
        <v>21506.439999999984</v>
      </c>
      <c r="Q152" s="179">
        <f t="shared" si="187"/>
        <v>21244.169999999984</v>
      </c>
      <c r="R152" s="179">
        <f t="shared" si="187"/>
        <v>20981.899999999983</v>
      </c>
      <c r="S152" s="179">
        <f t="shared" si="187"/>
        <v>20719.629999999983</v>
      </c>
      <c r="T152" s="179">
        <f t="shared" si="187"/>
        <v>20457.359999999982</v>
      </c>
      <c r="U152" s="179">
        <f t="shared" si="187"/>
        <v>20195.089999999982</v>
      </c>
      <c r="V152" s="179">
        <f t="shared" si="187"/>
        <v>19932.819999999982</v>
      </c>
      <c r="W152" s="179">
        <f t="shared" si="187"/>
        <v>19670.549999999981</v>
      </c>
      <c r="X152" s="179">
        <f t="shared" si="187"/>
        <v>19408.279999999981</v>
      </c>
      <c r="Y152" s="179">
        <f t="shared" si="187"/>
        <v>19146.00999999998</v>
      </c>
      <c r="Z152" s="179">
        <f t="shared" si="187"/>
        <v>18883.73999999998</v>
      </c>
      <c r="AA152" s="179">
        <f t="shared" si="187"/>
        <v>18621.469999999979</v>
      </c>
      <c r="AB152" s="179">
        <f t="shared" si="187"/>
        <v>18359.199999999979</v>
      </c>
      <c r="AC152" s="179">
        <f t="shared" si="187"/>
        <v>18096.929999999978</v>
      </c>
      <c r="AD152" s="179">
        <f t="shared" si="187"/>
        <v>17834.659999999978</v>
      </c>
      <c r="AE152" s="179">
        <f t="shared" si="187"/>
        <v>17572.389999999978</v>
      </c>
      <c r="AF152" s="179">
        <f t="shared" si="187"/>
        <v>17310.119999999977</v>
      </c>
      <c r="AG152" s="179">
        <f t="shared" si="187"/>
        <v>17047.849999999977</v>
      </c>
      <c r="AH152" s="179">
        <f t="shared" si="184"/>
        <v>18621.469999999976</v>
      </c>
      <c r="AI152" s="48"/>
    </row>
    <row r="153" spans="1:53" x14ac:dyDescent="0.25">
      <c r="A153" s="48">
        <f t="shared" si="181"/>
        <v>10</v>
      </c>
      <c r="B153" s="44" t="str">
        <f>B72</f>
        <v xml:space="preserve">    Series 5.15%  Note</v>
      </c>
      <c r="C153" s="175">
        <f t="shared" ref="C153:E156" si="188">C28</f>
        <v>5.1499999999999997E-2</v>
      </c>
      <c r="D153" s="61">
        <f t="shared" si="188"/>
        <v>45427</v>
      </c>
      <c r="E153" s="61">
        <f t="shared" si="188"/>
        <v>49004</v>
      </c>
      <c r="F153" s="179">
        <v>41932.949999999997</v>
      </c>
      <c r="G153" s="179">
        <f t="shared" ref="G153:AG153" si="189">F153-G181</f>
        <v>41561.969999999994</v>
      </c>
      <c r="H153" s="179">
        <f t="shared" si="189"/>
        <v>41190.989999999991</v>
      </c>
      <c r="I153" s="179">
        <f t="shared" si="189"/>
        <v>40820.009999999987</v>
      </c>
      <c r="J153" s="179">
        <f t="shared" si="189"/>
        <v>40449.029999999984</v>
      </c>
      <c r="K153" s="179">
        <f t="shared" si="189"/>
        <v>40078.049999999981</v>
      </c>
      <c r="L153" s="179">
        <f t="shared" si="189"/>
        <v>39707.069999999978</v>
      </c>
      <c r="M153" s="179">
        <f t="shared" si="189"/>
        <v>39336.089999999975</v>
      </c>
      <c r="N153" s="179">
        <f t="shared" si="189"/>
        <v>38965.109999999971</v>
      </c>
      <c r="O153" s="179">
        <f t="shared" si="189"/>
        <v>38594.129999999968</v>
      </c>
      <c r="P153" s="179">
        <f t="shared" si="189"/>
        <v>38223.149999999965</v>
      </c>
      <c r="Q153" s="179">
        <f t="shared" si="189"/>
        <v>37852.169999999962</v>
      </c>
      <c r="R153" s="179">
        <f t="shared" si="189"/>
        <v>37481.189999999959</v>
      </c>
      <c r="S153" s="179">
        <f t="shared" si="189"/>
        <v>37110.209999999955</v>
      </c>
      <c r="T153" s="179">
        <f t="shared" si="189"/>
        <v>36739.229999999952</v>
      </c>
      <c r="U153" s="179">
        <f t="shared" si="189"/>
        <v>36368.249999999949</v>
      </c>
      <c r="V153" s="179">
        <f t="shared" si="189"/>
        <v>35997.269999999946</v>
      </c>
      <c r="W153" s="179">
        <f t="shared" si="189"/>
        <v>35626.289999999943</v>
      </c>
      <c r="X153" s="179">
        <f t="shared" si="189"/>
        <v>35255.309999999939</v>
      </c>
      <c r="Y153" s="179">
        <f t="shared" si="189"/>
        <v>34884.329999999936</v>
      </c>
      <c r="Z153" s="179">
        <f t="shared" si="189"/>
        <v>34513.349999999933</v>
      </c>
      <c r="AA153" s="179">
        <f t="shared" si="189"/>
        <v>34142.36999999993</v>
      </c>
      <c r="AB153" s="179">
        <f t="shared" si="189"/>
        <v>33771.389999999927</v>
      </c>
      <c r="AC153" s="179">
        <f t="shared" si="189"/>
        <v>33400.409999999923</v>
      </c>
      <c r="AD153" s="179">
        <f t="shared" si="189"/>
        <v>33029.42999999992</v>
      </c>
      <c r="AE153" s="179">
        <f t="shared" si="189"/>
        <v>32658.449999999921</v>
      </c>
      <c r="AF153" s="179">
        <f t="shared" si="189"/>
        <v>32287.469999999921</v>
      </c>
      <c r="AG153" s="179">
        <f t="shared" si="189"/>
        <v>31916.489999999922</v>
      </c>
      <c r="AH153" s="179">
        <f t="shared" ref="AH153" si="190">AVERAGE(U153:AG153)</f>
        <v>34142.36999999993</v>
      </c>
      <c r="AI153" s="48"/>
    </row>
    <row r="154" spans="1:53" x14ac:dyDescent="0.25">
      <c r="A154" s="48">
        <f t="shared" si="181"/>
        <v>11</v>
      </c>
      <c r="B154" s="44" t="str">
        <f>B73</f>
        <v xml:space="preserve">    Series 5.45%  Note</v>
      </c>
      <c r="C154" s="175">
        <f t="shared" si="188"/>
        <v>5.45E-2</v>
      </c>
      <c r="D154" s="61">
        <f t="shared" si="188"/>
        <v>45427</v>
      </c>
      <c r="E154" s="61">
        <f t="shared" si="188"/>
        <v>56309</v>
      </c>
      <c r="F154" s="179">
        <v>124390.01</v>
      </c>
      <c r="G154" s="179">
        <f t="shared" ref="G154:AG154" si="191">F154-G182</f>
        <v>124037.65999999999</v>
      </c>
      <c r="H154" s="179">
        <f t="shared" si="191"/>
        <v>123685.30999999998</v>
      </c>
      <c r="I154" s="179">
        <f t="shared" si="191"/>
        <v>123332.95999999998</v>
      </c>
      <c r="J154" s="179">
        <f t="shared" si="191"/>
        <v>122980.60999999997</v>
      </c>
      <c r="K154" s="179">
        <f t="shared" si="191"/>
        <v>122628.25999999997</v>
      </c>
      <c r="L154" s="179">
        <f t="shared" si="191"/>
        <v>122275.90999999996</v>
      </c>
      <c r="M154" s="179">
        <f t="shared" si="191"/>
        <v>121923.55999999995</v>
      </c>
      <c r="N154" s="179">
        <f t="shared" si="191"/>
        <v>121571.20999999995</v>
      </c>
      <c r="O154" s="179">
        <f t="shared" si="191"/>
        <v>121218.85999999994</v>
      </c>
      <c r="P154" s="179">
        <f t="shared" si="191"/>
        <v>120866.50999999994</v>
      </c>
      <c r="Q154" s="179">
        <f t="shared" si="191"/>
        <v>120514.15999999993</v>
      </c>
      <c r="R154" s="179">
        <f t="shared" si="191"/>
        <v>120161.80999999992</v>
      </c>
      <c r="S154" s="179">
        <f t="shared" si="191"/>
        <v>119809.45999999992</v>
      </c>
      <c r="T154" s="179">
        <f t="shared" si="191"/>
        <v>119457.10999999991</v>
      </c>
      <c r="U154" s="179">
        <f t="shared" si="191"/>
        <v>119104.75999999991</v>
      </c>
      <c r="V154" s="179">
        <f t="shared" si="191"/>
        <v>118752.4099999999</v>
      </c>
      <c r="W154" s="179">
        <f t="shared" si="191"/>
        <v>118400.0599999999</v>
      </c>
      <c r="X154" s="179">
        <f t="shared" si="191"/>
        <v>118047.70999999989</v>
      </c>
      <c r="Y154" s="179">
        <f t="shared" si="191"/>
        <v>117695.35999999988</v>
      </c>
      <c r="Z154" s="179">
        <f t="shared" si="191"/>
        <v>117343.00999999988</v>
      </c>
      <c r="AA154" s="179">
        <f t="shared" si="191"/>
        <v>116990.65999999987</v>
      </c>
      <c r="AB154" s="179">
        <f t="shared" si="191"/>
        <v>116638.30999999987</v>
      </c>
      <c r="AC154" s="179">
        <f t="shared" si="191"/>
        <v>116285.95999999986</v>
      </c>
      <c r="AD154" s="179">
        <f t="shared" si="191"/>
        <v>115933.60999999986</v>
      </c>
      <c r="AE154" s="179">
        <f t="shared" si="191"/>
        <v>115581.25999999985</v>
      </c>
      <c r="AF154" s="179">
        <f t="shared" si="191"/>
        <v>115228.90999999984</v>
      </c>
      <c r="AG154" s="179">
        <f t="shared" si="191"/>
        <v>114876.55999999984</v>
      </c>
      <c r="AH154" s="179">
        <f t="shared" ref="AH154:AH155" si="192">AVERAGE(U154:AG154)</f>
        <v>116990.65999999989</v>
      </c>
      <c r="AI154" s="48"/>
    </row>
    <row r="155" spans="1:53" x14ac:dyDescent="0.25">
      <c r="A155" s="48">
        <f t="shared" si="181"/>
        <v>12</v>
      </c>
      <c r="B155" s="44" t="str">
        <f>B74</f>
        <v xml:space="preserve">    Proposed 2025 Issuance (10-year)</v>
      </c>
      <c r="C155" s="175">
        <f t="shared" si="188"/>
        <v>5.2499999999999998E-2</v>
      </c>
      <c r="D155" s="61">
        <f t="shared" si="188"/>
        <v>45731</v>
      </c>
      <c r="E155" s="61">
        <f t="shared" si="188"/>
        <v>49369</v>
      </c>
      <c r="F155" s="179"/>
      <c r="G155" s="179"/>
      <c r="H155" s="179"/>
      <c r="I155" s="179"/>
      <c r="J155" s="179"/>
      <c r="K155" s="179"/>
      <c r="L155" s="179">
        <f>38297.03-L183</f>
        <v>38126.159999999996</v>
      </c>
      <c r="M155" s="179">
        <f>L155-M183</f>
        <v>37805.772121500988</v>
      </c>
      <c r="N155" s="179">
        <f>M155-N183</f>
        <v>37485.384243001979</v>
      </c>
      <c r="O155" s="179">
        <f t="shared" ref="O155:AG155" si="193">N155-O183</f>
        <v>37164.996364502971</v>
      </c>
      <c r="P155" s="179">
        <f t="shared" si="193"/>
        <v>36844.608486003963</v>
      </c>
      <c r="Q155" s="179">
        <f t="shared" si="193"/>
        <v>36524.220607504954</v>
      </c>
      <c r="R155" s="179">
        <f t="shared" si="193"/>
        <v>36203.832729005946</v>
      </c>
      <c r="S155" s="179">
        <f t="shared" si="193"/>
        <v>35883.444850506938</v>
      </c>
      <c r="T155" s="179">
        <f t="shared" si="193"/>
        <v>35563.056972007929</v>
      </c>
      <c r="U155" s="179">
        <f t="shared" si="193"/>
        <v>35242.669093508921</v>
      </c>
      <c r="V155" s="179">
        <f t="shared" si="193"/>
        <v>34922.281215009913</v>
      </c>
      <c r="W155" s="179">
        <f t="shared" si="193"/>
        <v>34601.893336510904</v>
      </c>
      <c r="X155" s="179">
        <f t="shared" si="193"/>
        <v>34281.505458011896</v>
      </c>
      <c r="Y155" s="179">
        <f t="shared" si="193"/>
        <v>33961.117579512887</v>
      </c>
      <c r="Z155" s="179">
        <f t="shared" si="193"/>
        <v>33640.729701013879</v>
      </c>
      <c r="AA155" s="179">
        <f t="shared" si="193"/>
        <v>33320.341822514871</v>
      </c>
      <c r="AB155" s="179">
        <f t="shared" si="193"/>
        <v>32999.953944015862</v>
      </c>
      <c r="AC155" s="179">
        <f t="shared" si="193"/>
        <v>32679.566065516854</v>
      </c>
      <c r="AD155" s="179">
        <f t="shared" si="193"/>
        <v>32359.178187017846</v>
      </c>
      <c r="AE155" s="179">
        <f t="shared" si="193"/>
        <v>32038.790308518837</v>
      </c>
      <c r="AF155" s="179">
        <f t="shared" si="193"/>
        <v>31718.402430019829</v>
      </c>
      <c r="AG155" s="179">
        <f t="shared" si="193"/>
        <v>31398.014551520821</v>
      </c>
      <c r="AH155" s="179">
        <f t="shared" si="192"/>
        <v>33320.341822514871</v>
      </c>
      <c r="AI155" s="48"/>
    </row>
    <row r="156" spans="1:53" x14ac:dyDescent="0.25">
      <c r="A156" s="48">
        <f t="shared" si="181"/>
        <v>13</v>
      </c>
      <c r="B156" s="44" t="str">
        <f>B75</f>
        <v xml:space="preserve">    Proposed 2025 Issuance (30-year)</v>
      </c>
      <c r="C156" s="175">
        <f t="shared" si="188"/>
        <v>5.7000000000000002E-2</v>
      </c>
      <c r="D156" s="61">
        <f t="shared" si="188"/>
        <v>45915</v>
      </c>
      <c r="E156" s="61">
        <f t="shared" si="188"/>
        <v>56888</v>
      </c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76">
        <f>103930-R184</f>
        <v>103775.83</v>
      </c>
      <c r="S156" s="179">
        <f t="shared" ref="S156" si="194">R156-S184</f>
        <v>103486.76</v>
      </c>
      <c r="T156" s="179">
        <f t="shared" ref="T156" si="195">S156-T184</f>
        <v>103197.68999999999</v>
      </c>
      <c r="U156" s="179">
        <f t="shared" ref="U156" si="196">T156-U184</f>
        <v>102908.61999999998</v>
      </c>
      <c r="V156" s="179">
        <f t="shared" ref="V156" si="197">U156-V184</f>
        <v>102619.54999999997</v>
      </c>
      <c r="W156" s="179">
        <f t="shared" ref="W156" si="198">V156-W184</f>
        <v>102330.47999999997</v>
      </c>
      <c r="X156" s="179">
        <f t="shared" ref="X156" si="199">W156-X184</f>
        <v>102041.40999999996</v>
      </c>
      <c r="Y156" s="179">
        <f t="shared" ref="Y156" si="200">X156-Y184</f>
        <v>101752.33999999995</v>
      </c>
      <c r="Z156" s="179">
        <f t="shared" ref="Z156" si="201">Y156-Z184</f>
        <v>101463.26999999995</v>
      </c>
      <c r="AA156" s="179">
        <f t="shared" ref="AA156" si="202">Z156-AA184</f>
        <v>101174.19999999994</v>
      </c>
      <c r="AB156" s="179">
        <f t="shared" ref="AB156" si="203">AA156-AB184</f>
        <v>100885.12999999993</v>
      </c>
      <c r="AC156" s="179">
        <f t="shared" ref="AC156" si="204">AB156-AC184</f>
        <v>100596.05999999992</v>
      </c>
      <c r="AD156" s="179">
        <f t="shared" ref="AD156" si="205">AC156-AD184</f>
        <v>100306.98999999992</v>
      </c>
      <c r="AE156" s="179">
        <f t="shared" ref="AE156" si="206">AD156-AE184</f>
        <v>100017.91999999991</v>
      </c>
      <c r="AF156" s="179">
        <f t="shared" ref="AF156" si="207">AE156-AF184</f>
        <v>99728.849999999904</v>
      </c>
      <c r="AG156" s="179">
        <f t="shared" ref="AG156" si="208">AF156-AG184</f>
        <v>99439.779999999897</v>
      </c>
      <c r="AH156" s="179">
        <f>AVERAGE(U156:AG156)</f>
        <v>101174.19999999992</v>
      </c>
      <c r="AI156" s="48"/>
    </row>
    <row r="157" spans="1:53" x14ac:dyDescent="0.25">
      <c r="A157" s="48">
        <f t="shared" si="181"/>
        <v>14</v>
      </c>
      <c r="F157" s="182"/>
      <c r="AI157" s="48"/>
    </row>
    <row r="158" spans="1:53" ht="15.75" thickBot="1" x14ac:dyDescent="0.3">
      <c r="A158" s="48">
        <f t="shared" si="181"/>
        <v>15</v>
      </c>
      <c r="B158" s="44" t="s">
        <v>194</v>
      </c>
      <c r="F158" s="158">
        <f t="shared" ref="F158:AG158" si="209">SUM(F147:F156)</f>
        <v>335650.49999999983</v>
      </c>
      <c r="G158" s="158">
        <f t="shared" si="209"/>
        <v>334167.96999999986</v>
      </c>
      <c r="H158" s="158">
        <f t="shared" si="209"/>
        <v>332685.43999999983</v>
      </c>
      <c r="I158" s="158">
        <f t="shared" si="209"/>
        <v>331202.9099999998</v>
      </c>
      <c r="J158" s="158">
        <f t="shared" si="209"/>
        <v>329720.37999999983</v>
      </c>
      <c r="K158" s="158">
        <f t="shared" si="209"/>
        <v>328237.84999999974</v>
      </c>
      <c r="L158" s="158">
        <f t="shared" si="209"/>
        <v>364881.47999999975</v>
      </c>
      <c r="M158" s="158">
        <f t="shared" si="209"/>
        <v>363078.56212150073</v>
      </c>
      <c r="N158" s="158">
        <f t="shared" si="209"/>
        <v>361275.64424300176</v>
      </c>
      <c r="O158" s="158">
        <f t="shared" si="209"/>
        <v>359472.72636450274</v>
      </c>
      <c r="P158" s="158">
        <f t="shared" si="209"/>
        <v>357669.80848600366</v>
      </c>
      <c r="Q158" s="158">
        <f t="shared" si="209"/>
        <v>355866.89060750464</v>
      </c>
      <c r="R158" s="158">
        <f>SUM(R147:R156)</f>
        <v>457839.80272900569</v>
      </c>
      <c r="S158" s="158">
        <f t="shared" si="209"/>
        <v>455747.81485050666</v>
      </c>
      <c r="T158" s="158">
        <f t="shared" si="209"/>
        <v>453655.82697200758</v>
      </c>
      <c r="U158" s="158">
        <f t="shared" si="209"/>
        <v>451563.83909350855</v>
      </c>
      <c r="V158" s="158">
        <f t="shared" si="209"/>
        <v>449471.85121500958</v>
      </c>
      <c r="W158" s="158">
        <f t="shared" si="209"/>
        <v>447379.86333651055</v>
      </c>
      <c r="X158" s="158">
        <f t="shared" si="209"/>
        <v>445287.87545801146</v>
      </c>
      <c r="Y158" s="158">
        <f t="shared" si="209"/>
        <v>443195.88757951243</v>
      </c>
      <c r="Z158" s="158">
        <f t="shared" si="209"/>
        <v>441103.89970101346</v>
      </c>
      <c r="AA158" s="158">
        <f t="shared" si="209"/>
        <v>439011.91182251443</v>
      </c>
      <c r="AB158" s="158">
        <f t="shared" si="209"/>
        <v>436919.92394401535</v>
      </c>
      <c r="AC158" s="158">
        <f t="shared" si="209"/>
        <v>434827.93606551632</v>
      </c>
      <c r="AD158" s="158">
        <f t="shared" si="209"/>
        <v>432735.94818701735</v>
      </c>
      <c r="AE158" s="158">
        <f t="shared" si="209"/>
        <v>430643.96030851832</v>
      </c>
      <c r="AF158" s="158">
        <f t="shared" si="209"/>
        <v>428551.97243001923</v>
      </c>
      <c r="AG158" s="158">
        <f t="shared" si="209"/>
        <v>426459.98455152026</v>
      </c>
      <c r="AH158" s="158">
        <f>SUM(AH147:AH156)</f>
        <v>439011.91182251449</v>
      </c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W158" s="56"/>
      <c r="AY158" s="56"/>
      <c r="BA158" s="56"/>
    </row>
    <row r="159" spans="1:53" ht="15.75" thickTop="1" x14ac:dyDescent="0.25">
      <c r="A159" s="48"/>
      <c r="F159" s="100"/>
      <c r="G159" s="100"/>
      <c r="H159" s="100"/>
      <c r="I159" s="100"/>
      <c r="J159" s="100"/>
      <c r="AI159" s="48"/>
    </row>
    <row r="160" spans="1:53" x14ac:dyDescent="0.25">
      <c r="A160" s="48"/>
      <c r="F160" s="100"/>
      <c r="G160" s="100"/>
      <c r="H160" s="100"/>
      <c r="I160" s="100"/>
      <c r="J160" s="100"/>
      <c r="K160" s="78"/>
      <c r="L160" s="78"/>
      <c r="M160" s="78"/>
      <c r="N160" s="78"/>
      <c r="O160" s="78"/>
      <c r="P160" s="78"/>
      <c r="Q160" s="78"/>
      <c r="AI160" s="48"/>
    </row>
    <row r="161" spans="1:35" x14ac:dyDescent="0.25">
      <c r="A161" s="48"/>
      <c r="F161" s="182"/>
      <c r="G161" s="56"/>
      <c r="H161" s="56"/>
      <c r="I161" s="56"/>
      <c r="J161" s="56"/>
      <c r="K161" s="100"/>
      <c r="L161" s="100"/>
      <c r="M161" s="100"/>
      <c r="N161" s="100"/>
      <c r="O161" s="100"/>
      <c r="P161" s="100"/>
      <c r="Q161" s="100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I161" s="48"/>
    </row>
    <row r="162" spans="1:35" x14ac:dyDescent="0.25">
      <c r="A162" s="161" t="s">
        <v>159</v>
      </c>
      <c r="F162" s="182"/>
      <c r="O162" s="162" t="str">
        <f>$O$1</f>
        <v>W/P - 7-4</v>
      </c>
      <c r="Y162" s="162" t="str">
        <f>$O$90</f>
        <v>W/P - 7-4</v>
      </c>
      <c r="AH162" s="162" t="str">
        <f>$O$90</f>
        <v>W/P - 7-4</v>
      </c>
      <c r="AI162" s="48"/>
    </row>
    <row r="163" spans="1:35" x14ac:dyDescent="0.25">
      <c r="A163" s="161" t="s">
        <v>160</v>
      </c>
      <c r="F163" s="182"/>
      <c r="O163" s="162" t="str">
        <f>O2</f>
        <v>KAW_R_PSCHDR_NUM002_100625_Attachment   Sch J WPs</v>
      </c>
      <c r="Y163" s="162" t="str">
        <f>Y2</f>
        <v>KAW_R_PSCHDR_NUM002_100625_Attachment   Sch J WPs</v>
      </c>
      <c r="AH163" s="162" t="str">
        <f>AH2</f>
        <v>KAW_R_PSCHDR_NUM002_100625_Attachment   Sch J WPs</v>
      </c>
      <c r="AI163" s="48"/>
    </row>
    <row r="164" spans="1:35" x14ac:dyDescent="0.25">
      <c r="A164" s="48"/>
      <c r="F164" s="182"/>
      <c r="L164" s="56"/>
      <c r="M164" s="56"/>
      <c r="N164" s="56"/>
      <c r="O164" s="56"/>
      <c r="P164" s="56"/>
      <c r="Q164" s="56"/>
      <c r="AI164" s="48"/>
    </row>
    <row r="165" spans="1:35" x14ac:dyDescent="0.25">
      <c r="A165" s="57" t="s">
        <v>161</v>
      </c>
      <c r="F165" s="182"/>
      <c r="L165" s="77"/>
      <c r="M165" s="77"/>
      <c r="N165" s="77"/>
      <c r="O165" s="77"/>
      <c r="P165" s="77"/>
      <c r="Q165" s="77"/>
      <c r="AI165" s="48"/>
    </row>
    <row r="166" spans="1:35" x14ac:dyDescent="0.25">
      <c r="A166" s="57" t="s">
        <v>201</v>
      </c>
      <c r="F166" s="182"/>
      <c r="AI166" s="48"/>
    </row>
    <row r="167" spans="1:35" x14ac:dyDescent="0.25">
      <c r="F167" s="182"/>
      <c r="AI167" s="48"/>
    </row>
    <row r="168" spans="1:35" x14ac:dyDescent="0.25">
      <c r="A168" s="166"/>
      <c r="B168" s="166" t="s">
        <v>124</v>
      </c>
      <c r="C168" s="166"/>
      <c r="D168" s="166"/>
      <c r="E168" s="166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48"/>
    </row>
    <row r="169" spans="1:35" x14ac:dyDescent="0.25">
      <c r="A169" s="48" t="s">
        <v>86</v>
      </c>
      <c r="B169" s="48" t="s">
        <v>165</v>
      </c>
      <c r="C169" s="48" t="s">
        <v>115</v>
      </c>
      <c r="D169" s="48"/>
      <c r="E169" s="48"/>
      <c r="F169" s="48" t="s">
        <v>198</v>
      </c>
      <c r="G169" s="48" t="s">
        <v>198</v>
      </c>
      <c r="H169" s="48" t="s">
        <v>198</v>
      </c>
      <c r="I169" s="48" t="s">
        <v>198</v>
      </c>
      <c r="J169" s="48" t="s">
        <v>198</v>
      </c>
      <c r="K169" s="48" t="s">
        <v>198</v>
      </c>
      <c r="L169" s="48" t="s">
        <v>198</v>
      </c>
      <c r="M169" s="48" t="s">
        <v>198</v>
      </c>
      <c r="N169" s="48" t="s">
        <v>198</v>
      </c>
      <c r="O169" s="48" t="s">
        <v>198</v>
      </c>
      <c r="P169" s="48" t="s">
        <v>198</v>
      </c>
      <c r="Q169" s="48" t="s">
        <v>198</v>
      </c>
      <c r="R169" s="48" t="s">
        <v>198</v>
      </c>
      <c r="S169" s="48" t="s">
        <v>198</v>
      </c>
      <c r="T169" s="48" t="s">
        <v>198</v>
      </c>
      <c r="U169" s="48" t="s">
        <v>198</v>
      </c>
      <c r="V169" s="48" t="s">
        <v>198</v>
      </c>
      <c r="W169" s="48" t="s">
        <v>198</v>
      </c>
      <c r="X169" s="48" t="s">
        <v>198</v>
      </c>
      <c r="Y169" s="48" t="s">
        <v>198</v>
      </c>
      <c r="Z169" s="48" t="s">
        <v>198</v>
      </c>
      <c r="AA169" s="48" t="s">
        <v>198</v>
      </c>
      <c r="AB169" s="48" t="s">
        <v>198</v>
      </c>
      <c r="AC169" s="48" t="s">
        <v>198</v>
      </c>
      <c r="AD169" s="48" t="s">
        <v>198</v>
      </c>
      <c r="AE169" s="48" t="s">
        <v>198</v>
      </c>
      <c r="AF169" s="48" t="s">
        <v>198</v>
      </c>
      <c r="AG169" s="48" t="s">
        <v>198</v>
      </c>
      <c r="AH169" s="48" t="s">
        <v>199</v>
      </c>
      <c r="AI169" s="48"/>
    </row>
    <row r="170" spans="1:35" x14ac:dyDescent="0.25">
      <c r="A170" s="169" t="s">
        <v>91</v>
      </c>
      <c r="B170" s="169" t="s">
        <v>118</v>
      </c>
      <c r="C170" s="169" t="s">
        <v>118</v>
      </c>
      <c r="D170" s="169" t="s">
        <v>168</v>
      </c>
      <c r="E170" s="169" t="s">
        <v>169</v>
      </c>
      <c r="F170" s="170">
        <f>F$9</f>
        <v>45565</v>
      </c>
      <c r="G170" s="170">
        <f t="shared" ref="G170:AG170" si="210">G$9</f>
        <v>45596</v>
      </c>
      <c r="H170" s="170">
        <f t="shared" si="210"/>
        <v>45626</v>
      </c>
      <c r="I170" s="170">
        <f t="shared" si="210"/>
        <v>45657</v>
      </c>
      <c r="J170" s="170">
        <f t="shared" si="210"/>
        <v>45688</v>
      </c>
      <c r="K170" s="170">
        <f t="shared" si="210"/>
        <v>45716</v>
      </c>
      <c r="L170" s="170">
        <f t="shared" si="210"/>
        <v>45747</v>
      </c>
      <c r="M170" s="170">
        <f t="shared" si="210"/>
        <v>45777</v>
      </c>
      <c r="N170" s="170">
        <f t="shared" si="210"/>
        <v>45808</v>
      </c>
      <c r="O170" s="170">
        <f t="shared" si="210"/>
        <v>45838</v>
      </c>
      <c r="P170" s="170">
        <f t="shared" si="210"/>
        <v>45869</v>
      </c>
      <c r="Q170" s="170">
        <f t="shared" si="210"/>
        <v>45900</v>
      </c>
      <c r="R170" s="170">
        <f t="shared" si="210"/>
        <v>45930</v>
      </c>
      <c r="S170" s="170">
        <f t="shared" si="210"/>
        <v>45961</v>
      </c>
      <c r="T170" s="170">
        <f t="shared" si="210"/>
        <v>45991</v>
      </c>
      <c r="U170" s="170">
        <f t="shared" si="210"/>
        <v>46022</v>
      </c>
      <c r="V170" s="170">
        <f t="shared" si="210"/>
        <v>46053</v>
      </c>
      <c r="W170" s="170">
        <f t="shared" si="210"/>
        <v>46081</v>
      </c>
      <c r="X170" s="170">
        <f t="shared" si="210"/>
        <v>46112</v>
      </c>
      <c r="Y170" s="170">
        <f t="shared" si="210"/>
        <v>46142</v>
      </c>
      <c r="Z170" s="170">
        <f t="shared" si="210"/>
        <v>46173</v>
      </c>
      <c r="AA170" s="170">
        <f t="shared" si="210"/>
        <v>46203</v>
      </c>
      <c r="AB170" s="170">
        <f t="shared" si="210"/>
        <v>46234</v>
      </c>
      <c r="AC170" s="170">
        <f t="shared" si="210"/>
        <v>46265</v>
      </c>
      <c r="AD170" s="170">
        <f t="shared" si="210"/>
        <v>46295</v>
      </c>
      <c r="AE170" s="170">
        <f t="shared" si="210"/>
        <v>46326</v>
      </c>
      <c r="AF170" s="170">
        <f t="shared" si="210"/>
        <v>46356</v>
      </c>
      <c r="AG170" s="170">
        <f t="shared" si="210"/>
        <v>46387</v>
      </c>
      <c r="AH170" s="171" t="s">
        <v>158</v>
      </c>
      <c r="AI170" s="48"/>
    </row>
    <row r="171" spans="1:35" x14ac:dyDescent="0.25">
      <c r="A171" s="48">
        <v>1</v>
      </c>
      <c r="F171" s="182"/>
      <c r="AI171" s="48"/>
    </row>
    <row r="172" spans="1:35" x14ac:dyDescent="0.25">
      <c r="A172" s="48">
        <f>A171+1</f>
        <v>2</v>
      </c>
      <c r="F172" s="182"/>
      <c r="AI172" s="48"/>
    </row>
    <row r="173" spans="1:35" x14ac:dyDescent="0.25">
      <c r="A173" s="48">
        <f t="shared" ref="A173:A184" si="211">A172+1</f>
        <v>3</v>
      </c>
      <c r="B173" s="58" t="s">
        <v>175</v>
      </c>
      <c r="F173" s="182"/>
      <c r="AI173" s="48"/>
    </row>
    <row r="174" spans="1:35" x14ac:dyDescent="0.25">
      <c r="A174" s="48">
        <f t="shared" si="211"/>
        <v>4</v>
      </c>
      <c r="F174" s="182"/>
      <c r="AI174" s="48"/>
    </row>
    <row r="175" spans="1:35" x14ac:dyDescent="0.25">
      <c r="A175" s="48">
        <f t="shared" si="211"/>
        <v>5</v>
      </c>
      <c r="F175" s="182"/>
      <c r="AI175" s="48"/>
    </row>
    <row r="176" spans="1:35" x14ac:dyDescent="0.25">
      <c r="A176" s="48">
        <f t="shared" si="211"/>
        <v>6</v>
      </c>
      <c r="B176" s="44" t="str">
        <f t="shared" ref="B176:E184" si="212">B148</f>
        <v xml:space="preserve">    Series 4.00%    Note</v>
      </c>
      <c r="C176" s="175">
        <f t="shared" si="212"/>
        <v>0.04</v>
      </c>
      <c r="D176" s="61">
        <f t="shared" si="212"/>
        <v>42691</v>
      </c>
      <c r="E176" s="61">
        <f t="shared" si="212"/>
        <v>53662</v>
      </c>
      <c r="F176" s="100">
        <v>115.4</v>
      </c>
      <c r="G176" s="100">
        <v>115.4</v>
      </c>
      <c r="H176" s="100">
        <v>115.4</v>
      </c>
      <c r="I176" s="100">
        <v>115.4</v>
      </c>
      <c r="J176" s="100">
        <v>115.4</v>
      </c>
      <c r="K176" s="100">
        <v>115.4</v>
      </c>
      <c r="L176" s="100">
        <v>115.4</v>
      </c>
      <c r="M176" s="100">
        <v>115.4</v>
      </c>
      <c r="N176" s="100">
        <v>115.4</v>
      </c>
      <c r="O176" s="100">
        <v>115.4</v>
      </c>
      <c r="P176" s="100">
        <v>115.4</v>
      </c>
      <c r="Q176" s="100">
        <v>115.4</v>
      </c>
      <c r="R176" s="100">
        <v>115.4</v>
      </c>
      <c r="S176" s="100">
        <v>115.4</v>
      </c>
      <c r="T176" s="100">
        <v>115.4</v>
      </c>
      <c r="U176" s="100">
        <v>115.4</v>
      </c>
      <c r="V176" s="100">
        <v>115.4</v>
      </c>
      <c r="W176" s="100">
        <v>115.4</v>
      </c>
      <c r="X176" s="100">
        <v>115.4</v>
      </c>
      <c r="Y176" s="100">
        <v>115.4</v>
      </c>
      <c r="Z176" s="100">
        <v>115.4</v>
      </c>
      <c r="AA176" s="100">
        <v>115.4</v>
      </c>
      <c r="AB176" s="100">
        <v>115.4</v>
      </c>
      <c r="AC176" s="100">
        <v>115.4</v>
      </c>
      <c r="AD176" s="100">
        <v>115.4</v>
      </c>
      <c r="AE176" s="100">
        <v>115.4</v>
      </c>
      <c r="AF176" s="100">
        <v>115.4</v>
      </c>
      <c r="AG176" s="100">
        <v>115.4</v>
      </c>
      <c r="AH176" s="100">
        <f>SUM(V176:AG176)</f>
        <v>1384.8000000000002</v>
      </c>
      <c r="AI176" s="183"/>
    </row>
    <row r="177" spans="1:35" x14ac:dyDescent="0.25">
      <c r="A177" s="48">
        <f t="shared" si="211"/>
        <v>7</v>
      </c>
      <c r="B177" s="44" t="str">
        <f t="shared" si="212"/>
        <v xml:space="preserve">    Series 3.75%    Note</v>
      </c>
      <c r="C177" s="175">
        <f t="shared" si="212"/>
        <v>3.7499999999999999E-2</v>
      </c>
      <c r="D177" s="61">
        <f t="shared" si="212"/>
        <v>42991</v>
      </c>
      <c r="E177" s="61">
        <f t="shared" si="212"/>
        <v>53936</v>
      </c>
      <c r="F177" s="100">
        <v>42.69</v>
      </c>
      <c r="G177" s="100">
        <v>42.69</v>
      </c>
      <c r="H177" s="100">
        <v>42.69</v>
      </c>
      <c r="I177" s="100">
        <v>42.69</v>
      </c>
      <c r="J177" s="100">
        <v>42.69</v>
      </c>
      <c r="K177" s="100">
        <v>42.69</v>
      </c>
      <c r="L177" s="100">
        <v>42.69</v>
      </c>
      <c r="M177" s="100">
        <v>42.69</v>
      </c>
      <c r="N177" s="100">
        <v>42.69</v>
      </c>
      <c r="O177" s="100">
        <v>42.69</v>
      </c>
      <c r="P177" s="100">
        <v>42.69</v>
      </c>
      <c r="Q177" s="100">
        <v>42.69</v>
      </c>
      <c r="R177" s="100">
        <v>42.69</v>
      </c>
      <c r="S177" s="100">
        <v>42.69</v>
      </c>
      <c r="T177" s="100">
        <v>42.69</v>
      </c>
      <c r="U177" s="100">
        <v>42.69</v>
      </c>
      <c r="V177" s="100">
        <v>42.69</v>
      </c>
      <c r="W177" s="100">
        <v>42.69</v>
      </c>
      <c r="X177" s="100">
        <v>42.69</v>
      </c>
      <c r="Y177" s="100">
        <v>42.69</v>
      </c>
      <c r="Z177" s="100">
        <v>42.69</v>
      </c>
      <c r="AA177" s="100">
        <v>42.69</v>
      </c>
      <c r="AB177" s="100">
        <v>42.69</v>
      </c>
      <c r="AC177" s="100">
        <v>42.69</v>
      </c>
      <c r="AD177" s="100">
        <v>42.69</v>
      </c>
      <c r="AE177" s="100">
        <v>42.69</v>
      </c>
      <c r="AF177" s="100">
        <v>42.69</v>
      </c>
      <c r="AG177" s="100">
        <v>42.69</v>
      </c>
      <c r="AH177" s="100">
        <f>SUM(V177:AG177)</f>
        <v>512.28</v>
      </c>
      <c r="AI177" s="183"/>
    </row>
    <row r="178" spans="1:35" x14ac:dyDescent="0.25">
      <c r="A178" s="48">
        <f t="shared" si="211"/>
        <v>8</v>
      </c>
      <c r="B178" s="44" t="str">
        <f t="shared" si="212"/>
        <v xml:space="preserve">    Series 4.15%    Note</v>
      </c>
      <c r="C178" s="175">
        <f t="shared" si="212"/>
        <v>4.1500000000000002E-2</v>
      </c>
      <c r="D178" s="61">
        <f t="shared" si="212"/>
        <v>43607</v>
      </c>
      <c r="E178" s="61">
        <f t="shared" si="212"/>
        <v>54575</v>
      </c>
      <c r="F178" s="100">
        <v>235.36</v>
      </c>
      <c r="G178" s="100">
        <v>235.36</v>
      </c>
      <c r="H178" s="100">
        <v>235.36</v>
      </c>
      <c r="I178" s="100">
        <v>235.36</v>
      </c>
      <c r="J178" s="100">
        <v>235.36</v>
      </c>
      <c r="K178" s="100">
        <v>235.36</v>
      </c>
      <c r="L178" s="100">
        <v>235.36</v>
      </c>
      <c r="M178" s="100">
        <v>235.36</v>
      </c>
      <c r="N178" s="100">
        <v>235.36</v>
      </c>
      <c r="O178" s="100">
        <v>235.36</v>
      </c>
      <c r="P178" s="100">
        <v>235.36</v>
      </c>
      <c r="Q178" s="100">
        <v>235.36</v>
      </c>
      <c r="R178" s="100">
        <v>235.36</v>
      </c>
      <c r="S178" s="100">
        <v>235.36</v>
      </c>
      <c r="T178" s="100">
        <v>235.36</v>
      </c>
      <c r="U178" s="100">
        <v>235.36</v>
      </c>
      <c r="V178" s="100">
        <v>235.36</v>
      </c>
      <c r="W178" s="100">
        <v>235.36</v>
      </c>
      <c r="X178" s="100">
        <v>235.36</v>
      </c>
      <c r="Y178" s="100">
        <v>235.36</v>
      </c>
      <c r="Z178" s="100">
        <v>235.36</v>
      </c>
      <c r="AA178" s="100">
        <v>235.36</v>
      </c>
      <c r="AB178" s="100">
        <v>235.36</v>
      </c>
      <c r="AC178" s="100">
        <v>235.36</v>
      </c>
      <c r="AD178" s="100">
        <v>235.36</v>
      </c>
      <c r="AE178" s="100">
        <v>235.36</v>
      </c>
      <c r="AF178" s="100">
        <v>235.36</v>
      </c>
      <c r="AG178" s="100">
        <v>235.36</v>
      </c>
      <c r="AH178" s="100">
        <f t="shared" ref="AH178:AH180" si="213">SUM(V178:AG178)</f>
        <v>2824.3200000000011</v>
      </c>
      <c r="AI178" s="183"/>
    </row>
    <row r="179" spans="1:35" x14ac:dyDescent="0.25">
      <c r="A179" s="48">
        <f t="shared" si="211"/>
        <v>9</v>
      </c>
      <c r="B179" s="44" t="str">
        <f t="shared" si="212"/>
        <v xml:space="preserve">    Series 3.25%  Note</v>
      </c>
      <c r="C179" s="175">
        <f t="shared" si="212"/>
        <v>3.2500000000000001E-2</v>
      </c>
      <c r="D179" s="61">
        <f t="shared" si="212"/>
        <v>44340</v>
      </c>
      <c r="E179" s="61">
        <f t="shared" si="212"/>
        <v>55305</v>
      </c>
      <c r="F179" s="100">
        <v>103.48</v>
      </c>
      <c r="G179" s="100">
        <v>103.48</v>
      </c>
      <c r="H179" s="100">
        <v>103.48</v>
      </c>
      <c r="I179" s="100">
        <v>103.48</v>
      </c>
      <c r="J179" s="100">
        <v>103.48</v>
      </c>
      <c r="K179" s="100">
        <v>103.48</v>
      </c>
      <c r="L179" s="100">
        <v>103.48</v>
      </c>
      <c r="M179" s="100">
        <v>103.48</v>
      </c>
      <c r="N179" s="100">
        <v>103.48</v>
      </c>
      <c r="O179" s="100">
        <v>103.48</v>
      </c>
      <c r="P179" s="100">
        <v>103.48</v>
      </c>
      <c r="Q179" s="100">
        <v>103.48</v>
      </c>
      <c r="R179" s="100">
        <v>103.48</v>
      </c>
      <c r="S179" s="100">
        <v>103.48</v>
      </c>
      <c r="T179" s="100">
        <v>103.48</v>
      </c>
      <c r="U179" s="100">
        <v>103.48</v>
      </c>
      <c r="V179" s="100">
        <v>103.48</v>
      </c>
      <c r="W179" s="100">
        <v>103.48</v>
      </c>
      <c r="X179" s="100">
        <v>103.48</v>
      </c>
      <c r="Y179" s="100">
        <v>103.48</v>
      </c>
      <c r="Z179" s="100">
        <v>103.48</v>
      </c>
      <c r="AA179" s="100">
        <v>103.48</v>
      </c>
      <c r="AB179" s="100">
        <v>103.48</v>
      </c>
      <c r="AC179" s="100">
        <v>103.48</v>
      </c>
      <c r="AD179" s="100">
        <v>103.48</v>
      </c>
      <c r="AE179" s="100">
        <v>103.48</v>
      </c>
      <c r="AF179" s="100">
        <v>103.48</v>
      </c>
      <c r="AG179" s="100">
        <v>103.48</v>
      </c>
      <c r="AH179" s="100">
        <f t="shared" si="213"/>
        <v>1241.76</v>
      </c>
      <c r="AI179" s="183"/>
    </row>
    <row r="180" spans="1:35" x14ac:dyDescent="0.25">
      <c r="A180" s="48">
        <f t="shared" si="211"/>
        <v>10</v>
      </c>
      <c r="B180" s="44" t="str">
        <f t="shared" si="212"/>
        <v xml:space="preserve">    Series 4.45%  Note</v>
      </c>
      <c r="C180" s="175">
        <f t="shared" si="212"/>
        <v>4.4499999999999998E-2</v>
      </c>
      <c r="D180" s="61">
        <f t="shared" si="212"/>
        <v>44699</v>
      </c>
      <c r="E180" s="61">
        <f t="shared" si="212"/>
        <v>48366</v>
      </c>
      <c r="F180" s="100">
        <v>262.27</v>
      </c>
      <c r="G180" s="100">
        <v>262.27</v>
      </c>
      <c r="H180" s="100">
        <v>262.27</v>
      </c>
      <c r="I180" s="100">
        <v>262.27</v>
      </c>
      <c r="J180" s="100">
        <v>262.27</v>
      </c>
      <c r="K180" s="100">
        <v>262.27</v>
      </c>
      <c r="L180" s="100">
        <v>262.27</v>
      </c>
      <c r="M180" s="100">
        <v>262.27</v>
      </c>
      <c r="N180" s="100">
        <v>262.27</v>
      </c>
      <c r="O180" s="100">
        <v>262.27</v>
      </c>
      <c r="P180" s="100">
        <v>262.27</v>
      </c>
      <c r="Q180" s="100">
        <v>262.27</v>
      </c>
      <c r="R180" s="100">
        <v>262.27</v>
      </c>
      <c r="S180" s="100">
        <v>262.27</v>
      </c>
      <c r="T180" s="100">
        <v>262.27</v>
      </c>
      <c r="U180" s="100">
        <v>262.27</v>
      </c>
      <c r="V180" s="100">
        <v>262.27</v>
      </c>
      <c r="W180" s="100">
        <v>262.27</v>
      </c>
      <c r="X180" s="100">
        <v>262.27</v>
      </c>
      <c r="Y180" s="100">
        <v>262.27</v>
      </c>
      <c r="Z180" s="100">
        <v>262.27</v>
      </c>
      <c r="AA180" s="100">
        <v>262.27</v>
      </c>
      <c r="AB180" s="100">
        <v>262.27</v>
      </c>
      <c r="AC180" s="100">
        <v>262.27</v>
      </c>
      <c r="AD180" s="100">
        <v>262.27</v>
      </c>
      <c r="AE180" s="100">
        <v>262.27</v>
      </c>
      <c r="AF180" s="100">
        <v>262.27</v>
      </c>
      <c r="AG180" s="100">
        <v>262.27</v>
      </c>
      <c r="AH180" s="100">
        <f t="shared" si="213"/>
        <v>3147.24</v>
      </c>
      <c r="AI180" s="183"/>
    </row>
    <row r="181" spans="1:35" x14ac:dyDescent="0.25">
      <c r="A181" s="48">
        <f t="shared" si="211"/>
        <v>11</v>
      </c>
      <c r="B181" s="44" t="str">
        <f t="shared" si="212"/>
        <v xml:space="preserve">    Series 5.15%  Note</v>
      </c>
      <c r="C181" s="175">
        <f t="shared" si="212"/>
        <v>5.1499999999999997E-2</v>
      </c>
      <c r="D181" s="61">
        <f t="shared" si="212"/>
        <v>45427</v>
      </c>
      <c r="E181" s="61">
        <f t="shared" si="212"/>
        <v>49004</v>
      </c>
      <c r="F181" s="100">
        <v>370.98</v>
      </c>
      <c r="G181" s="100">
        <v>370.98</v>
      </c>
      <c r="H181" s="100">
        <v>370.98</v>
      </c>
      <c r="I181" s="100">
        <v>370.98</v>
      </c>
      <c r="J181" s="100">
        <v>370.98</v>
      </c>
      <c r="K181" s="100">
        <v>370.98</v>
      </c>
      <c r="L181" s="100">
        <v>370.98</v>
      </c>
      <c r="M181" s="100">
        <v>370.98</v>
      </c>
      <c r="N181" s="100">
        <v>370.98</v>
      </c>
      <c r="O181" s="100">
        <v>370.98</v>
      </c>
      <c r="P181" s="100">
        <v>370.98</v>
      </c>
      <c r="Q181" s="100">
        <v>370.98</v>
      </c>
      <c r="R181" s="100">
        <v>370.98</v>
      </c>
      <c r="S181" s="100">
        <v>370.98</v>
      </c>
      <c r="T181" s="100">
        <v>370.98</v>
      </c>
      <c r="U181" s="100">
        <v>370.98</v>
      </c>
      <c r="V181" s="100">
        <v>370.98</v>
      </c>
      <c r="W181" s="100">
        <v>370.98</v>
      </c>
      <c r="X181" s="100">
        <v>370.98</v>
      </c>
      <c r="Y181" s="100">
        <v>370.98</v>
      </c>
      <c r="Z181" s="100">
        <v>370.98</v>
      </c>
      <c r="AA181" s="100">
        <v>370.98</v>
      </c>
      <c r="AB181" s="100">
        <v>370.98</v>
      </c>
      <c r="AC181" s="100">
        <v>370.98</v>
      </c>
      <c r="AD181" s="100">
        <v>370.98</v>
      </c>
      <c r="AE181" s="100">
        <v>370.98</v>
      </c>
      <c r="AF181" s="100">
        <v>370.98</v>
      </c>
      <c r="AG181" s="100">
        <v>370.98</v>
      </c>
      <c r="AH181" s="100">
        <f>SUM(V181:AG181)</f>
        <v>4451.76</v>
      </c>
      <c r="AI181" s="183"/>
    </row>
    <row r="182" spans="1:35" x14ac:dyDescent="0.25">
      <c r="A182" s="48">
        <f t="shared" si="211"/>
        <v>12</v>
      </c>
      <c r="B182" s="44" t="str">
        <f t="shared" si="212"/>
        <v xml:space="preserve">    Series 5.45%  Note</v>
      </c>
      <c r="C182" s="175">
        <f t="shared" si="212"/>
        <v>5.45E-2</v>
      </c>
      <c r="D182" s="61">
        <f t="shared" si="212"/>
        <v>45427</v>
      </c>
      <c r="E182" s="61">
        <f t="shared" si="212"/>
        <v>56309</v>
      </c>
      <c r="F182" s="100">
        <v>352.35</v>
      </c>
      <c r="G182" s="100">
        <v>352.35</v>
      </c>
      <c r="H182" s="100">
        <v>352.35</v>
      </c>
      <c r="I182" s="100">
        <v>352.35</v>
      </c>
      <c r="J182" s="100">
        <v>352.35</v>
      </c>
      <c r="K182" s="100">
        <v>352.35</v>
      </c>
      <c r="L182" s="100">
        <v>352.35</v>
      </c>
      <c r="M182" s="100">
        <v>352.35</v>
      </c>
      <c r="N182" s="100">
        <v>352.35</v>
      </c>
      <c r="O182" s="100">
        <v>352.35</v>
      </c>
      <c r="P182" s="100">
        <v>352.35</v>
      </c>
      <c r="Q182" s="100">
        <v>352.35</v>
      </c>
      <c r="R182" s="100">
        <v>352.35</v>
      </c>
      <c r="S182" s="100">
        <v>352.35</v>
      </c>
      <c r="T182" s="100">
        <v>352.35</v>
      </c>
      <c r="U182" s="100">
        <v>352.35</v>
      </c>
      <c r="V182" s="100">
        <v>352.35</v>
      </c>
      <c r="W182" s="100">
        <v>352.35</v>
      </c>
      <c r="X182" s="100">
        <v>352.35</v>
      </c>
      <c r="Y182" s="100">
        <v>352.35</v>
      </c>
      <c r="Z182" s="100">
        <v>352.35</v>
      </c>
      <c r="AA182" s="100">
        <v>352.35</v>
      </c>
      <c r="AB182" s="100">
        <v>352.35</v>
      </c>
      <c r="AC182" s="100">
        <v>352.35</v>
      </c>
      <c r="AD182" s="100">
        <v>352.35</v>
      </c>
      <c r="AE182" s="100">
        <v>352.35</v>
      </c>
      <c r="AF182" s="100">
        <v>352.35</v>
      </c>
      <c r="AG182" s="100">
        <v>352.35</v>
      </c>
      <c r="AH182" s="100">
        <f>SUM(V182:AG182)</f>
        <v>4228.2</v>
      </c>
      <c r="AI182" s="183"/>
    </row>
    <row r="183" spans="1:35" x14ac:dyDescent="0.25">
      <c r="A183" s="48">
        <f t="shared" si="211"/>
        <v>13</v>
      </c>
      <c r="B183" s="44" t="str">
        <f t="shared" si="212"/>
        <v xml:space="preserve">    Proposed 2025 Issuance (10-year)</v>
      </c>
      <c r="C183" s="175">
        <f t="shared" si="212"/>
        <v>5.2499999999999998E-2</v>
      </c>
      <c r="D183" s="61">
        <f t="shared" si="212"/>
        <v>45731</v>
      </c>
      <c r="E183" s="61">
        <f t="shared" si="212"/>
        <v>49369</v>
      </c>
      <c r="F183" s="100"/>
      <c r="G183" s="100"/>
      <c r="H183" s="100"/>
      <c r="I183" s="100"/>
      <c r="J183" s="100"/>
      <c r="K183" s="100"/>
      <c r="L183" s="100">
        <v>170.87</v>
      </c>
      <c r="M183" s="100">
        <v>320.38787849900933</v>
      </c>
      <c r="N183" s="100">
        <f>M183</f>
        <v>320.38787849900933</v>
      </c>
      <c r="O183" s="100">
        <f t="shared" ref="O183:AG183" si="214">N183</f>
        <v>320.38787849900933</v>
      </c>
      <c r="P183" s="100">
        <f t="shared" si="214"/>
        <v>320.38787849900933</v>
      </c>
      <c r="Q183" s="100">
        <f t="shared" si="214"/>
        <v>320.38787849900933</v>
      </c>
      <c r="R183" s="100">
        <f t="shared" si="214"/>
        <v>320.38787849900933</v>
      </c>
      <c r="S183" s="100">
        <f t="shared" si="214"/>
        <v>320.38787849900933</v>
      </c>
      <c r="T183" s="100">
        <f t="shared" si="214"/>
        <v>320.38787849900933</v>
      </c>
      <c r="U183" s="100">
        <f t="shared" si="214"/>
        <v>320.38787849900933</v>
      </c>
      <c r="V183" s="100">
        <f t="shared" si="214"/>
        <v>320.38787849900933</v>
      </c>
      <c r="W183" s="100">
        <f t="shared" si="214"/>
        <v>320.38787849900933</v>
      </c>
      <c r="X183" s="100">
        <f t="shared" si="214"/>
        <v>320.38787849900933</v>
      </c>
      <c r="Y183" s="100">
        <f t="shared" si="214"/>
        <v>320.38787849900933</v>
      </c>
      <c r="Z183" s="100">
        <f t="shared" si="214"/>
        <v>320.38787849900933</v>
      </c>
      <c r="AA183" s="100">
        <f t="shared" si="214"/>
        <v>320.38787849900933</v>
      </c>
      <c r="AB183" s="100">
        <f t="shared" si="214"/>
        <v>320.38787849900933</v>
      </c>
      <c r="AC183" s="100">
        <f t="shared" si="214"/>
        <v>320.38787849900933</v>
      </c>
      <c r="AD183" s="100">
        <f t="shared" si="214"/>
        <v>320.38787849900933</v>
      </c>
      <c r="AE183" s="100">
        <f t="shared" si="214"/>
        <v>320.38787849900933</v>
      </c>
      <c r="AF183" s="100">
        <f t="shared" si="214"/>
        <v>320.38787849900933</v>
      </c>
      <c r="AG183" s="100">
        <f t="shared" si="214"/>
        <v>320.38787849900933</v>
      </c>
      <c r="AH183" s="100">
        <f>SUM(V183:AG183)</f>
        <v>3844.6545419881118</v>
      </c>
      <c r="AI183" s="183"/>
    </row>
    <row r="184" spans="1:35" x14ac:dyDescent="0.25">
      <c r="A184" s="48">
        <f t="shared" si="211"/>
        <v>14</v>
      </c>
      <c r="B184" s="44" t="str">
        <f t="shared" si="212"/>
        <v xml:space="preserve">    Proposed 2025 Issuance (30-year)</v>
      </c>
      <c r="C184" s="175">
        <f t="shared" si="212"/>
        <v>5.7000000000000002E-2</v>
      </c>
      <c r="D184" s="61">
        <f t="shared" si="212"/>
        <v>45915</v>
      </c>
      <c r="E184" s="61">
        <f t="shared" si="212"/>
        <v>56888</v>
      </c>
      <c r="F184" s="182"/>
      <c r="R184" s="40">
        <v>154.16999999999999</v>
      </c>
      <c r="S184" s="40">
        <v>289.07</v>
      </c>
      <c r="T184" s="100">
        <f t="shared" ref="T184" si="215">S184</f>
        <v>289.07</v>
      </c>
      <c r="U184" s="100">
        <f t="shared" ref="U184" si="216">T184</f>
        <v>289.07</v>
      </c>
      <c r="V184" s="100">
        <f t="shared" ref="V184" si="217">U184</f>
        <v>289.07</v>
      </c>
      <c r="W184" s="100">
        <f t="shared" ref="W184" si="218">V184</f>
        <v>289.07</v>
      </c>
      <c r="X184" s="100">
        <f t="shared" ref="X184" si="219">W184</f>
        <v>289.07</v>
      </c>
      <c r="Y184" s="100">
        <f t="shared" ref="Y184" si="220">X184</f>
        <v>289.07</v>
      </c>
      <c r="Z184" s="100">
        <f t="shared" ref="Z184" si="221">Y184</f>
        <v>289.07</v>
      </c>
      <c r="AA184" s="100">
        <f t="shared" ref="AA184" si="222">Z184</f>
        <v>289.07</v>
      </c>
      <c r="AB184" s="100">
        <f t="shared" ref="AB184" si="223">AA184</f>
        <v>289.07</v>
      </c>
      <c r="AC184" s="100">
        <f t="shared" ref="AC184" si="224">AB184</f>
        <v>289.07</v>
      </c>
      <c r="AD184" s="100">
        <f t="shared" ref="AD184" si="225">AC184</f>
        <v>289.07</v>
      </c>
      <c r="AE184" s="100">
        <f t="shared" ref="AE184" si="226">AD184</f>
        <v>289.07</v>
      </c>
      <c r="AF184" s="100">
        <f t="shared" ref="AF184" si="227">AE184</f>
        <v>289.07</v>
      </c>
      <c r="AG184" s="100">
        <f t="shared" ref="AG184" si="228">AF184</f>
        <v>289.07</v>
      </c>
      <c r="AH184" s="100">
        <f>SUM(V184:AG184)</f>
        <v>3468.8400000000006</v>
      </c>
      <c r="AI184" s="48"/>
    </row>
    <row r="185" spans="1:35" x14ac:dyDescent="0.25">
      <c r="A185" s="48"/>
      <c r="F185" s="182"/>
      <c r="AI185" s="48"/>
    </row>
    <row r="186" spans="1:35" ht="15.75" thickBot="1" x14ac:dyDescent="0.3">
      <c r="A186" s="48">
        <f>A184+1</f>
        <v>15</v>
      </c>
      <c r="B186" s="44" t="s">
        <v>194</v>
      </c>
      <c r="F186" s="158">
        <f t="shared" ref="F186:AG186" si="229">SUM(F173:F184)</f>
        <v>1482.5300000000002</v>
      </c>
      <c r="G186" s="158">
        <f t="shared" si="229"/>
        <v>1482.5300000000002</v>
      </c>
      <c r="H186" s="158">
        <f t="shared" si="229"/>
        <v>1482.5300000000002</v>
      </c>
      <c r="I186" s="158">
        <f t="shared" si="229"/>
        <v>1482.5300000000002</v>
      </c>
      <c r="J186" s="158">
        <f t="shared" si="229"/>
        <v>1482.5300000000002</v>
      </c>
      <c r="K186" s="158">
        <f t="shared" si="229"/>
        <v>1482.5300000000002</v>
      </c>
      <c r="L186" s="158">
        <f>SUM(L173:L184)</f>
        <v>1653.4</v>
      </c>
      <c r="M186" s="158">
        <f t="shared" si="229"/>
        <v>1802.9178784990095</v>
      </c>
      <c r="N186" s="158">
        <f t="shared" si="229"/>
        <v>1802.9178784990095</v>
      </c>
      <c r="O186" s="158">
        <f t="shared" si="229"/>
        <v>1802.9178784990095</v>
      </c>
      <c r="P186" s="158">
        <f t="shared" si="229"/>
        <v>1802.9178784990095</v>
      </c>
      <c r="Q186" s="158">
        <f t="shared" si="229"/>
        <v>1802.9178784990095</v>
      </c>
      <c r="R186" s="158">
        <f t="shared" si="229"/>
        <v>1957.0878784990095</v>
      </c>
      <c r="S186" s="158">
        <f t="shared" si="229"/>
        <v>2091.9878784990096</v>
      </c>
      <c r="T186" s="158">
        <f t="shared" si="229"/>
        <v>2091.9878784990096</v>
      </c>
      <c r="U186" s="158">
        <f t="shared" si="229"/>
        <v>2091.9878784990096</v>
      </c>
      <c r="V186" s="158">
        <f t="shared" si="229"/>
        <v>2091.9878784990096</v>
      </c>
      <c r="W186" s="158">
        <f t="shared" si="229"/>
        <v>2091.9878784990096</v>
      </c>
      <c r="X186" s="158">
        <f t="shared" si="229"/>
        <v>2091.9878784990096</v>
      </c>
      <c r="Y186" s="158">
        <f t="shared" si="229"/>
        <v>2091.9878784990096</v>
      </c>
      <c r="Z186" s="158">
        <f t="shared" si="229"/>
        <v>2091.9878784990096</v>
      </c>
      <c r="AA186" s="158">
        <f t="shared" si="229"/>
        <v>2091.9878784990096</v>
      </c>
      <c r="AB186" s="158">
        <f t="shared" si="229"/>
        <v>2091.9878784990096</v>
      </c>
      <c r="AC186" s="158">
        <f t="shared" si="229"/>
        <v>2091.9878784990096</v>
      </c>
      <c r="AD186" s="158">
        <f t="shared" si="229"/>
        <v>2091.9878784990096</v>
      </c>
      <c r="AE186" s="158">
        <f t="shared" si="229"/>
        <v>2091.9878784990096</v>
      </c>
      <c r="AF186" s="158">
        <f t="shared" si="229"/>
        <v>2091.9878784990096</v>
      </c>
      <c r="AG186" s="158">
        <f t="shared" si="229"/>
        <v>2091.9878784990096</v>
      </c>
      <c r="AH186" s="158">
        <f>SUM(AH173:AH184)</f>
        <v>25103.854541988112</v>
      </c>
      <c r="AI186" s="48"/>
    </row>
    <row r="187" spans="1:35" ht="15.75" thickTop="1" x14ac:dyDescent="0.25">
      <c r="A187" s="48"/>
      <c r="F187" s="182"/>
      <c r="AI187" s="48"/>
    </row>
    <row r="188" spans="1:35" x14ac:dyDescent="0.25">
      <c r="A188" s="48"/>
      <c r="F188" s="182"/>
      <c r="AI188" s="48"/>
    </row>
    <row r="189" spans="1:35" x14ac:dyDescent="0.25">
      <c r="A189" s="48"/>
      <c r="F189" s="182"/>
      <c r="AI189" s="48"/>
    </row>
    <row r="190" spans="1:35" x14ac:dyDescent="0.25">
      <c r="A190" s="48"/>
      <c r="AI190" s="48"/>
    </row>
    <row r="191" spans="1:35" x14ac:dyDescent="0.25">
      <c r="A191" s="48"/>
      <c r="I191" s="56"/>
      <c r="J191" s="56"/>
      <c r="K191" s="56"/>
      <c r="AI191" s="48"/>
    </row>
    <row r="192" spans="1:35" x14ac:dyDescent="0.25">
      <c r="A192" s="48"/>
      <c r="F192" s="53"/>
      <c r="J192" s="181"/>
      <c r="AI192" s="48"/>
    </row>
    <row r="193" spans="1:35" x14ac:dyDescent="0.25">
      <c r="A193" s="48"/>
      <c r="F193" s="182"/>
      <c r="AI193" s="48"/>
    </row>
    <row r="194" spans="1:35" x14ac:dyDescent="0.25">
      <c r="A194" s="161" t="s">
        <v>159</v>
      </c>
      <c r="F194" s="182"/>
      <c r="O194" s="162" t="str">
        <f>$O$1</f>
        <v>W/P - 7-4</v>
      </c>
      <c r="Y194" s="162" t="str">
        <f>$O$90</f>
        <v>W/P - 7-4</v>
      </c>
      <c r="AH194" s="162" t="str">
        <f>$O$90</f>
        <v>W/P - 7-4</v>
      </c>
      <c r="AI194" s="48"/>
    </row>
    <row r="195" spans="1:35" x14ac:dyDescent="0.25">
      <c r="A195" s="161" t="s">
        <v>160</v>
      </c>
      <c r="F195" s="182"/>
      <c r="O195" s="162" t="str">
        <f>O2</f>
        <v>KAW_R_PSCHDR_NUM002_100625_Attachment   Sch J WPs</v>
      </c>
      <c r="Y195" s="162" t="str">
        <f>Y2</f>
        <v>KAW_R_PSCHDR_NUM002_100625_Attachment   Sch J WPs</v>
      </c>
      <c r="AH195" s="162" t="str">
        <f>AH2</f>
        <v>KAW_R_PSCHDR_NUM002_100625_Attachment   Sch J WPs</v>
      </c>
      <c r="AI195" s="48"/>
    </row>
    <row r="196" spans="1:35" x14ac:dyDescent="0.25">
      <c r="A196" s="48"/>
      <c r="F196" s="182"/>
      <c r="AI196" s="48"/>
    </row>
    <row r="197" spans="1:35" x14ac:dyDescent="0.25">
      <c r="A197" s="57" t="s">
        <v>161</v>
      </c>
      <c r="F197" s="182"/>
      <c r="AI197" s="48"/>
    </row>
    <row r="198" spans="1:35" x14ac:dyDescent="0.25">
      <c r="A198" s="57" t="s">
        <v>202</v>
      </c>
      <c r="F198" s="182"/>
      <c r="AI198" s="48"/>
    </row>
    <row r="199" spans="1:35" x14ac:dyDescent="0.25">
      <c r="F199" s="182"/>
      <c r="AI199" s="48"/>
    </row>
    <row r="200" spans="1:35" x14ac:dyDescent="0.25">
      <c r="A200" s="166"/>
      <c r="B200" s="166" t="s">
        <v>124</v>
      </c>
      <c r="C200" s="166"/>
      <c r="D200" s="166"/>
      <c r="E200" s="166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48"/>
    </row>
    <row r="201" spans="1:35" x14ac:dyDescent="0.25">
      <c r="A201" s="48" t="s">
        <v>86</v>
      </c>
      <c r="B201" s="48" t="s">
        <v>165</v>
      </c>
      <c r="C201" s="48" t="s">
        <v>115</v>
      </c>
      <c r="D201" s="48"/>
      <c r="E201" s="48"/>
      <c r="F201" s="48" t="s">
        <v>198</v>
      </c>
      <c r="G201" s="48" t="s">
        <v>198</v>
      </c>
      <c r="H201" s="48" t="s">
        <v>198</v>
      </c>
      <c r="I201" s="48" t="s">
        <v>198</v>
      </c>
      <c r="J201" s="48" t="s">
        <v>198</v>
      </c>
      <c r="K201" s="48" t="s">
        <v>198</v>
      </c>
      <c r="L201" s="48" t="s">
        <v>198</v>
      </c>
      <c r="M201" s="48" t="s">
        <v>198</v>
      </c>
      <c r="N201" s="48" t="s">
        <v>198</v>
      </c>
      <c r="O201" s="48" t="s">
        <v>198</v>
      </c>
      <c r="P201" s="48" t="s">
        <v>198</v>
      </c>
      <c r="Q201" s="48" t="s">
        <v>198</v>
      </c>
      <c r="R201" s="48" t="s">
        <v>198</v>
      </c>
      <c r="S201" s="48" t="s">
        <v>198</v>
      </c>
      <c r="T201" s="48" t="s">
        <v>198</v>
      </c>
      <c r="U201" s="48" t="s">
        <v>198</v>
      </c>
      <c r="V201" s="48" t="s">
        <v>198</v>
      </c>
      <c r="W201" s="48" t="s">
        <v>198</v>
      </c>
      <c r="X201" s="48" t="s">
        <v>198</v>
      </c>
      <c r="Y201" s="48" t="s">
        <v>198</v>
      </c>
      <c r="Z201" s="48" t="s">
        <v>198</v>
      </c>
      <c r="AA201" s="48" t="s">
        <v>198</v>
      </c>
      <c r="AB201" s="48" t="s">
        <v>198</v>
      </c>
      <c r="AC201" s="48" t="s">
        <v>198</v>
      </c>
      <c r="AD201" s="48" t="s">
        <v>198</v>
      </c>
      <c r="AE201" s="48" t="s">
        <v>198</v>
      </c>
      <c r="AF201" s="48" t="s">
        <v>198</v>
      </c>
      <c r="AG201" s="48" t="s">
        <v>198</v>
      </c>
      <c r="AH201" s="48" t="s">
        <v>85</v>
      </c>
      <c r="AI201" s="48"/>
    </row>
    <row r="202" spans="1:35" x14ac:dyDescent="0.25">
      <c r="A202" s="169" t="s">
        <v>91</v>
      </c>
      <c r="B202" s="169" t="s">
        <v>118</v>
      </c>
      <c r="C202" s="169" t="s">
        <v>118</v>
      </c>
      <c r="D202" s="169" t="s">
        <v>168</v>
      </c>
      <c r="E202" s="169" t="s">
        <v>169</v>
      </c>
      <c r="F202" s="170">
        <f>F$9</f>
        <v>45565</v>
      </c>
      <c r="G202" s="170">
        <f t="shared" ref="G202:AG202" si="230">G$9</f>
        <v>45596</v>
      </c>
      <c r="H202" s="170">
        <f t="shared" si="230"/>
        <v>45626</v>
      </c>
      <c r="I202" s="170">
        <f t="shared" si="230"/>
        <v>45657</v>
      </c>
      <c r="J202" s="170">
        <f t="shared" si="230"/>
        <v>45688</v>
      </c>
      <c r="K202" s="170">
        <f t="shared" si="230"/>
        <v>45716</v>
      </c>
      <c r="L202" s="170">
        <f t="shared" si="230"/>
        <v>45747</v>
      </c>
      <c r="M202" s="170">
        <f t="shared" si="230"/>
        <v>45777</v>
      </c>
      <c r="N202" s="170">
        <f t="shared" si="230"/>
        <v>45808</v>
      </c>
      <c r="O202" s="170">
        <f t="shared" si="230"/>
        <v>45838</v>
      </c>
      <c r="P202" s="170">
        <f t="shared" si="230"/>
        <v>45869</v>
      </c>
      <c r="Q202" s="170">
        <f t="shared" si="230"/>
        <v>45900</v>
      </c>
      <c r="R202" s="170">
        <f t="shared" si="230"/>
        <v>45930</v>
      </c>
      <c r="S202" s="170">
        <f t="shared" si="230"/>
        <v>45961</v>
      </c>
      <c r="T202" s="170">
        <f t="shared" si="230"/>
        <v>45991</v>
      </c>
      <c r="U202" s="170">
        <f t="shared" si="230"/>
        <v>46022</v>
      </c>
      <c r="V202" s="170">
        <f t="shared" si="230"/>
        <v>46053</v>
      </c>
      <c r="W202" s="170">
        <f t="shared" si="230"/>
        <v>46081</v>
      </c>
      <c r="X202" s="170">
        <f t="shared" si="230"/>
        <v>46112</v>
      </c>
      <c r="Y202" s="170">
        <f t="shared" si="230"/>
        <v>46142</v>
      </c>
      <c r="Z202" s="170">
        <f t="shared" si="230"/>
        <v>46173</v>
      </c>
      <c r="AA202" s="170">
        <f t="shared" si="230"/>
        <v>46203</v>
      </c>
      <c r="AB202" s="170">
        <f t="shared" si="230"/>
        <v>46234</v>
      </c>
      <c r="AC202" s="170">
        <f t="shared" si="230"/>
        <v>46265</v>
      </c>
      <c r="AD202" s="170">
        <f t="shared" si="230"/>
        <v>46295</v>
      </c>
      <c r="AE202" s="170">
        <f t="shared" si="230"/>
        <v>46326</v>
      </c>
      <c r="AF202" s="170">
        <f t="shared" si="230"/>
        <v>46356</v>
      </c>
      <c r="AG202" s="170">
        <f t="shared" si="230"/>
        <v>46387</v>
      </c>
      <c r="AH202" s="171" t="s">
        <v>90</v>
      </c>
      <c r="AI202" s="48"/>
    </row>
    <row r="203" spans="1:35" x14ac:dyDescent="0.25">
      <c r="A203" s="48">
        <v>1</v>
      </c>
      <c r="F203" s="182"/>
      <c r="AI203" s="48"/>
    </row>
    <row r="204" spans="1:35" x14ac:dyDescent="0.25">
      <c r="A204" s="48">
        <f>A203+1</f>
        <v>2</v>
      </c>
      <c r="F204" s="182"/>
      <c r="AI204" s="48"/>
    </row>
    <row r="205" spans="1:35" x14ac:dyDescent="0.25">
      <c r="A205" s="48">
        <f t="shared" ref="A205:A210" si="231">A204+1</f>
        <v>3</v>
      </c>
      <c r="B205" s="58"/>
      <c r="F205" s="182"/>
      <c r="AI205" s="48"/>
    </row>
    <row r="206" spans="1:35" x14ac:dyDescent="0.25">
      <c r="A206" s="48">
        <f t="shared" si="231"/>
        <v>4</v>
      </c>
      <c r="F206" s="182"/>
      <c r="AI206" s="48"/>
    </row>
    <row r="207" spans="1:35" x14ac:dyDescent="0.25">
      <c r="A207" s="48">
        <f t="shared" si="231"/>
        <v>5</v>
      </c>
      <c r="B207" s="44" t="str">
        <f t="shared" ref="B207:E208" si="232">B183</f>
        <v xml:space="preserve">    Proposed 2025 Issuance (10-year)</v>
      </c>
      <c r="C207" s="175">
        <f t="shared" si="232"/>
        <v>5.2499999999999998E-2</v>
      </c>
      <c r="D207" s="61">
        <f t="shared" si="232"/>
        <v>45731</v>
      </c>
      <c r="E207" s="61">
        <f t="shared" si="232"/>
        <v>49369</v>
      </c>
      <c r="F207" s="179"/>
      <c r="G207" s="179"/>
      <c r="H207" s="179"/>
      <c r="I207" s="179"/>
      <c r="J207" s="179"/>
      <c r="K207" s="179"/>
      <c r="L207" s="179">
        <v>35655.879999999997</v>
      </c>
      <c r="M207" s="179">
        <f>L207-M228</f>
        <v>35356.250815517167</v>
      </c>
      <c r="N207" s="179">
        <f>M207-N228</f>
        <v>35056.621631034337</v>
      </c>
      <c r="O207" s="179">
        <f t="shared" ref="O207:AG207" si="233">N207-O228</f>
        <v>34756.992446551507</v>
      </c>
      <c r="P207" s="179">
        <f t="shared" si="233"/>
        <v>34457.363262068677</v>
      </c>
      <c r="Q207" s="179">
        <f t="shared" si="233"/>
        <v>34157.734077585847</v>
      </c>
      <c r="R207" s="179">
        <f t="shared" si="233"/>
        <v>33858.104893103016</v>
      </c>
      <c r="S207" s="179">
        <f t="shared" si="233"/>
        <v>33558.475708620186</v>
      </c>
      <c r="T207" s="179">
        <f t="shared" si="233"/>
        <v>33258.846524137356</v>
      </c>
      <c r="U207" s="179">
        <f t="shared" si="233"/>
        <v>32959.217339654526</v>
      </c>
      <c r="V207" s="179">
        <f t="shared" si="233"/>
        <v>32659.588155171699</v>
      </c>
      <c r="W207" s="179">
        <f t="shared" si="233"/>
        <v>32359.958970688873</v>
      </c>
      <c r="X207" s="179">
        <f t="shared" si="233"/>
        <v>32060.329786206046</v>
      </c>
      <c r="Y207" s="179">
        <f t="shared" si="233"/>
        <v>31760.70060172322</v>
      </c>
      <c r="Z207" s="179">
        <f t="shared" si="233"/>
        <v>31461.071417240393</v>
      </c>
      <c r="AA207" s="179">
        <f t="shared" si="233"/>
        <v>31161.442232757567</v>
      </c>
      <c r="AB207" s="179">
        <f t="shared" si="233"/>
        <v>30861.81304827474</v>
      </c>
      <c r="AC207" s="179">
        <f t="shared" si="233"/>
        <v>30562.183863791914</v>
      </c>
      <c r="AD207" s="179">
        <f t="shared" si="233"/>
        <v>30262.554679309087</v>
      </c>
      <c r="AE207" s="179">
        <f t="shared" si="233"/>
        <v>29962.925494826261</v>
      </c>
      <c r="AF207" s="179">
        <f t="shared" si="233"/>
        <v>29663.296310343434</v>
      </c>
      <c r="AG207" s="179">
        <f t="shared" si="233"/>
        <v>29363.667125860607</v>
      </c>
      <c r="AH207" s="179">
        <f t="shared" ref="AH207" si="234">AVERAGE(U207:AG207)</f>
        <v>31161.442232757567</v>
      </c>
      <c r="AI207" s="48"/>
    </row>
    <row r="208" spans="1:35" x14ac:dyDescent="0.25">
      <c r="A208" s="48">
        <f t="shared" si="231"/>
        <v>6</v>
      </c>
      <c r="B208" s="44" t="str">
        <f t="shared" si="232"/>
        <v xml:space="preserve">    Proposed 2025 Issuance (30-year)</v>
      </c>
      <c r="C208" s="175">
        <f t="shared" si="232"/>
        <v>5.7000000000000002E-2</v>
      </c>
      <c r="D208" s="61">
        <f t="shared" si="232"/>
        <v>45915</v>
      </c>
      <c r="E208" s="61">
        <f t="shared" si="232"/>
        <v>56888</v>
      </c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76">
        <f>263920.53-R229</f>
        <v>263529.03000000003</v>
      </c>
      <c r="S208" s="179">
        <f>R208-S229</f>
        <v>262794.97000000003</v>
      </c>
      <c r="T208" s="179">
        <f t="shared" ref="T208:AG208" si="235">S208-T229</f>
        <v>262060.91000000003</v>
      </c>
      <c r="U208" s="179">
        <f t="shared" si="235"/>
        <v>261326.85000000003</v>
      </c>
      <c r="V208" s="179">
        <f t="shared" si="235"/>
        <v>260592.79000000004</v>
      </c>
      <c r="W208" s="179">
        <f t="shared" si="235"/>
        <v>259858.73000000004</v>
      </c>
      <c r="X208" s="179">
        <f t="shared" si="235"/>
        <v>259124.67000000004</v>
      </c>
      <c r="Y208" s="179">
        <f t="shared" si="235"/>
        <v>258390.61000000004</v>
      </c>
      <c r="Z208" s="179">
        <f t="shared" si="235"/>
        <v>257656.55000000005</v>
      </c>
      <c r="AA208" s="179">
        <f t="shared" si="235"/>
        <v>256922.49000000005</v>
      </c>
      <c r="AB208" s="179">
        <f t="shared" si="235"/>
        <v>256188.43000000005</v>
      </c>
      <c r="AC208" s="179">
        <f t="shared" si="235"/>
        <v>255454.37000000005</v>
      </c>
      <c r="AD208" s="179">
        <f t="shared" si="235"/>
        <v>254720.31000000006</v>
      </c>
      <c r="AE208" s="179">
        <f t="shared" si="235"/>
        <v>253986.25000000006</v>
      </c>
      <c r="AF208" s="179">
        <f t="shared" si="235"/>
        <v>253252.19000000006</v>
      </c>
      <c r="AG208" s="179">
        <f t="shared" si="235"/>
        <v>252518.13000000006</v>
      </c>
      <c r="AH208" s="179">
        <f t="shared" ref="AH208" si="236">AVERAGE(U208:AG208)</f>
        <v>256922.49000000002</v>
      </c>
      <c r="AI208" s="48"/>
    </row>
    <row r="209" spans="1:53" x14ac:dyDescent="0.25">
      <c r="A209" s="48">
        <f t="shared" si="231"/>
        <v>7</v>
      </c>
      <c r="F209" s="182"/>
      <c r="AI209" s="48"/>
    </row>
    <row r="210" spans="1:53" ht="15.75" thickBot="1" x14ac:dyDescent="0.3">
      <c r="A210" s="48">
        <f t="shared" si="231"/>
        <v>8</v>
      </c>
      <c r="B210" s="44" t="s">
        <v>194</v>
      </c>
      <c r="F210" s="158">
        <f t="shared" ref="F210:AH210" si="237">SUM(F206:F208)</f>
        <v>0</v>
      </c>
      <c r="G210" s="158">
        <f t="shared" si="237"/>
        <v>0</v>
      </c>
      <c r="H210" s="158">
        <f t="shared" si="237"/>
        <v>0</v>
      </c>
      <c r="I210" s="158">
        <f t="shared" si="237"/>
        <v>0</v>
      </c>
      <c r="J210" s="158">
        <f t="shared" si="237"/>
        <v>0</v>
      </c>
      <c r="K210" s="158">
        <f t="shared" si="237"/>
        <v>0</v>
      </c>
      <c r="L210" s="158">
        <f t="shared" si="237"/>
        <v>35655.879999999997</v>
      </c>
      <c r="M210" s="158">
        <f t="shared" si="237"/>
        <v>35356.250815517167</v>
      </c>
      <c r="N210" s="158">
        <f t="shared" si="237"/>
        <v>35056.621631034337</v>
      </c>
      <c r="O210" s="158">
        <f t="shared" si="237"/>
        <v>34756.992446551507</v>
      </c>
      <c r="P210" s="158">
        <f t="shared" si="237"/>
        <v>34457.363262068677</v>
      </c>
      <c r="Q210" s="158">
        <f t="shared" si="237"/>
        <v>34157.734077585847</v>
      </c>
      <c r="R210" s="158">
        <f t="shared" si="237"/>
        <v>297387.13489310304</v>
      </c>
      <c r="S210" s="158">
        <f t="shared" si="237"/>
        <v>296353.44570862025</v>
      </c>
      <c r="T210" s="158">
        <f t="shared" si="237"/>
        <v>295319.7565241374</v>
      </c>
      <c r="U210" s="158">
        <f t="shared" si="237"/>
        <v>294286.06733965455</v>
      </c>
      <c r="V210" s="158">
        <f t="shared" si="237"/>
        <v>293252.37815517175</v>
      </c>
      <c r="W210" s="158">
        <f t="shared" si="237"/>
        <v>292218.68897068891</v>
      </c>
      <c r="X210" s="158">
        <f t="shared" si="237"/>
        <v>291184.99978620611</v>
      </c>
      <c r="Y210" s="158">
        <f t="shared" si="237"/>
        <v>290151.31060172326</v>
      </c>
      <c r="Z210" s="158">
        <f t="shared" si="237"/>
        <v>289117.62141724041</v>
      </c>
      <c r="AA210" s="158">
        <f t="shared" si="237"/>
        <v>288083.93223275762</v>
      </c>
      <c r="AB210" s="158">
        <f t="shared" si="237"/>
        <v>287050.24304827477</v>
      </c>
      <c r="AC210" s="158">
        <f t="shared" si="237"/>
        <v>286016.55386379198</v>
      </c>
      <c r="AD210" s="158">
        <f t="shared" si="237"/>
        <v>284982.86467930913</v>
      </c>
      <c r="AE210" s="158">
        <f t="shared" si="237"/>
        <v>283949.17549482634</v>
      </c>
      <c r="AF210" s="158">
        <f t="shared" si="237"/>
        <v>282915.48631034349</v>
      </c>
      <c r="AG210" s="158">
        <f t="shared" si="237"/>
        <v>281881.7971258607</v>
      </c>
      <c r="AH210" s="158">
        <f t="shared" si="237"/>
        <v>288083.93223275756</v>
      </c>
      <c r="AI210" s="56"/>
      <c r="AJ210" s="56"/>
      <c r="AK210" s="56"/>
      <c r="AL210" s="56"/>
      <c r="AM210" s="56"/>
      <c r="AN210" s="56"/>
      <c r="AO210" s="56"/>
      <c r="AP210" s="56"/>
      <c r="AQ210" s="56"/>
      <c r="AR210" s="56"/>
      <c r="AS210" s="56"/>
      <c r="AT210" s="56"/>
      <c r="AU210" s="56"/>
      <c r="AW210" s="56"/>
      <c r="AY210" s="56"/>
      <c r="BA210" s="56"/>
    </row>
    <row r="211" spans="1:53" ht="15.75" thickTop="1" x14ac:dyDescent="0.25">
      <c r="A211" s="48"/>
      <c r="F211" s="100"/>
      <c r="G211" s="100"/>
      <c r="H211" s="100"/>
      <c r="I211" s="100"/>
      <c r="J211" s="100"/>
      <c r="AI211" s="48"/>
    </row>
    <row r="212" spans="1:53" x14ac:dyDescent="0.25">
      <c r="A212" s="48"/>
      <c r="F212" s="100"/>
      <c r="G212" s="100"/>
      <c r="H212" s="100"/>
      <c r="I212" s="100"/>
      <c r="J212" s="100"/>
      <c r="AI212" s="48"/>
    </row>
    <row r="213" spans="1:53" x14ac:dyDescent="0.25">
      <c r="A213" s="48"/>
      <c r="F213" s="182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I213" s="48"/>
    </row>
    <row r="214" spans="1:53" x14ac:dyDescent="0.25">
      <c r="A214" s="161" t="s">
        <v>159</v>
      </c>
      <c r="F214" s="182"/>
      <c r="O214" s="162" t="str">
        <f>$O$1</f>
        <v>W/P - 7-4</v>
      </c>
      <c r="Y214" s="162" t="str">
        <f>$O$90</f>
        <v>W/P - 7-4</v>
      </c>
      <c r="AH214" s="162" t="str">
        <f>$O$90</f>
        <v>W/P - 7-4</v>
      </c>
      <c r="AI214" s="48"/>
    </row>
    <row r="215" spans="1:53" x14ac:dyDescent="0.25">
      <c r="A215" s="161" t="s">
        <v>160</v>
      </c>
      <c r="F215" s="182"/>
      <c r="O215" s="162" t="str">
        <f>O2</f>
        <v>KAW_R_PSCHDR_NUM002_100625_Attachment   Sch J WPs</v>
      </c>
      <c r="Y215" s="162" t="str">
        <f>Y2</f>
        <v>KAW_R_PSCHDR_NUM002_100625_Attachment   Sch J WPs</v>
      </c>
      <c r="AH215" s="162" t="str">
        <f>AH2</f>
        <v>KAW_R_PSCHDR_NUM002_100625_Attachment   Sch J WPs</v>
      </c>
      <c r="AI215" s="48"/>
    </row>
    <row r="216" spans="1:53" x14ac:dyDescent="0.25">
      <c r="A216" s="48"/>
      <c r="F216" s="182"/>
      <c r="AI216" s="48"/>
    </row>
    <row r="217" spans="1:53" x14ac:dyDescent="0.25">
      <c r="A217" s="57" t="s">
        <v>161</v>
      </c>
      <c r="F217" s="182"/>
      <c r="AI217" s="48"/>
    </row>
    <row r="218" spans="1:53" x14ac:dyDescent="0.25">
      <c r="A218" s="57" t="s">
        <v>203</v>
      </c>
      <c r="F218" s="182"/>
      <c r="AI218" s="48"/>
    </row>
    <row r="219" spans="1:53" x14ac:dyDescent="0.25">
      <c r="F219" s="182"/>
      <c r="AI219" s="48"/>
    </row>
    <row r="220" spans="1:53" x14ac:dyDescent="0.25">
      <c r="A220" s="166"/>
      <c r="B220" s="166" t="s">
        <v>124</v>
      </c>
      <c r="C220" s="166"/>
      <c r="D220" s="166"/>
      <c r="E220" s="166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48"/>
    </row>
    <row r="221" spans="1:53" x14ac:dyDescent="0.25">
      <c r="A221" s="48" t="s">
        <v>86</v>
      </c>
      <c r="B221" s="48" t="s">
        <v>165</v>
      </c>
      <c r="C221" s="48" t="s">
        <v>115</v>
      </c>
      <c r="D221" s="48"/>
      <c r="E221" s="48"/>
      <c r="F221" s="48" t="s">
        <v>198</v>
      </c>
      <c r="G221" s="48" t="s">
        <v>198</v>
      </c>
      <c r="H221" s="48" t="s">
        <v>198</v>
      </c>
      <c r="I221" s="48" t="s">
        <v>198</v>
      </c>
      <c r="J221" s="48" t="s">
        <v>198</v>
      </c>
      <c r="K221" s="48" t="s">
        <v>198</v>
      </c>
      <c r="L221" s="48" t="s">
        <v>198</v>
      </c>
      <c r="M221" s="48" t="s">
        <v>198</v>
      </c>
      <c r="N221" s="48" t="s">
        <v>198</v>
      </c>
      <c r="O221" s="48" t="s">
        <v>198</v>
      </c>
      <c r="P221" s="48" t="s">
        <v>198</v>
      </c>
      <c r="Q221" s="48" t="s">
        <v>198</v>
      </c>
      <c r="R221" s="48" t="s">
        <v>198</v>
      </c>
      <c r="S221" s="48" t="s">
        <v>198</v>
      </c>
      <c r="T221" s="48" t="s">
        <v>198</v>
      </c>
      <c r="U221" s="48" t="s">
        <v>198</v>
      </c>
      <c r="V221" s="48" t="s">
        <v>198</v>
      </c>
      <c r="W221" s="48" t="s">
        <v>198</v>
      </c>
      <c r="X221" s="48" t="s">
        <v>198</v>
      </c>
      <c r="Y221" s="48" t="s">
        <v>198</v>
      </c>
      <c r="Z221" s="48" t="s">
        <v>198</v>
      </c>
      <c r="AA221" s="48" t="s">
        <v>198</v>
      </c>
      <c r="AB221" s="48" t="s">
        <v>198</v>
      </c>
      <c r="AC221" s="48" t="s">
        <v>198</v>
      </c>
      <c r="AD221" s="48" t="s">
        <v>198</v>
      </c>
      <c r="AE221" s="48" t="s">
        <v>198</v>
      </c>
      <c r="AF221" s="48" t="s">
        <v>198</v>
      </c>
      <c r="AG221" s="48" t="s">
        <v>198</v>
      </c>
      <c r="AH221" s="48" t="s">
        <v>199</v>
      </c>
      <c r="AI221" s="48"/>
    </row>
    <row r="222" spans="1:53" x14ac:dyDescent="0.25">
      <c r="A222" s="169" t="s">
        <v>91</v>
      </c>
      <c r="B222" s="169" t="s">
        <v>118</v>
      </c>
      <c r="C222" s="169" t="s">
        <v>118</v>
      </c>
      <c r="D222" s="169" t="s">
        <v>168</v>
      </c>
      <c r="E222" s="169" t="s">
        <v>169</v>
      </c>
      <c r="F222" s="170">
        <f>F$9</f>
        <v>45565</v>
      </c>
      <c r="G222" s="170">
        <f t="shared" ref="G222:AG222" si="238">G$9</f>
        <v>45596</v>
      </c>
      <c r="H222" s="170">
        <f t="shared" si="238"/>
        <v>45626</v>
      </c>
      <c r="I222" s="170">
        <f t="shared" si="238"/>
        <v>45657</v>
      </c>
      <c r="J222" s="170">
        <f t="shared" si="238"/>
        <v>45688</v>
      </c>
      <c r="K222" s="170">
        <f t="shared" si="238"/>
        <v>45716</v>
      </c>
      <c r="L222" s="170">
        <f t="shared" si="238"/>
        <v>45747</v>
      </c>
      <c r="M222" s="170">
        <f t="shared" si="238"/>
        <v>45777</v>
      </c>
      <c r="N222" s="170">
        <f t="shared" si="238"/>
        <v>45808</v>
      </c>
      <c r="O222" s="170">
        <f t="shared" si="238"/>
        <v>45838</v>
      </c>
      <c r="P222" s="170">
        <f t="shared" si="238"/>
        <v>45869</v>
      </c>
      <c r="Q222" s="170">
        <f t="shared" si="238"/>
        <v>45900</v>
      </c>
      <c r="R222" s="170">
        <f t="shared" si="238"/>
        <v>45930</v>
      </c>
      <c r="S222" s="170">
        <f t="shared" si="238"/>
        <v>45961</v>
      </c>
      <c r="T222" s="170">
        <f t="shared" si="238"/>
        <v>45991</v>
      </c>
      <c r="U222" s="170">
        <f t="shared" si="238"/>
        <v>46022</v>
      </c>
      <c r="V222" s="170">
        <f t="shared" si="238"/>
        <v>46053</v>
      </c>
      <c r="W222" s="170">
        <f t="shared" si="238"/>
        <v>46081</v>
      </c>
      <c r="X222" s="170">
        <f t="shared" si="238"/>
        <v>46112</v>
      </c>
      <c r="Y222" s="170">
        <f t="shared" si="238"/>
        <v>46142</v>
      </c>
      <c r="Z222" s="170">
        <f t="shared" si="238"/>
        <v>46173</v>
      </c>
      <c r="AA222" s="170">
        <f t="shared" si="238"/>
        <v>46203</v>
      </c>
      <c r="AB222" s="170">
        <f t="shared" si="238"/>
        <v>46234</v>
      </c>
      <c r="AC222" s="170">
        <f t="shared" si="238"/>
        <v>46265</v>
      </c>
      <c r="AD222" s="170">
        <f t="shared" si="238"/>
        <v>46295</v>
      </c>
      <c r="AE222" s="170">
        <f t="shared" si="238"/>
        <v>46326</v>
      </c>
      <c r="AF222" s="170">
        <f t="shared" si="238"/>
        <v>46356</v>
      </c>
      <c r="AG222" s="170">
        <f t="shared" si="238"/>
        <v>46387</v>
      </c>
      <c r="AH222" s="171" t="s">
        <v>158</v>
      </c>
      <c r="AI222" s="48"/>
    </row>
    <row r="223" spans="1:53" x14ac:dyDescent="0.25">
      <c r="A223" s="48">
        <v>1</v>
      </c>
      <c r="F223" s="182"/>
      <c r="AI223" s="48"/>
    </row>
    <row r="224" spans="1:53" x14ac:dyDescent="0.25">
      <c r="A224" s="48">
        <f>A223+1</f>
        <v>2</v>
      </c>
      <c r="F224" s="182"/>
      <c r="AI224" s="48"/>
    </row>
    <row r="225" spans="1:35" x14ac:dyDescent="0.25">
      <c r="A225" s="48">
        <f t="shared" ref="A225:A231" si="239">A224+1</f>
        <v>3</v>
      </c>
      <c r="B225" s="58"/>
      <c r="F225" s="182"/>
      <c r="AI225" s="48"/>
    </row>
    <row r="226" spans="1:35" x14ac:dyDescent="0.25">
      <c r="A226" s="48">
        <f t="shared" si="239"/>
        <v>4</v>
      </c>
      <c r="F226" s="182"/>
      <c r="AI226" s="48"/>
    </row>
    <row r="227" spans="1:35" x14ac:dyDescent="0.25">
      <c r="A227" s="48">
        <f t="shared" si="239"/>
        <v>5</v>
      </c>
      <c r="F227" s="182"/>
      <c r="AI227" s="48"/>
    </row>
    <row r="228" spans="1:35" x14ac:dyDescent="0.25">
      <c r="A228" s="48">
        <f t="shared" si="239"/>
        <v>6</v>
      </c>
      <c r="B228" s="44" t="str">
        <f t="shared" ref="B228:E229" si="240">B207</f>
        <v xml:space="preserve">    Proposed 2025 Issuance (10-year)</v>
      </c>
      <c r="C228" s="175">
        <f t="shared" si="240"/>
        <v>5.2499999999999998E-2</v>
      </c>
      <c r="D228" s="61">
        <f t="shared" si="240"/>
        <v>45731</v>
      </c>
      <c r="E228" s="61">
        <f t="shared" si="240"/>
        <v>49369</v>
      </c>
      <c r="F228" s="100"/>
      <c r="G228" s="100"/>
      <c r="H228" s="100"/>
      <c r="I228" s="100"/>
      <c r="J228" s="100"/>
      <c r="K228" s="100"/>
      <c r="L228" s="100">
        <v>159.80000000000001</v>
      </c>
      <c r="M228" s="100">
        <v>299.62918448282659</v>
      </c>
      <c r="N228" s="100">
        <f>M228</f>
        <v>299.62918448282659</v>
      </c>
      <c r="O228" s="100">
        <f t="shared" ref="O228:AG228" si="241">N228</f>
        <v>299.62918448282659</v>
      </c>
      <c r="P228" s="100">
        <f t="shared" si="241"/>
        <v>299.62918448282659</v>
      </c>
      <c r="Q228" s="100">
        <f t="shared" si="241"/>
        <v>299.62918448282659</v>
      </c>
      <c r="R228" s="100">
        <f t="shared" si="241"/>
        <v>299.62918448282659</v>
      </c>
      <c r="S228" s="100">
        <f t="shared" si="241"/>
        <v>299.62918448282659</v>
      </c>
      <c r="T228" s="100">
        <f t="shared" si="241"/>
        <v>299.62918448282659</v>
      </c>
      <c r="U228" s="100">
        <f t="shared" si="241"/>
        <v>299.62918448282659</v>
      </c>
      <c r="V228" s="100">
        <f t="shared" si="241"/>
        <v>299.62918448282659</v>
      </c>
      <c r="W228" s="100">
        <f t="shared" si="241"/>
        <v>299.62918448282659</v>
      </c>
      <c r="X228" s="100">
        <f t="shared" si="241"/>
        <v>299.62918448282659</v>
      </c>
      <c r="Y228" s="100">
        <f t="shared" si="241"/>
        <v>299.62918448282659</v>
      </c>
      <c r="Z228" s="100">
        <f t="shared" si="241"/>
        <v>299.62918448282659</v>
      </c>
      <c r="AA228" s="100">
        <f t="shared" si="241"/>
        <v>299.62918448282659</v>
      </c>
      <c r="AB228" s="100">
        <f t="shared" si="241"/>
        <v>299.62918448282659</v>
      </c>
      <c r="AC228" s="100">
        <f t="shared" si="241"/>
        <v>299.62918448282659</v>
      </c>
      <c r="AD228" s="100">
        <f t="shared" si="241"/>
        <v>299.62918448282659</v>
      </c>
      <c r="AE228" s="100">
        <f t="shared" si="241"/>
        <v>299.62918448282659</v>
      </c>
      <c r="AF228" s="100">
        <f t="shared" si="241"/>
        <v>299.62918448282659</v>
      </c>
      <c r="AG228" s="100">
        <f t="shared" si="241"/>
        <v>299.62918448282659</v>
      </c>
      <c r="AH228" s="100">
        <f>SUM(V228:AG228)</f>
        <v>3595.5502137939188</v>
      </c>
      <c r="AI228" s="183"/>
    </row>
    <row r="229" spans="1:35" x14ac:dyDescent="0.25">
      <c r="A229" s="48">
        <f t="shared" si="239"/>
        <v>7</v>
      </c>
      <c r="B229" s="44" t="str">
        <f t="shared" si="240"/>
        <v xml:space="preserve">    Proposed 2025 Issuance (30-year)</v>
      </c>
      <c r="C229" s="175">
        <f t="shared" si="240"/>
        <v>5.7000000000000002E-2</v>
      </c>
      <c r="D229" s="61">
        <f t="shared" si="240"/>
        <v>45915</v>
      </c>
      <c r="E229" s="61">
        <f t="shared" si="240"/>
        <v>56888</v>
      </c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>
        <v>391.5</v>
      </c>
      <c r="S229" s="100">
        <v>734.06</v>
      </c>
      <c r="T229" s="100">
        <f t="shared" ref="T229" si="242">S229</f>
        <v>734.06</v>
      </c>
      <c r="U229" s="100">
        <f t="shared" ref="U229" si="243">T229</f>
        <v>734.06</v>
      </c>
      <c r="V229" s="100">
        <f t="shared" ref="V229" si="244">U229</f>
        <v>734.06</v>
      </c>
      <c r="W229" s="100">
        <f t="shared" ref="W229" si="245">V229</f>
        <v>734.06</v>
      </c>
      <c r="X229" s="100">
        <f t="shared" ref="X229" si="246">W229</f>
        <v>734.06</v>
      </c>
      <c r="Y229" s="100">
        <f t="shared" ref="Y229" si="247">X229</f>
        <v>734.06</v>
      </c>
      <c r="Z229" s="100">
        <f t="shared" ref="Z229" si="248">Y229</f>
        <v>734.06</v>
      </c>
      <c r="AA229" s="100">
        <f t="shared" ref="AA229" si="249">Z229</f>
        <v>734.06</v>
      </c>
      <c r="AB229" s="100">
        <f t="shared" ref="AB229" si="250">AA229</f>
        <v>734.06</v>
      </c>
      <c r="AC229" s="100">
        <f t="shared" ref="AC229" si="251">AB229</f>
        <v>734.06</v>
      </c>
      <c r="AD229" s="100">
        <f t="shared" ref="AD229" si="252">AC229</f>
        <v>734.06</v>
      </c>
      <c r="AE229" s="100">
        <f t="shared" ref="AE229" si="253">AD229</f>
        <v>734.06</v>
      </c>
      <c r="AF229" s="100">
        <f t="shared" ref="AF229" si="254">AE229</f>
        <v>734.06</v>
      </c>
      <c r="AG229" s="100">
        <f t="shared" ref="AG229" si="255">AF229</f>
        <v>734.06</v>
      </c>
      <c r="AH229" s="100">
        <f>SUM(V229:AG229)</f>
        <v>8808.7199999999975</v>
      </c>
      <c r="AI229" s="183"/>
    </row>
    <row r="230" spans="1:35" x14ac:dyDescent="0.25">
      <c r="A230" s="48">
        <f t="shared" si="239"/>
        <v>8</v>
      </c>
      <c r="F230" s="182"/>
      <c r="AI230" s="48"/>
    </row>
    <row r="231" spans="1:35" ht="15.75" thickBot="1" x14ac:dyDescent="0.3">
      <c r="A231" s="48">
        <f t="shared" si="239"/>
        <v>9</v>
      </c>
      <c r="B231" s="44" t="s">
        <v>194</v>
      </c>
      <c r="F231" s="158">
        <f t="shared" ref="F231:AH231" si="256">SUM(F225:F230)</f>
        <v>0</v>
      </c>
      <c r="G231" s="158">
        <f t="shared" si="256"/>
        <v>0</v>
      </c>
      <c r="H231" s="158">
        <f t="shared" si="256"/>
        <v>0</v>
      </c>
      <c r="I231" s="158">
        <f t="shared" si="256"/>
        <v>0</v>
      </c>
      <c r="J231" s="158">
        <f t="shared" si="256"/>
        <v>0</v>
      </c>
      <c r="K231" s="158">
        <f t="shared" si="256"/>
        <v>0</v>
      </c>
      <c r="L231" s="158">
        <f t="shared" si="256"/>
        <v>159.80000000000001</v>
      </c>
      <c r="M231" s="158">
        <f t="shared" si="256"/>
        <v>299.62918448282659</v>
      </c>
      <c r="N231" s="158">
        <f t="shared" si="256"/>
        <v>299.62918448282659</v>
      </c>
      <c r="O231" s="158">
        <f t="shared" si="256"/>
        <v>299.62918448282659</v>
      </c>
      <c r="P231" s="158">
        <f t="shared" si="256"/>
        <v>299.62918448282659</v>
      </c>
      <c r="Q231" s="158">
        <f t="shared" si="256"/>
        <v>299.62918448282659</v>
      </c>
      <c r="R231" s="158">
        <f t="shared" si="256"/>
        <v>691.12918448282653</v>
      </c>
      <c r="S231" s="158">
        <f t="shared" si="256"/>
        <v>1033.6891844828265</v>
      </c>
      <c r="T231" s="158">
        <f t="shared" si="256"/>
        <v>1033.6891844828265</v>
      </c>
      <c r="U231" s="158">
        <f t="shared" si="256"/>
        <v>1033.6891844828265</v>
      </c>
      <c r="V231" s="158">
        <f t="shared" si="256"/>
        <v>1033.6891844828265</v>
      </c>
      <c r="W231" s="158">
        <f t="shared" si="256"/>
        <v>1033.6891844828265</v>
      </c>
      <c r="X231" s="158">
        <f t="shared" si="256"/>
        <v>1033.6891844828265</v>
      </c>
      <c r="Y231" s="158">
        <f t="shared" si="256"/>
        <v>1033.6891844828265</v>
      </c>
      <c r="Z231" s="158">
        <f t="shared" si="256"/>
        <v>1033.6891844828265</v>
      </c>
      <c r="AA231" s="158">
        <f t="shared" si="256"/>
        <v>1033.6891844828265</v>
      </c>
      <c r="AB231" s="158">
        <f t="shared" si="256"/>
        <v>1033.6891844828265</v>
      </c>
      <c r="AC231" s="158">
        <f t="shared" si="256"/>
        <v>1033.6891844828265</v>
      </c>
      <c r="AD231" s="158">
        <f t="shared" si="256"/>
        <v>1033.6891844828265</v>
      </c>
      <c r="AE231" s="158">
        <f t="shared" si="256"/>
        <v>1033.6891844828265</v>
      </c>
      <c r="AF231" s="158">
        <f t="shared" si="256"/>
        <v>1033.6891844828265</v>
      </c>
      <c r="AG231" s="158">
        <f t="shared" si="256"/>
        <v>1033.6891844828265</v>
      </c>
      <c r="AH231" s="158">
        <f t="shared" si="256"/>
        <v>12404.270213793916</v>
      </c>
      <c r="AI231" s="48"/>
    </row>
    <row r="232" spans="1:35" ht="15.75" thickTop="1" x14ac:dyDescent="0.25">
      <c r="A232" s="48"/>
      <c r="B232" s="44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48"/>
    </row>
    <row r="233" spans="1:35" x14ac:dyDescent="0.25">
      <c r="A233" s="48"/>
      <c r="B233" s="44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48"/>
    </row>
    <row r="234" spans="1:35" x14ac:dyDescent="0.25">
      <c r="A234" s="48"/>
      <c r="B234" s="44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48"/>
    </row>
    <row r="235" spans="1:35" x14ac:dyDescent="0.25">
      <c r="A235" s="161" t="s">
        <v>159</v>
      </c>
      <c r="F235" s="182"/>
      <c r="O235" s="162" t="str">
        <f>$O$1</f>
        <v>W/P - 7-4</v>
      </c>
      <c r="Y235" s="162" t="str">
        <f>$O$235</f>
        <v>W/P - 7-4</v>
      </c>
      <c r="AH235" s="162" t="str">
        <f>$O$235</f>
        <v>W/P - 7-4</v>
      </c>
      <c r="AI235" s="48"/>
    </row>
    <row r="236" spans="1:35" x14ac:dyDescent="0.25">
      <c r="A236" s="161" t="s">
        <v>160</v>
      </c>
      <c r="F236" s="182"/>
      <c r="O236" s="162" t="str">
        <f>O2</f>
        <v>KAW_R_PSCHDR_NUM002_100625_Attachment   Sch J WPs</v>
      </c>
      <c r="Y236" s="162" t="str">
        <f>Y2</f>
        <v>KAW_R_PSCHDR_NUM002_100625_Attachment   Sch J WPs</v>
      </c>
      <c r="AH236" s="162" t="str">
        <f>AH2</f>
        <v>KAW_R_PSCHDR_NUM002_100625_Attachment   Sch J WPs</v>
      </c>
      <c r="AI236" s="48"/>
    </row>
    <row r="237" spans="1:35" x14ac:dyDescent="0.25">
      <c r="A237" s="48"/>
      <c r="F237" s="182"/>
      <c r="AI237" s="48"/>
    </row>
    <row r="238" spans="1:35" x14ac:dyDescent="0.25">
      <c r="A238" s="57" t="s">
        <v>161</v>
      </c>
      <c r="AI238" s="48"/>
    </row>
    <row r="239" spans="1:35" x14ac:dyDescent="0.25">
      <c r="A239" s="57" t="s">
        <v>204</v>
      </c>
      <c r="AI239" s="48"/>
    </row>
    <row r="240" spans="1:35" x14ac:dyDescent="0.25">
      <c r="A240" s="57"/>
      <c r="AI240" s="48"/>
    </row>
    <row r="241" spans="1:38" x14ac:dyDescent="0.25">
      <c r="A241" s="166"/>
      <c r="B241" s="166" t="s">
        <v>124</v>
      </c>
      <c r="C241" s="166"/>
      <c r="D241" s="166"/>
      <c r="E241" s="166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48"/>
    </row>
    <row r="242" spans="1:38" x14ac:dyDescent="0.25">
      <c r="A242" s="48" t="s">
        <v>86</v>
      </c>
      <c r="B242" s="48" t="s">
        <v>165</v>
      </c>
      <c r="C242" s="48" t="s">
        <v>115</v>
      </c>
      <c r="D242" s="48"/>
      <c r="E242" s="48"/>
      <c r="F242" s="48" t="s">
        <v>198</v>
      </c>
      <c r="G242" s="48" t="s">
        <v>198</v>
      </c>
      <c r="H242" s="48" t="s">
        <v>198</v>
      </c>
      <c r="I242" s="48" t="s">
        <v>198</v>
      </c>
      <c r="J242" s="48" t="s">
        <v>198</v>
      </c>
      <c r="K242" s="48" t="s">
        <v>198</v>
      </c>
      <c r="L242" s="48" t="s">
        <v>198</v>
      </c>
      <c r="M242" s="48" t="s">
        <v>198</v>
      </c>
      <c r="N242" s="48" t="s">
        <v>198</v>
      </c>
      <c r="O242" s="48" t="s">
        <v>198</v>
      </c>
      <c r="P242" s="48" t="s">
        <v>198</v>
      </c>
      <c r="Q242" s="48" t="s">
        <v>198</v>
      </c>
      <c r="R242" s="48" t="s">
        <v>198</v>
      </c>
      <c r="S242" s="48" t="s">
        <v>198</v>
      </c>
      <c r="T242" s="48" t="s">
        <v>198</v>
      </c>
      <c r="U242" s="48" t="s">
        <v>198</v>
      </c>
      <c r="V242" s="48" t="s">
        <v>198</v>
      </c>
      <c r="W242" s="48" t="s">
        <v>198</v>
      </c>
      <c r="X242" s="48" t="s">
        <v>198</v>
      </c>
      <c r="Y242" s="48" t="s">
        <v>198</v>
      </c>
      <c r="Z242" s="48" t="s">
        <v>198</v>
      </c>
      <c r="AA242" s="48" t="s">
        <v>198</v>
      </c>
      <c r="AB242" s="48" t="s">
        <v>198</v>
      </c>
      <c r="AC242" s="48" t="s">
        <v>198</v>
      </c>
      <c r="AD242" s="48" t="s">
        <v>198</v>
      </c>
      <c r="AE242" s="48" t="s">
        <v>198</v>
      </c>
      <c r="AF242" s="48" t="s">
        <v>166</v>
      </c>
      <c r="AG242" s="48" t="s">
        <v>166</v>
      </c>
      <c r="AH242" s="48" t="s">
        <v>199</v>
      </c>
    </row>
    <row r="243" spans="1:38" x14ac:dyDescent="0.25">
      <c r="A243" s="169" t="s">
        <v>91</v>
      </c>
      <c r="B243" s="169" t="s">
        <v>118</v>
      </c>
      <c r="C243" s="169" t="s">
        <v>118</v>
      </c>
      <c r="D243" s="169" t="s">
        <v>168</v>
      </c>
      <c r="E243" s="169" t="s">
        <v>169</v>
      </c>
      <c r="F243" s="170">
        <f>F$9</f>
        <v>45565</v>
      </c>
      <c r="G243" s="170">
        <f t="shared" ref="G243:AG243" si="257">G$9</f>
        <v>45596</v>
      </c>
      <c r="H243" s="170">
        <f t="shared" si="257"/>
        <v>45626</v>
      </c>
      <c r="I243" s="170">
        <f t="shared" si="257"/>
        <v>45657</v>
      </c>
      <c r="J243" s="170">
        <f t="shared" si="257"/>
        <v>45688</v>
      </c>
      <c r="K243" s="170">
        <f t="shared" si="257"/>
        <v>45716</v>
      </c>
      <c r="L243" s="170">
        <f t="shared" si="257"/>
        <v>45747</v>
      </c>
      <c r="M243" s="170">
        <f t="shared" si="257"/>
        <v>45777</v>
      </c>
      <c r="N243" s="170">
        <f t="shared" si="257"/>
        <v>45808</v>
      </c>
      <c r="O243" s="170">
        <f t="shared" si="257"/>
        <v>45838</v>
      </c>
      <c r="P243" s="170">
        <f t="shared" si="257"/>
        <v>45869</v>
      </c>
      <c r="Q243" s="170">
        <f t="shared" si="257"/>
        <v>45900</v>
      </c>
      <c r="R243" s="170">
        <f t="shared" si="257"/>
        <v>45930</v>
      </c>
      <c r="S243" s="170">
        <f t="shared" si="257"/>
        <v>45961</v>
      </c>
      <c r="T243" s="170">
        <f t="shared" si="257"/>
        <v>45991</v>
      </c>
      <c r="U243" s="170">
        <f t="shared" si="257"/>
        <v>46022</v>
      </c>
      <c r="V243" s="170">
        <f t="shared" si="257"/>
        <v>46053</v>
      </c>
      <c r="W243" s="170">
        <f t="shared" si="257"/>
        <v>46081</v>
      </c>
      <c r="X243" s="170">
        <f t="shared" si="257"/>
        <v>46112</v>
      </c>
      <c r="Y243" s="170">
        <f t="shared" si="257"/>
        <v>46142</v>
      </c>
      <c r="Z243" s="170">
        <f t="shared" si="257"/>
        <v>46173</v>
      </c>
      <c r="AA243" s="170">
        <f t="shared" si="257"/>
        <v>46203</v>
      </c>
      <c r="AB243" s="170">
        <f t="shared" si="257"/>
        <v>46234</v>
      </c>
      <c r="AC243" s="170">
        <f t="shared" si="257"/>
        <v>46265</v>
      </c>
      <c r="AD243" s="170">
        <f t="shared" si="257"/>
        <v>46295</v>
      </c>
      <c r="AE243" s="170">
        <f t="shared" si="257"/>
        <v>46326</v>
      </c>
      <c r="AF243" s="170">
        <f t="shared" si="257"/>
        <v>46356</v>
      </c>
      <c r="AG243" s="170">
        <f t="shared" si="257"/>
        <v>46387</v>
      </c>
      <c r="AH243" s="171" t="s">
        <v>158</v>
      </c>
    </row>
    <row r="244" spans="1:38" x14ac:dyDescent="0.25">
      <c r="A244" s="48">
        <v>1</v>
      </c>
    </row>
    <row r="245" spans="1:38" x14ac:dyDescent="0.25">
      <c r="A245" s="48">
        <f>A244+1</f>
        <v>2</v>
      </c>
      <c r="AI245" s="48"/>
    </row>
    <row r="246" spans="1:38" x14ac:dyDescent="0.25">
      <c r="A246" s="48">
        <f t="shared" ref="A246:A274" si="258">A245+1</f>
        <v>3</v>
      </c>
      <c r="B246" s="58" t="s">
        <v>175</v>
      </c>
      <c r="AI246" s="48"/>
    </row>
    <row r="247" spans="1:38" x14ac:dyDescent="0.25">
      <c r="A247" s="48">
        <f t="shared" si="258"/>
        <v>4</v>
      </c>
      <c r="B247" s="176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3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48"/>
    </row>
    <row r="248" spans="1:38" x14ac:dyDescent="0.25">
      <c r="A248" s="48">
        <f t="shared" si="258"/>
        <v>5</v>
      </c>
      <c r="B248" s="184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48"/>
    </row>
    <row r="249" spans="1:38" x14ac:dyDescent="0.25">
      <c r="A249" s="48">
        <f t="shared" si="258"/>
        <v>6</v>
      </c>
      <c r="B249" s="44" t="str">
        <f t="shared" ref="B249:E270" si="259">B14</f>
        <v xml:space="preserve">    Series 7.15%   GMB</v>
      </c>
      <c r="C249" s="175">
        <f t="shared" si="259"/>
        <v>7.1499999999999994E-2</v>
      </c>
      <c r="D249" s="61">
        <f t="shared" si="259"/>
        <v>35462</v>
      </c>
      <c r="E249" s="61">
        <f t="shared" si="259"/>
        <v>46419</v>
      </c>
      <c r="F249" s="53">
        <f t="shared" ref="F249:G270" si="260">ROUND(+F14/12*$C14,4)</f>
        <v>44687.5</v>
      </c>
      <c r="G249" s="53">
        <f t="shared" si="260"/>
        <v>44687.5</v>
      </c>
      <c r="H249" s="53">
        <f t="shared" ref="H249:AG249" si="261">ROUND(+H14/12*$C14,4)</f>
        <v>44687.5</v>
      </c>
      <c r="I249" s="53">
        <f t="shared" si="261"/>
        <v>44687.5</v>
      </c>
      <c r="J249" s="53">
        <f t="shared" si="261"/>
        <v>44687.5</v>
      </c>
      <c r="K249" s="53">
        <f t="shared" si="261"/>
        <v>44687.5</v>
      </c>
      <c r="L249" s="53">
        <f t="shared" si="261"/>
        <v>44687.5</v>
      </c>
      <c r="M249" s="53">
        <f t="shared" si="261"/>
        <v>44687.5</v>
      </c>
      <c r="N249" s="53">
        <f t="shared" si="261"/>
        <v>44687.5</v>
      </c>
      <c r="O249" s="53">
        <f t="shared" si="261"/>
        <v>44687.5</v>
      </c>
      <c r="P249" s="53">
        <f t="shared" si="261"/>
        <v>44687.5</v>
      </c>
      <c r="Q249" s="53">
        <f t="shared" si="261"/>
        <v>44687.5</v>
      </c>
      <c r="R249" s="53">
        <f t="shared" si="261"/>
        <v>44687.5</v>
      </c>
      <c r="S249" s="53">
        <f t="shared" si="261"/>
        <v>44687.5</v>
      </c>
      <c r="T249" s="53">
        <f t="shared" si="261"/>
        <v>44687.5</v>
      </c>
      <c r="U249" s="53">
        <f t="shared" si="261"/>
        <v>44687.5</v>
      </c>
      <c r="V249" s="53">
        <f t="shared" si="261"/>
        <v>44687.5</v>
      </c>
      <c r="W249" s="53">
        <f t="shared" si="261"/>
        <v>44687.5</v>
      </c>
      <c r="X249" s="53">
        <f t="shared" si="261"/>
        <v>44687.5</v>
      </c>
      <c r="Y249" s="53">
        <f t="shared" si="261"/>
        <v>44687.5</v>
      </c>
      <c r="Z249" s="53">
        <f t="shared" si="261"/>
        <v>44687.5</v>
      </c>
      <c r="AA249" s="53">
        <f t="shared" si="261"/>
        <v>44687.5</v>
      </c>
      <c r="AB249" s="53">
        <f t="shared" si="261"/>
        <v>44687.5</v>
      </c>
      <c r="AC249" s="53">
        <f t="shared" si="261"/>
        <v>44687.5</v>
      </c>
      <c r="AD249" s="53">
        <f t="shared" si="261"/>
        <v>44687.5</v>
      </c>
      <c r="AE249" s="53">
        <f t="shared" si="261"/>
        <v>44687.5</v>
      </c>
      <c r="AF249" s="53">
        <f t="shared" si="261"/>
        <v>44687.5</v>
      </c>
      <c r="AG249" s="53">
        <f t="shared" si="261"/>
        <v>44687.5</v>
      </c>
      <c r="AH249" s="56">
        <f t="shared" ref="AH249" si="262">SUM(V249:AG249)</f>
        <v>536250</v>
      </c>
      <c r="AI249" s="48"/>
      <c r="AL249" s="56"/>
    </row>
    <row r="250" spans="1:38" x14ac:dyDescent="0.25">
      <c r="A250" s="48">
        <f t="shared" si="258"/>
        <v>7</v>
      </c>
      <c r="B250" s="44" t="str">
        <f t="shared" si="259"/>
        <v xml:space="preserve">    Series 6.99%   GMB</v>
      </c>
      <c r="C250" s="175">
        <f t="shared" si="259"/>
        <v>6.9900000000000004E-2</v>
      </c>
      <c r="D250" s="61">
        <f t="shared" si="259"/>
        <v>35947</v>
      </c>
      <c r="E250" s="61">
        <f t="shared" si="259"/>
        <v>46905</v>
      </c>
      <c r="F250" s="53">
        <f t="shared" si="260"/>
        <v>52425</v>
      </c>
      <c r="G250" s="53">
        <f t="shared" si="260"/>
        <v>52425</v>
      </c>
      <c r="H250" s="53">
        <f t="shared" ref="H250:AG250" si="263">ROUND(+H15/12*$C15,4)</f>
        <v>52425</v>
      </c>
      <c r="I250" s="53">
        <f t="shared" si="263"/>
        <v>52425</v>
      </c>
      <c r="J250" s="53">
        <f t="shared" si="263"/>
        <v>52425</v>
      </c>
      <c r="K250" s="53">
        <f t="shared" si="263"/>
        <v>52425</v>
      </c>
      <c r="L250" s="53">
        <f t="shared" si="263"/>
        <v>52425</v>
      </c>
      <c r="M250" s="53">
        <f t="shared" si="263"/>
        <v>52425</v>
      </c>
      <c r="N250" s="53">
        <f t="shared" si="263"/>
        <v>52425</v>
      </c>
      <c r="O250" s="53">
        <f t="shared" si="263"/>
        <v>52425</v>
      </c>
      <c r="P250" s="53">
        <f t="shared" si="263"/>
        <v>52425</v>
      </c>
      <c r="Q250" s="53">
        <f t="shared" si="263"/>
        <v>52425</v>
      </c>
      <c r="R250" s="53">
        <f t="shared" si="263"/>
        <v>52425</v>
      </c>
      <c r="S250" s="53">
        <f t="shared" si="263"/>
        <v>52425</v>
      </c>
      <c r="T250" s="53">
        <f t="shared" si="263"/>
        <v>52425</v>
      </c>
      <c r="U250" s="53">
        <f t="shared" si="263"/>
        <v>52425</v>
      </c>
      <c r="V250" s="53">
        <f t="shared" si="263"/>
        <v>52425</v>
      </c>
      <c r="W250" s="53">
        <f t="shared" si="263"/>
        <v>52425</v>
      </c>
      <c r="X250" s="53">
        <f t="shared" si="263"/>
        <v>52425</v>
      </c>
      <c r="Y250" s="53">
        <f t="shared" si="263"/>
        <v>52425</v>
      </c>
      <c r="Z250" s="53">
        <f t="shared" si="263"/>
        <v>52425</v>
      </c>
      <c r="AA250" s="53">
        <f t="shared" si="263"/>
        <v>52425</v>
      </c>
      <c r="AB250" s="53">
        <f t="shared" si="263"/>
        <v>52425</v>
      </c>
      <c r="AC250" s="53">
        <f t="shared" si="263"/>
        <v>52425</v>
      </c>
      <c r="AD250" s="53">
        <f t="shared" si="263"/>
        <v>52425</v>
      </c>
      <c r="AE250" s="53">
        <f t="shared" si="263"/>
        <v>52425</v>
      </c>
      <c r="AF250" s="53">
        <f t="shared" si="263"/>
        <v>52425</v>
      </c>
      <c r="AG250" s="53">
        <f t="shared" si="263"/>
        <v>52425</v>
      </c>
      <c r="AH250" s="56">
        <f t="shared" ref="AH250:AH269" si="264">SUM(V250:AG250)</f>
        <v>629100</v>
      </c>
      <c r="AI250" s="48"/>
      <c r="AL250" s="56"/>
    </row>
    <row r="251" spans="1:38" x14ac:dyDescent="0.25">
      <c r="A251" s="48">
        <f t="shared" si="258"/>
        <v>8</v>
      </c>
      <c r="B251" s="44" t="str">
        <f t="shared" si="259"/>
        <v xml:space="preserve">    Series 6.593%  Note</v>
      </c>
      <c r="C251" s="175">
        <f t="shared" si="259"/>
        <v>6.5930000000000002E-2</v>
      </c>
      <c r="D251" s="61">
        <f t="shared" si="259"/>
        <v>39377</v>
      </c>
      <c r="E251" s="61">
        <f t="shared" si="259"/>
        <v>50328</v>
      </c>
      <c r="F251" s="53">
        <f t="shared" si="260"/>
        <v>258225.8333</v>
      </c>
      <c r="G251" s="53">
        <f t="shared" si="260"/>
        <v>258225.8333</v>
      </c>
      <c r="H251" s="53">
        <f t="shared" ref="H251:AG251" si="265">ROUND(+H16/12*$C16,4)</f>
        <v>258225.8333</v>
      </c>
      <c r="I251" s="53">
        <f t="shared" si="265"/>
        <v>258225.8333</v>
      </c>
      <c r="J251" s="53">
        <f t="shared" si="265"/>
        <v>258225.8333</v>
      </c>
      <c r="K251" s="53">
        <f t="shared" si="265"/>
        <v>258225.8333</v>
      </c>
      <c r="L251" s="53">
        <f t="shared" si="265"/>
        <v>258225.8333</v>
      </c>
      <c r="M251" s="53">
        <f t="shared" si="265"/>
        <v>258225.8333</v>
      </c>
      <c r="N251" s="53">
        <f t="shared" si="265"/>
        <v>258225.8333</v>
      </c>
      <c r="O251" s="53">
        <f t="shared" si="265"/>
        <v>258225.8333</v>
      </c>
      <c r="P251" s="53">
        <f t="shared" si="265"/>
        <v>258225.8333</v>
      </c>
      <c r="Q251" s="53">
        <f t="shared" si="265"/>
        <v>258225.8333</v>
      </c>
      <c r="R251" s="53">
        <f t="shared" si="265"/>
        <v>258225.8333</v>
      </c>
      <c r="S251" s="53">
        <f t="shared" si="265"/>
        <v>258225.8333</v>
      </c>
      <c r="T251" s="53">
        <f t="shared" si="265"/>
        <v>258225.8333</v>
      </c>
      <c r="U251" s="53">
        <f t="shared" si="265"/>
        <v>258225.8333</v>
      </c>
      <c r="V251" s="53">
        <f t="shared" si="265"/>
        <v>258225.8333</v>
      </c>
      <c r="W251" s="53">
        <f t="shared" si="265"/>
        <v>258225.8333</v>
      </c>
      <c r="X251" s="53">
        <f t="shared" si="265"/>
        <v>258225.8333</v>
      </c>
      <c r="Y251" s="53">
        <f t="shared" si="265"/>
        <v>258225.8333</v>
      </c>
      <c r="Z251" s="53">
        <f t="shared" si="265"/>
        <v>258225.8333</v>
      </c>
      <c r="AA251" s="53">
        <f t="shared" si="265"/>
        <v>258225.8333</v>
      </c>
      <c r="AB251" s="53">
        <f t="shared" si="265"/>
        <v>258225.8333</v>
      </c>
      <c r="AC251" s="53">
        <f t="shared" si="265"/>
        <v>258225.8333</v>
      </c>
      <c r="AD251" s="53">
        <f t="shared" si="265"/>
        <v>258225.8333</v>
      </c>
      <c r="AE251" s="53">
        <f t="shared" si="265"/>
        <v>258225.8333</v>
      </c>
      <c r="AF251" s="53">
        <f t="shared" si="265"/>
        <v>258225.8333</v>
      </c>
      <c r="AG251" s="53">
        <f t="shared" si="265"/>
        <v>258225.8333</v>
      </c>
      <c r="AH251" s="56">
        <f t="shared" si="264"/>
        <v>3098709.9996000002</v>
      </c>
      <c r="AI251" s="48"/>
      <c r="AL251" s="56"/>
    </row>
    <row r="252" spans="1:38" x14ac:dyDescent="0.25">
      <c r="A252" s="48">
        <f t="shared" si="258"/>
        <v>9</v>
      </c>
      <c r="B252" s="44" t="str">
        <f t="shared" si="259"/>
        <v xml:space="preserve">    Series 2.45% Note</v>
      </c>
      <c r="C252" s="175">
        <f t="shared" si="259"/>
        <v>2.4500000000000001E-2</v>
      </c>
      <c r="D252" s="61">
        <f t="shared" si="259"/>
        <v>43783</v>
      </c>
      <c r="E252" s="61">
        <f t="shared" si="259"/>
        <v>47392</v>
      </c>
      <c r="F252" s="53">
        <f t="shared" si="260"/>
        <v>92671.25</v>
      </c>
      <c r="G252" s="53">
        <f t="shared" si="260"/>
        <v>92671.25</v>
      </c>
      <c r="H252" s="53">
        <f t="shared" ref="H252:AG252" si="266">ROUND(+H17/12*$C17,4)</f>
        <v>92671.25</v>
      </c>
      <c r="I252" s="53">
        <f t="shared" si="266"/>
        <v>92671.25</v>
      </c>
      <c r="J252" s="53">
        <f t="shared" si="266"/>
        <v>92671.25</v>
      </c>
      <c r="K252" s="53">
        <f t="shared" si="266"/>
        <v>92671.25</v>
      </c>
      <c r="L252" s="53">
        <f t="shared" si="266"/>
        <v>92671.25</v>
      </c>
      <c r="M252" s="53">
        <f t="shared" si="266"/>
        <v>92671.25</v>
      </c>
      <c r="N252" s="53">
        <f t="shared" si="266"/>
        <v>92671.25</v>
      </c>
      <c r="O252" s="53">
        <f t="shared" si="266"/>
        <v>92671.25</v>
      </c>
      <c r="P252" s="53">
        <f t="shared" si="266"/>
        <v>92671.25</v>
      </c>
      <c r="Q252" s="53">
        <f t="shared" si="266"/>
        <v>92671.25</v>
      </c>
      <c r="R252" s="53">
        <f t="shared" si="266"/>
        <v>92671.25</v>
      </c>
      <c r="S252" s="53">
        <f t="shared" si="266"/>
        <v>92671.25</v>
      </c>
      <c r="T252" s="53">
        <f t="shared" si="266"/>
        <v>92671.25</v>
      </c>
      <c r="U252" s="53">
        <f t="shared" si="266"/>
        <v>92671.25</v>
      </c>
      <c r="V252" s="53">
        <f t="shared" si="266"/>
        <v>92671.25</v>
      </c>
      <c r="W252" s="53">
        <f t="shared" si="266"/>
        <v>92671.25</v>
      </c>
      <c r="X252" s="53">
        <f t="shared" si="266"/>
        <v>92671.25</v>
      </c>
      <c r="Y252" s="53">
        <f t="shared" si="266"/>
        <v>92671.25</v>
      </c>
      <c r="Z252" s="53">
        <f t="shared" si="266"/>
        <v>92671.25</v>
      </c>
      <c r="AA252" s="53">
        <f t="shared" si="266"/>
        <v>92671.25</v>
      </c>
      <c r="AB252" s="53">
        <f t="shared" si="266"/>
        <v>92671.25</v>
      </c>
      <c r="AC252" s="53">
        <f t="shared" si="266"/>
        <v>92671.25</v>
      </c>
      <c r="AD252" s="53">
        <f t="shared" si="266"/>
        <v>92671.25</v>
      </c>
      <c r="AE252" s="53">
        <f t="shared" si="266"/>
        <v>92671.25</v>
      </c>
      <c r="AF252" s="53">
        <f t="shared" si="266"/>
        <v>92671.25</v>
      </c>
      <c r="AG252" s="53">
        <f t="shared" si="266"/>
        <v>92671.25</v>
      </c>
      <c r="AH252" s="56">
        <f t="shared" si="264"/>
        <v>1112055</v>
      </c>
      <c r="AI252" s="48"/>
      <c r="AL252" s="56"/>
    </row>
    <row r="253" spans="1:38" x14ac:dyDescent="0.25">
      <c r="A253" s="48">
        <f t="shared" si="258"/>
        <v>10</v>
      </c>
      <c r="B253" s="44" t="str">
        <f t="shared" si="259"/>
        <v xml:space="preserve">    Series 2.45% Note</v>
      </c>
      <c r="C253" s="175">
        <f t="shared" si="259"/>
        <v>2.4500000000000001E-2</v>
      </c>
      <c r="D253" s="61">
        <f t="shared" si="259"/>
        <v>43783</v>
      </c>
      <c r="E253" s="61">
        <f t="shared" si="259"/>
        <v>47392</v>
      </c>
      <c r="F253" s="53">
        <f t="shared" si="260"/>
        <v>53083.333299999998</v>
      </c>
      <c r="G253" s="53">
        <f t="shared" si="260"/>
        <v>53083.333299999998</v>
      </c>
      <c r="H253" s="53">
        <f t="shared" ref="H253:AG253" si="267">ROUND(+H18/12*$C18,4)</f>
        <v>53083.333299999998</v>
      </c>
      <c r="I253" s="53">
        <f t="shared" si="267"/>
        <v>53083.333299999998</v>
      </c>
      <c r="J253" s="53">
        <f t="shared" si="267"/>
        <v>53083.333299999998</v>
      </c>
      <c r="K253" s="53">
        <f t="shared" si="267"/>
        <v>53083.333299999998</v>
      </c>
      <c r="L253" s="53">
        <f t="shared" si="267"/>
        <v>53083.333299999998</v>
      </c>
      <c r="M253" s="53">
        <f t="shared" si="267"/>
        <v>53083.333299999998</v>
      </c>
      <c r="N253" s="53">
        <f t="shared" si="267"/>
        <v>53083.333299999998</v>
      </c>
      <c r="O253" s="53">
        <f t="shared" si="267"/>
        <v>53083.333299999998</v>
      </c>
      <c r="P253" s="53">
        <f t="shared" si="267"/>
        <v>53083.333299999998</v>
      </c>
      <c r="Q253" s="53">
        <f t="shared" si="267"/>
        <v>53083.333299999998</v>
      </c>
      <c r="R253" s="53">
        <f t="shared" si="267"/>
        <v>53083.333299999998</v>
      </c>
      <c r="S253" s="53">
        <f t="shared" si="267"/>
        <v>53083.333299999998</v>
      </c>
      <c r="T253" s="53">
        <f t="shared" si="267"/>
        <v>53083.333299999998</v>
      </c>
      <c r="U253" s="53">
        <f t="shared" si="267"/>
        <v>53083.333299999998</v>
      </c>
      <c r="V253" s="53">
        <f t="shared" si="267"/>
        <v>53083.333299999998</v>
      </c>
      <c r="W253" s="53">
        <f t="shared" si="267"/>
        <v>53083.333299999998</v>
      </c>
      <c r="X253" s="53">
        <f t="shared" si="267"/>
        <v>53083.333299999998</v>
      </c>
      <c r="Y253" s="53">
        <f t="shared" si="267"/>
        <v>53083.333299999998</v>
      </c>
      <c r="Z253" s="53">
        <f t="shared" si="267"/>
        <v>53083.333299999998</v>
      </c>
      <c r="AA253" s="53">
        <f t="shared" si="267"/>
        <v>53083.333299999998</v>
      </c>
      <c r="AB253" s="53">
        <f t="shared" si="267"/>
        <v>53083.333299999998</v>
      </c>
      <c r="AC253" s="53">
        <f t="shared" si="267"/>
        <v>53083.333299999998</v>
      </c>
      <c r="AD253" s="53">
        <f t="shared" si="267"/>
        <v>53083.333299999998</v>
      </c>
      <c r="AE253" s="53">
        <f t="shared" si="267"/>
        <v>53083.333299999998</v>
      </c>
      <c r="AF253" s="53">
        <f t="shared" si="267"/>
        <v>53083.333299999998</v>
      </c>
      <c r="AG253" s="53">
        <f t="shared" si="267"/>
        <v>53083.333299999998</v>
      </c>
      <c r="AH253" s="56">
        <f t="shared" si="264"/>
        <v>636999.99959999998</v>
      </c>
      <c r="AI253" s="48"/>
      <c r="AL253" s="56"/>
    </row>
    <row r="254" spans="1:38" x14ac:dyDescent="0.25">
      <c r="A254" s="48">
        <f t="shared" si="258"/>
        <v>11</v>
      </c>
      <c r="B254" s="44" t="str">
        <f t="shared" si="259"/>
        <v xml:space="preserve">    Series 5.05%    Note</v>
      </c>
      <c r="C254" s="175">
        <f t="shared" si="259"/>
        <v>5.0500000000000003E-2</v>
      </c>
      <c r="D254" s="61">
        <f t="shared" si="259"/>
        <v>40868</v>
      </c>
      <c r="E254" s="61">
        <f t="shared" si="259"/>
        <v>50328</v>
      </c>
      <c r="F254" s="53">
        <f t="shared" si="260"/>
        <v>84166.666700000002</v>
      </c>
      <c r="G254" s="53">
        <f t="shared" si="260"/>
        <v>84166.666700000002</v>
      </c>
      <c r="H254" s="53">
        <f t="shared" ref="H254:AG254" si="268">ROUND(+H19/12*$C19,4)</f>
        <v>84166.666700000002</v>
      </c>
      <c r="I254" s="53">
        <f t="shared" si="268"/>
        <v>84166.666700000002</v>
      </c>
      <c r="J254" s="53">
        <f t="shared" si="268"/>
        <v>84166.666700000002</v>
      </c>
      <c r="K254" s="53">
        <f t="shared" si="268"/>
        <v>84166.666700000002</v>
      </c>
      <c r="L254" s="53">
        <f t="shared" si="268"/>
        <v>84166.666700000002</v>
      </c>
      <c r="M254" s="53">
        <f t="shared" si="268"/>
        <v>84166.666700000002</v>
      </c>
      <c r="N254" s="53">
        <f t="shared" si="268"/>
        <v>84166.666700000002</v>
      </c>
      <c r="O254" s="53">
        <f t="shared" si="268"/>
        <v>84166.666700000002</v>
      </c>
      <c r="P254" s="53">
        <f t="shared" si="268"/>
        <v>84166.666700000002</v>
      </c>
      <c r="Q254" s="53">
        <f t="shared" si="268"/>
        <v>84166.666700000002</v>
      </c>
      <c r="R254" s="53">
        <f t="shared" si="268"/>
        <v>84166.666700000002</v>
      </c>
      <c r="S254" s="53">
        <f t="shared" si="268"/>
        <v>84166.666700000002</v>
      </c>
      <c r="T254" s="53">
        <f t="shared" si="268"/>
        <v>84166.666700000002</v>
      </c>
      <c r="U254" s="53">
        <f t="shared" si="268"/>
        <v>84166.666700000002</v>
      </c>
      <c r="V254" s="53">
        <f t="shared" si="268"/>
        <v>84166.666700000002</v>
      </c>
      <c r="W254" s="53">
        <f t="shared" si="268"/>
        <v>84166.666700000002</v>
      </c>
      <c r="X254" s="53">
        <f t="shared" si="268"/>
        <v>84166.666700000002</v>
      </c>
      <c r="Y254" s="53">
        <f t="shared" si="268"/>
        <v>84166.666700000002</v>
      </c>
      <c r="Z254" s="53">
        <f t="shared" si="268"/>
        <v>84166.666700000002</v>
      </c>
      <c r="AA254" s="53">
        <f t="shared" si="268"/>
        <v>84166.666700000002</v>
      </c>
      <c r="AB254" s="53">
        <f t="shared" si="268"/>
        <v>84166.666700000002</v>
      </c>
      <c r="AC254" s="53">
        <f t="shared" si="268"/>
        <v>84166.666700000002</v>
      </c>
      <c r="AD254" s="53">
        <f t="shared" si="268"/>
        <v>84166.666700000002</v>
      </c>
      <c r="AE254" s="53">
        <f t="shared" si="268"/>
        <v>84166.666700000002</v>
      </c>
      <c r="AF254" s="53">
        <f t="shared" si="268"/>
        <v>84166.666700000002</v>
      </c>
      <c r="AG254" s="53">
        <f t="shared" si="268"/>
        <v>84166.666700000002</v>
      </c>
      <c r="AH254" s="56">
        <f t="shared" si="264"/>
        <v>1010000.0003999998</v>
      </c>
      <c r="AI254" s="48"/>
      <c r="AL254" s="56"/>
    </row>
    <row r="255" spans="1:38" x14ac:dyDescent="0.25">
      <c r="A255" s="48">
        <f t="shared" si="258"/>
        <v>12</v>
      </c>
      <c r="B255" s="44" t="str">
        <f t="shared" si="259"/>
        <v xml:space="preserve">    Series 4.00%    Note</v>
      </c>
      <c r="C255" s="175">
        <f t="shared" si="259"/>
        <v>0.04</v>
      </c>
      <c r="D255" s="61">
        <f t="shared" si="259"/>
        <v>41409</v>
      </c>
      <c r="E255" s="61">
        <f t="shared" si="259"/>
        <v>50328</v>
      </c>
      <c r="F255" s="53">
        <f t="shared" si="260"/>
        <v>26196.666700000002</v>
      </c>
      <c r="G255" s="53">
        <f t="shared" si="260"/>
        <v>26196.666700000002</v>
      </c>
      <c r="H255" s="53">
        <f t="shared" ref="H255:AG255" si="269">ROUND(+H20/12*$C20,4)</f>
        <v>26196.666700000002</v>
      </c>
      <c r="I255" s="53">
        <f t="shared" si="269"/>
        <v>26196.666700000002</v>
      </c>
      <c r="J255" s="53">
        <f t="shared" si="269"/>
        <v>26196.666700000002</v>
      </c>
      <c r="K255" s="53">
        <f t="shared" si="269"/>
        <v>26196.666700000002</v>
      </c>
      <c r="L255" s="53">
        <f t="shared" si="269"/>
        <v>26196.666700000002</v>
      </c>
      <c r="M255" s="53">
        <f t="shared" si="269"/>
        <v>26196.666700000002</v>
      </c>
      <c r="N255" s="53">
        <f t="shared" si="269"/>
        <v>26196.666700000002</v>
      </c>
      <c r="O255" s="53">
        <f t="shared" si="269"/>
        <v>26196.666700000002</v>
      </c>
      <c r="P255" s="53">
        <f t="shared" si="269"/>
        <v>26196.666700000002</v>
      </c>
      <c r="Q255" s="53">
        <f t="shared" si="269"/>
        <v>26196.666700000002</v>
      </c>
      <c r="R255" s="53">
        <f t="shared" si="269"/>
        <v>26196.666700000002</v>
      </c>
      <c r="S255" s="53">
        <f t="shared" si="269"/>
        <v>26196.666700000002</v>
      </c>
      <c r="T255" s="53">
        <f t="shared" si="269"/>
        <v>26196.666700000002</v>
      </c>
      <c r="U255" s="53">
        <f t="shared" si="269"/>
        <v>26196.666700000002</v>
      </c>
      <c r="V255" s="53">
        <f t="shared" si="269"/>
        <v>26196.666700000002</v>
      </c>
      <c r="W255" s="53">
        <f t="shared" si="269"/>
        <v>26196.666700000002</v>
      </c>
      <c r="X255" s="53">
        <f t="shared" si="269"/>
        <v>26196.666700000002</v>
      </c>
      <c r="Y255" s="53">
        <f t="shared" si="269"/>
        <v>26196.666700000002</v>
      </c>
      <c r="Z255" s="53">
        <f t="shared" si="269"/>
        <v>26196.666700000002</v>
      </c>
      <c r="AA255" s="53">
        <f t="shared" si="269"/>
        <v>26196.666700000002</v>
      </c>
      <c r="AB255" s="53">
        <f t="shared" si="269"/>
        <v>26196.666700000002</v>
      </c>
      <c r="AC255" s="53">
        <f t="shared" si="269"/>
        <v>26196.666700000002</v>
      </c>
      <c r="AD255" s="53">
        <f t="shared" si="269"/>
        <v>26196.666700000002</v>
      </c>
      <c r="AE255" s="53">
        <f t="shared" si="269"/>
        <v>26196.666700000002</v>
      </c>
      <c r="AF255" s="53">
        <f t="shared" si="269"/>
        <v>26196.666700000002</v>
      </c>
      <c r="AG255" s="53">
        <f t="shared" si="269"/>
        <v>26196.666700000002</v>
      </c>
      <c r="AH255" s="56">
        <f t="shared" si="264"/>
        <v>314360.00040000002</v>
      </c>
      <c r="AI255" s="48"/>
      <c r="AL255" s="56"/>
    </row>
    <row r="256" spans="1:38" x14ac:dyDescent="0.25">
      <c r="A256" s="48">
        <f t="shared" si="258"/>
        <v>13</v>
      </c>
      <c r="B256" s="44" t="str">
        <f t="shared" si="259"/>
        <v xml:space="preserve">    Series 4.00%    Note</v>
      </c>
      <c r="C256" s="175">
        <f t="shared" si="259"/>
        <v>0.04</v>
      </c>
      <c r="D256" s="61">
        <f t="shared" si="259"/>
        <v>42691</v>
      </c>
      <c r="E256" s="61">
        <f t="shared" si="259"/>
        <v>53662</v>
      </c>
      <c r="F256" s="53">
        <f t="shared" si="260"/>
        <v>16666.666700000002</v>
      </c>
      <c r="G256" s="53">
        <f t="shared" si="260"/>
        <v>16666.666700000002</v>
      </c>
      <c r="H256" s="53">
        <f t="shared" ref="H256:AG256" si="270">ROUND(+H21/12*$C21,4)</f>
        <v>16666.666700000002</v>
      </c>
      <c r="I256" s="53">
        <f t="shared" si="270"/>
        <v>16666.666700000002</v>
      </c>
      <c r="J256" s="53">
        <f t="shared" si="270"/>
        <v>16666.666700000002</v>
      </c>
      <c r="K256" s="53">
        <f t="shared" si="270"/>
        <v>16666.666700000002</v>
      </c>
      <c r="L256" s="53">
        <f t="shared" si="270"/>
        <v>16666.666700000002</v>
      </c>
      <c r="M256" s="53">
        <f t="shared" si="270"/>
        <v>16666.666700000002</v>
      </c>
      <c r="N256" s="53">
        <f t="shared" si="270"/>
        <v>16666.666700000002</v>
      </c>
      <c r="O256" s="53">
        <f t="shared" si="270"/>
        <v>16666.666700000002</v>
      </c>
      <c r="P256" s="53">
        <f t="shared" si="270"/>
        <v>16666.666700000002</v>
      </c>
      <c r="Q256" s="53">
        <f t="shared" si="270"/>
        <v>16666.666700000002</v>
      </c>
      <c r="R256" s="53">
        <f t="shared" si="270"/>
        <v>16666.666700000002</v>
      </c>
      <c r="S256" s="53">
        <f t="shared" si="270"/>
        <v>16666.666700000002</v>
      </c>
      <c r="T256" s="53">
        <f t="shared" si="270"/>
        <v>16666.666700000002</v>
      </c>
      <c r="U256" s="53">
        <f t="shared" si="270"/>
        <v>16666.666700000002</v>
      </c>
      <c r="V256" s="53">
        <f t="shared" si="270"/>
        <v>16666.666700000002</v>
      </c>
      <c r="W256" s="53">
        <f t="shared" si="270"/>
        <v>16666.666700000002</v>
      </c>
      <c r="X256" s="53">
        <f t="shared" si="270"/>
        <v>16666.666700000002</v>
      </c>
      <c r="Y256" s="53">
        <f t="shared" si="270"/>
        <v>16666.666700000002</v>
      </c>
      <c r="Z256" s="53">
        <f t="shared" si="270"/>
        <v>16666.666700000002</v>
      </c>
      <c r="AA256" s="53">
        <f t="shared" si="270"/>
        <v>16666.666700000002</v>
      </c>
      <c r="AB256" s="53">
        <f t="shared" si="270"/>
        <v>16666.666700000002</v>
      </c>
      <c r="AC256" s="53">
        <f t="shared" si="270"/>
        <v>16666.666700000002</v>
      </c>
      <c r="AD256" s="53">
        <f t="shared" si="270"/>
        <v>16666.666700000002</v>
      </c>
      <c r="AE256" s="53">
        <f t="shared" si="270"/>
        <v>16666.666700000002</v>
      </c>
      <c r="AF256" s="53">
        <f t="shared" si="270"/>
        <v>16666.666700000002</v>
      </c>
      <c r="AG256" s="53">
        <f t="shared" si="270"/>
        <v>16666.666700000002</v>
      </c>
      <c r="AH256" s="56">
        <f t="shared" si="264"/>
        <v>200000.00040000002</v>
      </c>
      <c r="AI256" s="48"/>
      <c r="AL256" s="56"/>
    </row>
    <row r="257" spans="1:38" x14ac:dyDescent="0.25">
      <c r="A257" s="48">
        <f t="shared" si="258"/>
        <v>14</v>
      </c>
      <c r="B257" s="44" t="str">
        <f t="shared" si="259"/>
        <v xml:space="preserve">    Series 3.75%    Note</v>
      </c>
      <c r="C257" s="175">
        <f t="shared" si="259"/>
        <v>3.7499999999999999E-2</v>
      </c>
      <c r="D257" s="61">
        <f t="shared" si="259"/>
        <v>42991</v>
      </c>
      <c r="E257" s="61">
        <f t="shared" si="259"/>
        <v>53936</v>
      </c>
      <c r="F257" s="53">
        <f t="shared" si="260"/>
        <v>15625</v>
      </c>
      <c r="G257" s="53">
        <f t="shared" si="260"/>
        <v>15625</v>
      </c>
      <c r="H257" s="53">
        <f t="shared" ref="H257:AG257" si="271">ROUND(+H22/12*$C22,4)</f>
        <v>15625</v>
      </c>
      <c r="I257" s="53">
        <f t="shared" si="271"/>
        <v>15625</v>
      </c>
      <c r="J257" s="53">
        <f t="shared" si="271"/>
        <v>15625</v>
      </c>
      <c r="K257" s="53">
        <f t="shared" si="271"/>
        <v>15625</v>
      </c>
      <c r="L257" s="53">
        <f t="shared" si="271"/>
        <v>15625</v>
      </c>
      <c r="M257" s="53">
        <f t="shared" si="271"/>
        <v>15625</v>
      </c>
      <c r="N257" s="53">
        <f t="shared" si="271"/>
        <v>15625</v>
      </c>
      <c r="O257" s="53">
        <f t="shared" si="271"/>
        <v>15625</v>
      </c>
      <c r="P257" s="53">
        <f t="shared" si="271"/>
        <v>15625</v>
      </c>
      <c r="Q257" s="53">
        <f t="shared" si="271"/>
        <v>15625</v>
      </c>
      <c r="R257" s="53">
        <f t="shared" si="271"/>
        <v>15625</v>
      </c>
      <c r="S257" s="53">
        <f t="shared" si="271"/>
        <v>15625</v>
      </c>
      <c r="T257" s="53">
        <f t="shared" si="271"/>
        <v>15625</v>
      </c>
      <c r="U257" s="53">
        <f t="shared" si="271"/>
        <v>15625</v>
      </c>
      <c r="V257" s="53">
        <f t="shared" si="271"/>
        <v>15625</v>
      </c>
      <c r="W257" s="53">
        <f t="shared" si="271"/>
        <v>15625</v>
      </c>
      <c r="X257" s="53">
        <f t="shared" si="271"/>
        <v>15625</v>
      </c>
      <c r="Y257" s="53">
        <f t="shared" si="271"/>
        <v>15625</v>
      </c>
      <c r="Z257" s="53">
        <f t="shared" si="271"/>
        <v>15625</v>
      </c>
      <c r="AA257" s="53">
        <f t="shared" si="271"/>
        <v>15625</v>
      </c>
      <c r="AB257" s="53">
        <f t="shared" si="271"/>
        <v>15625</v>
      </c>
      <c r="AC257" s="53">
        <f t="shared" si="271"/>
        <v>15625</v>
      </c>
      <c r="AD257" s="53">
        <f t="shared" si="271"/>
        <v>15625</v>
      </c>
      <c r="AE257" s="53">
        <f t="shared" si="271"/>
        <v>15625</v>
      </c>
      <c r="AF257" s="53">
        <f t="shared" si="271"/>
        <v>15625</v>
      </c>
      <c r="AG257" s="53">
        <f t="shared" si="271"/>
        <v>15625</v>
      </c>
      <c r="AH257" s="56">
        <f t="shared" si="264"/>
        <v>187500</v>
      </c>
      <c r="AI257" s="48"/>
      <c r="AL257" s="56"/>
    </row>
    <row r="258" spans="1:38" x14ac:dyDescent="0.25">
      <c r="A258" s="48">
        <f t="shared" si="258"/>
        <v>15</v>
      </c>
      <c r="B258" s="44" t="str">
        <f t="shared" si="259"/>
        <v xml:space="preserve">    Series 4.15%    Note</v>
      </c>
      <c r="C258" s="175">
        <f t="shared" si="259"/>
        <v>4.1500000000000002E-2</v>
      </c>
      <c r="D258" s="61">
        <f t="shared" si="259"/>
        <v>43607</v>
      </c>
      <c r="E258" s="61">
        <f t="shared" si="259"/>
        <v>54575</v>
      </c>
      <c r="F258" s="53">
        <f t="shared" si="260"/>
        <v>55333.333299999998</v>
      </c>
      <c r="G258" s="53">
        <f t="shared" si="260"/>
        <v>55333.333299999998</v>
      </c>
      <c r="H258" s="53">
        <f t="shared" ref="H258:AG258" si="272">ROUND(+H23/12*$C23,4)</f>
        <v>55333.333299999998</v>
      </c>
      <c r="I258" s="53">
        <f t="shared" si="272"/>
        <v>55333.333299999998</v>
      </c>
      <c r="J258" s="53">
        <f t="shared" si="272"/>
        <v>55333.333299999998</v>
      </c>
      <c r="K258" s="53">
        <f t="shared" si="272"/>
        <v>55333.333299999998</v>
      </c>
      <c r="L258" s="53">
        <f t="shared" si="272"/>
        <v>55333.333299999998</v>
      </c>
      <c r="M258" s="53">
        <f t="shared" si="272"/>
        <v>55333.333299999998</v>
      </c>
      <c r="N258" s="53">
        <f t="shared" si="272"/>
        <v>55333.333299999998</v>
      </c>
      <c r="O258" s="53">
        <f t="shared" si="272"/>
        <v>55333.333299999998</v>
      </c>
      <c r="P258" s="53">
        <f t="shared" si="272"/>
        <v>55333.333299999998</v>
      </c>
      <c r="Q258" s="53">
        <f t="shared" si="272"/>
        <v>55333.333299999998</v>
      </c>
      <c r="R258" s="53">
        <f t="shared" si="272"/>
        <v>55333.333299999998</v>
      </c>
      <c r="S258" s="53">
        <f t="shared" si="272"/>
        <v>55333.333299999998</v>
      </c>
      <c r="T258" s="53">
        <f t="shared" si="272"/>
        <v>55333.333299999998</v>
      </c>
      <c r="U258" s="53">
        <f t="shared" si="272"/>
        <v>55333.333299999998</v>
      </c>
      <c r="V258" s="53">
        <f t="shared" si="272"/>
        <v>55333.333299999998</v>
      </c>
      <c r="W258" s="53">
        <f t="shared" si="272"/>
        <v>55333.333299999998</v>
      </c>
      <c r="X258" s="53">
        <f t="shared" si="272"/>
        <v>55333.333299999998</v>
      </c>
      <c r="Y258" s="53">
        <f t="shared" si="272"/>
        <v>55333.333299999998</v>
      </c>
      <c r="Z258" s="53">
        <f t="shared" si="272"/>
        <v>55333.333299999998</v>
      </c>
      <c r="AA258" s="53">
        <f t="shared" si="272"/>
        <v>55333.333299999998</v>
      </c>
      <c r="AB258" s="53">
        <f t="shared" si="272"/>
        <v>55333.333299999998</v>
      </c>
      <c r="AC258" s="53">
        <f t="shared" si="272"/>
        <v>55333.333299999998</v>
      </c>
      <c r="AD258" s="53">
        <f t="shared" si="272"/>
        <v>55333.333299999998</v>
      </c>
      <c r="AE258" s="53">
        <f t="shared" si="272"/>
        <v>55333.333299999998</v>
      </c>
      <c r="AF258" s="53">
        <f t="shared" si="272"/>
        <v>55333.333299999998</v>
      </c>
      <c r="AG258" s="53">
        <f t="shared" si="272"/>
        <v>55333.333299999998</v>
      </c>
      <c r="AH258" s="56">
        <f t="shared" si="264"/>
        <v>663999.99959999998</v>
      </c>
      <c r="AI258" s="48"/>
      <c r="AL258" s="56"/>
    </row>
    <row r="259" spans="1:38" x14ac:dyDescent="0.25">
      <c r="A259" s="48">
        <f t="shared" si="258"/>
        <v>16</v>
      </c>
      <c r="B259" s="44" t="str">
        <f t="shared" si="259"/>
        <v xml:space="preserve">    Series 3.25%  Note</v>
      </c>
      <c r="C259" s="175">
        <f t="shared" si="259"/>
        <v>3.2500000000000001E-2</v>
      </c>
      <c r="D259" s="61">
        <f t="shared" si="259"/>
        <v>44340</v>
      </c>
      <c r="E259" s="61">
        <f t="shared" si="259"/>
        <v>55305</v>
      </c>
      <c r="F259" s="53">
        <f t="shared" si="260"/>
        <v>35208.333299999998</v>
      </c>
      <c r="G259" s="53">
        <f t="shared" si="260"/>
        <v>35208.333299999998</v>
      </c>
      <c r="H259" s="53">
        <f t="shared" ref="H259:AG259" si="273">ROUND(+H24/12*$C24,4)</f>
        <v>35208.333299999998</v>
      </c>
      <c r="I259" s="53">
        <f t="shared" si="273"/>
        <v>35208.333299999998</v>
      </c>
      <c r="J259" s="53">
        <f t="shared" si="273"/>
        <v>35208.333299999998</v>
      </c>
      <c r="K259" s="53">
        <f t="shared" si="273"/>
        <v>35208.333299999998</v>
      </c>
      <c r="L259" s="53">
        <f t="shared" si="273"/>
        <v>35208.333299999998</v>
      </c>
      <c r="M259" s="53">
        <f t="shared" si="273"/>
        <v>35208.333299999998</v>
      </c>
      <c r="N259" s="53">
        <f t="shared" si="273"/>
        <v>35208.333299999998</v>
      </c>
      <c r="O259" s="53">
        <f t="shared" si="273"/>
        <v>35208.333299999998</v>
      </c>
      <c r="P259" s="53">
        <f t="shared" si="273"/>
        <v>35208.333299999998</v>
      </c>
      <c r="Q259" s="53">
        <f t="shared" si="273"/>
        <v>35208.333299999998</v>
      </c>
      <c r="R259" s="53">
        <f t="shared" si="273"/>
        <v>35208.333299999998</v>
      </c>
      <c r="S259" s="53">
        <f t="shared" si="273"/>
        <v>35208.333299999998</v>
      </c>
      <c r="T259" s="53">
        <f t="shared" si="273"/>
        <v>35208.333299999998</v>
      </c>
      <c r="U259" s="53">
        <f t="shared" si="273"/>
        <v>35208.333299999998</v>
      </c>
      <c r="V259" s="53">
        <f t="shared" si="273"/>
        <v>35208.333299999998</v>
      </c>
      <c r="W259" s="53">
        <f t="shared" si="273"/>
        <v>35208.333299999998</v>
      </c>
      <c r="X259" s="53">
        <f t="shared" si="273"/>
        <v>35208.333299999998</v>
      </c>
      <c r="Y259" s="53">
        <f t="shared" si="273"/>
        <v>35208.333299999998</v>
      </c>
      <c r="Z259" s="53">
        <f t="shared" si="273"/>
        <v>35208.333299999998</v>
      </c>
      <c r="AA259" s="53">
        <f t="shared" si="273"/>
        <v>35208.333299999998</v>
      </c>
      <c r="AB259" s="53">
        <f t="shared" si="273"/>
        <v>35208.333299999998</v>
      </c>
      <c r="AC259" s="53">
        <f t="shared" si="273"/>
        <v>35208.333299999998</v>
      </c>
      <c r="AD259" s="53">
        <f t="shared" si="273"/>
        <v>35208.333299999998</v>
      </c>
      <c r="AE259" s="53">
        <f t="shared" si="273"/>
        <v>35208.333299999998</v>
      </c>
      <c r="AF259" s="53">
        <f t="shared" si="273"/>
        <v>35208.333299999998</v>
      </c>
      <c r="AG259" s="53">
        <f t="shared" si="273"/>
        <v>35208.333299999998</v>
      </c>
      <c r="AH259" s="56">
        <f>SUM(V259:AG259)</f>
        <v>422499.99959999998</v>
      </c>
      <c r="AI259" s="48"/>
      <c r="AL259" s="56"/>
    </row>
    <row r="260" spans="1:38" x14ac:dyDescent="0.25">
      <c r="A260" s="48">
        <f t="shared" si="258"/>
        <v>17</v>
      </c>
      <c r="B260" s="44" t="str">
        <f t="shared" si="259"/>
        <v xml:space="preserve">    Series 4.45%  Note</v>
      </c>
      <c r="C260" s="175">
        <f t="shared" si="259"/>
        <v>4.4499999999999998E-2</v>
      </c>
      <c r="D260" s="61">
        <f t="shared" si="259"/>
        <v>44699</v>
      </c>
      <c r="E260" s="61">
        <f t="shared" si="259"/>
        <v>48366</v>
      </c>
      <c r="F260" s="53">
        <f t="shared" si="260"/>
        <v>37083.333299999998</v>
      </c>
      <c r="G260" s="53">
        <f t="shared" si="260"/>
        <v>37083.333299999998</v>
      </c>
      <c r="H260" s="53">
        <f t="shared" ref="H260:AG260" si="274">ROUND(+H25/12*$C25,4)</f>
        <v>37083.333299999998</v>
      </c>
      <c r="I260" s="53">
        <f t="shared" si="274"/>
        <v>37083.333299999998</v>
      </c>
      <c r="J260" s="53">
        <f t="shared" si="274"/>
        <v>37083.333299999998</v>
      </c>
      <c r="K260" s="53">
        <f t="shared" si="274"/>
        <v>37083.333299999998</v>
      </c>
      <c r="L260" s="53">
        <f t="shared" si="274"/>
        <v>37083.333299999998</v>
      </c>
      <c r="M260" s="53">
        <f t="shared" si="274"/>
        <v>37083.333299999998</v>
      </c>
      <c r="N260" s="53">
        <f t="shared" si="274"/>
        <v>37083.333299999998</v>
      </c>
      <c r="O260" s="53">
        <f t="shared" si="274"/>
        <v>37083.333299999998</v>
      </c>
      <c r="P260" s="53">
        <f t="shared" si="274"/>
        <v>37083.333299999998</v>
      </c>
      <c r="Q260" s="53">
        <f t="shared" si="274"/>
        <v>37083.333299999998</v>
      </c>
      <c r="R260" s="53">
        <f t="shared" si="274"/>
        <v>37083.333299999998</v>
      </c>
      <c r="S260" s="53">
        <f t="shared" si="274"/>
        <v>37083.333299999998</v>
      </c>
      <c r="T260" s="53">
        <f t="shared" si="274"/>
        <v>37083.333299999998</v>
      </c>
      <c r="U260" s="53">
        <f t="shared" si="274"/>
        <v>37083.333299999998</v>
      </c>
      <c r="V260" s="53">
        <f t="shared" si="274"/>
        <v>37083.333299999998</v>
      </c>
      <c r="W260" s="53">
        <f t="shared" si="274"/>
        <v>37083.333299999998</v>
      </c>
      <c r="X260" s="53">
        <f t="shared" si="274"/>
        <v>37083.333299999998</v>
      </c>
      <c r="Y260" s="53">
        <f t="shared" si="274"/>
        <v>37083.333299999998</v>
      </c>
      <c r="Z260" s="53">
        <f t="shared" si="274"/>
        <v>37083.333299999998</v>
      </c>
      <c r="AA260" s="53">
        <f t="shared" si="274"/>
        <v>37083.333299999998</v>
      </c>
      <c r="AB260" s="53">
        <f t="shared" si="274"/>
        <v>37083.333299999998</v>
      </c>
      <c r="AC260" s="53">
        <f t="shared" si="274"/>
        <v>37083.333299999998</v>
      </c>
      <c r="AD260" s="53">
        <f t="shared" si="274"/>
        <v>37083.333299999998</v>
      </c>
      <c r="AE260" s="53">
        <f t="shared" si="274"/>
        <v>37083.333299999998</v>
      </c>
      <c r="AF260" s="53">
        <f t="shared" si="274"/>
        <v>37083.333299999998</v>
      </c>
      <c r="AG260" s="53">
        <f t="shared" si="274"/>
        <v>37083.333299999998</v>
      </c>
      <c r="AH260" s="56">
        <f t="shared" si="264"/>
        <v>444999.99959999998</v>
      </c>
      <c r="AI260" s="48"/>
      <c r="AL260" s="56"/>
    </row>
    <row r="261" spans="1:38" x14ac:dyDescent="0.25">
      <c r="A261" s="48">
        <f t="shared" si="258"/>
        <v>18</v>
      </c>
      <c r="B261" s="44" t="str">
        <f t="shared" si="259"/>
        <v xml:space="preserve">    Series 3.875%  Note</v>
      </c>
      <c r="C261" s="175">
        <f t="shared" si="259"/>
        <v>3.875E-2</v>
      </c>
      <c r="D261" s="61">
        <f t="shared" si="259"/>
        <v>45170</v>
      </c>
      <c r="E261" s="61">
        <f t="shared" si="259"/>
        <v>46997</v>
      </c>
      <c r="F261" s="53">
        <f t="shared" si="260"/>
        <v>83958.333299999998</v>
      </c>
      <c r="G261" s="53">
        <f t="shared" si="260"/>
        <v>83958.333299999998</v>
      </c>
      <c r="H261" s="53">
        <f t="shared" ref="H261:AG261" si="275">ROUND(+H26/12*$C26,4)</f>
        <v>83958.333299999998</v>
      </c>
      <c r="I261" s="53">
        <f t="shared" si="275"/>
        <v>83958.333299999998</v>
      </c>
      <c r="J261" s="53">
        <f t="shared" si="275"/>
        <v>83958.333299999998</v>
      </c>
      <c r="K261" s="53">
        <f t="shared" si="275"/>
        <v>83958.333299999998</v>
      </c>
      <c r="L261" s="53">
        <f t="shared" si="275"/>
        <v>83958.333299999998</v>
      </c>
      <c r="M261" s="53">
        <f t="shared" si="275"/>
        <v>83958.333299999998</v>
      </c>
      <c r="N261" s="53">
        <f t="shared" si="275"/>
        <v>83958.333299999998</v>
      </c>
      <c r="O261" s="53">
        <f t="shared" si="275"/>
        <v>83958.333299999998</v>
      </c>
      <c r="P261" s="53">
        <f t="shared" si="275"/>
        <v>83958.333299999998</v>
      </c>
      <c r="Q261" s="53">
        <f>ROUND(+Q26/12*$C26,4)</f>
        <v>83958.333299999998</v>
      </c>
      <c r="R261" s="53">
        <f t="shared" si="275"/>
        <v>83958.333299999998</v>
      </c>
      <c r="S261" s="53">
        <f t="shared" si="275"/>
        <v>83958.333299999998</v>
      </c>
      <c r="T261" s="53">
        <f t="shared" si="275"/>
        <v>83958.333299999998</v>
      </c>
      <c r="U261" s="53">
        <f t="shared" si="275"/>
        <v>83958.333299999998</v>
      </c>
      <c r="V261" s="53">
        <f t="shared" si="275"/>
        <v>83958.333299999998</v>
      </c>
      <c r="W261" s="53">
        <f t="shared" si="275"/>
        <v>83958.333299999998</v>
      </c>
      <c r="X261" s="53">
        <f t="shared" si="275"/>
        <v>83958.333299999998</v>
      </c>
      <c r="Y261" s="53">
        <f t="shared" si="275"/>
        <v>83958.333299999998</v>
      </c>
      <c r="Z261" s="53">
        <f t="shared" si="275"/>
        <v>83958.333299999998</v>
      </c>
      <c r="AA261" s="53">
        <f t="shared" si="275"/>
        <v>83958.333299999998</v>
      </c>
      <c r="AB261" s="53">
        <f t="shared" si="275"/>
        <v>83958.333299999998</v>
      </c>
      <c r="AC261" s="53">
        <f t="shared" si="275"/>
        <v>83958.333299999998</v>
      </c>
      <c r="AD261" s="53">
        <f t="shared" si="275"/>
        <v>83958.333299999998</v>
      </c>
      <c r="AE261" s="53">
        <f t="shared" si="275"/>
        <v>83958.333299999998</v>
      </c>
      <c r="AF261" s="53">
        <f t="shared" si="275"/>
        <v>83958.333299999998</v>
      </c>
      <c r="AG261" s="53">
        <f t="shared" si="275"/>
        <v>83958.333299999998</v>
      </c>
      <c r="AH261" s="56">
        <f t="shared" si="264"/>
        <v>1007499.9996000002</v>
      </c>
      <c r="AI261" s="48"/>
      <c r="AL261" s="56"/>
    </row>
    <row r="262" spans="1:38" x14ac:dyDescent="0.25">
      <c r="A262" s="48">
        <f t="shared" si="258"/>
        <v>19</v>
      </c>
      <c r="B262" s="44" t="str">
        <f t="shared" si="259"/>
        <v xml:space="preserve">    Series 3.625%  Note</v>
      </c>
      <c r="C262" s="175">
        <f t="shared" si="259"/>
        <v>3.6249999999999998E-2</v>
      </c>
      <c r="D262" s="61">
        <f t="shared" si="259"/>
        <v>45184</v>
      </c>
      <c r="E262" s="61">
        <f t="shared" si="259"/>
        <v>46188</v>
      </c>
      <c r="F262" s="53">
        <f t="shared" si="260"/>
        <v>57395.833299999998</v>
      </c>
      <c r="G262" s="53">
        <f t="shared" si="260"/>
        <v>57395.833299999998</v>
      </c>
      <c r="H262" s="53">
        <f t="shared" ref="H262:AG262" si="276">ROUND(+H27/12*$C27,4)</f>
        <v>57395.833299999998</v>
      </c>
      <c r="I262" s="53">
        <f t="shared" si="276"/>
        <v>57395.833299999998</v>
      </c>
      <c r="J262" s="53">
        <f t="shared" si="276"/>
        <v>57395.833299999998</v>
      </c>
      <c r="K262" s="53">
        <f t="shared" si="276"/>
        <v>57395.833299999998</v>
      </c>
      <c r="L262" s="53">
        <f t="shared" si="276"/>
        <v>57395.833299999998</v>
      </c>
      <c r="M262" s="53">
        <f t="shared" si="276"/>
        <v>57395.833299999998</v>
      </c>
      <c r="N262" s="53">
        <f t="shared" si="276"/>
        <v>57395.833299999998</v>
      </c>
      <c r="O262" s="53">
        <f t="shared" si="276"/>
        <v>57395.833299999998</v>
      </c>
      <c r="P262" s="53">
        <f t="shared" si="276"/>
        <v>57395.833299999998</v>
      </c>
      <c r="Q262" s="53">
        <f t="shared" si="276"/>
        <v>57395.833299999998</v>
      </c>
      <c r="R262" s="53">
        <f t="shared" si="276"/>
        <v>57395.833299999998</v>
      </c>
      <c r="S262" s="53">
        <f t="shared" si="276"/>
        <v>57395.833299999998</v>
      </c>
      <c r="T262" s="53">
        <f t="shared" si="276"/>
        <v>57395.833299999998</v>
      </c>
      <c r="U262" s="53">
        <f t="shared" si="276"/>
        <v>57395.833299999998</v>
      </c>
      <c r="V262" s="53">
        <f t="shared" si="276"/>
        <v>57395.833299999998</v>
      </c>
      <c r="W262" s="53">
        <f t="shared" si="276"/>
        <v>57395.833299999998</v>
      </c>
      <c r="X262" s="53">
        <f t="shared" si="276"/>
        <v>57395.833299999998</v>
      </c>
      <c r="Y262" s="53">
        <f t="shared" si="276"/>
        <v>57395.833299999998</v>
      </c>
      <c r="Z262" s="53">
        <f t="shared" si="276"/>
        <v>57395.833299999998</v>
      </c>
      <c r="AA262" s="53">
        <f t="shared" si="276"/>
        <v>0</v>
      </c>
      <c r="AB262" s="53">
        <f t="shared" si="276"/>
        <v>0</v>
      </c>
      <c r="AC262" s="53">
        <f t="shared" si="276"/>
        <v>0</v>
      </c>
      <c r="AD262" s="53">
        <f t="shared" si="276"/>
        <v>0</v>
      </c>
      <c r="AE262" s="53">
        <f t="shared" si="276"/>
        <v>0</v>
      </c>
      <c r="AF262" s="53">
        <f t="shared" si="276"/>
        <v>0</v>
      </c>
      <c r="AG262" s="53">
        <f t="shared" si="276"/>
        <v>0</v>
      </c>
      <c r="AH262" s="56">
        <f t="shared" si="264"/>
        <v>286979.16649999999</v>
      </c>
      <c r="AI262" s="48"/>
      <c r="AL262" s="56"/>
    </row>
    <row r="263" spans="1:38" x14ac:dyDescent="0.25">
      <c r="A263" s="48">
        <f t="shared" si="258"/>
        <v>20</v>
      </c>
      <c r="B263" s="44" t="str">
        <f t="shared" si="259"/>
        <v xml:space="preserve">    Series 5.15%  Note</v>
      </c>
      <c r="C263" s="175">
        <f t="shared" si="259"/>
        <v>5.1499999999999997E-2</v>
      </c>
      <c r="D263" s="61">
        <f t="shared" si="259"/>
        <v>45427</v>
      </c>
      <c r="E263" s="61">
        <f t="shared" si="259"/>
        <v>49004</v>
      </c>
      <c r="F263" s="53">
        <f t="shared" si="260"/>
        <v>60083.333299999998</v>
      </c>
      <c r="G263" s="53">
        <f t="shared" si="260"/>
        <v>60083.333299999998</v>
      </c>
      <c r="H263" s="53">
        <f t="shared" ref="H263:AG263" si="277">ROUND(+H28/12*$C28,4)</f>
        <v>60083.333299999998</v>
      </c>
      <c r="I263" s="53">
        <f t="shared" si="277"/>
        <v>60083.333299999998</v>
      </c>
      <c r="J263" s="53">
        <f t="shared" si="277"/>
        <v>60083.333299999998</v>
      </c>
      <c r="K263" s="53">
        <f t="shared" si="277"/>
        <v>60083.333299999998</v>
      </c>
      <c r="L263" s="53">
        <f t="shared" si="277"/>
        <v>60083.333299999998</v>
      </c>
      <c r="M263" s="53">
        <f t="shared" si="277"/>
        <v>60083.333299999998</v>
      </c>
      <c r="N263" s="53">
        <f t="shared" si="277"/>
        <v>60083.333299999998</v>
      </c>
      <c r="O263" s="53">
        <f t="shared" si="277"/>
        <v>60083.333299999998</v>
      </c>
      <c r="P263" s="53">
        <f t="shared" si="277"/>
        <v>60083.333299999998</v>
      </c>
      <c r="Q263" s="53">
        <f t="shared" si="277"/>
        <v>60083.333299999998</v>
      </c>
      <c r="R263" s="53">
        <f t="shared" si="277"/>
        <v>60083.333299999998</v>
      </c>
      <c r="S263" s="53">
        <f t="shared" si="277"/>
        <v>60083.333299999998</v>
      </c>
      <c r="T263" s="53">
        <f t="shared" si="277"/>
        <v>60083.333299999998</v>
      </c>
      <c r="U263" s="53">
        <f t="shared" si="277"/>
        <v>60083.333299999998</v>
      </c>
      <c r="V263" s="53">
        <f t="shared" si="277"/>
        <v>60083.333299999998</v>
      </c>
      <c r="W263" s="53">
        <f t="shared" si="277"/>
        <v>60083.333299999998</v>
      </c>
      <c r="X263" s="53">
        <f t="shared" si="277"/>
        <v>60083.333299999998</v>
      </c>
      <c r="Y263" s="53">
        <f t="shared" si="277"/>
        <v>60083.333299999998</v>
      </c>
      <c r="Z263" s="53">
        <f t="shared" si="277"/>
        <v>60083.333299999998</v>
      </c>
      <c r="AA263" s="53">
        <f t="shared" si="277"/>
        <v>60083.333299999998</v>
      </c>
      <c r="AB263" s="53">
        <f t="shared" si="277"/>
        <v>60083.333299999998</v>
      </c>
      <c r="AC263" s="53">
        <f t="shared" si="277"/>
        <v>60083.333299999998</v>
      </c>
      <c r="AD263" s="53">
        <f t="shared" si="277"/>
        <v>60083.333299999998</v>
      </c>
      <c r="AE263" s="53">
        <f t="shared" si="277"/>
        <v>60083.333299999998</v>
      </c>
      <c r="AF263" s="53">
        <f t="shared" si="277"/>
        <v>60083.333299999998</v>
      </c>
      <c r="AG263" s="53">
        <f t="shared" si="277"/>
        <v>60083.333299999998</v>
      </c>
      <c r="AH263" s="56">
        <f t="shared" si="264"/>
        <v>720999.99960000021</v>
      </c>
      <c r="AI263" s="48"/>
      <c r="AL263" s="56"/>
    </row>
    <row r="264" spans="1:38" x14ac:dyDescent="0.25">
      <c r="A264" s="48">
        <f t="shared" si="258"/>
        <v>21</v>
      </c>
      <c r="B264" s="44" t="str">
        <f t="shared" si="259"/>
        <v xml:space="preserve">    Series 5.45%  Note</v>
      </c>
      <c r="C264" s="175">
        <f t="shared" si="259"/>
        <v>5.45E-2</v>
      </c>
      <c r="D264" s="61">
        <f t="shared" si="259"/>
        <v>45427</v>
      </c>
      <c r="E264" s="61">
        <f t="shared" si="259"/>
        <v>56309</v>
      </c>
      <c r="F264" s="53">
        <f t="shared" si="260"/>
        <v>63583.333299999998</v>
      </c>
      <c r="G264" s="53">
        <f t="shared" si="260"/>
        <v>63583.333299999998</v>
      </c>
      <c r="H264" s="53">
        <f t="shared" ref="H264:AG264" si="278">ROUND(+H29/12*$C29,4)</f>
        <v>63583.333299999998</v>
      </c>
      <c r="I264" s="53">
        <f t="shared" si="278"/>
        <v>63583.333299999998</v>
      </c>
      <c r="J264" s="53">
        <f t="shared" si="278"/>
        <v>63583.333299999998</v>
      </c>
      <c r="K264" s="53">
        <f t="shared" si="278"/>
        <v>63583.333299999998</v>
      </c>
      <c r="L264" s="53">
        <f t="shared" si="278"/>
        <v>63583.333299999998</v>
      </c>
      <c r="M264" s="53">
        <f t="shared" si="278"/>
        <v>63583.333299999998</v>
      </c>
      <c r="N264" s="53">
        <f t="shared" si="278"/>
        <v>63583.333299999998</v>
      </c>
      <c r="O264" s="53">
        <f t="shared" si="278"/>
        <v>63583.333299999998</v>
      </c>
      <c r="P264" s="53">
        <f t="shared" si="278"/>
        <v>63583.333299999998</v>
      </c>
      <c r="Q264" s="53">
        <f t="shared" si="278"/>
        <v>63583.333299999998</v>
      </c>
      <c r="R264" s="53">
        <f t="shared" si="278"/>
        <v>63583.333299999998</v>
      </c>
      <c r="S264" s="53">
        <f t="shared" si="278"/>
        <v>63583.333299999998</v>
      </c>
      <c r="T264" s="53">
        <f t="shared" si="278"/>
        <v>63583.333299999998</v>
      </c>
      <c r="U264" s="53">
        <f t="shared" si="278"/>
        <v>63583.333299999998</v>
      </c>
      <c r="V264" s="53">
        <f t="shared" si="278"/>
        <v>63583.333299999998</v>
      </c>
      <c r="W264" s="53">
        <f t="shared" si="278"/>
        <v>63583.333299999998</v>
      </c>
      <c r="X264" s="53">
        <f t="shared" si="278"/>
        <v>63583.333299999998</v>
      </c>
      <c r="Y264" s="53">
        <f t="shared" si="278"/>
        <v>63583.333299999998</v>
      </c>
      <c r="Z264" s="53">
        <f t="shared" si="278"/>
        <v>63583.333299999998</v>
      </c>
      <c r="AA264" s="53">
        <f t="shared" si="278"/>
        <v>63583.333299999998</v>
      </c>
      <c r="AB264" s="53">
        <f t="shared" si="278"/>
        <v>63583.333299999998</v>
      </c>
      <c r="AC264" s="53">
        <f t="shared" si="278"/>
        <v>63583.333299999998</v>
      </c>
      <c r="AD264" s="53">
        <f t="shared" si="278"/>
        <v>63583.333299999998</v>
      </c>
      <c r="AE264" s="53">
        <f t="shared" si="278"/>
        <v>63583.333299999998</v>
      </c>
      <c r="AF264" s="53">
        <f t="shared" si="278"/>
        <v>63583.333299999998</v>
      </c>
      <c r="AG264" s="53">
        <f t="shared" si="278"/>
        <v>63583.333299999998</v>
      </c>
      <c r="AH264" s="56">
        <f t="shared" si="264"/>
        <v>762999.99960000021</v>
      </c>
      <c r="AI264" s="48"/>
    </row>
    <row r="265" spans="1:38" x14ac:dyDescent="0.25">
      <c r="A265" s="48">
        <f t="shared" si="258"/>
        <v>22</v>
      </c>
      <c r="B265" s="44" t="str">
        <f t="shared" si="259"/>
        <v xml:space="preserve">    Proposed 2025 Issuance (10-year)</v>
      </c>
      <c r="C265" s="175">
        <f t="shared" si="259"/>
        <v>5.2499999999999998E-2</v>
      </c>
      <c r="D265" s="61">
        <f t="shared" si="259"/>
        <v>45731</v>
      </c>
      <c r="E265" s="61">
        <f t="shared" si="259"/>
        <v>49369</v>
      </c>
      <c r="F265" s="53">
        <f t="shared" si="260"/>
        <v>0</v>
      </c>
      <c r="G265" s="53">
        <f t="shared" si="260"/>
        <v>0</v>
      </c>
      <c r="H265" s="53">
        <f t="shared" ref="H265:AG265" si="279">ROUND(+H30/12*$C30,4)</f>
        <v>0</v>
      </c>
      <c r="I265" s="53">
        <f t="shared" si="279"/>
        <v>0</v>
      </c>
      <c r="J265" s="53">
        <f t="shared" si="279"/>
        <v>0</v>
      </c>
      <c r="K265" s="53">
        <f t="shared" si="279"/>
        <v>0</v>
      </c>
      <c r="L265" s="53">
        <f t="shared" si="279"/>
        <v>43750</v>
      </c>
      <c r="M265" s="53">
        <f t="shared" si="279"/>
        <v>43750</v>
      </c>
      <c r="N265" s="53">
        <f t="shared" si="279"/>
        <v>43750</v>
      </c>
      <c r="O265" s="53">
        <f t="shared" si="279"/>
        <v>43750</v>
      </c>
      <c r="P265" s="53">
        <f t="shared" si="279"/>
        <v>43750</v>
      </c>
      <c r="Q265" s="53">
        <f t="shared" si="279"/>
        <v>43750</v>
      </c>
      <c r="R265" s="53">
        <f t="shared" si="279"/>
        <v>43750</v>
      </c>
      <c r="S265" s="53">
        <f t="shared" si="279"/>
        <v>43750</v>
      </c>
      <c r="T265" s="53">
        <f t="shared" si="279"/>
        <v>43750</v>
      </c>
      <c r="U265" s="53">
        <f t="shared" si="279"/>
        <v>43750</v>
      </c>
      <c r="V265" s="53">
        <f t="shared" si="279"/>
        <v>43750</v>
      </c>
      <c r="W265" s="53">
        <f t="shared" si="279"/>
        <v>43750</v>
      </c>
      <c r="X265" s="53">
        <f t="shared" si="279"/>
        <v>43750</v>
      </c>
      <c r="Y265" s="53">
        <f t="shared" si="279"/>
        <v>43750</v>
      </c>
      <c r="Z265" s="53">
        <f t="shared" si="279"/>
        <v>43750</v>
      </c>
      <c r="AA265" s="53">
        <f t="shared" si="279"/>
        <v>43750</v>
      </c>
      <c r="AB265" s="53">
        <f t="shared" si="279"/>
        <v>43750</v>
      </c>
      <c r="AC265" s="53">
        <f t="shared" si="279"/>
        <v>43750</v>
      </c>
      <c r="AD265" s="53">
        <f t="shared" si="279"/>
        <v>43750</v>
      </c>
      <c r="AE265" s="53">
        <f t="shared" si="279"/>
        <v>43750</v>
      </c>
      <c r="AF265" s="53">
        <f t="shared" si="279"/>
        <v>43750</v>
      </c>
      <c r="AG265" s="53">
        <f t="shared" si="279"/>
        <v>43750</v>
      </c>
      <c r="AH265" s="56">
        <f t="shared" si="264"/>
        <v>525000</v>
      </c>
      <c r="AI265" s="48"/>
    </row>
    <row r="266" spans="1:38" x14ac:dyDescent="0.25">
      <c r="A266" s="48">
        <f t="shared" si="258"/>
        <v>23</v>
      </c>
      <c r="B266" s="44" t="str">
        <f t="shared" si="259"/>
        <v xml:space="preserve">    Proposed 2025 Issuance (30-year)</v>
      </c>
      <c r="C266" s="175">
        <f t="shared" si="259"/>
        <v>5.7000000000000002E-2</v>
      </c>
      <c r="D266" s="61">
        <f t="shared" si="259"/>
        <v>45915</v>
      </c>
      <c r="E266" s="61">
        <f t="shared" si="259"/>
        <v>56888</v>
      </c>
      <c r="F266" s="53">
        <f t="shared" si="260"/>
        <v>0</v>
      </c>
      <c r="G266" s="53">
        <f t="shared" si="260"/>
        <v>0</v>
      </c>
      <c r="H266" s="53">
        <f t="shared" ref="H266:AG266" si="280">ROUND(+H31/12*$C31,4)</f>
        <v>0</v>
      </c>
      <c r="I266" s="53">
        <f t="shared" si="280"/>
        <v>0</v>
      </c>
      <c r="J266" s="53">
        <f t="shared" si="280"/>
        <v>0</v>
      </c>
      <c r="K266" s="53">
        <f t="shared" si="280"/>
        <v>0</v>
      </c>
      <c r="L266" s="53">
        <f t="shared" si="280"/>
        <v>0</v>
      </c>
      <c r="M266" s="53">
        <f t="shared" si="280"/>
        <v>0</v>
      </c>
      <c r="N266" s="53">
        <f t="shared" si="280"/>
        <v>0</v>
      </c>
      <c r="O266" s="53">
        <f t="shared" si="280"/>
        <v>0</v>
      </c>
      <c r="P266" s="53">
        <f t="shared" si="280"/>
        <v>0</v>
      </c>
      <c r="Q266" s="53">
        <f t="shared" si="280"/>
        <v>0</v>
      </c>
      <c r="R266" s="53">
        <f t="shared" si="280"/>
        <v>61750</v>
      </c>
      <c r="S266" s="53">
        <f t="shared" si="280"/>
        <v>61750</v>
      </c>
      <c r="T266" s="53">
        <f t="shared" si="280"/>
        <v>61750</v>
      </c>
      <c r="U266" s="53">
        <f t="shared" si="280"/>
        <v>61750</v>
      </c>
      <c r="V266" s="53">
        <f t="shared" si="280"/>
        <v>61750</v>
      </c>
      <c r="W266" s="53">
        <f t="shared" si="280"/>
        <v>61750</v>
      </c>
      <c r="X266" s="53">
        <f t="shared" si="280"/>
        <v>61750</v>
      </c>
      <c r="Y266" s="53">
        <f t="shared" si="280"/>
        <v>61750</v>
      </c>
      <c r="Z266" s="53">
        <f t="shared" si="280"/>
        <v>61750</v>
      </c>
      <c r="AA266" s="53">
        <f t="shared" si="280"/>
        <v>61750</v>
      </c>
      <c r="AB266" s="53">
        <f t="shared" si="280"/>
        <v>61750</v>
      </c>
      <c r="AC266" s="53">
        <f t="shared" si="280"/>
        <v>61750</v>
      </c>
      <c r="AD266" s="53">
        <f t="shared" si="280"/>
        <v>61750</v>
      </c>
      <c r="AE266" s="53">
        <f t="shared" si="280"/>
        <v>61750</v>
      </c>
      <c r="AF266" s="53">
        <f t="shared" si="280"/>
        <v>61750</v>
      </c>
      <c r="AG266" s="53">
        <f t="shared" si="280"/>
        <v>61750</v>
      </c>
      <c r="AH266" s="56">
        <f t="shared" si="264"/>
        <v>741000</v>
      </c>
      <c r="AI266" s="48"/>
    </row>
    <row r="267" spans="1:38" x14ac:dyDescent="0.25">
      <c r="A267" s="48">
        <f t="shared" si="258"/>
        <v>24</v>
      </c>
      <c r="B267" s="44" t="str">
        <f t="shared" si="259"/>
        <v xml:space="preserve">    Proposed 2026 Issuance (10-year)</v>
      </c>
      <c r="C267" s="175">
        <f t="shared" si="259"/>
        <v>5.5995500000000004E-2</v>
      </c>
      <c r="D267" s="61">
        <f t="shared" si="259"/>
        <v>46096</v>
      </c>
      <c r="E267" s="61">
        <f t="shared" si="259"/>
        <v>49766</v>
      </c>
      <c r="F267" s="53">
        <f t="shared" si="260"/>
        <v>0</v>
      </c>
      <c r="G267" s="53">
        <f t="shared" si="260"/>
        <v>0</v>
      </c>
      <c r="H267" s="53">
        <f t="shared" ref="H267:AG267" si="281">ROUND(+H32/12*$C32,4)</f>
        <v>0</v>
      </c>
      <c r="I267" s="53">
        <f t="shared" si="281"/>
        <v>0</v>
      </c>
      <c r="J267" s="53">
        <f t="shared" si="281"/>
        <v>0</v>
      </c>
      <c r="K267" s="53">
        <f t="shared" si="281"/>
        <v>0</v>
      </c>
      <c r="L267" s="53">
        <f t="shared" si="281"/>
        <v>0</v>
      </c>
      <c r="M267" s="53">
        <f t="shared" si="281"/>
        <v>0</v>
      </c>
      <c r="N267" s="53">
        <f t="shared" si="281"/>
        <v>0</v>
      </c>
      <c r="O267" s="53">
        <f t="shared" si="281"/>
        <v>0</v>
      </c>
      <c r="P267" s="53">
        <f t="shared" si="281"/>
        <v>0</v>
      </c>
      <c r="Q267" s="53">
        <f t="shared" si="281"/>
        <v>0</v>
      </c>
      <c r="R267" s="53">
        <f t="shared" si="281"/>
        <v>0</v>
      </c>
      <c r="S267" s="53">
        <f t="shared" si="281"/>
        <v>0</v>
      </c>
      <c r="T267" s="53">
        <f t="shared" si="281"/>
        <v>0</v>
      </c>
      <c r="U267" s="53">
        <f t="shared" si="281"/>
        <v>0</v>
      </c>
      <c r="V267" s="53">
        <f t="shared" si="281"/>
        <v>0</v>
      </c>
      <c r="W267" s="53">
        <f t="shared" si="281"/>
        <v>0</v>
      </c>
      <c r="X267" s="53">
        <f t="shared" si="281"/>
        <v>43163.197899999999</v>
      </c>
      <c r="Y267" s="53">
        <f t="shared" si="281"/>
        <v>43163.197899999999</v>
      </c>
      <c r="Z267" s="53">
        <f t="shared" si="281"/>
        <v>43163.197899999999</v>
      </c>
      <c r="AA267" s="53">
        <f t="shared" si="281"/>
        <v>43163.197899999999</v>
      </c>
      <c r="AB267" s="53">
        <f t="shared" si="281"/>
        <v>43163.197899999999</v>
      </c>
      <c r="AC267" s="53">
        <f t="shared" si="281"/>
        <v>43163.197899999999</v>
      </c>
      <c r="AD267" s="53">
        <f t="shared" si="281"/>
        <v>43163.197899999999</v>
      </c>
      <c r="AE267" s="53">
        <f t="shared" si="281"/>
        <v>43163.197899999999</v>
      </c>
      <c r="AF267" s="53">
        <f t="shared" si="281"/>
        <v>43163.197899999999</v>
      </c>
      <c r="AG267" s="53">
        <f t="shared" si="281"/>
        <v>43163.197899999999</v>
      </c>
      <c r="AH267" s="56">
        <f t="shared" si="264"/>
        <v>431631.97900000005</v>
      </c>
      <c r="AI267" s="48"/>
    </row>
    <row r="268" spans="1:38" x14ac:dyDescent="0.25">
      <c r="A268" s="48">
        <f t="shared" si="258"/>
        <v>25</v>
      </c>
      <c r="B268" s="44" t="str">
        <f t="shared" si="259"/>
        <v xml:space="preserve">    Proposed 2026 Issuance (30-year)</v>
      </c>
      <c r="C268" s="175">
        <f t="shared" si="259"/>
        <v>5.7989555555555551E-2</v>
      </c>
      <c r="D268" s="61">
        <f t="shared" si="259"/>
        <v>46096</v>
      </c>
      <c r="E268" s="61">
        <f t="shared" si="259"/>
        <v>57071</v>
      </c>
      <c r="F268" s="53">
        <f t="shared" si="260"/>
        <v>0</v>
      </c>
      <c r="G268" s="53">
        <f t="shared" si="260"/>
        <v>0</v>
      </c>
      <c r="H268" s="53">
        <f t="shared" ref="H268:AG268" si="282">ROUND(+H33/12*$C33,4)</f>
        <v>0</v>
      </c>
      <c r="I268" s="53">
        <f t="shared" si="282"/>
        <v>0</v>
      </c>
      <c r="J268" s="53">
        <f t="shared" si="282"/>
        <v>0</v>
      </c>
      <c r="K268" s="53">
        <f t="shared" si="282"/>
        <v>0</v>
      </c>
      <c r="L268" s="53">
        <f t="shared" si="282"/>
        <v>0</v>
      </c>
      <c r="M268" s="53">
        <f t="shared" si="282"/>
        <v>0</v>
      </c>
      <c r="N268" s="53">
        <f t="shared" si="282"/>
        <v>0</v>
      </c>
      <c r="O268" s="53">
        <f t="shared" si="282"/>
        <v>0</v>
      </c>
      <c r="P268" s="53">
        <f t="shared" si="282"/>
        <v>0</v>
      </c>
      <c r="Q268" s="53">
        <f t="shared" si="282"/>
        <v>0</v>
      </c>
      <c r="R268" s="53">
        <f t="shared" si="282"/>
        <v>0</v>
      </c>
      <c r="S268" s="53">
        <f t="shared" si="282"/>
        <v>0</v>
      </c>
      <c r="T268" s="53">
        <f t="shared" si="282"/>
        <v>0</v>
      </c>
      <c r="U268" s="53">
        <f t="shared" si="282"/>
        <v>0</v>
      </c>
      <c r="V268" s="53">
        <f t="shared" si="282"/>
        <v>0</v>
      </c>
      <c r="W268" s="53">
        <f t="shared" si="282"/>
        <v>0</v>
      </c>
      <c r="X268" s="53">
        <f t="shared" si="282"/>
        <v>44700.282399999996</v>
      </c>
      <c r="Y268" s="53">
        <f t="shared" si="282"/>
        <v>44700.282399999996</v>
      </c>
      <c r="Z268" s="53">
        <f t="shared" si="282"/>
        <v>44700.282399999996</v>
      </c>
      <c r="AA268" s="53">
        <f t="shared" si="282"/>
        <v>44700.282399999996</v>
      </c>
      <c r="AB268" s="53">
        <f t="shared" si="282"/>
        <v>44700.282399999996</v>
      </c>
      <c r="AC268" s="53">
        <f t="shared" si="282"/>
        <v>44700.282399999996</v>
      </c>
      <c r="AD268" s="53">
        <f t="shared" si="282"/>
        <v>44700.282399999996</v>
      </c>
      <c r="AE268" s="53">
        <f t="shared" si="282"/>
        <v>44700.282399999996</v>
      </c>
      <c r="AF268" s="53">
        <f t="shared" si="282"/>
        <v>44700.282399999996</v>
      </c>
      <c r="AG268" s="53">
        <f t="shared" si="282"/>
        <v>44700.282399999996</v>
      </c>
      <c r="AH268" s="56">
        <f t="shared" si="264"/>
        <v>447002.82400000002</v>
      </c>
      <c r="AI268" s="48"/>
    </row>
    <row r="269" spans="1:38" x14ac:dyDescent="0.25">
      <c r="A269" s="48">
        <f t="shared" si="258"/>
        <v>26</v>
      </c>
      <c r="B269" s="44" t="str">
        <f t="shared" si="259"/>
        <v xml:space="preserve">    Proposed 2026 Issuance (10-year)</v>
      </c>
      <c r="C269" s="175">
        <f t="shared" si="259"/>
        <v>5.5995500000000004E-2</v>
      </c>
      <c r="D269" s="61">
        <f t="shared" si="259"/>
        <v>46280</v>
      </c>
      <c r="E269" s="61">
        <f t="shared" si="259"/>
        <v>49949</v>
      </c>
      <c r="F269" s="53">
        <f t="shared" si="260"/>
        <v>0</v>
      </c>
      <c r="G269" s="53">
        <f t="shared" si="260"/>
        <v>0</v>
      </c>
      <c r="H269" s="53">
        <f t="shared" ref="H269:AG269" si="283">ROUND(+H34/12*$C34,4)</f>
        <v>0</v>
      </c>
      <c r="I269" s="53">
        <f t="shared" si="283"/>
        <v>0</v>
      </c>
      <c r="J269" s="53">
        <f t="shared" si="283"/>
        <v>0</v>
      </c>
      <c r="K269" s="53">
        <f t="shared" si="283"/>
        <v>0</v>
      </c>
      <c r="L269" s="53">
        <f t="shared" si="283"/>
        <v>0</v>
      </c>
      <c r="M269" s="53">
        <f t="shared" si="283"/>
        <v>0</v>
      </c>
      <c r="N269" s="53">
        <f t="shared" si="283"/>
        <v>0</v>
      </c>
      <c r="O269" s="53">
        <f t="shared" si="283"/>
        <v>0</v>
      </c>
      <c r="P269" s="53">
        <f t="shared" si="283"/>
        <v>0</v>
      </c>
      <c r="Q269" s="53">
        <f t="shared" si="283"/>
        <v>0</v>
      </c>
      <c r="R269" s="53">
        <f t="shared" si="283"/>
        <v>0</v>
      </c>
      <c r="S269" s="53">
        <f t="shared" si="283"/>
        <v>0</v>
      </c>
      <c r="T269" s="53">
        <f t="shared" si="283"/>
        <v>0</v>
      </c>
      <c r="U269" s="53">
        <f t="shared" si="283"/>
        <v>0</v>
      </c>
      <c r="V269" s="53">
        <f t="shared" si="283"/>
        <v>0</v>
      </c>
      <c r="W269" s="53">
        <f t="shared" si="283"/>
        <v>0</v>
      </c>
      <c r="X269" s="53">
        <f t="shared" si="283"/>
        <v>0</v>
      </c>
      <c r="Y269" s="53">
        <f t="shared" si="283"/>
        <v>0</v>
      </c>
      <c r="Z269" s="53">
        <f t="shared" si="283"/>
        <v>0</v>
      </c>
      <c r="AA269" s="53">
        <f t="shared" si="283"/>
        <v>0</v>
      </c>
      <c r="AB269" s="53">
        <f t="shared" si="283"/>
        <v>0</v>
      </c>
      <c r="AC269" s="53">
        <f t="shared" si="283"/>
        <v>0</v>
      </c>
      <c r="AD269" s="53">
        <f t="shared" si="283"/>
        <v>43163.197899999999</v>
      </c>
      <c r="AE269" s="53">
        <f t="shared" si="283"/>
        <v>43163.197899999999</v>
      </c>
      <c r="AF269" s="53">
        <f t="shared" si="283"/>
        <v>43163.197899999999</v>
      </c>
      <c r="AG269" s="53">
        <f t="shared" si="283"/>
        <v>43163.197899999999</v>
      </c>
      <c r="AH269" s="56">
        <f t="shared" si="264"/>
        <v>172652.7916</v>
      </c>
      <c r="AI269" s="48"/>
    </row>
    <row r="270" spans="1:38" x14ac:dyDescent="0.25">
      <c r="A270" s="48">
        <f t="shared" si="258"/>
        <v>27</v>
      </c>
      <c r="B270" s="44" t="str">
        <f t="shared" si="259"/>
        <v xml:space="preserve">    Proposed 2026 Issuance (30-year)</v>
      </c>
      <c r="C270" s="175">
        <f t="shared" si="259"/>
        <v>5.7989555555555551E-2</v>
      </c>
      <c r="D270" s="61">
        <f t="shared" si="259"/>
        <v>46280</v>
      </c>
      <c r="E270" s="61">
        <f t="shared" si="259"/>
        <v>57254</v>
      </c>
      <c r="F270" s="53">
        <f t="shared" si="260"/>
        <v>0</v>
      </c>
      <c r="G270" s="53">
        <f t="shared" si="260"/>
        <v>0</v>
      </c>
      <c r="H270" s="53">
        <f t="shared" ref="H270:AG270" si="284">ROUND(+H35/12*$C35,4)</f>
        <v>0</v>
      </c>
      <c r="I270" s="53">
        <f t="shared" si="284"/>
        <v>0</v>
      </c>
      <c r="J270" s="53">
        <f t="shared" si="284"/>
        <v>0</v>
      </c>
      <c r="K270" s="53">
        <f t="shared" si="284"/>
        <v>0</v>
      </c>
      <c r="L270" s="53">
        <f t="shared" si="284"/>
        <v>0</v>
      </c>
      <c r="M270" s="53">
        <f t="shared" si="284"/>
        <v>0</v>
      </c>
      <c r="N270" s="53">
        <f t="shared" si="284"/>
        <v>0</v>
      </c>
      <c r="O270" s="53">
        <f t="shared" si="284"/>
        <v>0</v>
      </c>
      <c r="P270" s="53">
        <f t="shared" si="284"/>
        <v>0</v>
      </c>
      <c r="Q270" s="53">
        <f t="shared" si="284"/>
        <v>0</v>
      </c>
      <c r="R270" s="53">
        <f t="shared" si="284"/>
        <v>0</v>
      </c>
      <c r="S270" s="53">
        <f t="shared" si="284"/>
        <v>0</v>
      </c>
      <c r="T270" s="53">
        <f t="shared" si="284"/>
        <v>0</v>
      </c>
      <c r="U270" s="53">
        <f t="shared" si="284"/>
        <v>0</v>
      </c>
      <c r="V270" s="53">
        <f t="shared" si="284"/>
        <v>0</v>
      </c>
      <c r="W270" s="53">
        <f t="shared" si="284"/>
        <v>0</v>
      </c>
      <c r="X270" s="53">
        <f t="shared" si="284"/>
        <v>0</v>
      </c>
      <c r="Y270" s="53">
        <f t="shared" si="284"/>
        <v>0</v>
      </c>
      <c r="Z270" s="53">
        <f t="shared" si="284"/>
        <v>0</v>
      </c>
      <c r="AA270" s="53">
        <f t="shared" si="284"/>
        <v>0</v>
      </c>
      <c r="AB270" s="53">
        <f t="shared" si="284"/>
        <v>0</v>
      </c>
      <c r="AC270" s="53">
        <f t="shared" si="284"/>
        <v>0</v>
      </c>
      <c r="AD270" s="53">
        <f t="shared" si="284"/>
        <v>44700.282399999996</v>
      </c>
      <c r="AE270" s="53">
        <f t="shared" si="284"/>
        <v>44700.282399999996</v>
      </c>
      <c r="AF270" s="53">
        <f t="shared" si="284"/>
        <v>44700.282399999996</v>
      </c>
      <c r="AG270" s="53">
        <f t="shared" si="284"/>
        <v>44700.282399999996</v>
      </c>
      <c r="AH270" s="56">
        <f>SUM(V270:AG270)</f>
        <v>178801.12959999999</v>
      </c>
      <c r="AI270" s="48"/>
    </row>
    <row r="271" spans="1:38" x14ac:dyDescent="0.25">
      <c r="A271" s="48">
        <f t="shared" si="258"/>
        <v>28</v>
      </c>
      <c r="B271" s="44"/>
      <c r="C271" s="175"/>
      <c r="D271" s="61"/>
      <c r="E271" s="61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6"/>
      <c r="AI271" s="48"/>
    </row>
    <row r="272" spans="1:38" x14ac:dyDescent="0.25">
      <c r="A272" s="48">
        <f t="shared" si="258"/>
        <v>29</v>
      </c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48"/>
    </row>
    <row r="273" spans="1:53" x14ac:dyDescent="0.25">
      <c r="A273" s="48">
        <f t="shared" si="258"/>
        <v>30</v>
      </c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48"/>
    </row>
    <row r="274" spans="1:53" ht="15.75" thickBot="1" x14ac:dyDescent="0.3">
      <c r="A274" s="48">
        <f t="shared" si="258"/>
        <v>31</v>
      </c>
      <c r="B274" s="44" t="s">
        <v>194</v>
      </c>
      <c r="F274" s="158">
        <f t="shared" ref="F274:AH274" si="285">SUM(F246:F273)</f>
        <v>1036393.7498000003</v>
      </c>
      <c r="G274" s="158">
        <f t="shared" si="285"/>
        <v>1036393.7498000003</v>
      </c>
      <c r="H274" s="158">
        <f t="shared" si="285"/>
        <v>1036393.7498000003</v>
      </c>
      <c r="I274" s="158">
        <f t="shared" si="285"/>
        <v>1036393.7498000003</v>
      </c>
      <c r="J274" s="158">
        <f t="shared" si="285"/>
        <v>1036393.7498000003</v>
      </c>
      <c r="K274" s="158">
        <f t="shared" si="285"/>
        <v>1036393.7498000003</v>
      </c>
      <c r="L274" s="158">
        <f t="shared" si="285"/>
        <v>1080143.7498000003</v>
      </c>
      <c r="M274" s="158">
        <f t="shared" si="285"/>
        <v>1080143.7498000003</v>
      </c>
      <c r="N274" s="158">
        <f t="shared" si="285"/>
        <v>1080143.7498000003</v>
      </c>
      <c r="O274" s="158">
        <f t="shared" si="285"/>
        <v>1080143.7498000003</v>
      </c>
      <c r="P274" s="158">
        <f t="shared" si="285"/>
        <v>1080143.7498000003</v>
      </c>
      <c r="Q274" s="158">
        <f>SUM(Q246:Q273)</f>
        <v>1080143.7498000003</v>
      </c>
      <c r="R274" s="158">
        <f t="shared" si="285"/>
        <v>1141893.7498000003</v>
      </c>
      <c r="S274" s="158">
        <f t="shared" si="285"/>
        <v>1141893.7498000003</v>
      </c>
      <c r="T274" s="158">
        <f t="shared" si="285"/>
        <v>1141893.7498000003</v>
      </c>
      <c r="U274" s="158">
        <f t="shared" si="285"/>
        <v>1141893.7498000003</v>
      </c>
      <c r="V274" s="158">
        <f t="shared" si="285"/>
        <v>1141893.7498000003</v>
      </c>
      <c r="W274" s="158">
        <f t="shared" si="285"/>
        <v>1141893.7498000003</v>
      </c>
      <c r="X274" s="158">
        <f t="shared" si="285"/>
        <v>1229757.2301000003</v>
      </c>
      <c r="Y274" s="158">
        <f t="shared" si="285"/>
        <v>1229757.2301000003</v>
      </c>
      <c r="Z274" s="158">
        <f t="shared" si="285"/>
        <v>1229757.2301000003</v>
      </c>
      <c r="AA274" s="158">
        <f t="shared" si="285"/>
        <v>1172361.3968000002</v>
      </c>
      <c r="AB274" s="158">
        <f t="shared" si="285"/>
        <v>1172361.3968000002</v>
      </c>
      <c r="AC274" s="158">
        <f t="shared" si="285"/>
        <v>1172361.3968000002</v>
      </c>
      <c r="AD274" s="158">
        <f t="shared" si="285"/>
        <v>1260224.8771000002</v>
      </c>
      <c r="AE274" s="158">
        <f t="shared" si="285"/>
        <v>1260224.8771000002</v>
      </c>
      <c r="AF274" s="158">
        <f t="shared" si="285"/>
        <v>1260224.8771000002</v>
      </c>
      <c r="AG274" s="158">
        <f t="shared" si="285"/>
        <v>1260224.8771000002</v>
      </c>
      <c r="AH274" s="158">
        <f t="shared" si="285"/>
        <v>14531042.888700005</v>
      </c>
    </row>
    <row r="275" spans="1:53" ht="15.75" thickTop="1" x14ac:dyDescent="0.25">
      <c r="A275" s="48"/>
      <c r="AI275" s="48"/>
    </row>
    <row r="276" spans="1:53" x14ac:dyDescent="0.25">
      <c r="A276" s="48"/>
      <c r="AI276" s="48"/>
    </row>
    <row r="277" spans="1:53" x14ac:dyDescent="0.25">
      <c r="A277" s="48"/>
      <c r="AI277" s="48"/>
    </row>
    <row r="278" spans="1:53" x14ac:dyDescent="0.25">
      <c r="A278" s="48"/>
      <c r="AI278" s="48"/>
    </row>
    <row r="279" spans="1:53" x14ac:dyDescent="0.25">
      <c r="A279" s="161" t="s">
        <v>159</v>
      </c>
      <c r="O279" s="162" t="str">
        <f>Linkin!C28</f>
        <v>W/P - 7-5</v>
      </c>
      <c r="Y279" s="162" t="str">
        <f>$O$279</f>
        <v>W/P - 7-5</v>
      </c>
      <c r="AH279" s="162" t="str">
        <f>$O$279</f>
        <v>W/P - 7-5</v>
      </c>
      <c r="AI279" s="48"/>
      <c r="AX279" s="162" t="str">
        <f>$O$279</f>
        <v>W/P - 7-5</v>
      </c>
      <c r="AZ279" s="162"/>
    </row>
    <row r="280" spans="1:53" x14ac:dyDescent="0.25">
      <c r="A280" s="161" t="s">
        <v>160</v>
      </c>
      <c r="O280" s="162" t="str">
        <f>O2</f>
        <v>KAW_R_PSCHDR_NUM002_100625_Attachment   Sch J WPs</v>
      </c>
      <c r="Y280" s="162" t="str">
        <f>Y2</f>
        <v>KAW_R_PSCHDR_NUM002_100625_Attachment   Sch J WPs</v>
      </c>
      <c r="AH280" s="162" t="str">
        <f>AH2</f>
        <v>KAW_R_PSCHDR_NUM002_100625_Attachment   Sch J WPs</v>
      </c>
      <c r="AI280" s="48"/>
      <c r="AX280" s="162" t="str">
        <f>BB2</f>
        <v>KAW_R_PSCHDR_NUM002_100625_Attachment   Sch J WPs</v>
      </c>
      <c r="AZ280" s="162"/>
    </row>
    <row r="281" spans="1:53" x14ac:dyDescent="0.25">
      <c r="A281" s="48"/>
      <c r="AI281" s="48"/>
    </row>
    <row r="282" spans="1:53" x14ac:dyDescent="0.25">
      <c r="A282" s="57" t="s">
        <v>161</v>
      </c>
      <c r="AI282" s="48"/>
    </row>
    <row r="283" spans="1:53" x14ac:dyDescent="0.25">
      <c r="A283" s="57" t="s">
        <v>205</v>
      </c>
      <c r="AI283" s="48"/>
      <c r="AJ283" s="57" t="str">
        <f>AJ5</f>
        <v>13-MONTH AVERAGE FOR FORECASTED PERIOD ENDING 12/31/2026</v>
      </c>
    </row>
    <row r="284" spans="1:53" x14ac:dyDescent="0.25">
      <c r="AI284" s="48"/>
      <c r="AJ284" s="57"/>
    </row>
    <row r="285" spans="1:53" x14ac:dyDescent="0.25">
      <c r="A285" s="166"/>
      <c r="B285" s="166" t="s">
        <v>124</v>
      </c>
      <c r="C285" s="166"/>
      <c r="D285" s="166"/>
      <c r="E285" s="166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48"/>
      <c r="AJ285" s="166"/>
      <c r="AK285" s="166"/>
      <c r="AL285" s="166"/>
      <c r="AM285" s="166"/>
      <c r="AN285" s="166"/>
      <c r="AO285" s="166"/>
      <c r="AP285" s="166"/>
      <c r="AQ285" s="166"/>
      <c r="AR285" s="166" t="s">
        <v>164</v>
      </c>
      <c r="AS285" s="166"/>
      <c r="AT285" s="166"/>
      <c r="AU285" s="166"/>
      <c r="AV285" s="166" t="s">
        <v>90</v>
      </c>
      <c r="AW285" s="166"/>
      <c r="AX285" s="166" t="s">
        <v>105</v>
      </c>
      <c r="AY285" s="166"/>
      <c r="BA285" s="166"/>
    </row>
    <row r="286" spans="1:53" x14ac:dyDescent="0.25">
      <c r="A286" s="48" t="s">
        <v>86</v>
      </c>
      <c r="B286" s="48" t="s">
        <v>165</v>
      </c>
      <c r="C286" s="48" t="s">
        <v>115</v>
      </c>
      <c r="D286" s="48"/>
      <c r="E286" s="48"/>
      <c r="F286" s="48" t="s">
        <v>166</v>
      </c>
      <c r="G286" s="48" t="s">
        <v>166</v>
      </c>
      <c r="H286" s="48" t="s">
        <v>166</v>
      </c>
      <c r="I286" s="48" t="s">
        <v>166</v>
      </c>
      <c r="J286" s="48" t="s">
        <v>166</v>
      </c>
      <c r="K286" s="48" t="s">
        <v>166</v>
      </c>
      <c r="L286" s="48" t="s">
        <v>166</v>
      </c>
      <c r="M286" s="48" t="s">
        <v>166</v>
      </c>
      <c r="N286" s="48" t="s">
        <v>166</v>
      </c>
      <c r="O286" s="48" t="s">
        <v>166</v>
      </c>
      <c r="P286" s="48" t="s">
        <v>166</v>
      </c>
      <c r="Q286" s="48" t="s">
        <v>166</v>
      </c>
      <c r="R286" s="48" t="s">
        <v>166</v>
      </c>
      <c r="S286" s="48" t="s">
        <v>166</v>
      </c>
      <c r="T286" s="48" t="s">
        <v>166</v>
      </c>
      <c r="U286" s="48" t="s">
        <v>166</v>
      </c>
      <c r="V286" s="48" t="s">
        <v>166</v>
      </c>
      <c r="W286" s="48" t="s">
        <v>166</v>
      </c>
      <c r="X286" s="48" t="s">
        <v>166</v>
      </c>
      <c r="Y286" s="48" t="s">
        <v>166</v>
      </c>
      <c r="Z286" s="48" t="s">
        <v>166</v>
      </c>
      <c r="AA286" s="48" t="s">
        <v>166</v>
      </c>
      <c r="AB286" s="48" t="s">
        <v>166</v>
      </c>
      <c r="AC286" s="48" t="s">
        <v>166</v>
      </c>
      <c r="AD286" s="48" t="s">
        <v>166</v>
      </c>
      <c r="AE286" s="48" t="s">
        <v>166</v>
      </c>
      <c r="AF286" s="48" t="s">
        <v>166</v>
      </c>
      <c r="AG286" s="48" t="s">
        <v>166</v>
      </c>
      <c r="AH286" s="48" t="s">
        <v>85</v>
      </c>
      <c r="AI286" s="48"/>
      <c r="AJ286" s="43" t="s">
        <v>149</v>
      </c>
      <c r="AK286" s="48"/>
      <c r="AL286" s="48" t="s">
        <v>85</v>
      </c>
      <c r="AM286" s="48"/>
      <c r="AN286" s="48" t="s">
        <v>57</v>
      </c>
      <c r="AO286" s="48"/>
      <c r="AP286" s="48" t="s">
        <v>57</v>
      </c>
      <c r="AQ286" s="48"/>
      <c r="AR286" s="48" t="s">
        <v>167</v>
      </c>
      <c r="AS286" s="48"/>
      <c r="AT286" s="48" t="s">
        <v>127</v>
      </c>
      <c r="AU286" s="48"/>
      <c r="AV286" s="48" t="s">
        <v>130</v>
      </c>
      <c r="AW286" s="48"/>
      <c r="AX286" s="48" t="s">
        <v>106</v>
      </c>
      <c r="AY286" s="48"/>
      <c r="BA286" s="48"/>
    </row>
    <row r="287" spans="1:53" x14ac:dyDescent="0.25">
      <c r="A287" s="169" t="s">
        <v>91</v>
      </c>
      <c r="B287" s="169" t="s">
        <v>118</v>
      </c>
      <c r="C287" s="169" t="s">
        <v>118</v>
      </c>
      <c r="D287" s="169" t="s">
        <v>168</v>
      </c>
      <c r="E287" s="169" t="s">
        <v>169</v>
      </c>
      <c r="F287" s="170">
        <f>F$9</f>
        <v>45565</v>
      </c>
      <c r="G287" s="170">
        <f t="shared" ref="G287:AG287" si="286">G$9</f>
        <v>45596</v>
      </c>
      <c r="H287" s="170">
        <f t="shared" si="286"/>
        <v>45626</v>
      </c>
      <c r="I287" s="170">
        <f t="shared" si="286"/>
        <v>45657</v>
      </c>
      <c r="J287" s="170">
        <f t="shared" si="286"/>
        <v>45688</v>
      </c>
      <c r="K287" s="170">
        <f t="shared" si="286"/>
        <v>45716</v>
      </c>
      <c r="L287" s="170">
        <f t="shared" si="286"/>
        <v>45747</v>
      </c>
      <c r="M287" s="170">
        <f t="shared" si="286"/>
        <v>45777</v>
      </c>
      <c r="N287" s="170">
        <f t="shared" si="286"/>
        <v>45808</v>
      </c>
      <c r="O287" s="170">
        <f t="shared" si="286"/>
        <v>45838</v>
      </c>
      <c r="P287" s="170">
        <f t="shared" si="286"/>
        <v>45869</v>
      </c>
      <c r="Q287" s="170">
        <f t="shared" si="286"/>
        <v>45900</v>
      </c>
      <c r="R287" s="170">
        <f t="shared" si="286"/>
        <v>45930</v>
      </c>
      <c r="S287" s="170">
        <f t="shared" si="286"/>
        <v>45961</v>
      </c>
      <c r="T287" s="170">
        <f t="shared" si="286"/>
        <v>45991</v>
      </c>
      <c r="U287" s="170">
        <f t="shared" si="286"/>
        <v>46022</v>
      </c>
      <c r="V287" s="170">
        <f t="shared" si="286"/>
        <v>46053</v>
      </c>
      <c r="W287" s="170">
        <f t="shared" si="286"/>
        <v>46081</v>
      </c>
      <c r="X287" s="170">
        <f t="shared" si="286"/>
        <v>46112</v>
      </c>
      <c r="Y287" s="170">
        <f t="shared" si="286"/>
        <v>46142</v>
      </c>
      <c r="Z287" s="170">
        <f t="shared" si="286"/>
        <v>46173</v>
      </c>
      <c r="AA287" s="170">
        <f t="shared" si="286"/>
        <v>46203</v>
      </c>
      <c r="AB287" s="170">
        <f t="shared" si="286"/>
        <v>46234</v>
      </c>
      <c r="AC287" s="170">
        <f t="shared" si="286"/>
        <v>46265</v>
      </c>
      <c r="AD287" s="170">
        <f t="shared" si="286"/>
        <v>46295</v>
      </c>
      <c r="AE287" s="170">
        <f t="shared" si="286"/>
        <v>46326</v>
      </c>
      <c r="AF287" s="170">
        <f t="shared" si="286"/>
        <v>46356</v>
      </c>
      <c r="AG287" s="170">
        <f t="shared" si="286"/>
        <v>46387</v>
      </c>
      <c r="AH287" s="171" t="s">
        <v>90</v>
      </c>
      <c r="AI287" s="48"/>
      <c r="AJ287" s="171" t="s">
        <v>152</v>
      </c>
      <c r="AK287" s="169"/>
      <c r="AL287" s="171" t="s">
        <v>90</v>
      </c>
      <c r="AM287" s="169"/>
      <c r="AN287" s="169" t="s">
        <v>170</v>
      </c>
      <c r="AO287" s="169"/>
      <c r="AP287" s="169" t="s">
        <v>171</v>
      </c>
      <c r="AQ287" s="169"/>
      <c r="AR287" s="169" t="s">
        <v>172</v>
      </c>
      <c r="AS287" s="169"/>
      <c r="AT287" s="169" t="s">
        <v>173</v>
      </c>
      <c r="AU287" s="169"/>
      <c r="AV287" s="169" t="s">
        <v>174</v>
      </c>
      <c r="AW287" s="169"/>
      <c r="AX287" s="169" t="s">
        <v>139</v>
      </c>
      <c r="AY287" s="169"/>
      <c r="BA287" s="169"/>
    </row>
    <row r="288" spans="1:53" x14ac:dyDescent="0.25">
      <c r="A288" s="48">
        <v>1</v>
      </c>
      <c r="AI288" s="48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BA288" s="44"/>
    </row>
    <row r="289" spans="1:53" x14ac:dyDescent="0.25">
      <c r="A289" s="48">
        <f>A288+1</f>
        <v>2</v>
      </c>
      <c r="AI289" s="48"/>
    </row>
    <row r="290" spans="1:53" x14ac:dyDescent="0.25">
      <c r="A290" s="48">
        <f t="shared" ref="A290:A297" si="287">A289+1</f>
        <v>3</v>
      </c>
      <c r="B290" s="44"/>
      <c r="C290" s="175"/>
      <c r="D290" s="175"/>
      <c r="E290" s="17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  <c r="AB290" s="185"/>
      <c r="AC290" s="185"/>
      <c r="AD290" s="185"/>
      <c r="AE290" s="185"/>
      <c r="AF290" s="185"/>
      <c r="AG290" s="185"/>
      <c r="AH290" s="185"/>
      <c r="AI290" s="48"/>
      <c r="AJ290" s="44"/>
      <c r="AK290" s="52"/>
      <c r="AL290" s="51"/>
      <c r="AM290" s="52"/>
      <c r="AN290" s="52"/>
      <c r="AO290" s="52"/>
      <c r="AP290" s="52"/>
      <c r="AQ290" s="52"/>
      <c r="AR290" s="51"/>
      <c r="AS290" s="52"/>
      <c r="AT290" s="51"/>
      <c r="AU290" s="52"/>
      <c r="AV290" s="51"/>
      <c r="AW290" s="52"/>
      <c r="AX290" s="51"/>
      <c r="AY290" s="52"/>
      <c r="BA290" s="52"/>
    </row>
    <row r="291" spans="1:53" x14ac:dyDescent="0.25">
      <c r="A291" s="48">
        <f t="shared" si="287"/>
        <v>4</v>
      </c>
      <c r="C291" s="175"/>
      <c r="D291" s="175"/>
      <c r="E291" s="175"/>
      <c r="AI291" s="48"/>
      <c r="AN291" s="52"/>
      <c r="AO291" s="52"/>
    </row>
    <row r="292" spans="1:53" x14ac:dyDescent="0.25">
      <c r="A292" s="48">
        <f t="shared" si="287"/>
        <v>5</v>
      </c>
      <c r="B292" s="44" t="s">
        <v>157</v>
      </c>
      <c r="C292" s="175">
        <v>8.4699999999999998E-2</v>
      </c>
      <c r="D292" s="175"/>
      <c r="E292" s="175"/>
      <c r="F292" s="56">
        <v>2250000</v>
      </c>
      <c r="G292" s="56">
        <f t="shared" ref="G292:Z292" si="288">F292</f>
        <v>2250000</v>
      </c>
      <c r="H292" s="56">
        <f t="shared" si="288"/>
        <v>2250000</v>
      </c>
      <c r="I292" s="56">
        <f t="shared" si="288"/>
        <v>2250000</v>
      </c>
      <c r="J292" s="56">
        <f t="shared" si="288"/>
        <v>2250000</v>
      </c>
      <c r="K292" s="56">
        <f>+J292</f>
        <v>2250000</v>
      </c>
      <c r="L292" s="56">
        <f t="shared" si="288"/>
        <v>2250000</v>
      </c>
      <c r="M292" s="56">
        <f t="shared" si="288"/>
        <v>2250000</v>
      </c>
      <c r="N292" s="56">
        <f t="shared" si="288"/>
        <v>2250000</v>
      </c>
      <c r="O292" s="56">
        <f t="shared" si="288"/>
        <v>2250000</v>
      </c>
      <c r="P292" s="56">
        <f t="shared" si="288"/>
        <v>2250000</v>
      </c>
      <c r="Q292" s="56">
        <f t="shared" si="288"/>
        <v>2250000</v>
      </c>
      <c r="R292" s="56">
        <f t="shared" si="288"/>
        <v>2250000</v>
      </c>
      <c r="S292" s="56">
        <f t="shared" si="288"/>
        <v>2250000</v>
      </c>
      <c r="T292" s="56">
        <f t="shared" si="288"/>
        <v>2250000</v>
      </c>
      <c r="U292" s="56">
        <f t="shared" si="288"/>
        <v>2250000</v>
      </c>
      <c r="V292" s="56">
        <f t="shared" si="288"/>
        <v>2250000</v>
      </c>
      <c r="W292" s="56">
        <f t="shared" si="288"/>
        <v>2250000</v>
      </c>
      <c r="X292" s="56">
        <f t="shared" si="288"/>
        <v>2250000</v>
      </c>
      <c r="Y292" s="56">
        <f t="shared" si="288"/>
        <v>2250000</v>
      </c>
      <c r="Z292" s="56">
        <f t="shared" si="288"/>
        <v>2250000</v>
      </c>
      <c r="AA292" s="56">
        <f t="shared" ref="AA292" si="289">Z292</f>
        <v>2250000</v>
      </c>
      <c r="AB292" s="56">
        <f t="shared" ref="AB292" si="290">AA292</f>
        <v>2250000</v>
      </c>
      <c r="AC292" s="56">
        <f t="shared" ref="AC292" si="291">AB292</f>
        <v>2250000</v>
      </c>
      <c r="AD292" s="56">
        <f t="shared" ref="AD292" si="292">AC292</f>
        <v>2250000</v>
      </c>
      <c r="AE292" s="56">
        <f t="shared" ref="AE292:AG292" si="293">AD292</f>
        <v>2250000</v>
      </c>
      <c r="AF292" s="56">
        <f t="shared" si="293"/>
        <v>2250000</v>
      </c>
      <c r="AG292" s="56">
        <f t="shared" si="293"/>
        <v>2250000</v>
      </c>
      <c r="AH292" s="56">
        <f>AVERAGE(U292:AG292)</f>
        <v>2250000</v>
      </c>
      <c r="AI292" s="48"/>
      <c r="AJ292" s="44" t="str">
        <f>B292</f>
        <v>8.47% Series, $100 Par</v>
      </c>
      <c r="AK292" s="52"/>
      <c r="AL292" s="56">
        <f>AH292</f>
        <v>2250000</v>
      </c>
      <c r="AM292" s="52"/>
      <c r="AN292" s="52">
        <f>C292</f>
        <v>8.4699999999999998E-2</v>
      </c>
      <c r="AO292" s="52"/>
      <c r="AP292" s="52">
        <f>IF(AL292=0,0,ROUND(((AL292*AN292)+AR292)/AL292,5))</f>
        <v>8.4870000000000001E-2</v>
      </c>
      <c r="AQ292" s="52"/>
      <c r="AR292" s="53">
        <f>AH342</f>
        <v>386.28</v>
      </c>
      <c r="AS292" s="52"/>
      <c r="AT292" s="56">
        <f>ROUND(AP292*AL292,0)</f>
        <v>190958</v>
      </c>
      <c r="AU292" s="52"/>
      <c r="AV292" s="56">
        <f>AH323</f>
        <v>4026.2261538461053</v>
      </c>
      <c r="AW292" s="52"/>
      <c r="AX292" s="56">
        <f>AL292-AV292</f>
        <v>2245973.7738461541</v>
      </c>
      <c r="AY292" s="52"/>
      <c r="BA292" s="52"/>
    </row>
    <row r="293" spans="1:53" x14ac:dyDescent="0.25">
      <c r="A293" s="48">
        <f t="shared" si="287"/>
        <v>6</v>
      </c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48"/>
      <c r="AN293" s="52"/>
      <c r="AO293" s="52"/>
    </row>
    <row r="294" spans="1:53" x14ac:dyDescent="0.25">
      <c r="A294" s="48">
        <f t="shared" si="287"/>
        <v>7</v>
      </c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48"/>
      <c r="AN294" s="52"/>
      <c r="AO294" s="52"/>
    </row>
    <row r="295" spans="1:53" x14ac:dyDescent="0.25">
      <c r="A295" s="48">
        <f t="shared" si="287"/>
        <v>8</v>
      </c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48"/>
      <c r="AN295" s="52"/>
      <c r="AO295" s="52"/>
    </row>
    <row r="296" spans="1:53" x14ac:dyDescent="0.25">
      <c r="A296" s="48">
        <f t="shared" si="287"/>
        <v>9</v>
      </c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48"/>
      <c r="AN296" s="52"/>
      <c r="AO296" s="52"/>
    </row>
    <row r="297" spans="1:53" ht="15.75" thickBot="1" x14ac:dyDescent="0.3">
      <c r="A297" s="48">
        <f t="shared" si="287"/>
        <v>10</v>
      </c>
      <c r="B297" s="44" t="s">
        <v>194</v>
      </c>
      <c r="C297" s="48"/>
      <c r="D297" s="48"/>
      <c r="E297" s="48"/>
      <c r="F297" s="186">
        <f t="shared" ref="F297:AH297" si="294">SUM(F290:F296)</f>
        <v>2250000</v>
      </c>
      <c r="G297" s="186">
        <f t="shared" si="294"/>
        <v>2250000</v>
      </c>
      <c r="H297" s="186">
        <f t="shared" si="294"/>
        <v>2250000</v>
      </c>
      <c r="I297" s="186">
        <f t="shared" si="294"/>
        <v>2250000</v>
      </c>
      <c r="J297" s="186">
        <f t="shared" si="294"/>
        <v>2250000</v>
      </c>
      <c r="K297" s="186">
        <f t="shared" si="294"/>
        <v>2250000</v>
      </c>
      <c r="L297" s="186">
        <f t="shared" si="294"/>
        <v>2250000</v>
      </c>
      <c r="M297" s="186">
        <f t="shared" si="294"/>
        <v>2250000</v>
      </c>
      <c r="N297" s="186">
        <f t="shared" si="294"/>
        <v>2250000</v>
      </c>
      <c r="O297" s="186">
        <f t="shared" si="294"/>
        <v>2250000</v>
      </c>
      <c r="P297" s="186">
        <f t="shared" si="294"/>
        <v>2250000</v>
      </c>
      <c r="Q297" s="186">
        <f t="shared" si="294"/>
        <v>2250000</v>
      </c>
      <c r="R297" s="186">
        <f t="shared" si="294"/>
        <v>2250000</v>
      </c>
      <c r="S297" s="186">
        <f t="shared" si="294"/>
        <v>2250000</v>
      </c>
      <c r="T297" s="186">
        <f t="shared" si="294"/>
        <v>2250000</v>
      </c>
      <c r="U297" s="186">
        <f t="shared" si="294"/>
        <v>2250000</v>
      </c>
      <c r="V297" s="186">
        <f t="shared" si="294"/>
        <v>2250000</v>
      </c>
      <c r="W297" s="186">
        <f t="shared" si="294"/>
        <v>2250000</v>
      </c>
      <c r="X297" s="186">
        <f t="shared" si="294"/>
        <v>2250000</v>
      </c>
      <c r="Y297" s="186">
        <f t="shared" si="294"/>
        <v>2250000</v>
      </c>
      <c r="Z297" s="186">
        <f t="shared" si="294"/>
        <v>2250000</v>
      </c>
      <c r="AA297" s="186">
        <f t="shared" si="294"/>
        <v>2250000</v>
      </c>
      <c r="AB297" s="186">
        <f t="shared" si="294"/>
        <v>2250000</v>
      </c>
      <c r="AC297" s="186">
        <f t="shared" si="294"/>
        <v>2250000</v>
      </c>
      <c r="AD297" s="186">
        <f t="shared" si="294"/>
        <v>2250000</v>
      </c>
      <c r="AE297" s="186">
        <f t="shared" si="294"/>
        <v>2250000</v>
      </c>
      <c r="AF297" s="186">
        <f t="shared" si="294"/>
        <v>2250000</v>
      </c>
      <c r="AG297" s="186">
        <f t="shared" si="294"/>
        <v>2250000</v>
      </c>
      <c r="AH297" s="186">
        <f t="shared" si="294"/>
        <v>2250000</v>
      </c>
      <c r="AI297" s="48"/>
      <c r="AJ297" s="44" t="s">
        <v>194</v>
      </c>
      <c r="AL297" s="158">
        <f>SUM(AL290:AL296)</f>
        <v>2250000</v>
      </c>
      <c r="AN297" s="52"/>
      <c r="AO297" s="52"/>
      <c r="AR297" s="158">
        <f>SUM(AR290:AR296)</f>
        <v>386.28</v>
      </c>
      <c r="AT297" s="158">
        <f>SUM(AT290:AT296)</f>
        <v>190958</v>
      </c>
      <c r="AV297" s="158">
        <f>SUM(AV290:AV296)</f>
        <v>4026.2261538461053</v>
      </c>
      <c r="AX297" s="158">
        <f>SUM(AX290:AX296)</f>
        <v>2245973.7738461541</v>
      </c>
    </row>
    <row r="298" spans="1:53" s="44" customFormat="1" ht="15.75" thickTop="1" x14ac:dyDescent="0.25">
      <c r="A298" s="48"/>
      <c r="B298" s="40"/>
      <c r="C298" s="49"/>
      <c r="D298" s="49"/>
      <c r="E298" s="49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8"/>
      <c r="AJ298" s="40"/>
      <c r="AK298" s="40"/>
      <c r="AM298" s="40"/>
      <c r="AN298" s="52"/>
      <c r="AO298" s="52"/>
      <c r="AP298" s="40"/>
      <c r="AQ298" s="40"/>
      <c r="AS298" s="40"/>
      <c r="AU298" s="40"/>
      <c r="AW298" s="40"/>
      <c r="AY298" s="40"/>
      <c r="AZ298" s="40"/>
      <c r="BA298" s="40"/>
    </row>
    <row r="299" spans="1:53" x14ac:dyDescent="0.25">
      <c r="A299" s="48"/>
      <c r="AI299" s="48"/>
      <c r="AN299" s="52"/>
      <c r="AO299" s="52"/>
    </row>
    <row r="300" spans="1:53" x14ac:dyDescent="0.25">
      <c r="A300" s="48"/>
      <c r="AI300" s="48"/>
      <c r="AN300" s="52"/>
      <c r="AO300" s="52"/>
    </row>
    <row r="301" spans="1:53" ht="15.75" thickBot="1" x14ac:dyDescent="0.3">
      <c r="A301" s="48"/>
      <c r="AI301" s="48"/>
      <c r="AJ301" s="57" t="s">
        <v>206</v>
      </c>
      <c r="AN301" s="187">
        <f>ROUND(AT297/AX297,4)</f>
        <v>8.5000000000000006E-2</v>
      </c>
      <c r="AO301" s="52"/>
    </row>
    <row r="302" spans="1:53" ht="15.75" thickTop="1" x14ac:dyDescent="0.25">
      <c r="A302" s="48"/>
      <c r="AI302" s="48"/>
      <c r="AN302" s="44"/>
      <c r="AO302" s="44"/>
    </row>
    <row r="303" spans="1:53" x14ac:dyDescent="0.25">
      <c r="A303" s="48"/>
      <c r="AI303" s="48"/>
    </row>
    <row r="304" spans="1:53" x14ac:dyDescent="0.25">
      <c r="A304" s="48"/>
      <c r="AI304" s="48"/>
    </row>
    <row r="305" spans="1:35" x14ac:dyDescent="0.25">
      <c r="A305" s="161" t="s">
        <v>159</v>
      </c>
      <c r="O305" s="162" t="str">
        <f>Linkin!C28</f>
        <v>W/P - 7-5</v>
      </c>
      <c r="Y305" s="162" t="str">
        <f>$O$305</f>
        <v>W/P - 7-5</v>
      </c>
      <c r="AH305" s="162" t="str">
        <f>$O$305</f>
        <v>W/P - 7-5</v>
      </c>
      <c r="AI305" s="48"/>
    </row>
    <row r="306" spans="1:35" x14ac:dyDescent="0.25">
      <c r="A306" s="161" t="s">
        <v>160</v>
      </c>
      <c r="O306" s="162" t="str">
        <f>O2</f>
        <v>KAW_R_PSCHDR_NUM002_100625_Attachment   Sch J WPs</v>
      </c>
      <c r="Y306" s="162" t="str">
        <f>Y2</f>
        <v>KAW_R_PSCHDR_NUM002_100625_Attachment   Sch J WPs</v>
      </c>
      <c r="AH306" s="162" t="str">
        <f>AH2</f>
        <v>KAW_R_PSCHDR_NUM002_100625_Attachment   Sch J WPs</v>
      </c>
      <c r="AI306" s="48"/>
    </row>
    <row r="307" spans="1:35" x14ac:dyDescent="0.25">
      <c r="A307" s="48"/>
      <c r="AI307" s="48"/>
    </row>
    <row r="308" spans="1:35" x14ac:dyDescent="0.25">
      <c r="A308" s="57" t="s">
        <v>161</v>
      </c>
      <c r="AI308" s="48"/>
    </row>
    <row r="309" spans="1:35" x14ac:dyDescent="0.25">
      <c r="A309" s="57" t="s">
        <v>207</v>
      </c>
      <c r="AI309" s="48"/>
    </row>
    <row r="310" spans="1:35" x14ac:dyDescent="0.25">
      <c r="C310" s="180"/>
      <c r="D310" s="180"/>
      <c r="E310" s="180"/>
      <c r="AI310" s="48"/>
    </row>
    <row r="311" spans="1:35" x14ac:dyDescent="0.25">
      <c r="A311" s="166"/>
      <c r="B311" s="166" t="s">
        <v>124</v>
      </c>
      <c r="C311" s="166"/>
      <c r="D311" s="166"/>
      <c r="E311" s="166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48"/>
    </row>
    <row r="312" spans="1:35" x14ac:dyDescent="0.25">
      <c r="A312" s="48" t="s">
        <v>86</v>
      </c>
      <c r="B312" s="48" t="s">
        <v>165</v>
      </c>
      <c r="C312" s="48" t="s">
        <v>115</v>
      </c>
      <c r="D312" s="48"/>
      <c r="E312" s="48"/>
      <c r="F312" s="48" t="s">
        <v>166</v>
      </c>
      <c r="G312" s="48" t="s">
        <v>166</v>
      </c>
      <c r="H312" s="48" t="s">
        <v>166</v>
      </c>
      <c r="I312" s="48" t="s">
        <v>166</v>
      </c>
      <c r="J312" s="48" t="s">
        <v>166</v>
      </c>
      <c r="K312" s="48" t="s">
        <v>166</v>
      </c>
      <c r="L312" s="48" t="s">
        <v>166</v>
      </c>
      <c r="M312" s="48" t="s">
        <v>166</v>
      </c>
      <c r="N312" s="48" t="s">
        <v>166</v>
      </c>
      <c r="O312" s="48" t="s">
        <v>166</v>
      </c>
      <c r="P312" s="48" t="s">
        <v>166</v>
      </c>
      <c r="Q312" s="48" t="s">
        <v>166</v>
      </c>
      <c r="R312" s="48" t="s">
        <v>166</v>
      </c>
      <c r="S312" s="48" t="s">
        <v>166</v>
      </c>
      <c r="T312" s="48" t="s">
        <v>166</v>
      </c>
      <c r="U312" s="48" t="s">
        <v>166</v>
      </c>
      <c r="V312" s="48" t="s">
        <v>166</v>
      </c>
      <c r="W312" s="48" t="s">
        <v>166</v>
      </c>
      <c r="X312" s="48" t="s">
        <v>166</v>
      </c>
      <c r="Y312" s="48" t="s">
        <v>166</v>
      </c>
      <c r="Z312" s="48" t="s">
        <v>166</v>
      </c>
      <c r="AA312" s="48" t="s">
        <v>166</v>
      </c>
      <c r="AB312" s="48" t="s">
        <v>166</v>
      </c>
      <c r="AC312" s="48" t="s">
        <v>166</v>
      </c>
      <c r="AD312" s="48" t="s">
        <v>166</v>
      </c>
      <c r="AE312" s="48" t="s">
        <v>166</v>
      </c>
      <c r="AF312" s="48" t="s">
        <v>166</v>
      </c>
      <c r="AG312" s="48" t="s">
        <v>166</v>
      </c>
      <c r="AH312" s="48" t="s">
        <v>85</v>
      </c>
      <c r="AI312" s="48"/>
    </row>
    <row r="313" spans="1:35" x14ac:dyDescent="0.25">
      <c r="A313" s="169" t="s">
        <v>91</v>
      </c>
      <c r="B313" s="169" t="s">
        <v>118</v>
      </c>
      <c r="C313" s="169" t="s">
        <v>118</v>
      </c>
      <c r="D313" s="169" t="s">
        <v>168</v>
      </c>
      <c r="E313" s="169" t="s">
        <v>169</v>
      </c>
      <c r="F313" s="170">
        <f>F$9</f>
        <v>45565</v>
      </c>
      <c r="G313" s="170">
        <f t="shared" ref="G313:AG313" si="295">G$9</f>
        <v>45596</v>
      </c>
      <c r="H313" s="170">
        <f t="shared" si="295"/>
        <v>45626</v>
      </c>
      <c r="I313" s="170">
        <f t="shared" si="295"/>
        <v>45657</v>
      </c>
      <c r="J313" s="170">
        <f t="shared" si="295"/>
        <v>45688</v>
      </c>
      <c r="K313" s="170">
        <f t="shared" si="295"/>
        <v>45716</v>
      </c>
      <c r="L313" s="170">
        <f t="shared" si="295"/>
        <v>45747</v>
      </c>
      <c r="M313" s="170">
        <f t="shared" si="295"/>
        <v>45777</v>
      </c>
      <c r="N313" s="170">
        <f t="shared" si="295"/>
        <v>45808</v>
      </c>
      <c r="O313" s="170">
        <f t="shared" si="295"/>
        <v>45838</v>
      </c>
      <c r="P313" s="170">
        <f t="shared" si="295"/>
        <v>45869</v>
      </c>
      <c r="Q313" s="170">
        <f t="shared" si="295"/>
        <v>45900</v>
      </c>
      <c r="R313" s="170">
        <f t="shared" si="295"/>
        <v>45930</v>
      </c>
      <c r="S313" s="170">
        <f t="shared" si="295"/>
        <v>45961</v>
      </c>
      <c r="T313" s="170">
        <f t="shared" si="295"/>
        <v>45991</v>
      </c>
      <c r="U313" s="170">
        <f t="shared" si="295"/>
        <v>46022</v>
      </c>
      <c r="V313" s="170">
        <f t="shared" si="295"/>
        <v>46053</v>
      </c>
      <c r="W313" s="170">
        <f t="shared" si="295"/>
        <v>46081</v>
      </c>
      <c r="X313" s="170">
        <f t="shared" si="295"/>
        <v>46112</v>
      </c>
      <c r="Y313" s="170">
        <f t="shared" si="295"/>
        <v>46142</v>
      </c>
      <c r="Z313" s="170">
        <f t="shared" si="295"/>
        <v>46173</v>
      </c>
      <c r="AA313" s="170">
        <f t="shared" si="295"/>
        <v>46203</v>
      </c>
      <c r="AB313" s="170">
        <f t="shared" si="295"/>
        <v>46234</v>
      </c>
      <c r="AC313" s="170">
        <f t="shared" si="295"/>
        <v>46265</v>
      </c>
      <c r="AD313" s="170">
        <f t="shared" si="295"/>
        <v>46295</v>
      </c>
      <c r="AE313" s="170">
        <f t="shared" si="295"/>
        <v>46326</v>
      </c>
      <c r="AF313" s="170">
        <f t="shared" si="295"/>
        <v>46356</v>
      </c>
      <c r="AG313" s="170">
        <f t="shared" si="295"/>
        <v>46387</v>
      </c>
      <c r="AH313" s="171" t="s">
        <v>90</v>
      </c>
      <c r="AI313" s="48"/>
    </row>
    <row r="314" spans="1:35" x14ac:dyDescent="0.25">
      <c r="A314" s="48">
        <v>1</v>
      </c>
      <c r="B314" s="44"/>
      <c r="C314" s="48"/>
      <c r="D314" s="48"/>
      <c r="E314" s="48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48"/>
    </row>
    <row r="315" spans="1:35" x14ac:dyDescent="0.25">
      <c r="A315" s="48">
        <f>A314+1</f>
        <v>2</v>
      </c>
      <c r="AI315" s="48"/>
    </row>
    <row r="316" spans="1:35" x14ac:dyDescent="0.25">
      <c r="A316" s="48">
        <f t="shared" ref="A316:A323" si="296">A315+1</f>
        <v>3</v>
      </c>
      <c r="B316" s="44" t="str">
        <f>B292</f>
        <v>8.47% Series, $100 Par</v>
      </c>
      <c r="F316" s="56">
        <v>4699.7399999999443</v>
      </c>
      <c r="G316" s="56">
        <f>F316-G342</f>
        <v>4667.5499999999447</v>
      </c>
      <c r="H316" s="56">
        <f t="shared" ref="H316:AF316" si="297">G316-H342</f>
        <v>4635.3599999999451</v>
      </c>
      <c r="I316" s="56">
        <f t="shared" si="297"/>
        <v>4603.1699999999455</v>
      </c>
      <c r="J316" s="56">
        <f t="shared" si="297"/>
        <v>4570.9799999999459</v>
      </c>
      <c r="K316" s="56">
        <f t="shared" si="297"/>
        <v>4538.7899999999463</v>
      </c>
      <c r="L316" s="56">
        <f t="shared" si="297"/>
        <v>4506.5999999999467</v>
      </c>
      <c r="M316" s="56">
        <f t="shared" si="297"/>
        <v>4474.4099999999471</v>
      </c>
      <c r="N316" s="56">
        <f t="shared" si="297"/>
        <v>4442.2199999999475</v>
      </c>
      <c r="O316" s="56">
        <f t="shared" si="297"/>
        <v>4410.0299999999479</v>
      </c>
      <c r="P316" s="56">
        <f t="shared" si="297"/>
        <v>4377.8399999999483</v>
      </c>
      <c r="Q316" s="56">
        <f t="shared" si="297"/>
        <v>4345.6499999999487</v>
      </c>
      <c r="R316" s="56">
        <f t="shared" si="297"/>
        <v>4313.4599999999491</v>
      </c>
      <c r="S316" s="56">
        <f t="shared" si="297"/>
        <v>4281.2699999999495</v>
      </c>
      <c r="T316" s="56">
        <f t="shared" si="297"/>
        <v>4249.0799999999499</v>
      </c>
      <c r="U316" s="56">
        <f t="shared" si="297"/>
        <v>4216.8899999999503</v>
      </c>
      <c r="V316" s="56">
        <f t="shared" si="297"/>
        <v>4184.6999999999507</v>
      </c>
      <c r="W316" s="56">
        <f t="shared" si="297"/>
        <v>4152.5099999999511</v>
      </c>
      <c r="X316" s="56">
        <f t="shared" si="297"/>
        <v>4120.3199999999515</v>
      </c>
      <c r="Y316" s="56">
        <f t="shared" si="297"/>
        <v>4088.1299999999515</v>
      </c>
      <c r="Z316" s="56">
        <f t="shared" si="297"/>
        <v>4055.9399999999514</v>
      </c>
      <c r="AA316" s="56">
        <f t="shared" si="297"/>
        <v>4023.7499999999513</v>
      </c>
      <c r="AB316" s="56">
        <f t="shared" si="297"/>
        <v>3991.5599999999513</v>
      </c>
      <c r="AC316" s="56">
        <f t="shared" si="297"/>
        <v>3959.3699999999512</v>
      </c>
      <c r="AD316" s="56">
        <f t="shared" si="297"/>
        <v>3927.1799999999512</v>
      </c>
      <c r="AE316" s="56">
        <f t="shared" si="297"/>
        <v>3894.9899999999511</v>
      </c>
      <c r="AF316" s="56">
        <f t="shared" si="297"/>
        <v>3862.7999999999511</v>
      </c>
      <c r="AG316" s="56">
        <f>AF316-AG3171</f>
        <v>3862.7999999999511</v>
      </c>
      <c r="AH316" s="56">
        <f>AVERAGE(U316:AG316)</f>
        <v>4026.2261538461053</v>
      </c>
      <c r="AI316" s="48"/>
    </row>
    <row r="317" spans="1:35" x14ac:dyDescent="0.25">
      <c r="A317" s="48">
        <f t="shared" si="296"/>
        <v>4</v>
      </c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48"/>
    </row>
    <row r="318" spans="1:35" x14ac:dyDescent="0.25">
      <c r="A318" s="48">
        <f t="shared" si="296"/>
        <v>5</v>
      </c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48"/>
    </row>
    <row r="319" spans="1:35" x14ac:dyDescent="0.25">
      <c r="A319" s="48">
        <f t="shared" si="296"/>
        <v>6</v>
      </c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48"/>
    </row>
    <row r="320" spans="1:35" x14ac:dyDescent="0.25">
      <c r="A320" s="48">
        <f t="shared" si="296"/>
        <v>7</v>
      </c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48"/>
    </row>
    <row r="321" spans="1:36" x14ac:dyDescent="0.25">
      <c r="A321" s="48">
        <f t="shared" si="296"/>
        <v>8</v>
      </c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48"/>
    </row>
    <row r="322" spans="1:36" x14ac:dyDescent="0.25">
      <c r="A322" s="48">
        <f t="shared" si="296"/>
        <v>9</v>
      </c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48"/>
    </row>
    <row r="323" spans="1:36" ht="15.75" thickBot="1" x14ac:dyDescent="0.3">
      <c r="A323" s="48">
        <f t="shared" si="296"/>
        <v>10</v>
      </c>
      <c r="B323" s="44" t="s">
        <v>194</v>
      </c>
      <c r="F323" s="158">
        <f t="shared" ref="F323:AH323" si="298">SUM(F314:F322)</f>
        <v>4699.7399999999443</v>
      </c>
      <c r="G323" s="158">
        <f t="shared" si="298"/>
        <v>4667.5499999999447</v>
      </c>
      <c r="H323" s="158">
        <f t="shared" si="298"/>
        <v>4635.3599999999451</v>
      </c>
      <c r="I323" s="158">
        <f t="shared" si="298"/>
        <v>4603.1699999999455</v>
      </c>
      <c r="J323" s="158">
        <f t="shared" si="298"/>
        <v>4570.9799999999459</v>
      </c>
      <c r="K323" s="158">
        <f t="shared" si="298"/>
        <v>4538.7899999999463</v>
      </c>
      <c r="L323" s="158">
        <f t="shared" si="298"/>
        <v>4506.5999999999467</v>
      </c>
      <c r="M323" s="158">
        <f t="shared" si="298"/>
        <v>4474.4099999999471</v>
      </c>
      <c r="N323" s="158">
        <f t="shared" si="298"/>
        <v>4442.2199999999475</v>
      </c>
      <c r="O323" s="158">
        <f t="shared" si="298"/>
        <v>4410.0299999999479</v>
      </c>
      <c r="P323" s="158">
        <f t="shared" si="298"/>
        <v>4377.8399999999483</v>
      </c>
      <c r="Q323" s="158">
        <f t="shared" si="298"/>
        <v>4345.6499999999487</v>
      </c>
      <c r="R323" s="158">
        <f t="shared" si="298"/>
        <v>4313.4599999999491</v>
      </c>
      <c r="S323" s="158">
        <f t="shared" si="298"/>
        <v>4281.2699999999495</v>
      </c>
      <c r="T323" s="158">
        <f t="shared" si="298"/>
        <v>4249.0799999999499</v>
      </c>
      <c r="U323" s="158">
        <f t="shared" si="298"/>
        <v>4216.8899999999503</v>
      </c>
      <c r="V323" s="158">
        <f t="shared" si="298"/>
        <v>4184.6999999999507</v>
      </c>
      <c r="W323" s="158">
        <f t="shared" si="298"/>
        <v>4152.5099999999511</v>
      </c>
      <c r="X323" s="158">
        <f t="shared" si="298"/>
        <v>4120.3199999999515</v>
      </c>
      <c r="Y323" s="158">
        <f t="shared" si="298"/>
        <v>4088.1299999999515</v>
      </c>
      <c r="Z323" s="158">
        <f t="shared" si="298"/>
        <v>4055.9399999999514</v>
      </c>
      <c r="AA323" s="158">
        <f t="shared" si="298"/>
        <v>4023.7499999999513</v>
      </c>
      <c r="AB323" s="158">
        <f t="shared" si="298"/>
        <v>3991.5599999999513</v>
      </c>
      <c r="AC323" s="158">
        <f t="shared" si="298"/>
        <v>3959.3699999999512</v>
      </c>
      <c r="AD323" s="158">
        <f t="shared" si="298"/>
        <v>3927.1799999999512</v>
      </c>
      <c r="AE323" s="158">
        <f t="shared" si="298"/>
        <v>3894.9899999999511</v>
      </c>
      <c r="AF323" s="158">
        <f t="shared" si="298"/>
        <v>3862.7999999999511</v>
      </c>
      <c r="AG323" s="158">
        <f t="shared" si="298"/>
        <v>3862.7999999999511</v>
      </c>
      <c r="AH323" s="158">
        <f t="shared" si="298"/>
        <v>4026.2261538461053</v>
      </c>
      <c r="AI323" s="48"/>
    </row>
    <row r="324" spans="1:36" ht="15.75" thickTop="1" x14ac:dyDescent="0.25">
      <c r="A324" s="48"/>
      <c r="F324" s="100"/>
      <c r="G324" s="100"/>
      <c r="H324" s="100"/>
      <c r="I324" s="100"/>
      <c r="J324" s="100"/>
      <c r="AI324" s="48"/>
    </row>
    <row r="325" spans="1:36" x14ac:dyDescent="0.25">
      <c r="A325" s="48"/>
      <c r="F325" s="100"/>
      <c r="G325" s="100"/>
      <c r="H325" s="100"/>
      <c r="I325" s="100"/>
      <c r="J325" s="100"/>
      <c r="AI325" s="48"/>
    </row>
    <row r="326" spans="1:36" x14ac:dyDescent="0.25">
      <c r="A326" s="48"/>
      <c r="AI326" s="48"/>
    </row>
    <row r="327" spans="1:36" x14ac:dyDescent="0.25">
      <c r="A327" s="48"/>
      <c r="AI327" s="48"/>
    </row>
    <row r="328" spans="1:36" x14ac:dyDescent="0.25">
      <c r="A328" s="48"/>
      <c r="AI328" s="48"/>
    </row>
    <row r="329" spans="1:36" x14ac:dyDescent="0.25">
      <c r="A329" s="161" t="s">
        <v>159</v>
      </c>
      <c r="O329" s="162" t="str">
        <f>Linkin!C28</f>
        <v>W/P - 7-5</v>
      </c>
      <c r="Y329" s="162" t="str">
        <f>$O$329</f>
        <v>W/P - 7-5</v>
      </c>
      <c r="AH329" s="162" t="str">
        <f>$O$329</f>
        <v>W/P - 7-5</v>
      </c>
      <c r="AI329" s="48"/>
    </row>
    <row r="330" spans="1:36" x14ac:dyDescent="0.25">
      <c r="A330" s="161" t="s">
        <v>160</v>
      </c>
      <c r="O330" s="162" t="str">
        <f>O2</f>
        <v>KAW_R_PSCHDR_NUM002_100625_Attachment   Sch J WPs</v>
      </c>
      <c r="Y330" s="162" t="str">
        <f>Y2</f>
        <v>KAW_R_PSCHDR_NUM002_100625_Attachment   Sch J WPs</v>
      </c>
      <c r="AH330" s="162" t="str">
        <f>AH2</f>
        <v>KAW_R_PSCHDR_NUM002_100625_Attachment   Sch J WPs</v>
      </c>
      <c r="AI330" s="48"/>
    </row>
    <row r="331" spans="1:36" x14ac:dyDescent="0.25">
      <c r="AI331" s="48"/>
    </row>
    <row r="332" spans="1:36" x14ac:dyDescent="0.25">
      <c r="A332" s="57" t="s">
        <v>161</v>
      </c>
      <c r="AI332" s="48"/>
    </row>
    <row r="333" spans="1:36" x14ac:dyDescent="0.25">
      <c r="A333" s="57" t="s">
        <v>208</v>
      </c>
      <c r="AI333" s="48"/>
    </row>
    <row r="334" spans="1:36" x14ac:dyDescent="0.25">
      <c r="AI334" s="48"/>
    </row>
    <row r="335" spans="1:36" x14ac:dyDescent="0.25">
      <c r="A335" s="166"/>
      <c r="B335" s="166" t="s">
        <v>124</v>
      </c>
      <c r="C335" s="166"/>
      <c r="D335" s="166"/>
      <c r="E335" s="166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48"/>
    </row>
    <row r="336" spans="1:36" x14ac:dyDescent="0.25">
      <c r="A336" s="48" t="s">
        <v>86</v>
      </c>
      <c r="B336" s="48" t="s">
        <v>165</v>
      </c>
      <c r="C336" s="48" t="s">
        <v>115</v>
      </c>
      <c r="D336" s="48"/>
      <c r="E336" s="48"/>
      <c r="F336" s="48" t="s">
        <v>198</v>
      </c>
      <c r="G336" s="48" t="s">
        <v>198</v>
      </c>
      <c r="H336" s="48" t="s">
        <v>198</v>
      </c>
      <c r="I336" s="48" t="s">
        <v>198</v>
      </c>
      <c r="J336" s="48" t="s">
        <v>198</v>
      </c>
      <c r="K336" s="48" t="s">
        <v>198</v>
      </c>
      <c r="L336" s="48" t="s">
        <v>198</v>
      </c>
      <c r="M336" s="48" t="s">
        <v>198</v>
      </c>
      <c r="N336" s="48" t="s">
        <v>198</v>
      </c>
      <c r="O336" s="48" t="s">
        <v>198</v>
      </c>
      <c r="P336" s="48" t="s">
        <v>198</v>
      </c>
      <c r="Q336" s="48" t="s">
        <v>198</v>
      </c>
      <c r="R336" s="48" t="s">
        <v>198</v>
      </c>
      <c r="S336" s="48" t="s">
        <v>198</v>
      </c>
      <c r="T336" s="48" t="s">
        <v>198</v>
      </c>
      <c r="U336" s="48" t="s">
        <v>198</v>
      </c>
      <c r="V336" s="48" t="s">
        <v>198</v>
      </c>
      <c r="W336" s="48" t="s">
        <v>198</v>
      </c>
      <c r="X336" s="48" t="s">
        <v>198</v>
      </c>
      <c r="Y336" s="48" t="s">
        <v>198</v>
      </c>
      <c r="Z336" s="48" t="s">
        <v>198</v>
      </c>
      <c r="AA336" s="48" t="s">
        <v>198</v>
      </c>
      <c r="AB336" s="48" t="s">
        <v>198</v>
      </c>
      <c r="AC336" s="48" t="s">
        <v>198</v>
      </c>
      <c r="AD336" s="48" t="s">
        <v>198</v>
      </c>
      <c r="AE336" s="48" t="s">
        <v>198</v>
      </c>
      <c r="AF336" s="48" t="s">
        <v>166</v>
      </c>
      <c r="AG336" s="48" t="s">
        <v>166</v>
      </c>
      <c r="AH336" s="48" t="s">
        <v>199</v>
      </c>
      <c r="AI336" s="48"/>
      <c r="AJ336" s="177" t="s">
        <v>209</v>
      </c>
    </row>
    <row r="337" spans="1:35" x14ac:dyDescent="0.25">
      <c r="A337" s="169" t="s">
        <v>91</v>
      </c>
      <c r="B337" s="169" t="s">
        <v>118</v>
      </c>
      <c r="C337" s="169" t="s">
        <v>118</v>
      </c>
      <c r="D337" s="169" t="s">
        <v>168</v>
      </c>
      <c r="E337" s="169" t="s">
        <v>169</v>
      </c>
      <c r="F337" s="170">
        <f>F$9</f>
        <v>45565</v>
      </c>
      <c r="G337" s="170">
        <f t="shared" ref="G337:AG337" si="299">G$9</f>
        <v>45596</v>
      </c>
      <c r="H337" s="170">
        <f t="shared" si="299"/>
        <v>45626</v>
      </c>
      <c r="I337" s="170">
        <f t="shared" si="299"/>
        <v>45657</v>
      </c>
      <c r="J337" s="170">
        <f t="shared" si="299"/>
        <v>45688</v>
      </c>
      <c r="K337" s="170">
        <f t="shared" si="299"/>
        <v>45716</v>
      </c>
      <c r="L337" s="170">
        <f t="shared" si="299"/>
        <v>45747</v>
      </c>
      <c r="M337" s="170">
        <f t="shared" si="299"/>
        <v>45777</v>
      </c>
      <c r="N337" s="170">
        <f t="shared" si="299"/>
        <v>45808</v>
      </c>
      <c r="O337" s="170">
        <f t="shared" si="299"/>
        <v>45838</v>
      </c>
      <c r="P337" s="170">
        <f t="shared" si="299"/>
        <v>45869</v>
      </c>
      <c r="Q337" s="170">
        <f t="shared" si="299"/>
        <v>45900</v>
      </c>
      <c r="R337" s="170">
        <f t="shared" si="299"/>
        <v>45930</v>
      </c>
      <c r="S337" s="170">
        <f t="shared" si="299"/>
        <v>45961</v>
      </c>
      <c r="T337" s="170">
        <f t="shared" si="299"/>
        <v>45991</v>
      </c>
      <c r="U337" s="170">
        <f t="shared" si="299"/>
        <v>46022</v>
      </c>
      <c r="V337" s="170">
        <f t="shared" si="299"/>
        <v>46053</v>
      </c>
      <c r="W337" s="170">
        <f t="shared" si="299"/>
        <v>46081</v>
      </c>
      <c r="X337" s="170">
        <f t="shared" si="299"/>
        <v>46112</v>
      </c>
      <c r="Y337" s="170">
        <f t="shared" si="299"/>
        <v>46142</v>
      </c>
      <c r="Z337" s="170">
        <f t="shared" si="299"/>
        <v>46173</v>
      </c>
      <c r="AA337" s="170">
        <f t="shared" si="299"/>
        <v>46203</v>
      </c>
      <c r="AB337" s="170">
        <f t="shared" si="299"/>
        <v>46234</v>
      </c>
      <c r="AC337" s="170">
        <f t="shared" si="299"/>
        <v>46265</v>
      </c>
      <c r="AD337" s="170">
        <f t="shared" si="299"/>
        <v>46295</v>
      </c>
      <c r="AE337" s="170">
        <f t="shared" si="299"/>
        <v>46326</v>
      </c>
      <c r="AF337" s="170">
        <f t="shared" si="299"/>
        <v>46356</v>
      </c>
      <c r="AG337" s="170">
        <f t="shared" si="299"/>
        <v>46387</v>
      </c>
      <c r="AH337" s="171" t="s">
        <v>158</v>
      </c>
      <c r="AI337" s="48"/>
    </row>
    <row r="338" spans="1:35" x14ac:dyDescent="0.25">
      <c r="A338" s="48">
        <v>1</v>
      </c>
      <c r="AI338" s="48"/>
    </row>
    <row r="339" spans="1:35" x14ac:dyDescent="0.25">
      <c r="A339" s="48">
        <f>A338+1</f>
        <v>2</v>
      </c>
      <c r="AI339" s="48"/>
    </row>
    <row r="340" spans="1:35" x14ac:dyDescent="0.25">
      <c r="A340" s="48">
        <f t="shared" ref="A340:A347" si="300">A339+1</f>
        <v>3</v>
      </c>
      <c r="B340" s="44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48"/>
    </row>
    <row r="341" spans="1:35" x14ac:dyDescent="0.25">
      <c r="A341" s="48">
        <f t="shared" si="300"/>
        <v>4</v>
      </c>
      <c r="P341" s="44"/>
      <c r="AH341" s="68"/>
      <c r="AI341" s="48"/>
    </row>
    <row r="342" spans="1:35" x14ac:dyDescent="0.25">
      <c r="A342" s="48">
        <f t="shared" si="300"/>
        <v>5</v>
      </c>
      <c r="B342" s="44" t="str">
        <f>B292</f>
        <v>8.47% Series, $100 Par</v>
      </c>
      <c r="F342" s="56">
        <v>32.19</v>
      </c>
      <c r="G342" s="56">
        <f t="shared" ref="G342:Z342" si="301">F342</f>
        <v>32.19</v>
      </c>
      <c r="H342" s="56">
        <f t="shared" si="301"/>
        <v>32.19</v>
      </c>
      <c r="I342" s="56">
        <f t="shared" si="301"/>
        <v>32.19</v>
      </c>
      <c r="J342" s="56">
        <f t="shared" si="301"/>
        <v>32.19</v>
      </c>
      <c r="K342" s="56">
        <f t="shared" si="301"/>
        <v>32.19</v>
      </c>
      <c r="L342" s="56">
        <f t="shared" ref="L342" si="302">K342</f>
        <v>32.19</v>
      </c>
      <c r="M342" s="56">
        <f t="shared" ref="M342" si="303">L342</f>
        <v>32.19</v>
      </c>
      <c r="N342" s="56">
        <f t="shared" ref="N342" si="304">M342</f>
        <v>32.19</v>
      </c>
      <c r="O342" s="56">
        <f t="shared" ref="O342" si="305">N342</f>
        <v>32.19</v>
      </c>
      <c r="P342" s="56">
        <f t="shared" si="301"/>
        <v>32.19</v>
      </c>
      <c r="Q342" s="56">
        <f t="shared" si="301"/>
        <v>32.19</v>
      </c>
      <c r="R342" s="56">
        <f t="shared" si="301"/>
        <v>32.19</v>
      </c>
      <c r="S342" s="56">
        <f t="shared" si="301"/>
        <v>32.19</v>
      </c>
      <c r="T342" s="56">
        <f t="shared" si="301"/>
        <v>32.19</v>
      </c>
      <c r="U342" s="56">
        <f t="shared" si="301"/>
        <v>32.19</v>
      </c>
      <c r="V342" s="56">
        <f t="shared" si="301"/>
        <v>32.19</v>
      </c>
      <c r="W342" s="56">
        <f t="shared" si="301"/>
        <v>32.19</v>
      </c>
      <c r="X342" s="56">
        <f t="shared" si="301"/>
        <v>32.19</v>
      </c>
      <c r="Y342" s="56">
        <f t="shared" si="301"/>
        <v>32.19</v>
      </c>
      <c r="Z342" s="56">
        <f t="shared" si="301"/>
        <v>32.19</v>
      </c>
      <c r="AA342" s="56">
        <f t="shared" ref="AA342" si="306">Z342</f>
        <v>32.19</v>
      </c>
      <c r="AB342" s="56">
        <f t="shared" ref="AB342" si="307">AA342</f>
        <v>32.19</v>
      </c>
      <c r="AC342" s="56">
        <f t="shared" ref="AC342" si="308">AB342</f>
        <v>32.19</v>
      </c>
      <c r="AD342" s="56">
        <f t="shared" ref="AD342" si="309">AC342</f>
        <v>32.19</v>
      </c>
      <c r="AE342" s="56">
        <f t="shared" ref="AE342:AG342" si="310">AD342</f>
        <v>32.19</v>
      </c>
      <c r="AF342" s="56">
        <f t="shared" si="310"/>
        <v>32.19</v>
      </c>
      <c r="AG342" s="56">
        <f t="shared" si="310"/>
        <v>32.19</v>
      </c>
      <c r="AH342" s="56">
        <f>SUM(V342:AG342)</f>
        <v>386.28</v>
      </c>
      <c r="AI342" s="48"/>
    </row>
    <row r="343" spans="1:35" x14ac:dyDescent="0.25">
      <c r="A343" s="48">
        <f t="shared" si="300"/>
        <v>6</v>
      </c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48"/>
    </row>
    <row r="344" spans="1:35" x14ac:dyDescent="0.25">
      <c r="A344" s="48">
        <f t="shared" si="300"/>
        <v>7</v>
      </c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48"/>
    </row>
    <row r="345" spans="1:35" x14ac:dyDescent="0.25">
      <c r="A345" s="48">
        <f t="shared" si="300"/>
        <v>8</v>
      </c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48"/>
    </row>
    <row r="346" spans="1:35" x14ac:dyDescent="0.25">
      <c r="A346" s="48">
        <f t="shared" si="300"/>
        <v>9</v>
      </c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48"/>
    </row>
    <row r="347" spans="1:35" ht="15.75" thickBot="1" x14ac:dyDescent="0.3">
      <c r="A347" s="48">
        <f t="shared" si="300"/>
        <v>10</v>
      </c>
      <c r="B347" s="44" t="s">
        <v>194</v>
      </c>
      <c r="F347" s="158">
        <f t="shared" ref="F347:AG347" si="311">SUM(F340:F346)</f>
        <v>32.19</v>
      </c>
      <c r="G347" s="158">
        <f t="shared" si="311"/>
        <v>32.19</v>
      </c>
      <c r="H347" s="158">
        <f t="shared" si="311"/>
        <v>32.19</v>
      </c>
      <c r="I347" s="158">
        <f t="shared" si="311"/>
        <v>32.19</v>
      </c>
      <c r="J347" s="158">
        <f t="shared" si="311"/>
        <v>32.19</v>
      </c>
      <c r="K347" s="158">
        <f t="shared" si="311"/>
        <v>32.19</v>
      </c>
      <c r="L347" s="158">
        <f t="shared" si="311"/>
        <v>32.19</v>
      </c>
      <c r="M347" s="158">
        <f t="shared" si="311"/>
        <v>32.19</v>
      </c>
      <c r="N347" s="158">
        <f t="shared" si="311"/>
        <v>32.19</v>
      </c>
      <c r="O347" s="158">
        <f t="shared" si="311"/>
        <v>32.19</v>
      </c>
      <c r="P347" s="158">
        <f t="shared" si="311"/>
        <v>32.19</v>
      </c>
      <c r="Q347" s="158">
        <f t="shared" si="311"/>
        <v>32.19</v>
      </c>
      <c r="R347" s="158">
        <f t="shared" si="311"/>
        <v>32.19</v>
      </c>
      <c r="S347" s="158">
        <f t="shared" si="311"/>
        <v>32.19</v>
      </c>
      <c r="T347" s="158">
        <f t="shared" si="311"/>
        <v>32.19</v>
      </c>
      <c r="U347" s="158">
        <f t="shared" si="311"/>
        <v>32.19</v>
      </c>
      <c r="V347" s="158">
        <f t="shared" si="311"/>
        <v>32.19</v>
      </c>
      <c r="W347" s="158">
        <f t="shared" si="311"/>
        <v>32.19</v>
      </c>
      <c r="X347" s="158">
        <f t="shared" si="311"/>
        <v>32.19</v>
      </c>
      <c r="Y347" s="158">
        <f t="shared" si="311"/>
        <v>32.19</v>
      </c>
      <c r="Z347" s="158">
        <f t="shared" si="311"/>
        <v>32.19</v>
      </c>
      <c r="AA347" s="158">
        <f t="shared" si="311"/>
        <v>32.19</v>
      </c>
      <c r="AB347" s="158">
        <f t="shared" si="311"/>
        <v>32.19</v>
      </c>
      <c r="AC347" s="158">
        <f t="shared" si="311"/>
        <v>32.19</v>
      </c>
      <c r="AD347" s="158">
        <f t="shared" si="311"/>
        <v>32.19</v>
      </c>
      <c r="AE347" s="158">
        <f t="shared" si="311"/>
        <v>32.19</v>
      </c>
      <c r="AF347" s="158">
        <f t="shared" si="311"/>
        <v>32.19</v>
      </c>
      <c r="AG347" s="158">
        <f t="shared" si="311"/>
        <v>32.19</v>
      </c>
      <c r="AH347" s="158">
        <f>SUM(AH340:AH346)</f>
        <v>386.28</v>
      </c>
      <c r="AI347" s="48"/>
    </row>
    <row r="348" spans="1:35" ht="15.75" thickTop="1" x14ac:dyDescent="0.25">
      <c r="A348" s="48"/>
      <c r="AI348" s="48"/>
    </row>
    <row r="349" spans="1:35" x14ac:dyDescent="0.25">
      <c r="A349" s="48"/>
      <c r="AI349" s="48"/>
    </row>
    <row r="350" spans="1:35" x14ac:dyDescent="0.25">
      <c r="A350" s="48"/>
      <c r="AI350" s="48"/>
    </row>
    <row r="351" spans="1:35" x14ac:dyDescent="0.25">
      <c r="A351" s="48"/>
      <c r="AI351" s="48"/>
    </row>
    <row r="352" spans="1:35" x14ac:dyDescent="0.25">
      <c r="A352" s="48"/>
      <c r="AI352" s="48"/>
    </row>
    <row r="353" spans="1:36" x14ac:dyDescent="0.25">
      <c r="A353" s="161" t="s">
        <v>159</v>
      </c>
      <c r="O353" s="162" t="str">
        <f>Linkin!C28</f>
        <v>W/P - 7-5</v>
      </c>
      <c r="Y353" s="162" t="str">
        <f>$O$353</f>
        <v>W/P - 7-5</v>
      </c>
      <c r="AH353" s="162" t="str">
        <f>$O$353</f>
        <v>W/P - 7-5</v>
      </c>
      <c r="AI353" s="48"/>
    </row>
    <row r="354" spans="1:36" x14ac:dyDescent="0.25">
      <c r="A354" s="161" t="s">
        <v>160</v>
      </c>
      <c r="O354" s="162" t="str">
        <f>O2</f>
        <v>KAW_R_PSCHDR_NUM002_100625_Attachment   Sch J WPs</v>
      </c>
      <c r="Y354" s="162" t="str">
        <f>Y2</f>
        <v>KAW_R_PSCHDR_NUM002_100625_Attachment   Sch J WPs</v>
      </c>
      <c r="AH354" s="162" t="str">
        <f>AH2</f>
        <v>KAW_R_PSCHDR_NUM002_100625_Attachment   Sch J WPs</v>
      </c>
      <c r="AI354" s="48"/>
    </row>
    <row r="355" spans="1:36" x14ac:dyDescent="0.25">
      <c r="A355" s="48"/>
      <c r="AI355" s="48"/>
    </row>
    <row r="356" spans="1:36" x14ac:dyDescent="0.25">
      <c r="A356" s="57" t="s">
        <v>161</v>
      </c>
      <c r="AI356" s="48"/>
    </row>
    <row r="357" spans="1:36" x14ac:dyDescent="0.25">
      <c r="A357" s="57" t="s">
        <v>210</v>
      </c>
      <c r="AI357" s="48"/>
    </row>
    <row r="358" spans="1:36" x14ac:dyDescent="0.25">
      <c r="AI358" s="48"/>
      <c r="AJ358" s="177" t="s">
        <v>211</v>
      </c>
    </row>
    <row r="359" spans="1:36" x14ac:dyDescent="0.25">
      <c r="A359" s="166"/>
      <c r="B359" s="166" t="s">
        <v>124</v>
      </c>
      <c r="C359" s="166"/>
      <c r="D359" s="166"/>
      <c r="E359" s="166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48"/>
    </row>
    <row r="360" spans="1:36" x14ac:dyDescent="0.25">
      <c r="A360" s="48" t="s">
        <v>86</v>
      </c>
      <c r="B360" s="48" t="s">
        <v>165</v>
      </c>
      <c r="C360" s="48" t="s">
        <v>115</v>
      </c>
      <c r="D360" s="48"/>
      <c r="E360" s="48"/>
      <c r="F360" s="48" t="s">
        <v>198</v>
      </c>
      <c r="G360" s="48" t="s">
        <v>198</v>
      </c>
      <c r="H360" s="48" t="s">
        <v>198</v>
      </c>
      <c r="I360" s="48" t="s">
        <v>198</v>
      </c>
      <c r="J360" s="48" t="s">
        <v>198</v>
      </c>
      <c r="K360" s="48" t="s">
        <v>198</v>
      </c>
      <c r="L360" s="48" t="s">
        <v>198</v>
      </c>
      <c r="M360" s="48" t="s">
        <v>198</v>
      </c>
      <c r="N360" s="48" t="s">
        <v>198</v>
      </c>
      <c r="O360" s="48" t="s">
        <v>198</v>
      </c>
      <c r="P360" s="48" t="s">
        <v>198</v>
      </c>
      <c r="Q360" s="48" t="s">
        <v>198</v>
      </c>
      <c r="R360" s="48" t="s">
        <v>198</v>
      </c>
      <c r="S360" s="48" t="s">
        <v>198</v>
      </c>
      <c r="T360" s="48" t="s">
        <v>198</v>
      </c>
      <c r="U360" s="48" t="s">
        <v>198</v>
      </c>
      <c r="V360" s="48" t="s">
        <v>198</v>
      </c>
      <c r="W360" s="48" t="s">
        <v>198</v>
      </c>
      <c r="X360" s="48" t="s">
        <v>198</v>
      </c>
      <c r="Y360" s="48" t="s">
        <v>198</v>
      </c>
      <c r="Z360" s="48" t="s">
        <v>198</v>
      </c>
      <c r="AA360" s="48" t="s">
        <v>198</v>
      </c>
      <c r="AB360" s="48" t="s">
        <v>198</v>
      </c>
      <c r="AC360" s="48" t="s">
        <v>198</v>
      </c>
      <c r="AD360" s="48" t="s">
        <v>198</v>
      </c>
      <c r="AE360" s="48" t="s">
        <v>198</v>
      </c>
      <c r="AF360" s="48" t="s">
        <v>198</v>
      </c>
      <c r="AG360" s="48" t="s">
        <v>198</v>
      </c>
      <c r="AH360" s="48" t="s">
        <v>199</v>
      </c>
      <c r="AI360" s="48"/>
      <c r="AJ360" s="56"/>
    </row>
    <row r="361" spans="1:36" x14ac:dyDescent="0.25">
      <c r="A361" s="169" t="s">
        <v>91</v>
      </c>
      <c r="B361" s="169" t="s">
        <v>118</v>
      </c>
      <c r="C361" s="169" t="s">
        <v>118</v>
      </c>
      <c r="D361" s="169" t="s">
        <v>168</v>
      </c>
      <c r="E361" s="169" t="s">
        <v>169</v>
      </c>
      <c r="F361" s="170">
        <f>F$9</f>
        <v>45565</v>
      </c>
      <c r="G361" s="170">
        <f t="shared" ref="G361:AG361" si="312">G$9</f>
        <v>45596</v>
      </c>
      <c r="H361" s="170">
        <f t="shared" si="312"/>
        <v>45626</v>
      </c>
      <c r="I361" s="170">
        <f t="shared" si="312"/>
        <v>45657</v>
      </c>
      <c r="J361" s="170">
        <f t="shared" si="312"/>
        <v>45688</v>
      </c>
      <c r="K361" s="170">
        <f t="shared" si="312"/>
        <v>45716</v>
      </c>
      <c r="L361" s="170">
        <f t="shared" si="312"/>
        <v>45747</v>
      </c>
      <c r="M361" s="170">
        <f t="shared" si="312"/>
        <v>45777</v>
      </c>
      <c r="N361" s="170">
        <f t="shared" si="312"/>
        <v>45808</v>
      </c>
      <c r="O361" s="170">
        <f t="shared" si="312"/>
        <v>45838</v>
      </c>
      <c r="P361" s="170">
        <f t="shared" si="312"/>
        <v>45869</v>
      </c>
      <c r="Q361" s="170">
        <f t="shared" si="312"/>
        <v>45900</v>
      </c>
      <c r="R361" s="170">
        <f t="shared" si="312"/>
        <v>45930</v>
      </c>
      <c r="S361" s="170">
        <f t="shared" si="312"/>
        <v>45961</v>
      </c>
      <c r="T361" s="170">
        <f t="shared" si="312"/>
        <v>45991</v>
      </c>
      <c r="U361" s="170">
        <f t="shared" si="312"/>
        <v>46022</v>
      </c>
      <c r="V361" s="170">
        <f t="shared" si="312"/>
        <v>46053</v>
      </c>
      <c r="W361" s="170">
        <f t="shared" si="312"/>
        <v>46081</v>
      </c>
      <c r="X361" s="170">
        <f t="shared" si="312"/>
        <v>46112</v>
      </c>
      <c r="Y361" s="170">
        <f t="shared" si="312"/>
        <v>46142</v>
      </c>
      <c r="Z361" s="170">
        <f t="shared" si="312"/>
        <v>46173</v>
      </c>
      <c r="AA361" s="170">
        <f t="shared" si="312"/>
        <v>46203</v>
      </c>
      <c r="AB361" s="170">
        <f t="shared" si="312"/>
        <v>46234</v>
      </c>
      <c r="AC361" s="170">
        <f t="shared" si="312"/>
        <v>46265</v>
      </c>
      <c r="AD361" s="170">
        <f t="shared" si="312"/>
        <v>46295</v>
      </c>
      <c r="AE361" s="170">
        <f t="shared" si="312"/>
        <v>46326</v>
      </c>
      <c r="AF361" s="170">
        <f t="shared" si="312"/>
        <v>46356</v>
      </c>
      <c r="AG361" s="170">
        <f t="shared" si="312"/>
        <v>46387</v>
      </c>
      <c r="AH361" s="171" t="s">
        <v>158</v>
      </c>
      <c r="AI361" s="48"/>
    </row>
    <row r="362" spans="1:36" x14ac:dyDescent="0.25">
      <c r="A362" s="48">
        <v>1</v>
      </c>
      <c r="AI362" s="48"/>
    </row>
    <row r="363" spans="1:36" x14ac:dyDescent="0.25">
      <c r="A363" s="48">
        <f>A362+1</f>
        <v>2</v>
      </c>
      <c r="AI363" s="48"/>
    </row>
    <row r="364" spans="1:36" x14ac:dyDescent="0.25">
      <c r="A364" s="48">
        <f t="shared" ref="A364:A371" si="313">A363+1</f>
        <v>3</v>
      </c>
      <c r="B364" s="44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48"/>
    </row>
    <row r="365" spans="1:36" x14ac:dyDescent="0.25">
      <c r="A365" s="48">
        <f t="shared" si="313"/>
        <v>4</v>
      </c>
      <c r="AI365" s="48"/>
    </row>
    <row r="366" spans="1:36" x14ac:dyDescent="0.25">
      <c r="A366" s="48">
        <f t="shared" si="313"/>
        <v>5</v>
      </c>
      <c r="B366" s="44" t="str">
        <f>B292</f>
        <v>8.47% Series, $100 Par</v>
      </c>
      <c r="F366" s="56">
        <f>ROUND(+F292/12*$C$292,4)</f>
        <v>15881.25</v>
      </c>
      <c r="G366" s="56">
        <f t="shared" ref="G366:AG366" si="314">ROUND(+G292/12*$C$292,4)</f>
        <v>15881.25</v>
      </c>
      <c r="H366" s="56">
        <f t="shared" si="314"/>
        <v>15881.25</v>
      </c>
      <c r="I366" s="56">
        <f t="shared" si="314"/>
        <v>15881.25</v>
      </c>
      <c r="J366" s="56">
        <f t="shared" si="314"/>
        <v>15881.25</v>
      </c>
      <c r="K366" s="56">
        <f t="shared" si="314"/>
        <v>15881.25</v>
      </c>
      <c r="L366" s="56">
        <f t="shared" si="314"/>
        <v>15881.25</v>
      </c>
      <c r="M366" s="56">
        <f t="shared" si="314"/>
        <v>15881.25</v>
      </c>
      <c r="N366" s="56">
        <f t="shared" si="314"/>
        <v>15881.25</v>
      </c>
      <c r="O366" s="56">
        <f t="shared" si="314"/>
        <v>15881.25</v>
      </c>
      <c r="P366" s="56">
        <f t="shared" si="314"/>
        <v>15881.25</v>
      </c>
      <c r="Q366" s="56">
        <f t="shared" si="314"/>
        <v>15881.25</v>
      </c>
      <c r="R366" s="56">
        <f t="shared" si="314"/>
        <v>15881.25</v>
      </c>
      <c r="S366" s="56">
        <f t="shared" si="314"/>
        <v>15881.25</v>
      </c>
      <c r="T366" s="56">
        <f t="shared" si="314"/>
        <v>15881.25</v>
      </c>
      <c r="U366" s="56">
        <f t="shared" si="314"/>
        <v>15881.25</v>
      </c>
      <c r="V366" s="56">
        <f t="shared" si="314"/>
        <v>15881.25</v>
      </c>
      <c r="W366" s="56">
        <f t="shared" si="314"/>
        <v>15881.25</v>
      </c>
      <c r="X366" s="56">
        <f t="shared" si="314"/>
        <v>15881.25</v>
      </c>
      <c r="Y366" s="56">
        <f t="shared" si="314"/>
        <v>15881.25</v>
      </c>
      <c r="Z366" s="56">
        <f t="shared" si="314"/>
        <v>15881.25</v>
      </c>
      <c r="AA366" s="56">
        <f t="shared" si="314"/>
        <v>15881.25</v>
      </c>
      <c r="AB366" s="56">
        <f t="shared" si="314"/>
        <v>15881.25</v>
      </c>
      <c r="AC366" s="56">
        <f t="shared" si="314"/>
        <v>15881.25</v>
      </c>
      <c r="AD366" s="56">
        <f t="shared" si="314"/>
        <v>15881.25</v>
      </c>
      <c r="AE366" s="56">
        <f t="shared" si="314"/>
        <v>15881.25</v>
      </c>
      <c r="AF366" s="56">
        <f t="shared" si="314"/>
        <v>15881.25</v>
      </c>
      <c r="AG366" s="56">
        <f t="shared" si="314"/>
        <v>15881.25</v>
      </c>
      <c r="AH366" s="56">
        <f>SUM(V366:AG366)</f>
        <v>190575</v>
      </c>
      <c r="AI366" s="48"/>
    </row>
    <row r="367" spans="1:36" x14ac:dyDescent="0.25">
      <c r="A367" s="48">
        <f t="shared" si="313"/>
        <v>6</v>
      </c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48"/>
    </row>
    <row r="368" spans="1:36" x14ac:dyDescent="0.25">
      <c r="A368" s="48">
        <f t="shared" si="313"/>
        <v>7</v>
      </c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48"/>
    </row>
    <row r="369" spans="1:35" x14ac:dyDescent="0.25">
      <c r="A369" s="48">
        <f t="shared" si="313"/>
        <v>8</v>
      </c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48"/>
    </row>
    <row r="370" spans="1:35" x14ac:dyDescent="0.25">
      <c r="A370" s="48">
        <f t="shared" si="313"/>
        <v>9</v>
      </c>
      <c r="AI370" s="48"/>
    </row>
    <row r="371" spans="1:35" ht="15.75" thickBot="1" x14ac:dyDescent="0.3">
      <c r="A371" s="48">
        <f t="shared" si="313"/>
        <v>10</v>
      </c>
      <c r="B371" s="44" t="s">
        <v>194</v>
      </c>
      <c r="F371" s="158">
        <f t="shared" ref="F371:AG371" si="315">SUM(F364:F370)</f>
        <v>15881.25</v>
      </c>
      <c r="G371" s="158">
        <f t="shared" si="315"/>
        <v>15881.25</v>
      </c>
      <c r="H371" s="158">
        <f t="shared" si="315"/>
        <v>15881.25</v>
      </c>
      <c r="I371" s="158">
        <f t="shared" si="315"/>
        <v>15881.25</v>
      </c>
      <c r="J371" s="158">
        <f t="shared" si="315"/>
        <v>15881.25</v>
      </c>
      <c r="K371" s="158">
        <f t="shared" si="315"/>
        <v>15881.25</v>
      </c>
      <c r="L371" s="158">
        <f t="shared" si="315"/>
        <v>15881.25</v>
      </c>
      <c r="M371" s="158">
        <f t="shared" si="315"/>
        <v>15881.25</v>
      </c>
      <c r="N371" s="158">
        <f t="shared" si="315"/>
        <v>15881.25</v>
      </c>
      <c r="O371" s="158">
        <f t="shared" si="315"/>
        <v>15881.25</v>
      </c>
      <c r="P371" s="158">
        <f t="shared" si="315"/>
        <v>15881.25</v>
      </c>
      <c r="Q371" s="158">
        <f t="shared" si="315"/>
        <v>15881.25</v>
      </c>
      <c r="R371" s="158">
        <f t="shared" si="315"/>
        <v>15881.25</v>
      </c>
      <c r="S371" s="158">
        <f t="shared" si="315"/>
        <v>15881.25</v>
      </c>
      <c r="T371" s="158">
        <f t="shared" si="315"/>
        <v>15881.25</v>
      </c>
      <c r="U371" s="158">
        <f t="shared" si="315"/>
        <v>15881.25</v>
      </c>
      <c r="V371" s="158">
        <f t="shared" si="315"/>
        <v>15881.25</v>
      </c>
      <c r="W371" s="158">
        <f t="shared" si="315"/>
        <v>15881.25</v>
      </c>
      <c r="X371" s="158">
        <f t="shared" si="315"/>
        <v>15881.25</v>
      </c>
      <c r="Y371" s="158">
        <f t="shared" si="315"/>
        <v>15881.25</v>
      </c>
      <c r="Z371" s="158">
        <f t="shared" si="315"/>
        <v>15881.25</v>
      </c>
      <c r="AA371" s="158">
        <f t="shared" si="315"/>
        <v>15881.25</v>
      </c>
      <c r="AB371" s="158">
        <f t="shared" si="315"/>
        <v>15881.25</v>
      </c>
      <c r="AC371" s="158">
        <f t="shared" si="315"/>
        <v>15881.25</v>
      </c>
      <c r="AD371" s="158">
        <f t="shared" si="315"/>
        <v>15881.25</v>
      </c>
      <c r="AE371" s="158">
        <f t="shared" si="315"/>
        <v>15881.25</v>
      </c>
      <c r="AF371" s="158">
        <f t="shared" si="315"/>
        <v>15881.25</v>
      </c>
      <c r="AG371" s="158">
        <f t="shared" si="315"/>
        <v>15881.25</v>
      </c>
      <c r="AH371" s="158">
        <f>SUM(AH364:AH370)</f>
        <v>190575</v>
      </c>
      <c r="AI371" s="48"/>
    </row>
    <row r="372" spans="1:35" ht="15.75" thickTop="1" x14ac:dyDescent="0.25">
      <c r="A372" s="48"/>
      <c r="AI372" s="48"/>
    </row>
    <row r="373" spans="1:35" x14ac:dyDescent="0.25">
      <c r="A373" s="48"/>
      <c r="AI373" s="48"/>
    </row>
    <row r="374" spans="1:35" x14ac:dyDescent="0.25">
      <c r="A374" s="48"/>
      <c r="AI374" s="48"/>
    </row>
    <row r="375" spans="1:35" x14ac:dyDescent="0.25">
      <c r="A375" s="48"/>
      <c r="AI375" s="48"/>
    </row>
    <row r="376" spans="1:35" x14ac:dyDescent="0.25">
      <c r="A376" s="48"/>
      <c r="AI376" s="48"/>
    </row>
    <row r="377" spans="1:35" x14ac:dyDescent="0.25">
      <c r="A377" s="48"/>
      <c r="AI377" s="48"/>
    </row>
    <row r="378" spans="1:35" x14ac:dyDescent="0.25">
      <c r="A378" s="161" t="s">
        <v>159</v>
      </c>
      <c r="O378" s="162" t="str">
        <f>Linkin!C26</f>
        <v>W/P - 7-3</v>
      </c>
      <c r="Y378" s="162" t="str">
        <f>$O$378</f>
        <v>W/P - 7-3</v>
      </c>
      <c r="AH378" s="162" t="str">
        <f>$O$378</f>
        <v>W/P - 7-3</v>
      </c>
      <c r="AI378" s="48"/>
    </row>
    <row r="379" spans="1:35" x14ac:dyDescent="0.25">
      <c r="A379" s="161" t="s">
        <v>160</v>
      </c>
      <c r="O379" s="162" t="str">
        <f>O2</f>
        <v>KAW_R_PSCHDR_NUM002_100625_Attachment   Sch J WPs</v>
      </c>
      <c r="Y379" s="162" t="str">
        <f>Y2</f>
        <v>KAW_R_PSCHDR_NUM002_100625_Attachment   Sch J WPs</v>
      </c>
      <c r="AH379" s="162" t="str">
        <f>AH2</f>
        <v>KAW_R_PSCHDR_NUM002_100625_Attachment   Sch J WPs</v>
      </c>
      <c r="AI379" s="48"/>
    </row>
    <row r="380" spans="1:35" x14ac:dyDescent="0.25">
      <c r="A380" s="48"/>
      <c r="AI380" s="48"/>
    </row>
    <row r="381" spans="1:35" x14ac:dyDescent="0.25">
      <c r="A381" s="57" t="s">
        <v>161</v>
      </c>
      <c r="AI381" s="48"/>
    </row>
    <row r="382" spans="1:35" x14ac:dyDescent="0.25">
      <c r="A382" s="57" t="s">
        <v>212</v>
      </c>
      <c r="AI382" s="48"/>
    </row>
    <row r="383" spans="1:35" x14ac:dyDescent="0.25">
      <c r="AI383" s="48"/>
    </row>
    <row r="384" spans="1:35" x14ac:dyDescent="0.25">
      <c r="A384" s="166"/>
      <c r="B384" s="166"/>
      <c r="C384" s="166"/>
      <c r="D384" s="166"/>
      <c r="E384" s="166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48"/>
    </row>
    <row r="385" spans="1:36" x14ac:dyDescent="0.25">
      <c r="A385" s="48" t="s">
        <v>86</v>
      </c>
      <c r="B385" s="48"/>
      <c r="C385" s="48" t="s">
        <v>115</v>
      </c>
      <c r="D385" s="48"/>
      <c r="E385" s="48"/>
      <c r="F385" s="48" t="s">
        <v>166</v>
      </c>
      <c r="G385" s="48" t="s">
        <v>166</v>
      </c>
      <c r="H385" s="48" t="s">
        <v>166</v>
      </c>
      <c r="I385" s="48" t="s">
        <v>166</v>
      </c>
      <c r="J385" s="48" t="s">
        <v>166</v>
      </c>
      <c r="K385" s="48" t="s">
        <v>166</v>
      </c>
      <c r="L385" s="48" t="s">
        <v>166</v>
      </c>
      <c r="M385" s="48" t="s">
        <v>166</v>
      </c>
      <c r="N385" s="48" t="s">
        <v>166</v>
      </c>
      <c r="O385" s="48" t="s">
        <v>166</v>
      </c>
      <c r="P385" s="48" t="s">
        <v>166</v>
      </c>
      <c r="Q385" s="48" t="s">
        <v>166</v>
      </c>
      <c r="R385" s="48" t="s">
        <v>166</v>
      </c>
      <c r="S385" s="48" t="s">
        <v>166</v>
      </c>
      <c r="T385" s="48" t="s">
        <v>166</v>
      </c>
      <c r="U385" s="48" t="s">
        <v>166</v>
      </c>
      <c r="V385" s="48" t="s">
        <v>166</v>
      </c>
      <c r="W385" s="48" t="s">
        <v>166</v>
      </c>
      <c r="X385" s="48" t="s">
        <v>166</v>
      </c>
      <c r="Y385" s="48" t="s">
        <v>166</v>
      </c>
      <c r="Z385" s="48" t="s">
        <v>166</v>
      </c>
      <c r="AA385" s="48" t="s">
        <v>166</v>
      </c>
      <c r="AB385" s="48" t="s">
        <v>166</v>
      </c>
      <c r="AC385" s="48" t="s">
        <v>166</v>
      </c>
      <c r="AD385" s="48" t="s">
        <v>166</v>
      </c>
      <c r="AE385" s="48" t="s">
        <v>166</v>
      </c>
      <c r="AF385" s="48" t="s">
        <v>166</v>
      </c>
      <c r="AG385" s="48" t="s">
        <v>166</v>
      </c>
      <c r="AH385" s="48" t="s">
        <v>85</v>
      </c>
      <c r="AI385" s="48"/>
    </row>
    <row r="386" spans="1:36" x14ac:dyDescent="0.25">
      <c r="A386" s="169" t="s">
        <v>91</v>
      </c>
      <c r="B386" s="169"/>
      <c r="C386" s="169" t="s">
        <v>118</v>
      </c>
      <c r="D386" s="169"/>
      <c r="E386" s="169"/>
      <c r="F386" s="170">
        <f>F$9</f>
        <v>45565</v>
      </c>
      <c r="G386" s="170">
        <f t="shared" ref="G386:AG386" si="316">G$9</f>
        <v>45596</v>
      </c>
      <c r="H386" s="170">
        <f t="shared" si="316"/>
        <v>45626</v>
      </c>
      <c r="I386" s="170">
        <f t="shared" si="316"/>
        <v>45657</v>
      </c>
      <c r="J386" s="170">
        <f t="shared" si="316"/>
        <v>45688</v>
      </c>
      <c r="K386" s="170">
        <f t="shared" si="316"/>
        <v>45716</v>
      </c>
      <c r="L386" s="170">
        <f t="shared" si="316"/>
        <v>45747</v>
      </c>
      <c r="M386" s="170">
        <f t="shared" si="316"/>
        <v>45777</v>
      </c>
      <c r="N386" s="170">
        <f t="shared" si="316"/>
        <v>45808</v>
      </c>
      <c r="O386" s="170">
        <f t="shared" si="316"/>
        <v>45838</v>
      </c>
      <c r="P386" s="170">
        <f t="shared" si="316"/>
        <v>45869</v>
      </c>
      <c r="Q386" s="170">
        <f t="shared" si="316"/>
        <v>45900</v>
      </c>
      <c r="R386" s="170">
        <f t="shared" si="316"/>
        <v>45930</v>
      </c>
      <c r="S386" s="170">
        <f t="shared" si="316"/>
        <v>45961</v>
      </c>
      <c r="T386" s="170">
        <f t="shared" si="316"/>
        <v>45991</v>
      </c>
      <c r="U386" s="170">
        <f t="shared" si="316"/>
        <v>46022</v>
      </c>
      <c r="V386" s="170">
        <f t="shared" si="316"/>
        <v>46053</v>
      </c>
      <c r="W386" s="170">
        <f t="shared" si="316"/>
        <v>46081</v>
      </c>
      <c r="X386" s="170">
        <f t="shared" si="316"/>
        <v>46112</v>
      </c>
      <c r="Y386" s="170">
        <f t="shared" si="316"/>
        <v>46142</v>
      </c>
      <c r="Z386" s="170">
        <f t="shared" si="316"/>
        <v>46173</v>
      </c>
      <c r="AA386" s="170">
        <f t="shared" si="316"/>
        <v>46203</v>
      </c>
      <c r="AB386" s="170">
        <f t="shared" si="316"/>
        <v>46234</v>
      </c>
      <c r="AC386" s="170">
        <f t="shared" si="316"/>
        <v>46265</v>
      </c>
      <c r="AD386" s="170">
        <f t="shared" si="316"/>
        <v>46295</v>
      </c>
      <c r="AE386" s="170">
        <f t="shared" si="316"/>
        <v>46326</v>
      </c>
      <c r="AF386" s="170">
        <f t="shared" si="316"/>
        <v>46356</v>
      </c>
      <c r="AG386" s="170">
        <f t="shared" si="316"/>
        <v>46387</v>
      </c>
      <c r="AH386" s="171" t="s">
        <v>90</v>
      </c>
      <c r="AI386" s="48"/>
    </row>
    <row r="387" spans="1:36" x14ac:dyDescent="0.25">
      <c r="A387" s="48">
        <v>1</v>
      </c>
      <c r="AI387" s="48"/>
    </row>
    <row r="388" spans="1:36" x14ac:dyDescent="0.25">
      <c r="A388" s="48">
        <f>A387+1</f>
        <v>2</v>
      </c>
      <c r="AI388" s="48"/>
      <c r="AJ388" s="177"/>
    </row>
    <row r="389" spans="1:36" x14ac:dyDescent="0.25">
      <c r="A389" s="48">
        <f t="shared" ref="A389:A398" si="317">A388+1</f>
        <v>3</v>
      </c>
      <c r="AI389" s="48"/>
    </row>
    <row r="390" spans="1:36" x14ac:dyDescent="0.25">
      <c r="A390" s="48">
        <f t="shared" si="317"/>
        <v>4</v>
      </c>
      <c r="AI390" s="48"/>
    </row>
    <row r="391" spans="1:36" x14ac:dyDescent="0.25">
      <c r="A391" s="48">
        <f t="shared" si="317"/>
        <v>5</v>
      </c>
      <c r="AE391" s="76"/>
      <c r="AF391" s="76"/>
      <c r="AG391" s="76"/>
      <c r="AI391" s="48"/>
    </row>
    <row r="392" spans="1:36" x14ac:dyDescent="0.25">
      <c r="A392" s="48">
        <f t="shared" si="317"/>
        <v>6</v>
      </c>
      <c r="R392" s="78"/>
      <c r="S392" s="78"/>
      <c r="AI392" s="48"/>
    </row>
    <row r="393" spans="1:36" ht="15.75" thickBot="1" x14ac:dyDescent="0.3">
      <c r="A393" s="48">
        <f t="shared" si="317"/>
        <v>7</v>
      </c>
      <c r="B393" s="44" t="s">
        <v>213</v>
      </c>
      <c r="F393" s="188">
        <f>'STD 2024 WP'!E11</f>
        <v>0</v>
      </c>
      <c r="G393" s="188">
        <f>'STD 2024 WP'!E12</f>
        <v>0</v>
      </c>
      <c r="H393" s="188">
        <f>'STD 2024 WP'!E13</f>
        <v>5973702.5600000024</v>
      </c>
      <c r="I393" s="188">
        <f>'STD 2024 WP'!E14</f>
        <v>10388870.040000003</v>
      </c>
      <c r="J393" s="188">
        <f>'STD 2024 WP'!E15</f>
        <v>13708846.210000003</v>
      </c>
      <c r="K393" s="188">
        <f>'STD 2024 WP'!E16</f>
        <v>17714179.850000001</v>
      </c>
      <c r="L393" s="158">
        <v>3104760.5799999982</v>
      </c>
      <c r="M393" s="158">
        <v>11010497.129999999</v>
      </c>
      <c r="N393" s="158">
        <v>11610562.999999998</v>
      </c>
      <c r="O393" s="158">
        <v>12693202.799999999</v>
      </c>
      <c r="P393" s="158">
        <v>14600593.84</v>
      </c>
      <c r="Q393" s="158">
        <v>15704767.890000001</v>
      </c>
      <c r="R393" s="158">
        <v>3871021.1192197092</v>
      </c>
      <c r="S393" s="158">
        <v>3383572.5363855315</v>
      </c>
      <c r="T393" s="158">
        <v>4496753.391100971</v>
      </c>
      <c r="U393" s="158">
        <v>17710899.824714642</v>
      </c>
      <c r="V393" s="158">
        <v>22782687.930971485</v>
      </c>
      <c r="W393" s="158">
        <v>17551691.666731253</v>
      </c>
      <c r="X393" s="158">
        <v>0</v>
      </c>
      <c r="Y393" s="158">
        <v>0</v>
      </c>
      <c r="Z393" s="158">
        <v>0</v>
      </c>
      <c r="AA393" s="158">
        <v>9634407.12414857</v>
      </c>
      <c r="AB393" s="158">
        <v>13875912.102767006</v>
      </c>
      <c r="AC393" s="158">
        <v>16380982.09121426</v>
      </c>
      <c r="AD393" s="158">
        <v>0</v>
      </c>
      <c r="AE393" s="158">
        <v>0</v>
      </c>
      <c r="AF393" s="158">
        <v>1541069.8235191731</v>
      </c>
      <c r="AG393" s="158">
        <v>16412973.364313511</v>
      </c>
      <c r="AH393" s="158">
        <f>AVERAGE(U393:AG393)</f>
        <v>8914663.3791061454</v>
      </c>
      <c r="AI393" s="48"/>
    </row>
    <row r="394" spans="1:36" ht="15.75" thickTop="1" x14ac:dyDescent="0.25">
      <c r="A394" s="48">
        <f t="shared" si="317"/>
        <v>8</v>
      </c>
      <c r="J394" s="51"/>
      <c r="K394" s="51"/>
      <c r="AI394" s="48"/>
    </row>
    <row r="395" spans="1:36" x14ac:dyDescent="0.25">
      <c r="A395" s="48">
        <f t="shared" si="317"/>
        <v>9</v>
      </c>
      <c r="I395" s="76"/>
      <c r="AI395" s="48"/>
    </row>
    <row r="396" spans="1:36" x14ac:dyDescent="0.25">
      <c r="A396" s="48">
        <f t="shared" si="317"/>
        <v>10</v>
      </c>
      <c r="B396" s="40" t="s">
        <v>214</v>
      </c>
      <c r="F396" s="110">
        <v>5.1906000000000001E-2</v>
      </c>
      <c r="G396" s="110">
        <v>4.8721E-2</v>
      </c>
      <c r="H396" s="110">
        <v>4.7552999999999998E-2</v>
      </c>
      <c r="I396" s="110">
        <v>4.6871999999999997E-2</v>
      </c>
      <c r="J396" s="110">
        <v>4.5606000000000001E-2</v>
      </c>
      <c r="K396" s="110">
        <v>4.5228999999999998E-2</v>
      </c>
      <c r="L396" s="110">
        <v>4.5599987000000002E-2</v>
      </c>
      <c r="M396" s="110">
        <v>4.6119690999999997E-2</v>
      </c>
      <c r="N396" s="110">
        <v>4.6014158999999999E-2</v>
      </c>
      <c r="O396" s="110">
        <v>4.5891148E-2</v>
      </c>
      <c r="P396" s="110">
        <v>4.5831588999999999E-2</v>
      </c>
      <c r="Q396" s="110">
        <v>4.5469660999999995E-2</v>
      </c>
      <c r="R396" s="110">
        <v>4.2743000000000003E-2</v>
      </c>
      <c r="S396" s="110">
        <v>4.2389999999999997E-2</v>
      </c>
      <c r="T396" s="110">
        <v>4.2106000000000005E-2</v>
      </c>
      <c r="U396" s="110">
        <v>4.1944000000000002E-2</v>
      </c>
      <c r="V396" s="110">
        <v>4.1653000000000003E-2</v>
      </c>
      <c r="W396" s="110">
        <v>4.1579000000000005E-2</v>
      </c>
      <c r="X396" s="110">
        <v>4.1579000000000005E-2</v>
      </c>
      <c r="Y396" s="110">
        <v>4.1579000000000005E-2</v>
      </c>
      <c r="Z396" s="110">
        <v>4.1579000000000005E-2</v>
      </c>
      <c r="AA396" s="110">
        <v>4.1579000000000005E-2</v>
      </c>
      <c r="AB396" s="110">
        <v>4.1534000000000001E-2</v>
      </c>
      <c r="AC396" s="110">
        <v>4.1512E-2</v>
      </c>
      <c r="AD396" s="110">
        <v>4.1512E-2</v>
      </c>
      <c r="AE396" s="110">
        <v>4.1512E-2</v>
      </c>
      <c r="AF396" s="110">
        <v>4.1512E-2</v>
      </c>
      <c r="AG396" s="110">
        <v>4.1512E-2</v>
      </c>
      <c r="AH396" s="110">
        <f>AVERAGE(U396:AG396)</f>
        <v>4.1583538461538463E-2</v>
      </c>
      <c r="AI396" s="48"/>
    </row>
    <row r="397" spans="1:36" x14ac:dyDescent="0.25">
      <c r="A397" s="48">
        <f t="shared" si="317"/>
        <v>11</v>
      </c>
      <c r="G397" s="76"/>
      <c r="P397" s="51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I397" s="48"/>
    </row>
    <row r="398" spans="1:36" x14ac:dyDescent="0.25">
      <c r="A398" s="48">
        <f t="shared" si="317"/>
        <v>12</v>
      </c>
      <c r="B398" s="40" t="s">
        <v>115</v>
      </c>
      <c r="F398" s="76">
        <f>F393*(F396/12)</f>
        <v>0</v>
      </c>
      <c r="G398" s="76">
        <f t="shared" ref="G398:O398" si="318">G393*(G396/12)</f>
        <v>0</v>
      </c>
      <c r="H398" s="76">
        <f t="shared" si="318"/>
        <v>23672.289819640009</v>
      </c>
      <c r="I398" s="76">
        <f t="shared" si="318"/>
        <v>40578.926376240008</v>
      </c>
      <c r="J398" s="76">
        <f t="shared" si="318"/>
        <v>52100.470021105015</v>
      </c>
      <c r="K398" s="76">
        <f t="shared" si="318"/>
        <v>66766.220036304163</v>
      </c>
      <c r="L398" s="76">
        <f t="shared" si="318"/>
        <v>11798.086840509366</v>
      </c>
      <c r="M398" s="76">
        <f t="shared" si="318"/>
        <v>42316.727115998896</v>
      </c>
      <c r="N398" s="76">
        <f t="shared" si="318"/>
        <v>44520.857663459741</v>
      </c>
      <c r="O398" s="76">
        <f t="shared" si="318"/>
        <v>48542.137357401196</v>
      </c>
      <c r="P398" s="76">
        <f t="shared" ref="P398:U398" si="319">P393*(P396/12)</f>
        <v>55764.034669234308</v>
      </c>
      <c r="Q398" s="76">
        <f>Q393*(Q396/12)</f>
        <v>59507.539336832102</v>
      </c>
      <c r="R398" s="76">
        <f t="shared" si="319"/>
        <v>13788.254641567337</v>
      </c>
      <c r="S398" s="76">
        <f t="shared" si="319"/>
        <v>11952.469984781888</v>
      </c>
      <c r="T398" s="76">
        <f t="shared" si="319"/>
        <v>15778.358190474793</v>
      </c>
      <c r="U398" s="76">
        <f t="shared" si="319"/>
        <v>61905.498520652582</v>
      </c>
      <c r="V398" s="76">
        <f>V393*(V396/12)</f>
        <v>79080.608365729611</v>
      </c>
      <c r="W398" s="76">
        <f t="shared" ref="W398:AF398" si="320">W393*(W396/12)</f>
        <v>60815.148984251573</v>
      </c>
      <c r="X398" s="76">
        <f t="shared" si="320"/>
        <v>0</v>
      </c>
      <c r="Y398" s="76">
        <f t="shared" si="320"/>
        <v>0</v>
      </c>
      <c r="Z398" s="76">
        <f t="shared" si="320"/>
        <v>0</v>
      </c>
      <c r="AA398" s="76">
        <f t="shared" si="320"/>
        <v>33382.417817914451</v>
      </c>
      <c r="AB398" s="76">
        <f t="shared" si="320"/>
        <v>48026.844439693734</v>
      </c>
      <c r="AC398" s="76">
        <f t="shared" si="320"/>
        <v>56667.277380873864</v>
      </c>
      <c r="AD398" s="76">
        <f t="shared" si="320"/>
        <v>0</v>
      </c>
      <c r="AE398" s="76">
        <f t="shared" si="320"/>
        <v>0</v>
      </c>
      <c r="AF398" s="76">
        <f t="shared" si="320"/>
        <v>5331.0742094939924</v>
      </c>
      <c r="AG398" s="76">
        <f>AG393*(AG396/12)</f>
        <v>56777.945858281877</v>
      </c>
      <c r="AH398" s="179">
        <f>SUM(V398:AG398)</f>
        <v>340081.31705623906</v>
      </c>
      <c r="AI398" s="48"/>
    </row>
    <row r="399" spans="1:36" x14ac:dyDescent="0.25">
      <c r="A399" s="48"/>
      <c r="K399" s="89"/>
      <c r="M399" s="89"/>
      <c r="T399" s="189"/>
      <c r="AE399" s="56"/>
      <c r="AF399" s="56"/>
      <c r="AG399" s="56"/>
      <c r="AI399" s="48"/>
    </row>
    <row r="400" spans="1:36" x14ac:dyDescent="0.25">
      <c r="A400" s="48"/>
      <c r="K400" s="77"/>
      <c r="M400" s="77"/>
      <c r="AI400" s="48"/>
    </row>
    <row r="401" spans="1:36" x14ac:dyDescent="0.25">
      <c r="A401" s="48"/>
      <c r="AI401" s="48"/>
    </row>
    <row r="402" spans="1:36" x14ac:dyDescent="0.25">
      <c r="A402" s="161" t="s">
        <v>159</v>
      </c>
      <c r="O402" s="162" t="str">
        <f>Linkin!C29</f>
        <v>W/P - 7-6</v>
      </c>
      <c r="Y402" s="162" t="str">
        <f>$O$402</f>
        <v>W/P - 7-6</v>
      </c>
      <c r="AH402" s="162" t="str">
        <f>$O$402</f>
        <v>W/P - 7-6</v>
      </c>
      <c r="AI402" s="48"/>
    </row>
    <row r="403" spans="1:36" x14ac:dyDescent="0.25">
      <c r="A403" s="161" t="s">
        <v>160</v>
      </c>
      <c r="O403" s="162" t="str">
        <f>O2</f>
        <v>KAW_R_PSCHDR_NUM002_100625_Attachment   Sch J WPs</v>
      </c>
      <c r="Y403" s="162" t="str">
        <f>Y2</f>
        <v>KAW_R_PSCHDR_NUM002_100625_Attachment   Sch J WPs</v>
      </c>
      <c r="AH403" s="162" t="str">
        <f>AH2</f>
        <v>KAW_R_PSCHDR_NUM002_100625_Attachment   Sch J WPs</v>
      </c>
      <c r="AI403" s="48"/>
    </row>
    <row r="404" spans="1:36" x14ac:dyDescent="0.25">
      <c r="A404" s="48"/>
      <c r="AI404" s="48"/>
    </row>
    <row r="405" spans="1:36" x14ac:dyDescent="0.25">
      <c r="A405" s="57" t="s">
        <v>161</v>
      </c>
      <c r="F405" s="53"/>
      <c r="G405" s="53"/>
      <c r="AI405" s="48"/>
    </row>
    <row r="406" spans="1:36" x14ac:dyDescent="0.25">
      <c r="A406" s="57" t="s">
        <v>215</v>
      </c>
      <c r="AI406" s="48"/>
      <c r="AJ406" s="51"/>
    </row>
    <row r="407" spans="1:36" x14ac:dyDescent="0.25">
      <c r="AI407" s="48"/>
    </row>
    <row r="408" spans="1:36" x14ac:dyDescent="0.25">
      <c r="A408" s="166"/>
      <c r="B408" s="166"/>
      <c r="C408" s="166"/>
      <c r="D408" s="166"/>
      <c r="E408" s="166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  <c r="AC408" s="167"/>
      <c r="AD408" s="167"/>
      <c r="AE408" s="167"/>
      <c r="AF408" s="167"/>
      <c r="AG408" s="167"/>
      <c r="AH408" s="167"/>
      <c r="AI408" s="48"/>
    </row>
    <row r="409" spans="1:36" x14ac:dyDescent="0.25">
      <c r="A409" s="48" t="s">
        <v>86</v>
      </c>
      <c r="B409" s="48"/>
      <c r="C409" s="48"/>
      <c r="D409" s="48"/>
      <c r="E409" s="48"/>
      <c r="F409" s="48" t="s">
        <v>166</v>
      </c>
      <c r="G409" s="48" t="s">
        <v>166</v>
      </c>
      <c r="H409" s="48" t="s">
        <v>166</v>
      </c>
      <c r="I409" s="48" t="s">
        <v>166</v>
      </c>
      <c r="J409" s="48" t="s">
        <v>166</v>
      </c>
      <c r="K409" s="48" t="s">
        <v>166</v>
      </c>
      <c r="L409" s="48" t="s">
        <v>166</v>
      </c>
      <c r="M409" s="48" t="s">
        <v>166</v>
      </c>
      <c r="N409" s="48" t="s">
        <v>166</v>
      </c>
      <c r="O409" s="48" t="s">
        <v>166</v>
      </c>
      <c r="P409" s="48" t="s">
        <v>166</v>
      </c>
      <c r="Q409" s="48" t="s">
        <v>166</v>
      </c>
      <c r="R409" s="48" t="s">
        <v>166</v>
      </c>
      <c r="S409" s="48" t="s">
        <v>166</v>
      </c>
      <c r="T409" s="48" t="s">
        <v>166</v>
      </c>
      <c r="U409" s="48" t="s">
        <v>166</v>
      </c>
      <c r="V409" s="48" t="s">
        <v>166</v>
      </c>
      <c r="W409" s="48" t="s">
        <v>166</v>
      </c>
      <c r="X409" s="48" t="s">
        <v>166</v>
      </c>
      <c r="Y409" s="48" t="s">
        <v>166</v>
      </c>
      <c r="Z409" s="48" t="s">
        <v>166</v>
      </c>
      <c r="AA409" s="48" t="s">
        <v>166</v>
      </c>
      <c r="AB409" s="48" t="s">
        <v>166</v>
      </c>
      <c r="AC409" s="48" t="s">
        <v>166</v>
      </c>
      <c r="AD409" s="48" t="s">
        <v>166</v>
      </c>
      <c r="AE409" s="48" t="s">
        <v>166</v>
      </c>
      <c r="AF409" s="48" t="s">
        <v>166</v>
      </c>
      <c r="AG409" s="48" t="s">
        <v>166</v>
      </c>
      <c r="AH409" s="48" t="s">
        <v>85</v>
      </c>
      <c r="AI409" s="48"/>
    </row>
    <row r="410" spans="1:36" x14ac:dyDescent="0.25">
      <c r="A410" s="169" t="s">
        <v>91</v>
      </c>
      <c r="B410" s="169"/>
      <c r="C410" s="169"/>
      <c r="D410" s="169"/>
      <c r="E410" s="169"/>
      <c r="F410" s="170">
        <f>F$9</f>
        <v>45565</v>
      </c>
      <c r="G410" s="170">
        <f t="shared" ref="G410:AG410" si="321">G$9</f>
        <v>45596</v>
      </c>
      <c r="H410" s="170">
        <f t="shared" si="321"/>
        <v>45626</v>
      </c>
      <c r="I410" s="170">
        <f t="shared" si="321"/>
        <v>45657</v>
      </c>
      <c r="J410" s="170">
        <f t="shared" si="321"/>
        <v>45688</v>
      </c>
      <c r="K410" s="170">
        <f t="shared" si="321"/>
        <v>45716</v>
      </c>
      <c r="L410" s="170">
        <f t="shared" si="321"/>
        <v>45747</v>
      </c>
      <c r="M410" s="170">
        <f t="shared" si="321"/>
        <v>45777</v>
      </c>
      <c r="N410" s="170">
        <f t="shared" si="321"/>
        <v>45808</v>
      </c>
      <c r="O410" s="170">
        <f t="shared" si="321"/>
        <v>45838</v>
      </c>
      <c r="P410" s="170">
        <f t="shared" si="321"/>
        <v>45869</v>
      </c>
      <c r="Q410" s="170">
        <f t="shared" si="321"/>
        <v>45900</v>
      </c>
      <c r="R410" s="170">
        <f t="shared" si="321"/>
        <v>45930</v>
      </c>
      <c r="S410" s="170">
        <f t="shared" si="321"/>
        <v>45961</v>
      </c>
      <c r="T410" s="170">
        <f t="shared" si="321"/>
        <v>45991</v>
      </c>
      <c r="U410" s="170">
        <f t="shared" si="321"/>
        <v>46022</v>
      </c>
      <c r="V410" s="170">
        <f t="shared" si="321"/>
        <v>46053</v>
      </c>
      <c r="W410" s="170">
        <f t="shared" si="321"/>
        <v>46081</v>
      </c>
      <c r="X410" s="170">
        <f t="shared" si="321"/>
        <v>46112</v>
      </c>
      <c r="Y410" s="170">
        <f t="shared" si="321"/>
        <v>46142</v>
      </c>
      <c r="Z410" s="170">
        <f t="shared" si="321"/>
        <v>46173</v>
      </c>
      <c r="AA410" s="170">
        <f t="shared" si="321"/>
        <v>46203</v>
      </c>
      <c r="AB410" s="170">
        <f t="shared" si="321"/>
        <v>46234</v>
      </c>
      <c r="AC410" s="170">
        <f t="shared" si="321"/>
        <v>46265</v>
      </c>
      <c r="AD410" s="170">
        <f t="shared" si="321"/>
        <v>46295</v>
      </c>
      <c r="AE410" s="170">
        <f t="shared" si="321"/>
        <v>46326</v>
      </c>
      <c r="AF410" s="170">
        <f t="shared" si="321"/>
        <v>46356</v>
      </c>
      <c r="AG410" s="170">
        <f t="shared" si="321"/>
        <v>46387</v>
      </c>
      <c r="AH410" s="171" t="s">
        <v>90</v>
      </c>
      <c r="AI410" s="48"/>
    </row>
    <row r="411" spans="1:36" x14ac:dyDescent="0.25">
      <c r="A411" s="48">
        <v>1</v>
      </c>
      <c r="AI411" s="48"/>
      <c r="AJ411" s="51"/>
    </row>
    <row r="412" spans="1:36" x14ac:dyDescent="0.25">
      <c r="A412" s="48">
        <f>A411+1</f>
        <v>2</v>
      </c>
      <c r="AI412" s="48"/>
      <c r="AJ412" s="53"/>
    </row>
    <row r="413" spans="1:36" x14ac:dyDescent="0.25">
      <c r="A413" s="48">
        <f t="shared" ref="A413:A428" si="322">A412+1</f>
        <v>3</v>
      </c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8"/>
    </row>
    <row r="414" spans="1:36" x14ac:dyDescent="0.25">
      <c r="A414" s="48">
        <f t="shared" si="322"/>
        <v>4</v>
      </c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I414" s="48"/>
    </row>
    <row r="415" spans="1:36" ht="17.25" x14ac:dyDescent="0.4">
      <c r="A415" s="48">
        <f t="shared" si="322"/>
        <v>5</v>
      </c>
      <c r="B415" s="49"/>
      <c r="F415" s="190" t="s">
        <v>216</v>
      </c>
      <c r="G415" s="190"/>
      <c r="I415" s="190" t="s">
        <v>216</v>
      </c>
      <c r="J415" s="191"/>
      <c r="K415" s="190"/>
      <c r="L415" s="192" t="s">
        <v>217</v>
      </c>
      <c r="M415" s="51"/>
      <c r="N415" s="190"/>
      <c r="O415" s="192" t="s">
        <v>217</v>
      </c>
      <c r="P415" s="51"/>
      <c r="Q415" s="51"/>
      <c r="R415" s="192" t="s">
        <v>217</v>
      </c>
      <c r="S415" s="51"/>
      <c r="T415" s="51"/>
      <c r="U415" s="192" t="s">
        <v>217</v>
      </c>
      <c r="V415" s="51"/>
      <c r="W415" s="51"/>
      <c r="X415" s="192" t="s">
        <v>217</v>
      </c>
      <c r="Y415" s="51"/>
      <c r="Z415" s="51"/>
      <c r="AA415" s="192" t="s">
        <v>217</v>
      </c>
      <c r="AB415" s="51"/>
      <c r="AC415" s="51"/>
      <c r="AD415" s="192" t="s">
        <v>217</v>
      </c>
      <c r="AE415" s="51"/>
      <c r="AF415" s="51"/>
      <c r="AG415" s="192" t="s">
        <v>217</v>
      </c>
      <c r="AI415" s="48"/>
    </row>
    <row r="416" spans="1:36" x14ac:dyDescent="0.25">
      <c r="A416" s="48">
        <f t="shared" si="322"/>
        <v>6</v>
      </c>
      <c r="B416" s="40" t="s">
        <v>34</v>
      </c>
      <c r="F416" s="56">
        <v>4518582</v>
      </c>
      <c r="G416" s="56"/>
      <c r="I416" s="56">
        <v>1476056.04</v>
      </c>
      <c r="J416" s="56"/>
      <c r="K416" s="56"/>
      <c r="L416" s="56">
        <v>4189807.059369118</v>
      </c>
      <c r="M416" s="51"/>
      <c r="N416" s="51"/>
      <c r="O416" s="56">
        <v>4189807.059369118</v>
      </c>
      <c r="P416" s="51"/>
      <c r="Q416" s="51"/>
      <c r="R416" s="56">
        <v>4189807.059369118</v>
      </c>
      <c r="S416" s="56"/>
      <c r="T416" s="56"/>
      <c r="U416" s="56">
        <v>3512622.1471101707</v>
      </c>
      <c r="V416" s="77"/>
      <c r="W416" s="77"/>
      <c r="X416" s="56">
        <v>4904875.2679782957</v>
      </c>
      <c r="AA416" s="56">
        <v>4904875.2679782957</v>
      </c>
      <c r="AB416" s="56"/>
      <c r="AC416" s="56"/>
      <c r="AD416" s="56">
        <v>4904875.2679782957</v>
      </c>
      <c r="AF416" s="48"/>
      <c r="AG416" s="56">
        <v>4904875.2679782957</v>
      </c>
      <c r="AI416" s="48">
        <f>SUM(L416:AG416)</f>
        <v>35701544.397130713</v>
      </c>
    </row>
    <row r="417" spans="1:35" x14ac:dyDescent="0.25">
      <c r="A417" s="48">
        <f t="shared" si="322"/>
        <v>7</v>
      </c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I417" s="48"/>
    </row>
    <row r="418" spans="1:35" x14ac:dyDescent="0.25">
      <c r="A418" s="48">
        <f t="shared" si="322"/>
        <v>8</v>
      </c>
      <c r="F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I418" s="48"/>
    </row>
    <row r="419" spans="1:35" x14ac:dyDescent="0.25">
      <c r="A419" s="48">
        <f t="shared" si="322"/>
        <v>9</v>
      </c>
      <c r="B419" s="40" t="s">
        <v>218</v>
      </c>
      <c r="C419" s="53"/>
      <c r="D419" s="53"/>
      <c r="E419" s="53"/>
      <c r="F419" s="56">
        <v>36568776.5</v>
      </c>
      <c r="G419" s="56">
        <v>36568776.5</v>
      </c>
      <c r="H419" s="56">
        <v>36568776.5</v>
      </c>
      <c r="I419" s="56">
        <v>36568776.5</v>
      </c>
      <c r="J419" s="56">
        <v>36568776.5</v>
      </c>
      <c r="K419" s="56">
        <v>36568776.5</v>
      </c>
      <c r="L419" s="56">
        <v>36568776.5</v>
      </c>
      <c r="M419" s="56">
        <v>36568776.5</v>
      </c>
      <c r="N419" s="56">
        <v>36568776.5</v>
      </c>
      <c r="O419" s="56">
        <v>36568776.5</v>
      </c>
      <c r="P419" s="56">
        <v>36568776.5</v>
      </c>
      <c r="Q419" s="56">
        <v>36568776.5</v>
      </c>
      <c r="R419" s="56">
        <v>36568776.5</v>
      </c>
      <c r="S419" s="56">
        <f t="shared" ref="S419:AG419" si="323">R419+S426</f>
        <v>36568776.5</v>
      </c>
      <c r="T419" s="56">
        <f t="shared" si="323"/>
        <v>36568776.5</v>
      </c>
      <c r="U419" s="56">
        <f t="shared" si="323"/>
        <v>36568776.5</v>
      </c>
      <c r="V419" s="56">
        <f t="shared" si="323"/>
        <v>36568776.5</v>
      </c>
      <c r="W419" s="56">
        <f t="shared" si="323"/>
        <v>36568776.5</v>
      </c>
      <c r="X419" s="56">
        <f t="shared" si="323"/>
        <v>36568776.5</v>
      </c>
      <c r="Y419" s="56">
        <f t="shared" si="323"/>
        <v>36568776.5</v>
      </c>
      <c r="Z419" s="56">
        <f t="shared" si="323"/>
        <v>36568776.5</v>
      </c>
      <c r="AA419" s="56">
        <f t="shared" si="323"/>
        <v>36568776.5</v>
      </c>
      <c r="AB419" s="56">
        <f t="shared" si="323"/>
        <v>36568776.5</v>
      </c>
      <c r="AC419" s="56">
        <f t="shared" si="323"/>
        <v>36568776.5</v>
      </c>
      <c r="AD419" s="56">
        <f t="shared" si="323"/>
        <v>36568776.5</v>
      </c>
      <c r="AE419" s="56">
        <f t="shared" si="323"/>
        <v>36568776.5</v>
      </c>
      <c r="AF419" s="56">
        <f t="shared" si="323"/>
        <v>36568776.5</v>
      </c>
      <c r="AG419" s="56">
        <f t="shared" si="323"/>
        <v>36568776.5</v>
      </c>
      <c r="AH419" s="56">
        <f>AVERAGE(U419:AG419)</f>
        <v>36568776.5</v>
      </c>
      <c r="AI419" s="48"/>
    </row>
    <row r="420" spans="1:35" x14ac:dyDescent="0.25">
      <c r="A420" s="48">
        <f t="shared" si="322"/>
        <v>10</v>
      </c>
      <c r="B420" s="40" t="s">
        <v>219</v>
      </c>
      <c r="F420" s="53">
        <v>166179077.08000001</v>
      </c>
      <c r="G420" s="53">
        <v>166179077.08000001</v>
      </c>
      <c r="H420" s="53">
        <v>166179077.08000001</v>
      </c>
      <c r="I420" s="53">
        <v>166179077.08000001</v>
      </c>
      <c r="J420" s="53">
        <v>166179077.08000001</v>
      </c>
      <c r="K420" s="53">
        <v>166179077.08000001</v>
      </c>
      <c r="L420" s="78">
        <v>173179077.08000001</v>
      </c>
      <c r="M420" s="78">
        <v>173179077.08000001</v>
      </c>
      <c r="N420" s="78">
        <v>173179077.08000001</v>
      </c>
      <c r="O420" s="78">
        <v>173179077.08000001</v>
      </c>
      <c r="P420" s="78">
        <v>173179077.08000001</v>
      </c>
      <c r="Q420" s="78">
        <v>173179077.08000001</v>
      </c>
      <c r="R420" s="78">
        <v>173179077.08000001</v>
      </c>
      <c r="S420" s="78">
        <f t="shared" ref="S420:AG420" si="324">R420+S427</f>
        <v>173179077.08000001</v>
      </c>
      <c r="T420" s="78">
        <f t="shared" si="324"/>
        <v>173179077.08000001</v>
      </c>
      <c r="U420" s="78">
        <f t="shared" si="324"/>
        <v>173179077.08000001</v>
      </c>
      <c r="V420" s="78">
        <f t="shared" si="324"/>
        <v>173179077.08000001</v>
      </c>
      <c r="W420" s="78">
        <f t="shared" si="324"/>
        <v>173179077.08000001</v>
      </c>
      <c r="X420" s="78">
        <f>W420+X427</f>
        <v>181679077.08000001</v>
      </c>
      <c r="Y420" s="78">
        <f>X420+Y427</f>
        <v>181679077.08000001</v>
      </c>
      <c r="Z420" s="78">
        <f t="shared" si="324"/>
        <v>181679077.08000001</v>
      </c>
      <c r="AA420" s="78">
        <f t="shared" si="324"/>
        <v>181679077.08000001</v>
      </c>
      <c r="AB420" s="78">
        <f t="shared" si="324"/>
        <v>181679077.08000001</v>
      </c>
      <c r="AC420" s="78">
        <f t="shared" si="324"/>
        <v>181679077.08000001</v>
      </c>
      <c r="AD420" s="78">
        <f t="shared" si="324"/>
        <v>190179077.08000001</v>
      </c>
      <c r="AE420" s="78">
        <f t="shared" si="324"/>
        <v>190179077.08000001</v>
      </c>
      <c r="AF420" s="78">
        <f t="shared" si="324"/>
        <v>190179077.08000001</v>
      </c>
      <c r="AG420" s="78">
        <f t="shared" si="324"/>
        <v>190179077.08000001</v>
      </c>
      <c r="AH420" s="179">
        <f>AVERAGE(U420:AG420)</f>
        <v>182332923.23384616</v>
      </c>
      <c r="AI420" s="48"/>
    </row>
    <row r="421" spans="1:35" x14ac:dyDescent="0.25">
      <c r="A421" s="48">
        <f t="shared" si="322"/>
        <v>11</v>
      </c>
      <c r="B421" s="40" t="s">
        <v>220</v>
      </c>
      <c r="F421" s="53">
        <v>114940959.13000023</v>
      </c>
      <c r="G421" s="53">
        <v>117605907.03000024</v>
      </c>
      <c r="H421" s="53">
        <v>119369281.45000023</v>
      </c>
      <c r="I421" s="53">
        <v>119389041.50000022</v>
      </c>
      <c r="J421" s="53">
        <v>121794141.08000012</v>
      </c>
      <c r="K421" s="53">
        <v>123586399.77000012</v>
      </c>
      <c r="L421" s="78">
        <v>122212763.25000012</v>
      </c>
      <c r="M421" s="78">
        <v>124173807.26000012</v>
      </c>
      <c r="N421" s="78">
        <v>126584097.87000012</v>
      </c>
      <c r="O421" s="78">
        <v>124498476.23000012</v>
      </c>
      <c r="P421" s="78">
        <v>129220826.13000013</v>
      </c>
      <c r="Q421" s="78">
        <v>132719689.07000013</v>
      </c>
      <c r="R421" s="78">
        <f>127470791.291942</f>
        <v>127470791.291942</v>
      </c>
      <c r="S421" s="78">
        <f t="shared" ref="S421:AG421" si="325">R421+S428</f>
        <v>130060896.10736232</v>
      </c>
      <c r="T421" s="78">
        <f t="shared" si="325"/>
        <v>132409530.96937634</v>
      </c>
      <c r="U421" s="78">
        <f t="shared" si="325"/>
        <v>130110403.7168113</v>
      </c>
      <c r="V421" s="78">
        <f t="shared" si="325"/>
        <v>132431937.12972233</v>
      </c>
      <c r="W421" s="78">
        <f t="shared" si="325"/>
        <v>134490953.47117931</v>
      </c>
      <c r="X421" s="78">
        <f t="shared" si="325"/>
        <v>131701641.69859526</v>
      </c>
      <c r="Y421" s="78">
        <f t="shared" si="325"/>
        <v>134183459.37970485</v>
      </c>
      <c r="Z421" s="78">
        <f t="shared" si="325"/>
        <v>137251542.38659927</v>
      </c>
      <c r="AA421" s="78">
        <f t="shared" si="325"/>
        <v>135579816.11296442</v>
      </c>
      <c r="AB421" s="78">
        <f t="shared" si="325"/>
        <v>139290419.91753793</v>
      </c>
      <c r="AC421" s="78">
        <f t="shared" si="325"/>
        <v>143003016.09866348</v>
      </c>
      <c r="AD421" s="78">
        <f t="shared" si="325"/>
        <v>141182024.5081166</v>
      </c>
      <c r="AE421" s="78">
        <f t="shared" si="325"/>
        <v>144117511.2846289</v>
      </c>
      <c r="AF421" s="78">
        <f t="shared" si="325"/>
        <v>146385150.9458406</v>
      </c>
      <c r="AG421" s="78">
        <f t="shared" si="325"/>
        <v>143190071.0980868</v>
      </c>
      <c r="AH421" s="179">
        <f>AVERAGE(U421:AG421)</f>
        <v>137916765.21141931</v>
      </c>
      <c r="AI421" s="48"/>
    </row>
    <row r="422" spans="1:35" x14ac:dyDescent="0.25">
      <c r="A422" s="48">
        <f t="shared" si="322"/>
        <v>12</v>
      </c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48"/>
    </row>
    <row r="423" spans="1:35" ht="15.75" thickBot="1" x14ac:dyDescent="0.3">
      <c r="A423" s="48">
        <f t="shared" si="322"/>
        <v>13</v>
      </c>
      <c r="F423" s="158">
        <f>SUM(F419:F421)</f>
        <v>317688812.71000028</v>
      </c>
      <c r="G423" s="158">
        <f t="shared" ref="G423:AH423" si="326">SUM(G419:G421)</f>
        <v>320353760.61000025</v>
      </c>
      <c r="H423" s="158">
        <f t="shared" si="326"/>
        <v>322117135.03000021</v>
      </c>
      <c r="I423" s="158">
        <f t="shared" si="326"/>
        <v>322136895.08000022</v>
      </c>
      <c r="J423" s="158">
        <f t="shared" si="326"/>
        <v>324541994.66000015</v>
      </c>
      <c r="K423" s="158">
        <f t="shared" si="326"/>
        <v>326334253.35000014</v>
      </c>
      <c r="L423" s="158">
        <f t="shared" si="326"/>
        <v>331960616.83000016</v>
      </c>
      <c r="M423" s="158">
        <f t="shared" si="326"/>
        <v>333921660.84000015</v>
      </c>
      <c r="N423" s="158">
        <f t="shared" si="326"/>
        <v>336331951.45000017</v>
      </c>
      <c r="O423" s="158">
        <f t="shared" si="326"/>
        <v>334246329.81000012</v>
      </c>
      <c r="P423" s="158">
        <f t="shared" si="326"/>
        <v>338968679.71000016</v>
      </c>
      <c r="Q423" s="158">
        <f t="shared" si="326"/>
        <v>342467542.65000015</v>
      </c>
      <c r="R423" s="158">
        <f t="shared" si="326"/>
        <v>337218644.87194204</v>
      </c>
      <c r="S423" s="158">
        <f t="shared" si="326"/>
        <v>339808749.68736231</v>
      </c>
      <c r="T423" s="158">
        <f t="shared" si="326"/>
        <v>342157384.54937637</v>
      </c>
      <c r="U423" s="158">
        <f t="shared" si="326"/>
        <v>339858257.29681134</v>
      </c>
      <c r="V423" s="158">
        <f t="shared" si="326"/>
        <v>342179790.70972234</v>
      </c>
      <c r="W423" s="158">
        <f t="shared" si="326"/>
        <v>344238807.05117929</v>
      </c>
      <c r="X423" s="158">
        <f t="shared" si="326"/>
        <v>349949495.27859527</v>
      </c>
      <c r="Y423" s="158">
        <f t="shared" si="326"/>
        <v>352431312.95970488</v>
      </c>
      <c r="Z423" s="158">
        <f t="shared" si="326"/>
        <v>355499395.96659929</v>
      </c>
      <c r="AA423" s="158">
        <f t="shared" si="326"/>
        <v>353827669.69296443</v>
      </c>
      <c r="AB423" s="158">
        <f t="shared" si="326"/>
        <v>357538273.49753797</v>
      </c>
      <c r="AC423" s="158">
        <f t="shared" si="326"/>
        <v>361250869.67866349</v>
      </c>
      <c r="AD423" s="158">
        <f t="shared" si="326"/>
        <v>367929878.08811665</v>
      </c>
      <c r="AE423" s="158">
        <f t="shared" si="326"/>
        <v>370865364.86462891</v>
      </c>
      <c r="AF423" s="158">
        <f t="shared" si="326"/>
        <v>373133004.52584064</v>
      </c>
      <c r="AG423" s="158">
        <f t="shared" si="326"/>
        <v>369937924.67808682</v>
      </c>
      <c r="AH423" s="158">
        <f t="shared" si="326"/>
        <v>356818464.94526547</v>
      </c>
      <c r="AI423" s="48"/>
    </row>
    <row r="424" spans="1:35" ht="15.75" thickTop="1" x14ac:dyDescent="0.25">
      <c r="A424" s="48">
        <f t="shared" si="322"/>
        <v>14</v>
      </c>
      <c r="F424" s="49" t="s">
        <v>216</v>
      </c>
      <c r="G424" s="49" t="s">
        <v>216</v>
      </c>
      <c r="H424" s="49" t="s">
        <v>216</v>
      </c>
      <c r="I424" s="49" t="s">
        <v>216</v>
      </c>
      <c r="J424" s="193" t="s">
        <v>216</v>
      </c>
      <c r="K424" s="193" t="s">
        <v>216</v>
      </c>
      <c r="L424" s="193" t="s">
        <v>5</v>
      </c>
      <c r="M424" s="193" t="s">
        <v>5</v>
      </c>
      <c r="N424" s="193" t="s">
        <v>5</v>
      </c>
      <c r="O424" s="193" t="s">
        <v>5</v>
      </c>
      <c r="P424" s="193" t="s">
        <v>5</v>
      </c>
      <c r="Q424" s="193" t="s">
        <v>5</v>
      </c>
      <c r="R424" s="193" t="s">
        <v>5</v>
      </c>
      <c r="S424" s="193" t="s">
        <v>5</v>
      </c>
      <c r="T424" s="193" t="s">
        <v>5</v>
      </c>
      <c r="U424" s="193" t="s">
        <v>5</v>
      </c>
      <c r="V424" s="193" t="s">
        <v>5</v>
      </c>
      <c r="W424" s="193" t="s">
        <v>5</v>
      </c>
      <c r="X424" s="193" t="s">
        <v>5</v>
      </c>
      <c r="Y424" s="193" t="s">
        <v>5</v>
      </c>
      <c r="Z424" s="193" t="s">
        <v>5</v>
      </c>
      <c r="AA424" s="193" t="s">
        <v>5</v>
      </c>
      <c r="AB424" s="193" t="s">
        <v>5</v>
      </c>
      <c r="AC424" s="193" t="s">
        <v>5</v>
      </c>
      <c r="AD424" s="193" t="s">
        <v>5</v>
      </c>
      <c r="AE424" s="193" t="s">
        <v>5</v>
      </c>
      <c r="AF424" s="193" t="s">
        <v>5</v>
      </c>
      <c r="AG424" s="193" t="s">
        <v>5</v>
      </c>
      <c r="AH424" s="193" t="s">
        <v>5</v>
      </c>
      <c r="AI424" s="48"/>
    </row>
    <row r="425" spans="1:35" x14ac:dyDescent="0.25">
      <c r="A425" s="48">
        <f t="shared" si="322"/>
        <v>15</v>
      </c>
      <c r="O425" s="194"/>
      <c r="P425" s="194"/>
      <c r="Q425" s="194"/>
      <c r="R425" s="194"/>
      <c r="S425" s="194"/>
      <c r="T425" s="194"/>
      <c r="U425" s="194"/>
      <c r="V425" s="194"/>
      <c r="W425" s="194"/>
      <c r="X425" s="194"/>
      <c r="Y425" s="194"/>
      <c r="Z425" s="194"/>
      <c r="AA425" s="195"/>
      <c r="AB425" s="195"/>
      <c r="AC425" s="195"/>
      <c r="AD425" s="195"/>
      <c r="AE425" s="195"/>
      <c r="AF425" s="195"/>
      <c r="AG425" s="195"/>
      <c r="AI425" s="48"/>
    </row>
    <row r="426" spans="1:35" x14ac:dyDescent="0.25">
      <c r="A426" s="48">
        <f t="shared" si="322"/>
        <v>16</v>
      </c>
      <c r="L426" s="111">
        <f>L419-K419</f>
        <v>0</v>
      </c>
      <c r="M426" s="111">
        <f t="shared" ref="M426:Q426" si="327">M419-L419</f>
        <v>0</v>
      </c>
      <c r="N426" s="111">
        <f t="shared" si="327"/>
        <v>0</v>
      </c>
      <c r="O426" s="111">
        <f t="shared" si="327"/>
        <v>0</v>
      </c>
      <c r="P426" s="111">
        <f t="shared" si="327"/>
        <v>0</v>
      </c>
      <c r="Q426" s="111">
        <f t="shared" si="327"/>
        <v>0</v>
      </c>
      <c r="R426" s="111">
        <f t="shared" ref="R426" si="328">R419-Q419</f>
        <v>0</v>
      </c>
      <c r="S426" s="111">
        <v>0</v>
      </c>
      <c r="T426" s="111">
        <v>0</v>
      </c>
      <c r="U426" s="111">
        <v>0</v>
      </c>
      <c r="V426" s="111">
        <v>0</v>
      </c>
      <c r="W426" s="111">
        <v>0</v>
      </c>
      <c r="X426" s="111">
        <v>0</v>
      </c>
      <c r="Y426" s="111">
        <v>0</v>
      </c>
      <c r="Z426" s="111">
        <v>0</v>
      </c>
      <c r="AA426" s="111">
        <v>0</v>
      </c>
      <c r="AB426" s="111">
        <v>0</v>
      </c>
      <c r="AC426" s="111">
        <v>0</v>
      </c>
      <c r="AD426" s="111">
        <v>0</v>
      </c>
      <c r="AE426" s="111">
        <v>0</v>
      </c>
      <c r="AF426" s="111">
        <v>0</v>
      </c>
      <c r="AG426" s="111">
        <v>0</v>
      </c>
      <c r="AI426" s="48"/>
    </row>
    <row r="427" spans="1:35" x14ac:dyDescent="0.25">
      <c r="A427" s="48">
        <f t="shared" si="322"/>
        <v>17</v>
      </c>
      <c r="L427" s="111">
        <f t="shared" ref="L427:Q428" si="329">L420-K420</f>
        <v>7000000</v>
      </c>
      <c r="M427" s="111">
        <f t="shared" si="329"/>
        <v>0</v>
      </c>
      <c r="N427" s="111">
        <f t="shared" si="329"/>
        <v>0</v>
      </c>
      <c r="O427" s="111">
        <f t="shared" si="329"/>
        <v>0</v>
      </c>
      <c r="P427" s="111">
        <f t="shared" si="329"/>
        <v>0</v>
      </c>
      <c r="Q427" s="111">
        <f t="shared" si="329"/>
        <v>0</v>
      </c>
      <c r="R427" s="111">
        <f t="shared" ref="R427" si="330">R420-Q420</f>
        <v>0</v>
      </c>
      <c r="S427" s="111">
        <v>0</v>
      </c>
      <c r="T427" s="111">
        <v>0</v>
      </c>
      <c r="U427" s="111">
        <v>0</v>
      </c>
      <c r="V427" s="111">
        <v>0</v>
      </c>
      <c r="W427" s="111">
        <v>0</v>
      </c>
      <c r="X427" s="111">
        <v>8500000</v>
      </c>
      <c r="Y427" s="111">
        <v>0</v>
      </c>
      <c r="Z427" s="111">
        <v>0</v>
      </c>
      <c r="AA427" s="111">
        <v>0</v>
      </c>
      <c r="AB427" s="111">
        <v>0</v>
      </c>
      <c r="AC427" s="111">
        <v>0</v>
      </c>
      <c r="AD427" s="111">
        <v>8500000</v>
      </c>
      <c r="AE427" s="111">
        <v>0</v>
      </c>
      <c r="AF427" s="111">
        <v>0</v>
      </c>
      <c r="AG427" s="111">
        <v>0</v>
      </c>
      <c r="AI427" s="48"/>
    </row>
    <row r="428" spans="1:35" x14ac:dyDescent="0.25">
      <c r="A428" s="48">
        <f t="shared" si="322"/>
        <v>18</v>
      </c>
      <c r="L428" s="111">
        <f t="shared" si="329"/>
        <v>-1373636.5199999958</v>
      </c>
      <c r="M428" s="111">
        <f t="shared" si="329"/>
        <v>1961044.0100000054</v>
      </c>
      <c r="N428" s="111">
        <f t="shared" si="329"/>
        <v>2410290.6099999994</v>
      </c>
      <c r="O428" s="111">
        <f t="shared" si="329"/>
        <v>-2085621.6400000006</v>
      </c>
      <c r="P428" s="111">
        <f t="shared" si="329"/>
        <v>4722349.900000006</v>
      </c>
      <c r="Q428" s="111">
        <f t="shared" si="329"/>
        <v>3498862.9399999976</v>
      </c>
      <c r="R428" s="111">
        <f t="shared" ref="R428" si="331">R421-Q421</f>
        <v>-5248897.7780581266</v>
      </c>
      <c r="S428" s="111">
        <v>2590104.8154203091</v>
      </c>
      <c r="T428" s="111">
        <v>2348634.8620140301</v>
      </c>
      <c r="U428" s="111">
        <v>-2299127.2525650384</v>
      </c>
      <c r="V428" s="111">
        <v>2321533.4129110235</v>
      </c>
      <c r="W428" s="111">
        <v>2059016.3414569942</v>
      </c>
      <c r="X428" s="111">
        <v>-2789311.7725840495</v>
      </c>
      <c r="Y428" s="111">
        <v>2481817.6811095863</v>
      </c>
      <c r="Z428" s="111">
        <v>3068083.0068944152</v>
      </c>
      <c r="AA428" s="111">
        <v>-1671726.2736348403</v>
      </c>
      <c r="AB428" s="111">
        <v>3710603.8045734968</v>
      </c>
      <c r="AC428" s="111">
        <v>3712596.181125558</v>
      </c>
      <c r="AD428" s="111">
        <v>-1820991.5905468874</v>
      </c>
      <c r="AE428" s="111">
        <v>2935486.776512281</v>
      </c>
      <c r="AF428" s="111">
        <v>2267639.6612116857</v>
      </c>
      <c r="AG428" s="111">
        <v>-3195079.8477538051</v>
      </c>
      <c r="AI428" s="48">
        <f>SUM(L428:AG428)</f>
        <v>19603671.328086644</v>
      </c>
    </row>
    <row r="429" spans="1:35" x14ac:dyDescent="0.25">
      <c r="A429" s="48"/>
      <c r="F429" s="53"/>
      <c r="G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I429" s="48"/>
    </row>
    <row r="430" spans="1:35" x14ac:dyDescent="0.25">
      <c r="A430" s="48"/>
      <c r="F430" s="53"/>
      <c r="G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AI430" s="48"/>
    </row>
    <row r="431" spans="1:35" x14ac:dyDescent="0.25">
      <c r="A431" s="48"/>
      <c r="F431" s="53"/>
      <c r="G431" s="53"/>
      <c r="H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AI431" s="48"/>
    </row>
    <row r="432" spans="1:35" x14ac:dyDescent="0.25">
      <c r="A432" s="161" t="s">
        <v>159</v>
      </c>
      <c r="F432" s="53"/>
      <c r="G432" s="53"/>
      <c r="H432" s="53"/>
      <c r="J432" s="53"/>
      <c r="K432" s="53"/>
      <c r="L432" s="53"/>
      <c r="M432" s="53"/>
      <c r="N432" s="53"/>
      <c r="O432" s="162" t="str">
        <f>Linkin!C30</f>
        <v>W/P - 7-7</v>
      </c>
      <c r="P432" s="53"/>
      <c r="Q432" s="53"/>
      <c r="R432" s="53"/>
      <c r="S432" s="53"/>
      <c r="T432" s="53"/>
      <c r="U432" s="53"/>
      <c r="V432" s="53"/>
      <c r="W432" s="53"/>
      <c r="X432" s="53"/>
      <c r="Y432" s="162" t="str">
        <f>$O$432</f>
        <v>W/P - 7-7</v>
      </c>
      <c r="AH432" s="162" t="str">
        <f>$O$432</f>
        <v>W/P - 7-7</v>
      </c>
      <c r="AI432" s="48"/>
    </row>
    <row r="433" spans="1:35" x14ac:dyDescent="0.25">
      <c r="A433" s="161" t="s">
        <v>160</v>
      </c>
      <c r="F433" s="53"/>
      <c r="G433" s="53"/>
      <c r="H433" s="53"/>
      <c r="J433" s="53"/>
      <c r="K433" s="53"/>
      <c r="L433" s="53"/>
      <c r="M433" s="53"/>
      <c r="N433" s="53"/>
      <c r="O433" s="162" t="str">
        <f>O2</f>
        <v>KAW_R_PSCHDR_NUM002_100625_Attachment   Sch J WPs</v>
      </c>
      <c r="P433" s="53"/>
      <c r="Q433" s="53"/>
      <c r="R433" s="53"/>
      <c r="S433" s="53"/>
      <c r="T433" s="53"/>
      <c r="U433" s="53"/>
      <c r="V433" s="53"/>
      <c r="W433" s="53"/>
      <c r="X433" s="53"/>
      <c r="Y433" s="162" t="str">
        <f>Y2</f>
        <v>KAW_R_PSCHDR_NUM002_100625_Attachment   Sch J WPs</v>
      </c>
      <c r="AH433" s="162" t="str">
        <f>AH2</f>
        <v>KAW_R_PSCHDR_NUM002_100625_Attachment   Sch J WPs</v>
      </c>
      <c r="AI433" s="48"/>
    </row>
    <row r="434" spans="1:35" x14ac:dyDescent="0.25">
      <c r="A434" s="48"/>
      <c r="F434" s="53"/>
      <c r="G434" s="53"/>
      <c r="H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AI434" s="48"/>
    </row>
    <row r="435" spans="1:35" x14ac:dyDescent="0.25">
      <c r="A435" s="57" t="s">
        <v>161</v>
      </c>
      <c r="AI435" s="48"/>
    </row>
    <row r="436" spans="1:35" x14ac:dyDescent="0.25">
      <c r="A436" s="57" t="s">
        <v>221</v>
      </c>
      <c r="AI436" s="48"/>
    </row>
    <row r="437" spans="1:35" x14ac:dyDescent="0.25">
      <c r="AI437" s="48"/>
    </row>
    <row r="438" spans="1:35" x14ac:dyDescent="0.25">
      <c r="A438" s="166"/>
      <c r="B438" s="166"/>
      <c r="C438" s="166"/>
      <c r="D438" s="166"/>
      <c r="E438" s="166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48"/>
    </row>
    <row r="439" spans="1:35" x14ac:dyDescent="0.25">
      <c r="A439" s="48" t="s">
        <v>86</v>
      </c>
      <c r="B439" s="48"/>
      <c r="F439" s="48" t="s">
        <v>166</v>
      </c>
      <c r="G439" s="48" t="s">
        <v>166</v>
      </c>
      <c r="H439" s="48" t="s">
        <v>166</v>
      </c>
      <c r="I439" s="48" t="s">
        <v>166</v>
      </c>
      <c r="J439" s="48" t="s">
        <v>166</v>
      </c>
      <c r="K439" s="48" t="s">
        <v>166</v>
      </c>
      <c r="L439" s="48" t="s">
        <v>166</v>
      </c>
      <c r="M439" s="48" t="s">
        <v>166</v>
      </c>
      <c r="N439" s="48" t="s">
        <v>166</v>
      </c>
      <c r="O439" s="48" t="s">
        <v>166</v>
      </c>
      <c r="P439" s="48" t="s">
        <v>166</v>
      </c>
      <c r="Q439" s="48" t="s">
        <v>166</v>
      </c>
      <c r="R439" s="48" t="s">
        <v>166</v>
      </c>
      <c r="S439" s="48" t="s">
        <v>166</v>
      </c>
      <c r="T439" s="48" t="s">
        <v>166</v>
      </c>
      <c r="U439" s="48" t="s">
        <v>166</v>
      </c>
      <c r="V439" s="48" t="s">
        <v>166</v>
      </c>
      <c r="W439" s="48" t="s">
        <v>166</v>
      </c>
      <c r="X439" s="48" t="s">
        <v>166</v>
      </c>
      <c r="Y439" s="48" t="s">
        <v>166</v>
      </c>
      <c r="Z439" s="48" t="s">
        <v>166</v>
      </c>
      <c r="AA439" s="48" t="s">
        <v>166</v>
      </c>
      <c r="AB439" s="48" t="s">
        <v>166</v>
      </c>
      <c r="AC439" s="48" t="s">
        <v>166</v>
      </c>
      <c r="AD439" s="48" t="s">
        <v>166</v>
      </c>
      <c r="AE439" s="48" t="s">
        <v>166</v>
      </c>
      <c r="AF439" s="48" t="s">
        <v>166</v>
      </c>
      <c r="AG439" s="48" t="s">
        <v>166</v>
      </c>
      <c r="AH439" s="48" t="s">
        <v>85</v>
      </c>
      <c r="AI439" s="48"/>
    </row>
    <row r="440" spans="1:35" x14ac:dyDescent="0.25">
      <c r="A440" s="169" t="s">
        <v>91</v>
      </c>
      <c r="B440" s="169"/>
      <c r="C440" s="169"/>
      <c r="D440" s="169"/>
      <c r="E440" s="169"/>
      <c r="F440" s="170">
        <f>F$9</f>
        <v>45565</v>
      </c>
      <c r="G440" s="170">
        <f t="shared" ref="G440:AG440" si="332">G$9</f>
        <v>45596</v>
      </c>
      <c r="H440" s="170">
        <f t="shared" si="332"/>
        <v>45626</v>
      </c>
      <c r="I440" s="170">
        <f t="shared" si="332"/>
        <v>45657</v>
      </c>
      <c r="J440" s="170">
        <f t="shared" si="332"/>
        <v>45688</v>
      </c>
      <c r="K440" s="170">
        <f t="shared" si="332"/>
        <v>45716</v>
      </c>
      <c r="L440" s="170">
        <f t="shared" si="332"/>
        <v>45747</v>
      </c>
      <c r="M440" s="170">
        <f t="shared" si="332"/>
        <v>45777</v>
      </c>
      <c r="N440" s="170">
        <f t="shared" si="332"/>
        <v>45808</v>
      </c>
      <c r="O440" s="170">
        <f t="shared" si="332"/>
        <v>45838</v>
      </c>
      <c r="P440" s="170">
        <f t="shared" si="332"/>
        <v>45869</v>
      </c>
      <c r="Q440" s="170">
        <f t="shared" si="332"/>
        <v>45900</v>
      </c>
      <c r="R440" s="170">
        <f t="shared" si="332"/>
        <v>45930</v>
      </c>
      <c r="S440" s="170">
        <f t="shared" si="332"/>
        <v>45961</v>
      </c>
      <c r="T440" s="170">
        <f t="shared" si="332"/>
        <v>45991</v>
      </c>
      <c r="U440" s="170">
        <f t="shared" si="332"/>
        <v>46022</v>
      </c>
      <c r="V440" s="170">
        <f t="shared" si="332"/>
        <v>46053</v>
      </c>
      <c r="W440" s="170">
        <f t="shared" si="332"/>
        <v>46081</v>
      </c>
      <c r="X440" s="170">
        <f t="shared" si="332"/>
        <v>46112</v>
      </c>
      <c r="Y440" s="170">
        <f t="shared" si="332"/>
        <v>46142</v>
      </c>
      <c r="Z440" s="170">
        <f t="shared" si="332"/>
        <v>46173</v>
      </c>
      <c r="AA440" s="170">
        <f t="shared" si="332"/>
        <v>46203</v>
      </c>
      <c r="AB440" s="170">
        <f t="shared" si="332"/>
        <v>46234</v>
      </c>
      <c r="AC440" s="170">
        <f t="shared" si="332"/>
        <v>46265</v>
      </c>
      <c r="AD440" s="170">
        <f t="shared" si="332"/>
        <v>46295</v>
      </c>
      <c r="AE440" s="170">
        <f t="shared" si="332"/>
        <v>46326</v>
      </c>
      <c r="AF440" s="170">
        <f t="shared" si="332"/>
        <v>46356</v>
      </c>
      <c r="AG440" s="170">
        <f t="shared" si="332"/>
        <v>46387</v>
      </c>
      <c r="AH440" s="171" t="s">
        <v>90</v>
      </c>
      <c r="AI440" s="48"/>
    </row>
    <row r="441" spans="1:35" x14ac:dyDescent="0.25">
      <c r="A441" s="48">
        <v>1</v>
      </c>
      <c r="AI441" s="48"/>
    </row>
    <row r="442" spans="1:35" x14ac:dyDescent="0.25">
      <c r="A442" s="48">
        <f>A441+1</f>
        <v>2</v>
      </c>
      <c r="AI442" s="48"/>
    </row>
    <row r="443" spans="1:35" x14ac:dyDescent="0.25">
      <c r="A443" s="48">
        <f t="shared" ref="A443:A470" si="333">A442+1</f>
        <v>3</v>
      </c>
      <c r="AI443" s="48"/>
    </row>
    <row r="444" spans="1:35" x14ac:dyDescent="0.25">
      <c r="A444" s="48">
        <f t="shared" si="333"/>
        <v>4</v>
      </c>
      <c r="AI444" s="48"/>
    </row>
    <row r="445" spans="1:35" x14ac:dyDescent="0.25">
      <c r="A445" s="48">
        <f t="shared" si="333"/>
        <v>5</v>
      </c>
      <c r="F445" s="196"/>
      <c r="G445" s="196"/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48"/>
    </row>
    <row r="446" spans="1:35" x14ac:dyDescent="0.25">
      <c r="A446" s="48">
        <f t="shared" si="333"/>
        <v>6</v>
      </c>
      <c r="AI446" s="48"/>
    </row>
    <row r="447" spans="1:35" x14ac:dyDescent="0.25">
      <c r="A447" s="48">
        <f t="shared" si="333"/>
        <v>7</v>
      </c>
      <c r="AI447" s="48"/>
    </row>
    <row r="448" spans="1:35" x14ac:dyDescent="0.25">
      <c r="A448" s="48">
        <f t="shared" si="333"/>
        <v>8</v>
      </c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8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48"/>
    </row>
    <row r="449" spans="1:36" x14ac:dyDescent="0.25">
      <c r="A449" s="48">
        <f t="shared" si="333"/>
        <v>9</v>
      </c>
      <c r="AI449" s="48"/>
    </row>
    <row r="450" spans="1:36" ht="15.75" thickBot="1" x14ac:dyDescent="0.3">
      <c r="A450" s="48">
        <f t="shared" si="333"/>
        <v>10</v>
      </c>
      <c r="B450" s="44" t="s">
        <v>222</v>
      </c>
      <c r="F450" s="197">
        <f>'Unamort ITCs WP'!Q12+'Unamort ITCs WP'!K12</f>
        <v>0.64000000000216917</v>
      </c>
      <c r="G450" s="197">
        <f t="shared" ref="G450:AG450" si="334">F450+G470</f>
        <v>0.64000000000216917</v>
      </c>
      <c r="H450" s="197">
        <f t="shared" si="334"/>
        <v>0.64000000000216917</v>
      </c>
      <c r="I450" s="197">
        <f t="shared" si="334"/>
        <v>0.64000000000216917</v>
      </c>
      <c r="J450" s="197">
        <f t="shared" si="334"/>
        <v>0.64000000000216917</v>
      </c>
      <c r="K450" s="197">
        <f t="shared" si="334"/>
        <v>0.64000000000216917</v>
      </c>
      <c r="L450" s="197">
        <f t="shared" si="334"/>
        <v>0.64000000000216917</v>
      </c>
      <c r="M450" s="197">
        <f t="shared" si="334"/>
        <v>0.64000000000216917</v>
      </c>
      <c r="N450" s="197">
        <f t="shared" si="334"/>
        <v>0.64000000000216917</v>
      </c>
      <c r="O450" s="197">
        <f t="shared" si="334"/>
        <v>0.64000000000216917</v>
      </c>
      <c r="P450" s="197">
        <f t="shared" si="334"/>
        <v>0.64000000000216917</v>
      </c>
      <c r="Q450" s="197">
        <f t="shared" si="334"/>
        <v>0.64000000000216917</v>
      </c>
      <c r="R450" s="197">
        <f t="shared" si="334"/>
        <v>0.64000000000216917</v>
      </c>
      <c r="S450" s="197">
        <f t="shared" si="334"/>
        <v>0.64000000000216917</v>
      </c>
      <c r="T450" s="197">
        <f t="shared" si="334"/>
        <v>0.64000000000216917</v>
      </c>
      <c r="U450" s="197">
        <f t="shared" si="334"/>
        <v>0.64000000000216917</v>
      </c>
      <c r="V450" s="197">
        <f t="shared" si="334"/>
        <v>0.64000000000216917</v>
      </c>
      <c r="W450" s="197">
        <f t="shared" si="334"/>
        <v>0.64000000000216917</v>
      </c>
      <c r="X450" s="197">
        <f t="shared" si="334"/>
        <v>0.64000000000216917</v>
      </c>
      <c r="Y450" s="197">
        <f t="shared" si="334"/>
        <v>0.64000000000216917</v>
      </c>
      <c r="Z450" s="197">
        <f t="shared" si="334"/>
        <v>0.64000000000216917</v>
      </c>
      <c r="AA450" s="197">
        <f t="shared" si="334"/>
        <v>0.64000000000216917</v>
      </c>
      <c r="AB450" s="197">
        <f t="shared" si="334"/>
        <v>0.64000000000216917</v>
      </c>
      <c r="AC450" s="197">
        <f t="shared" si="334"/>
        <v>0.64000000000216917</v>
      </c>
      <c r="AD450" s="197">
        <f t="shared" si="334"/>
        <v>0.64000000000216917</v>
      </c>
      <c r="AE450" s="197">
        <f t="shared" si="334"/>
        <v>0.64000000000216917</v>
      </c>
      <c r="AF450" s="197">
        <f t="shared" si="334"/>
        <v>0.64000000000216917</v>
      </c>
      <c r="AG450" s="197">
        <f t="shared" si="334"/>
        <v>0.64000000000216917</v>
      </c>
      <c r="AH450" s="198">
        <f>AVERAGE(U450:AG450)</f>
        <v>0.64000000000216928</v>
      </c>
      <c r="AI450" s="40">
        <v>25510100</v>
      </c>
      <c r="AJ450" s="199">
        <v>0.03</v>
      </c>
    </row>
    <row r="451" spans="1:36" ht="15.75" thickTop="1" x14ac:dyDescent="0.25">
      <c r="A451" s="48">
        <f t="shared" si="333"/>
        <v>11</v>
      </c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44"/>
      <c r="AI451" s="40">
        <v>25510200</v>
      </c>
      <c r="AJ451" s="199">
        <v>0.04</v>
      </c>
    </row>
    <row r="452" spans="1:36" x14ac:dyDescent="0.25">
      <c r="A452" s="48">
        <f t="shared" si="333"/>
        <v>12</v>
      </c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I452" s="40">
        <v>25510300</v>
      </c>
      <c r="AJ452" s="199">
        <v>0.1</v>
      </c>
    </row>
    <row r="453" spans="1:36" ht="15.75" thickBot="1" x14ac:dyDescent="0.3">
      <c r="A453" s="48">
        <f t="shared" si="333"/>
        <v>13</v>
      </c>
      <c r="B453" s="44" t="s">
        <v>223</v>
      </c>
      <c r="F453" s="197">
        <v>1.75</v>
      </c>
      <c r="G453" s="197">
        <f t="shared" ref="G453:Z453" si="335">F453-G468</f>
        <v>1.75</v>
      </c>
      <c r="H453" s="197">
        <f t="shared" si="335"/>
        <v>1.75</v>
      </c>
      <c r="I453" s="197">
        <f t="shared" si="335"/>
        <v>1.75</v>
      </c>
      <c r="J453" s="197">
        <f t="shared" si="335"/>
        <v>1.75</v>
      </c>
      <c r="K453" s="197">
        <f t="shared" si="335"/>
        <v>1.75</v>
      </c>
      <c r="L453" s="197">
        <f t="shared" si="335"/>
        <v>1.75</v>
      </c>
      <c r="M453" s="197">
        <f t="shared" si="335"/>
        <v>1.75</v>
      </c>
      <c r="N453" s="197">
        <f t="shared" si="335"/>
        <v>1.75</v>
      </c>
      <c r="O453" s="197">
        <f t="shared" si="335"/>
        <v>1.75</v>
      </c>
      <c r="P453" s="197">
        <f t="shared" si="335"/>
        <v>1.75</v>
      </c>
      <c r="Q453" s="197">
        <f t="shared" si="335"/>
        <v>1.75</v>
      </c>
      <c r="R453" s="197">
        <f t="shared" si="335"/>
        <v>1.75</v>
      </c>
      <c r="S453" s="197">
        <f t="shared" si="335"/>
        <v>1.75</v>
      </c>
      <c r="T453" s="197">
        <f t="shared" si="335"/>
        <v>1.75</v>
      </c>
      <c r="U453" s="197">
        <f t="shared" si="335"/>
        <v>1.75</v>
      </c>
      <c r="V453" s="197">
        <f t="shared" si="335"/>
        <v>1.75</v>
      </c>
      <c r="W453" s="197">
        <f t="shared" si="335"/>
        <v>1.75</v>
      </c>
      <c r="X453" s="197">
        <f t="shared" si="335"/>
        <v>1.75</v>
      </c>
      <c r="Y453" s="197">
        <f t="shared" si="335"/>
        <v>1.75</v>
      </c>
      <c r="Z453" s="197">
        <f t="shared" si="335"/>
        <v>1.75</v>
      </c>
      <c r="AA453" s="197">
        <f t="shared" ref="AA453:AG453" si="336">Z453-AA468</f>
        <v>1.75</v>
      </c>
      <c r="AB453" s="197">
        <f t="shared" si="336"/>
        <v>1.75</v>
      </c>
      <c r="AC453" s="197">
        <f t="shared" si="336"/>
        <v>1.75</v>
      </c>
      <c r="AD453" s="197">
        <f t="shared" si="336"/>
        <v>1.75</v>
      </c>
      <c r="AE453" s="197">
        <f t="shared" si="336"/>
        <v>1.75</v>
      </c>
      <c r="AF453" s="197">
        <f t="shared" si="336"/>
        <v>1.75</v>
      </c>
      <c r="AG453" s="197">
        <f t="shared" si="336"/>
        <v>1.75</v>
      </c>
      <c r="AH453" s="198">
        <f>ROUND(AVERAGE(U453:AG453),0)</f>
        <v>2</v>
      </c>
      <c r="AI453" s="48"/>
    </row>
    <row r="454" spans="1:36" ht="15.75" thickTop="1" x14ac:dyDescent="0.25">
      <c r="A454" s="48">
        <f t="shared" si="333"/>
        <v>14</v>
      </c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78"/>
      <c r="AI454" s="48"/>
    </row>
    <row r="455" spans="1:36" x14ac:dyDescent="0.25">
      <c r="A455" s="48">
        <f t="shared" si="333"/>
        <v>15</v>
      </c>
      <c r="AI455" s="48"/>
    </row>
    <row r="456" spans="1:36" x14ac:dyDescent="0.25">
      <c r="A456" s="48">
        <f t="shared" si="333"/>
        <v>16</v>
      </c>
      <c r="B456" s="44" t="s">
        <v>224</v>
      </c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8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48"/>
    </row>
    <row r="457" spans="1:36" x14ac:dyDescent="0.25">
      <c r="A457" s="48">
        <f t="shared" si="333"/>
        <v>17</v>
      </c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8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48"/>
    </row>
    <row r="458" spans="1:36" x14ac:dyDescent="0.25">
      <c r="A458" s="48">
        <f t="shared" si="333"/>
        <v>18</v>
      </c>
      <c r="B458" s="44" t="s">
        <v>225</v>
      </c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8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48"/>
    </row>
    <row r="459" spans="1:36" x14ac:dyDescent="0.25">
      <c r="A459" s="48">
        <f t="shared" si="333"/>
        <v>19</v>
      </c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8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48"/>
    </row>
    <row r="460" spans="1:36" x14ac:dyDescent="0.25">
      <c r="A460" s="48">
        <f t="shared" si="333"/>
        <v>20</v>
      </c>
      <c r="B460" s="44" t="s">
        <v>226</v>
      </c>
      <c r="AI460" s="48"/>
    </row>
    <row r="461" spans="1:36" x14ac:dyDescent="0.25">
      <c r="A461" s="48">
        <f t="shared" si="333"/>
        <v>21</v>
      </c>
      <c r="AI461" s="48"/>
    </row>
    <row r="462" spans="1:36" x14ac:dyDescent="0.25">
      <c r="A462" s="48">
        <f t="shared" si="333"/>
        <v>22</v>
      </c>
      <c r="AI462" s="48"/>
    </row>
    <row r="463" spans="1:36" x14ac:dyDescent="0.25">
      <c r="A463" s="48">
        <f t="shared" si="333"/>
        <v>23</v>
      </c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48"/>
    </row>
    <row r="464" spans="1:36" x14ac:dyDescent="0.25">
      <c r="A464" s="48">
        <f t="shared" si="333"/>
        <v>24</v>
      </c>
      <c r="AI464" s="48"/>
    </row>
    <row r="465" spans="1:36" x14ac:dyDescent="0.25">
      <c r="A465" s="48">
        <f t="shared" si="333"/>
        <v>25</v>
      </c>
      <c r="AI465" s="48"/>
    </row>
    <row r="466" spans="1:36" x14ac:dyDescent="0.25">
      <c r="A466" s="48">
        <f t="shared" si="333"/>
        <v>26</v>
      </c>
      <c r="AI466" s="48"/>
    </row>
    <row r="467" spans="1:36" x14ac:dyDescent="0.25">
      <c r="A467" s="48">
        <f t="shared" si="333"/>
        <v>27</v>
      </c>
      <c r="AI467" s="48"/>
    </row>
    <row r="468" spans="1:36" x14ac:dyDescent="0.25">
      <c r="A468" s="48">
        <f t="shared" si="333"/>
        <v>28</v>
      </c>
      <c r="B468" s="44" t="s">
        <v>227</v>
      </c>
      <c r="F468" s="53">
        <f>'Unamort ITCs WP'!D12</f>
        <v>0</v>
      </c>
      <c r="G468" s="53">
        <f t="shared" ref="G468:U468" si="337">+F468</f>
        <v>0</v>
      </c>
      <c r="H468" s="53">
        <f t="shared" si="337"/>
        <v>0</v>
      </c>
      <c r="I468" s="53">
        <f t="shared" si="337"/>
        <v>0</v>
      </c>
      <c r="J468" s="53">
        <f t="shared" si="337"/>
        <v>0</v>
      </c>
      <c r="K468" s="53">
        <f t="shared" si="337"/>
        <v>0</v>
      </c>
      <c r="L468" s="53">
        <f t="shared" si="337"/>
        <v>0</v>
      </c>
      <c r="M468" s="53">
        <f t="shared" si="337"/>
        <v>0</v>
      </c>
      <c r="N468" s="53">
        <f t="shared" si="337"/>
        <v>0</v>
      </c>
      <c r="O468" s="53">
        <f t="shared" si="337"/>
        <v>0</v>
      </c>
      <c r="P468" s="53">
        <f t="shared" si="337"/>
        <v>0</v>
      </c>
      <c r="Q468" s="53">
        <f t="shared" si="337"/>
        <v>0</v>
      </c>
      <c r="R468" s="53">
        <f t="shared" si="337"/>
        <v>0</v>
      </c>
      <c r="S468" s="53">
        <f t="shared" si="337"/>
        <v>0</v>
      </c>
      <c r="T468" s="53">
        <f t="shared" si="337"/>
        <v>0</v>
      </c>
      <c r="U468" s="53">
        <f t="shared" si="337"/>
        <v>0</v>
      </c>
      <c r="V468" s="53">
        <f t="shared" ref="U468:Z470" si="338">+U468</f>
        <v>0</v>
      </c>
      <c r="W468" s="53">
        <f t="shared" si="338"/>
        <v>0</v>
      </c>
      <c r="X468" s="53">
        <f t="shared" si="338"/>
        <v>0</v>
      </c>
      <c r="Y468" s="53">
        <f t="shared" si="338"/>
        <v>0</v>
      </c>
      <c r="Z468" s="53">
        <f t="shared" si="338"/>
        <v>0</v>
      </c>
      <c r="AA468" s="53">
        <f t="shared" ref="AA468:AA470" si="339">+Z468</f>
        <v>0</v>
      </c>
      <c r="AB468" s="53">
        <f t="shared" ref="AB468:AB470" si="340">+AA468</f>
        <v>0</v>
      </c>
      <c r="AC468" s="53">
        <f t="shared" ref="AC468:AC470" si="341">+AB468</f>
        <v>0</v>
      </c>
      <c r="AD468" s="53">
        <f t="shared" ref="AD468:AD470" si="342">+AC468</f>
        <v>0</v>
      </c>
      <c r="AE468" s="53">
        <f t="shared" ref="AE468:AE470" si="343">+AD468</f>
        <v>0</v>
      </c>
      <c r="AF468" s="53">
        <f t="shared" ref="AF468:AF470" si="344">+AE468</f>
        <v>0</v>
      </c>
      <c r="AG468" s="53">
        <f t="shared" ref="AG468:AG470" si="345">+AF468</f>
        <v>0</v>
      </c>
      <c r="AI468" s="86">
        <v>69522000</v>
      </c>
      <c r="AJ468" s="184" t="s">
        <v>228</v>
      </c>
    </row>
    <row r="469" spans="1:36" x14ac:dyDescent="0.25">
      <c r="A469" s="48">
        <f t="shared" si="333"/>
        <v>29</v>
      </c>
      <c r="B469" s="44" t="s">
        <v>229</v>
      </c>
      <c r="F469" s="53">
        <f>'Unamort ITCs WP'!J12</f>
        <v>0</v>
      </c>
      <c r="G469" s="53">
        <f t="shared" ref="G469:T470" si="346">+F469</f>
        <v>0</v>
      </c>
      <c r="H469" s="53">
        <f t="shared" si="346"/>
        <v>0</v>
      </c>
      <c r="I469" s="53">
        <f t="shared" si="346"/>
        <v>0</v>
      </c>
      <c r="J469" s="53">
        <f t="shared" si="346"/>
        <v>0</v>
      </c>
      <c r="K469" s="53">
        <f t="shared" si="346"/>
        <v>0</v>
      </c>
      <c r="L469" s="53">
        <f t="shared" si="346"/>
        <v>0</v>
      </c>
      <c r="M469" s="53">
        <f t="shared" si="346"/>
        <v>0</v>
      </c>
      <c r="N469" s="53">
        <f t="shared" si="346"/>
        <v>0</v>
      </c>
      <c r="O469" s="53">
        <f t="shared" si="346"/>
        <v>0</v>
      </c>
      <c r="P469" s="53">
        <f t="shared" si="346"/>
        <v>0</v>
      </c>
      <c r="Q469" s="53">
        <f t="shared" si="346"/>
        <v>0</v>
      </c>
      <c r="R469" s="53">
        <f t="shared" si="346"/>
        <v>0</v>
      </c>
      <c r="S469" s="53">
        <f t="shared" si="346"/>
        <v>0</v>
      </c>
      <c r="T469" s="53">
        <f t="shared" si="346"/>
        <v>0</v>
      </c>
      <c r="U469" s="53">
        <f t="shared" si="338"/>
        <v>0</v>
      </c>
      <c r="V469" s="53">
        <f t="shared" si="338"/>
        <v>0</v>
      </c>
      <c r="W469" s="53">
        <f t="shared" si="338"/>
        <v>0</v>
      </c>
      <c r="X469" s="53">
        <f t="shared" si="338"/>
        <v>0</v>
      </c>
      <c r="Y469" s="53">
        <f t="shared" si="338"/>
        <v>0</v>
      </c>
      <c r="Z469" s="53">
        <f t="shared" si="338"/>
        <v>0</v>
      </c>
      <c r="AA469" s="53">
        <f t="shared" si="339"/>
        <v>0</v>
      </c>
      <c r="AB469" s="53">
        <f t="shared" si="340"/>
        <v>0</v>
      </c>
      <c r="AC469" s="53">
        <f t="shared" si="341"/>
        <v>0</v>
      </c>
      <c r="AD469" s="53">
        <f t="shared" si="342"/>
        <v>0</v>
      </c>
      <c r="AE469" s="53">
        <f t="shared" si="343"/>
        <v>0</v>
      </c>
      <c r="AF469" s="53">
        <f t="shared" si="344"/>
        <v>0</v>
      </c>
      <c r="AG469" s="53">
        <f t="shared" si="345"/>
        <v>0</v>
      </c>
      <c r="AI469" s="86">
        <v>69523000</v>
      </c>
      <c r="AJ469" s="184" t="s">
        <v>230</v>
      </c>
    </row>
    <row r="470" spans="1:36" x14ac:dyDescent="0.25">
      <c r="A470" s="48">
        <f t="shared" si="333"/>
        <v>30</v>
      </c>
      <c r="B470" s="44" t="s">
        <v>231</v>
      </c>
      <c r="F470" s="53">
        <f>'Unamort ITCs WP'!P12</f>
        <v>0</v>
      </c>
      <c r="G470" s="53">
        <f>'Unamort ITCs WP'!P13</f>
        <v>0</v>
      </c>
      <c r="H470" s="53">
        <f>'Unamort ITCs WP'!P14</f>
        <v>0</v>
      </c>
      <c r="I470" s="53">
        <f>'Unamort ITCs WP'!P15</f>
        <v>0</v>
      </c>
      <c r="J470" s="53">
        <f t="shared" si="346"/>
        <v>0</v>
      </c>
      <c r="K470" s="53">
        <f t="shared" si="346"/>
        <v>0</v>
      </c>
      <c r="L470" s="53">
        <f t="shared" si="346"/>
        <v>0</v>
      </c>
      <c r="M470" s="53">
        <f t="shared" si="346"/>
        <v>0</v>
      </c>
      <c r="N470" s="53">
        <f t="shared" si="346"/>
        <v>0</v>
      </c>
      <c r="O470" s="53">
        <f t="shared" si="346"/>
        <v>0</v>
      </c>
      <c r="P470" s="53">
        <f t="shared" si="346"/>
        <v>0</v>
      </c>
      <c r="Q470" s="53">
        <f t="shared" si="346"/>
        <v>0</v>
      </c>
      <c r="R470" s="53">
        <f t="shared" si="346"/>
        <v>0</v>
      </c>
      <c r="S470" s="53">
        <f t="shared" si="346"/>
        <v>0</v>
      </c>
      <c r="T470" s="53">
        <f t="shared" si="346"/>
        <v>0</v>
      </c>
      <c r="U470" s="53">
        <f t="shared" si="338"/>
        <v>0</v>
      </c>
      <c r="V470" s="53">
        <f t="shared" si="338"/>
        <v>0</v>
      </c>
      <c r="W470" s="53">
        <f t="shared" si="338"/>
        <v>0</v>
      </c>
      <c r="X470" s="53">
        <f t="shared" si="338"/>
        <v>0</v>
      </c>
      <c r="Y470" s="53">
        <f t="shared" si="338"/>
        <v>0</v>
      </c>
      <c r="Z470" s="53">
        <f t="shared" si="338"/>
        <v>0</v>
      </c>
      <c r="AA470" s="53">
        <f t="shared" si="339"/>
        <v>0</v>
      </c>
      <c r="AB470" s="53">
        <f t="shared" si="340"/>
        <v>0</v>
      </c>
      <c r="AC470" s="53">
        <f t="shared" si="341"/>
        <v>0</v>
      </c>
      <c r="AD470" s="53">
        <f t="shared" si="342"/>
        <v>0</v>
      </c>
      <c r="AE470" s="53">
        <f t="shared" si="343"/>
        <v>0</v>
      </c>
      <c r="AF470" s="53">
        <f t="shared" si="344"/>
        <v>0</v>
      </c>
      <c r="AG470" s="53">
        <f t="shared" si="345"/>
        <v>0</v>
      </c>
      <c r="AI470" s="86">
        <v>69524000</v>
      </c>
      <c r="AJ470" s="184" t="s">
        <v>232</v>
      </c>
    </row>
    <row r="471" spans="1:36" x14ac:dyDescent="0.25">
      <c r="AI471" s="48"/>
    </row>
    <row r="472" spans="1:36" x14ac:dyDescent="0.25">
      <c r="AI472" s="48"/>
    </row>
    <row r="473" spans="1:36" x14ac:dyDescent="0.25">
      <c r="AI473" s="48"/>
    </row>
    <row r="474" spans="1:36" x14ac:dyDescent="0.25">
      <c r="AI474" s="48"/>
    </row>
    <row r="475" spans="1:36" x14ac:dyDescent="0.25">
      <c r="AI475" s="48"/>
    </row>
  </sheetData>
  <pageMargins left="0.7" right="0.7" top="1" bottom="0.75" header="0.3" footer="0.4"/>
  <pageSetup scale="54" orientation="landscape" r:id="rId1"/>
  <headerFooter>
    <oddFooter>&amp;R&amp;11Page &amp;P of &amp;N</oddFooter>
  </headerFooter>
  <rowBreaks count="9" manualBreakCount="9">
    <brk id="43" min="5" max="33" man="1"/>
    <brk id="89" min="5" max="33" man="1"/>
    <brk id="134" min="5" max="33" man="1"/>
    <brk id="193" min="5" max="33" man="1"/>
    <brk id="234" min="5" max="33" man="1"/>
    <brk id="278" min="5" max="33" man="1"/>
    <brk id="328" min="5" max="33" man="1"/>
    <brk id="377" min="5" max="33" man="1"/>
    <brk id="431" min="5" max="33" man="1"/>
  </rowBreaks>
  <colBreaks count="3" manualBreakCount="3">
    <brk id="15" max="450" man="1"/>
    <brk id="25" max="469" man="1"/>
    <brk id="34" min="3" max="523" man="1"/>
  </colBreaks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8"/>
  <sheetViews>
    <sheetView view="pageBreakPreview" zoomScale="80" zoomScaleNormal="100" zoomScaleSheetLayoutView="80" workbookViewId="0">
      <selection activeCell="S17" sqref="S17"/>
    </sheetView>
  </sheetViews>
  <sheetFormatPr defaultColWidth="9.140625" defaultRowHeight="12.75" x14ac:dyDescent="0.2"/>
  <cols>
    <col min="1" max="1" width="14.7109375" style="27" customWidth="1"/>
    <col min="2" max="2" width="15.28515625" style="27" bestFit="1" customWidth="1"/>
    <col min="3" max="3" width="14.85546875" style="27" bestFit="1" customWidth="1"/>
    <col min="4" max="4" width="14.7109375" style="27" bestFit="1" customWidth="1"/>
    <col min="5" max="5" width="20.28515625" style="27" bestFit="1" customWidth="1"/>
    <col min="6" max="6" width="9.140625" style="27" customWidth="1"/>
    <col min="7" max="16384" width="9.140625" style="27"/>
  </cols>
  <sheetData>
    <row r="1" spans="1:11" ht="15" x14ac:dyDescent="0.25">
      <c r="A1" s="66" t="s">
        <v>159</v>
      </c>
      <c r="F1" s="67" t="str">
        <f>Linkin!C26</f>
        <v>W/P - 7-3</v>
      </c>
    </row>
    <row r="2" spans="1:11" ht="15" x14ac:dyDescent="0.25">
      <c r="A2" s="66" t="s">
        <v>160</v>
      </c>
      <c r="F2" s="67" t="str">
        <f>'Sch J WPs'!O2</f>
        <v>KAW_R_PSCHDR_NUM002_100625_Attachment   Sch J WPs</v>
      </c>
      <c r="I2" s="101">
        <v>23121000</v>
      </c>
      <c r="J2" s="123"/>
      <c r="K2" s="123"/>
    </row>
    <row r="3" spans="1:11" ht="15" x14ac:dyDescent="0.25">
      <c r="F3" s="67" t="s">
        <v>84</v>
      </c>
      <c r="I3" s="123"/>
    </row>
    <row r="4" spans="1:11" ht="15" x14ac:dyDescent="0.25">
      <c r="F4" s="67"/>
    </row>
    <row r="5" spans="1:11" ht="15" x14ac:dyDescent="0.25">
      <c r="A5" s="57" t="s">
        <v>161</v>
      </c>
    </row>
    <row r="6" spans="1:11" x14ac:dyDescent="0.2">
      <c r="A6" s="101" t="s">
        <v>233</v>
      </c>
    </row>
    <row r="9" spans="1:11" x14ac:dyDescent="0.2">
      <c r="A9" s="26" t="s">
        <v>234</v>
      </c>
      <c r="B9" s="26" t="s">
        <v>235</v>
      </c>
      <c r="C9" s="26" t="s">
        <v>236</v>
      </c>
      <c r="D9" s="26" t="s">
        <v>237</v>
      </c>
      <c r="E9" s="26" t="s">
        <v>238</v>
      </c>
    </row>
    <row r="10" spans="1:11" x14ac:dyDescent="0.2">
      <c r="A10" s="27" t="s">
        <v>239</v>
      </c>
      <c r="B10" s="75">
        <v>0</v>
      </c>
      <c r="C10" s="75">
        <v>0</v>
      </c>
      <c r="D10" s="75">
        <v>0</v>
      </c>
      <c r="E10" s="116">
        <v>0</v>
      </c>
    </row>
    <row r="11" spans="1:11" x14ac:dyDescent="0.2">
      <c r="A11" s="102">
        <v>45565</v>
      </c>
      <c r="B11" s="75">
        <v>26135630.530000001</v>
      </c>
      <c r="C11" s="75">
        <v>26135630.530000001</v>
      </c>
      <c r="D11" s="75">
        <f>C11-B11</f>
        <v>0</v>
      </c>
      <c r="E11" s="75">
        <f>E10+D11</f>
        <v>0</v>
      </c>
    </row>
    <row r="12" spans="1:11" x14ac:dyDescent="0.2">
      <c r="A12" s="102">
        <v>45596</v>
      </c>
      <c r="B12" s="75">
        <v>22525307.329999998</v>
      </c>
      <c r="C12" s="75">
        <v>22525307.329999998</v>
      </c>
      <c r="D12" s="75">
        <f t="shared" ref="D12:D15" si="0">C12-B12</f>
        <v>0</v>
      </c>
      <c r="E12" s="75">
        <f>E11+D12</f>
        <v>0</v>
      </c>
      <c r="I12" s="123"/>
    </row>
    <row r="13" spans="1:11" x14ac:dyDescent="0.2">
      <c r="A13" s="102">
        <v>45626</v>
      </c>
      <c r="B13" s="75">
        <v>12900425.039999999</v>
      </c>
      <c r="C13" s="75">
        <v>18874127.600000001</v>
      </c>
      <c r="D13" s="75">
        <f t="shared" si="0"/>
        <v>5973702.5600000024</v>
      </c>
      <c r="E13" s="88">
        <f>E12+D13</f>
        <v>5973702.5600000024</v>
      </c>
    </row>
    <row r="14" spans="1:11" x14ac:dyDescent="0.2">
      <c r="A14" s="102">
        <v>45657</v>
      </c>
      <c r="B14" s="75">
        <v>16235675.16</v>
      </c>
      <c r="C14" s="75">
        <v>20650842.640000001</v>
      </c>
      <c r="D14" s="75">
        <f t="shared" si="0"/>
        <v>4415167.4800000004</v>
      </c>
      <c r="E14" s="88">
        <f t="shared" ref="E14:E16" si="1">E13+D14</f>
        <v>10388870.040000003</v>
      </c>
    </row>
    <row r="15" spans="1:11" x14ac:dyDescent="0.2">
      <c r="A15" s="117">
        <v>45688</v>
      </c>
      <c r="B15" s="118">
        <v>11799838.560000001</v>
      </c>
      <c r="C15" s="118">
        <v>15119814.73</v>
      </c>
      <c r="D15" s="118">
        <f t="shared" si="0"/>
        <v>3319976.17</v>
      </c>
      <c r="E15" s="126">
        <f t="shared" si="1"/>
        <v>13708846.210000003</v>
      </c>
    </row>
    <row r="16" spans="1:11" x14ac:dyDescent="0.2">
      <c r="A16" s="117">
        <v>45716</v>
      </c>
      <c r="B16" s="118">
        <v>15110671.1</v>
      </c>
      <c r="C16" s="118">
        <v>19116004.739999998</v>
      </c>
      <c r="D16" s="118">
        <f>C16-B16</f>
        <v>4005333.6399999987</v>
      </c>
      <c r="E16" s="126">
        <f t="shared" si="1"/>
        <v>17714179.850000001</v>
      </c>
    </row>
    <row r="17" spans="1:6" x14ac:dyDescent="0.2">
      <c r="B17" s="75"/>
      <c r="C17" s="75"/>
      <c r="D17" s="75"/>
      <c r="E17" s="88"/>
    </row>
    <row r="18" spans="1:6" x14ac:dyDescent="0.2">
      <c r="B18" s="75"/>
      <c r="C18" s="75"/>
      <c r="D18" s="75"/>
      <c r="E18" s="88"/>
    </row>
    <row r="19" spans="1:6" x14ac:dyDescent="0.2">
      <c r="B19" s="75"/>
      <c r="C19" s="75"/>
      <c r="D19" s="75"/>
      <c r="E19" s="88"/>
    </row>
    <row r="20" spans="1:6" x14ac:dyDescent="0.2">
      <c r="B20" s="75"/>
      <c r="C20" s="75"/>
      <c r="D20" s="75"/>
      <c r="E20" s="88"/>
      <c r="F20" s="101"/>
    </row>
    <row r="21" spans="1:6" x14ac:dyDescent="0.2">
      <c r="E21" s="120"/>
    </row>
    <row r="23" spans="1:6" x14ac:dyDescent="0.2">
      <c r="A23" s="119"/>
      <c r="B23" s="119"/>
    </row>
    <row r="24" spans="1:6" x14ac:dyDescent="0.2">
      <c r="A24" s="119"/>
      <c r="B24" s="119"/>
      <c r="C24" s="119"/>
    </row>
    <row r="26" spans="1:6" x14ac:dyDescent="0.2">
      <c r="B26" s="119"/>
      <c r="C26" s="119"/>
    </row>
    <row r="27" spans="1:6" x14ac:dyDescent="0.2">
      <c r="B27" s="119"/>
      <c r="C27" s="119"/>
    </row>
    <row r="28" spans="1:6" x14ac:dyDescent="0.2">
      <c r="B28" s="119"/>
      <c r="C28" s="119"/>
    </row>
    <row r="38" spans="2:3" x14ac:dyDescent="0.2">
      <c r="B38" s="119"/>
      <c r="C38" s="119"/>
    </row>
  </sheetData>
  <pageMargins left="1" right="0.7" top="0.75" bottom="0.75" header="0.3" footer="0.3"/>
  <pageSetup scale="95" orientation="portrait" verticalDpi="1200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c1cf47-8665-4c73-8994-ff3a5e26da0f">4QVSNHSJP2QR-262969112-6806</_dlc_DocId>
    <_dlc_DocIdUrl xmlns="00c1cf47-8665-4c73-8994-ff3a5e26da0f">
      <Url>https://amwater.sharepoint.com/sites/sers/KY/_layouts/15/DocIdRedir.aspx?ID=4QVSNHSJP2QR-262969112-6806</Url>
      <Description>4QVSNHSJP2QR-262969112-6806</Description>
    </_dlc_DocIdUrl>
    <_ip_UnifiedCompliancePolicyUIAction xmlns="http://schemas.microsoft.com/sharepoint/v3" xsi:nil="true"/>
    <WorkflowStatus xmlns="3527bf6f-27a6-47d3-aafb-dbf13eba6bbe" xsi:nil="true"/>
    <Internal_x0020_Due_x0020_Date xmlns="00c1cf47-8665-4c73-8994-ff3a5e26da0f" xsi:nil="true"/>
    <Final_x0020_Due_x0020_Date xmlns="00c1cf47-8665-4c73-8994-ff3a5e26da0f" xsi:nil="true"/>
    <Docket_x0020_Number xmlns="00c1cf47-8665-4c73-8994-ff3a5e26da0f">2025-00122 - GRC</Docket_x0020_Number>
    <Preparer xmlns="00c1cf47-8665-4c73-8994-ff3a5e26da0f" xsi:nil="true"/>
    <Document_x0020_Type xmlns="00c1cf47-8665-4c73-8994-ff3a5e26da0f">Discovery</Document_x0020_Type>
    <_ip_UnifiedCompliancePolicyProperties xmlns="http://schemas.microsoft.com/sharepoint/v3" xsi:nil="true"/>
    <Series xmlns="3527BF6F-27A6-47D3-AAFB-DBF13EBA6BBE" xsi:nil="true"/>
    <Workflow xmlns="3527bf6f-27a6-47d3-aafb-dbf13eba6bbe">
      <Url xsi:nil="true"/>
      <Description xsi:nil="true"/>
    </Workflow>
    <Party xmlns="00c1cf47-8665-4c73-8994-ff3a5e26da0f" xsi:nil="true"/>
    <Responsible_x0020_Witness xmlns="00c1cf47-8665-4c73-8994-ff3a5e26da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0505336475743B548BB3731556CC4" ma:contentTypeVersion="6" ma:contentTypeDescription="Create a new document." ma:contentTypeScope="" ma:versionID="9c01bfd45d39d204ee64d7f1ab2d8552">
  <xsd:schema xmlns:xsd="http://www.w3.org/2001/XMLSchema" xmlns:xs="http://www.w3.org/2001/XMLSchema" xmlns:p="http://schemas.microsoft.com/office/2006/metadata/properties" xmlns:ns1="http://schemas.microsoft.com/sharepoint/v3" xmlns:ns2="3527BF6F-27A6-47D3-AAFB-DBF13EBA6BBE" xmlns:ns3="00c1cf47-8665-4c73-8994-ff3a5e26da0f" xmlns:ns5="7312d0bd-5bb3-4d44-9c84-f993550bda7e" xmlns:ns6="3527bf6f-27a6-47d3-aafb-dbf13eba6bbe" targetNamespace="http://schemas.microsoft.com/office/2006/metadata/properties" ma:root="true" ma:fieldsID="605ee234aaa6a62f6e4fa7a2294eea6b" ns1:_="" ns2:_="" ns3:_="" ns5:_="" ns6:_="">
    <xsd:import namespace="http://schemas.microsoft.com/sharepoint/v3"/>
    <xsd:import namespace="3527BF6F-27A6-47D3-AAFB-DBF13EBA6BBE"/>
    <xsd:import namespace="00c1cf47-8665-4c73-8994-ff3a5e26da0f"/>
    <xsd:import namespace="7312d0bd-5bb3-4d44-9c84-f993550bda7e"/>
    <xsd:import namespace="3527bf6f-27a6-47d3-aafb-dbf13eba6b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Docket_x0020_Number"/>
                <xsd:element ref="ns3:Party" minOccurs="0"/>
                <xsd:element ref="ns3:Preparer" minOccurs="0"/>
                <xsd:element ref="ns3:Responsible_x0020_Witness" minOccurs="0"/>
                <xsd:element ref="ns3:Internal_x0020_Due_x0020_Date" minOccurs="0"/>
                <xsd:element ref="ns3:Final_x0020_Due_x0020_Date" minOccurs="0"/>
                <xsd:element ref="ns3:Document_x0020_Type"/>
                <xsd:element ref="ns2:Series" minOccurs="0"/>
                <xsd:element ref="ns5:SharedWithUsers" minOccurs="0"/>
                <xsd:element ref="ns5:SharedWithDetails" minOccurs="0"/>
                <xsd:element ref="ns1:_ip_UnifiedCompliancePolicyProperties" minOccurs="0"/>
                <xsd:element ref="ns1:_ip_UnifiedCompliancePolicyUIAction" minOccurs="0"/>
                <xsd:element ref="ns6:MediaServiceAutoKeyPoints" minOccurs="0"/>
                <xsd:element ref="ns6:MediaServiceKeyPoints" minOccurs="0"/>
                <xsd:element ref="ns6:Workflow" minOccurs="0"/>
                <xsd:element ref="ns6:WorkflowStatus" minOccurs="0"/>
                <xsd:element ref="ns3:_dlc_DocId" minOccurs="0"/>
                <xsd:element ref="ns3:_dlc_DocIdUrl" minOccurs="0"/>
                <xsd:element ref="ns3:_dlc_DocIdPersistId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7BF6F-27A6-47D3-AAFB-DBF13EBA6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eries" ma:index="19" nillable="true" ma:displayName="Series" ma:internalName="Seri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11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12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FUCG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SC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13" nillable="true" ma:displayName="Preparer" ma:indexed="true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14" nillable="true" ma:displayName="Witness" ma:indexed="true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16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17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18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7bf6f-27a6-47d3-aafb-dbf13eba6bbe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orkflow" ma:index="26" nillable="true" ma:displayName="Workflow" ma:internalName="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27" nillable="true" ma:displayName="WorkflowStatus" ma:internalName="WorkflowStatus">
      <xsd:simpleType>
        <xsd:restriction base="dms:Text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99CE6A-F277-4DBA-9CC2-F607C3F8C8BB}">
  <ds:schemaRefs>
    <ds:schemaRef ds:uri="http://schemas.microsoft.com/sharepoint/v3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527bf6f-27a6-47d3-aafb-dbf13eba6bbe"/>
    <ds:schemaRef ds:uri="http://schemas.microsoft.com/office/2006/documentManagement/types"/>
    <ds:schemaRef ds:uri="http://purl.org/dc/elements/1.1/"/>
    <ds:schemaRef ds:uri="http://schemas.microsoft.com/office/2006/metadata/properties"/>
    <ds:schemaRef ds:uri="7312d0bd-5bb3-4d44-9c84-f993550bda7e"/>
    <ds:schemaRef ds:uri="00c1cf47-8665-4c73-8994-ff3a5e26da0f"/>
    <ds:schemaRef ds:uri="3527BF6F-27A6-47D3-AAFB-DBF13EBA6B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4E0C7A-7646-4050-B701-DD86007D70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CCB69F-CF08-4E55-A88A-BE6F841D0FB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B05D660-7FF8-4C1D-8715-E3AE748EE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27BF6F-27A6-47D3-AAFB-DBF13EBA6BBE"/>
    <ds:schemaRef ds:uri="00c1cf47-8665-4c73-8994-ff3a5e26da0f"/>
    <ds:schemaRef ds:uri="7312d0bd-5bb3-4d44-9c84-f993550bda7e"/>
    <ds:schemaRef ds:uri="3527bf6f-27a6-47d3-aafb-dbf13eba6b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Linkout</vt:lpstr>
      <vt:lpstr>Linkin</vt:lpstr>
      <vt:lpstr>Sch J-1</vt:lpstr>
      <vt:lpstr>Sch J-2</vt:lpstr>
      <vt:lpstr>Sch J-3</vt:lpstr>
      <vt:lpstr>Sch J-4</vt:lpstr>
      <vt:lpstr>Sch J-5</vt:lpstr>
      <vt:lpstr>Sch J WPs</vt:lpstr>
      <vt:lpstr>STD 2024 WP</vt:lpstr>
      <vt:lpstr>LTD Discount</vt:lpstr>
      <vt:lpstr>Unamort ITCs WP</vt:lpstr>
      <vt:lpstr>Linkin!Print_Area</vt:lpstr>
      <vt:lpstr>Linkout!Print_Area</vt:lpstr>
      <vt:lpstr>'Sch J WPs'!Print_Area</vt:lpstr>
      <vt:lpstr>'Sch J-1'!Print_Area</vt:lpstr>
      <vt:lpstr>'Sch J-2'!Print_Area</vt:lpstr>
      <vt:lpstr>'Sch J-3'!Print_Area</vt:lpstr>
      <vt:lpstr>'Sch J-4'!Print_Area</vt:lpstr>
      <vt:lpstr>'Sch J-5'!Print_Area</vt:lpstr>
      <vt:lpstr>'Unamort ITCs WP'!Print_Area</vt:lpstr>
      <vt:lpstr>'Sch J WPs'!Print_Titles</vt:lpstr>
    </vt:vector>
  </TitlesOfParts>
  <Manager/>
  <Company>KAWC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Frost</dc:creator>
  <cp:keywords/>
  <dc:description/>
  <cp:lastModifiedBy>Jennifer Gonzales</cp:lastModifiedBy>
  <cp:revision/>
  <cp:lastPrinted>2025-10-03T17:34:33Z</cp:lastPrinted>
  <dcterms:created xsi:type="dcterms:W3CDTF">1998-12-14T20:29:10Z</dcterms:created>
  <dcterms:modified xsi:type="dcterms:W3CDTF">2025-10-06T15:59:13Z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846c87f6-c46e-48eb-b7ce-d3a4a7d30611_Enabled">
    <vt:lpwstr>true</vt:lpwstr>
  </property>
  <property fmtid="{D5CDD505-2E9C-101B-9397-08002B2CF9AE}" pid="5" name="MSIP_Label_846c87f6-c46e-48eb-b7ce-d3a4a7d30611_SetDate">
    <vt:lpwstr>2023-01-10T12:59:05Z</vt:lpwstr>
  </property>
  <property fmtid="{D5CDD505-2E9C-101B-9397-08002B2CF9AE}" pid="6" name="MSIP_Label_846c87f6-c46e-48eb-b7ce-d3a4a7d30611_Method">
    <vt:lpwstr>Standard</vt:lpwstr>
  </property>
  <property fmtid="{D5CDD505-2E9C-101B-9397-08002B2CF9AE}" pid="7" name="MSIP_Label_846c87f6-c46e-48eb-b7ce-d3a4a7d30611_Name">
    <vt:lpwstr>846c87f6-c46e-48eb-b7ce-d3a4a7d30611</vt:lpwstr>
  </property>
  <property fmtid="{D5CDD505-2E9C-101B-9397-08002B2CF9AE}" pid="8" name="MSIP_Label_846c87f6-c46e-48eb-b7ce-d3a4a7d30611_SiteId">
    <vt:lpwstr>35378cf9-dac0-45f0-84c7-1bfb98207b59</vt:lpwstr>
  </property>
  <property fmtid="{D5CDD505-2E9C-101B-9397-08002B2CF9AE}" pid="9" name="MSIP_Label_846c87f6-c46e-48eb-b7ce-d3a4a7d30611_ActionId">
    <vt:lpwstr>3beb354d-219f-436a-8b30-847e5d1d942c</vt:lpwstr>
  </property>
  <property fmtid="{D5CDD505-2E9C-101B-9397-08002B2CF9AE}" pid="10" name="MSIP_Label_846c87f6-c46e-48eb-b7ce-d3a4a7d30611_ContentBits">
    <vt:lpwstr>0</vt:lpwstr>
  </property>
  <property fmtid="{D5CDD505-2E9C-101B-9397-08002B2CF9AE}" pid="11" name="ContentTypeId">
    <vt:lpwstr>0x01010004E0505336475743B548BB3731556CC4</vt:lpwstr>
  </property>
  <property fmtid="{D5CDD505-2E9C-101B-9397-08002B2CF9AE}" pid="12" name="Order">
    <vt:r8>100</vt:r8>
  </property>
  <property fmtid="{D5CDD505-2E9C-101B-9397-08002B2CF9AE}" pid="13" name="_dlc_DocIdItemGuid">
    <vt:lpwstr>b66da7fa-a01c-485f-99de-56176d416083</vt:lpwstr>
  </property>
</Properties>
</file>