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projects.sp.lgeenergy.int/sites/RegFilings/Rate Case Documents/"/>
    </mc:Choice>
  </mc:AlternateContent>
  <xr:revisionPtr revIDLastSave="0" documentId="14_{5B9C539D-A1BB-4EA4-AA34-C217C7F2A237}" xr6:coauthVersionLast="47" xr6:coauthVersionMax="47" xr10:uidLastSave="{00000000-0000-0000-0000-000000000000}"/>
  <bookViews>
    <workbookView xWindow="-108" yWindow="-108" windowWidth="23256" windowHeight="13896" xr2:uid="{00000000-000D-0000-FFFF-FFFF00000000}"/>
  </bookViews>
  <sheets>
    <sheet name="Pension" sheetId="7" r:id="rId1"/>
    <sheet name="OPEB" sheetId="8" r:id="rId2"/>
    <sheet name="LGE 254.11" sheetId="17" r:id="rId3"/>
    <sheet name="LGE 2018 Pension Contribution" sheetId="9" r:id="rId4"/>
    <sheet name="LGE 2018 Pension Contrib. Union" sheetId="10" r:id="rId5"/>
    <sheet name="LGE 2019 Pension Contribution" sheetId="11" r:id="rId6"/>
    <sheet name="LGE 2020 Pension Contribution" sheetId="12" r:id="rId7"/>
    <sheet name="LGE 2020 Pension Contribution 2" sheetId="13" r:id="rId8"/>
    <sheet name="KU 2018 Pension Contribution" sheetId="14" r:id="rId9"/>
    <sheet name="KU 2020 Pension Contribution" sheetId="15" r:id="rId10"/>
    <sheet name="KU 2020 Pension Contribution 2" sheetId="16" r:id="rId11"/>
  </sheets>
  <definedNames>
    <definedName name="_xlnm.Print_Area" localSheetId="0">Pension!$A$3:$P$36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8" l="1"/>
  <c r="N5" i="17"/>
  <c r="M5" i="17"/>
  <c r="L5" i="17"/>
  <c r="K5" i="17"/>
  <c r="J5" i="17"/>
  <c r="I5" i="17"/>
  <c r="H5" i="17"/>
  <c r="G5" i="17"/>
  <c r="F5" i="17"/>
  <c r="E5" i="17"/>
  <c r="D5" i="17"/>
  <c r="C5" i="17"/>
  <c r="B5" i="17"/>
  <c r="O5" i="17" s="1"/>
  <c r="O4" i="17"/>
  <c r="O3" i="17"/>
  <c r="I30" i="7" l="1"/>
  <c r="I30" i="8" l="1"/>
  <c r="I25" i="8"/>
  <c r="I12" i="8"/>
  <c r="I27" i="7"/>
  <c r="I26" i="7"/>
  <c r="I9" i="7" l="1"/>
  <c r="I8" i="7"/>
  <c r="K11" i="7"/>
  <c r="I11" i="7"/>
  <c r="I24" i="7"/>
  <c r="I10" i="7" l="1"/>
  <c r="I13" i="7"/>
  <c r="I12" i="7"/>
  <c r="K12" i="7"/>
  <c r="I28" i="7" l="1"/>
  <c r="I29" i="7" l="1"/>
  <c r="B16" i="8" l="1"/>
  <c r="I14" i="7"/>
  <c r="I14" i="8" l="1"/>
  <c r="B32" i="7"/>
  <c r="C16" i="7"/>
  <c r="B16" i="7"/>
  <c r="C32" i="8"/>
  <c r="B32" i="8"/>
  <c r="J14" i="8" l="1"/>
  <c r="J28" i="8"/>
  <c r="J13" i="8" l="1"/>
  <c r="I13" i="8"/>
  <c r="J29" i="8"/>
  <c r="I29" i="8"/>
  <c r="I28" i="8" l="1"/>
  <c r="B27" i="8" l="1"/>
  <c r="K27" i="8"/>
  <c r="J11" i="8"/>
  <c r="K11" i="8"/>
  <c r="J27" i="8"/>
  <c r="I11" i="8"/>
  <c r="I27" i="8"/>
  <c r="B28" i="8"/>
  <c r="N27" i="8" l="1"/>
  <c r="N28" i="8"/>
  <c r="N29" i="8"/>
  <c r="N30" i="8"/>
  <c r="B14" i="8" l="1"/>
  <c r="N14" i="8" l="1"/>
  <c r="N13" i="8"/>
  <c r="P13" i="8" s="1"/>
  <c r="N12" i="8"/>
  <c r="P12" i="8" s="1"/>
  <c r="N11" i="8"/>
  <c r="P11" i="8" s="1"/>
  <c r="N10" i="8"/>
  <c r="N9" i="8"/>
  <c r="L30" i="8"/>
  <c r="J30" i="8"/>
  <c r="P30" i="8" l="1"/>
  <c r="L29" i="8"/>
  <c r="J12" i="8" l="1"/>
  <c r="L28" i="8"/>
  <c r="L27" i="8" l="1"/>
  <c r="B11" i="8" l="1"/>
  <c r="L14" i="7" l="1"/>
  <c r="L13" i="7"/>
  <c r="L28" i="7"/>
  <c r="N30" i="7" l="1"/>
  <c r="N29" i="7"/>
  <c r="N28" i="7"/>
  <c r="N14" i="7"/>
  <c r="N13" i="7"/>
  <c r="N12" i="7"/>
  <c r="L27" i="7"/>
  <c r="K27" i="7"/>
  <c r="N11" i="7"/>
  <c r="E14" i="8"/>
  <c r="E30" i="8"/>
  <c r="B30" i="8"/>
  <c r="C30" i="7"/>
  <c r="B30" i="7"/>
  <c r="E30" i="7" s="1"/>
  <c r="E14" i="7"/>
  <c r="C14" i="7"/>
  <c r="B14" i="7"/>
  <c r="E13" i="8"/>
  <c r="B13" i="8"/>
  <c r="B29" i="8"/>
  <c r="E29" i="8"/>
  <c r="E28" i="8"/>
  <c r="C29" i="7"/>
  <c r="E29" i="7" s="1"/>
  <c r="C28" i="7"/>
  <c r="E13" i="7"/>
  <c r="C13" i="7"/>
  <c r="E28" i="7"/>
  <c r="E27" i="8"/>
  <c r="E11" i="8"/>
  <c r="E12" i="8"/>
  <c r="B12" i="8"/>
  <c r="N27" i="7" l="1"/>
  <c r="C12" i="7"/>
  <c r="E12" i="7" s="1"/>
  <c r="C27" i="7" l="1"/>
  <c r="E27" i="7" s="1"/>
  <c r="C11" i="7"/>
  <c r="E11" i="7" s="1"/>
  <c r="G13" i="7"/>
  <c r="P13" i="7" s="1"/>
  <c r="G14" i="7"/>
  <c r="P14" i="7" s="1"/>
  <c r="G29" i="7"/>
  <c r="P29" i="7" s="1"/>
  <c r="G30" i="7"/>
  <c r="P30" i="7" s="1"/>
  <c r="G28" i="8"/>
  <c r="P28" i="8" s="1"/>
  <c r="G29" i="8"/>
  <c r="P29" i="8" s="1"/>
  <c r="G30" i="8"/>
  <c r="G12" i="8"/>
  <c r="G13" i="8"/>
  <c r="G14" i="8"/>
  <c r="P14" i="8" s="1"/>
  <c r="G11" i="8"/>
  <c r="G12" i="7" l="1"/>
  <c r="P12" i="7" s="1"/>
  <c r="G28" i="7"/>
  <c r="P28" i="7" s="1"/>
  <c r="G27" i="8"/>
  <c r="P27" i="8" s="1"/>
  <c r="N24" i="8" l="1"/>
  <c r="N8" i="8"/>
  <c r="E7" i="8" l="1"/>
  <c r="E8" i="8"/>
  <c r="E9" i="8"/>
  <c r="E10" i="8"/>
  <c r="E16" i="8"/>
  <c r="E23" i="8"/>
  <c r="E24" i="8"/>
  <c r="E25" i="8"/>
  <c r="N25" i="8"/>
  <c r="E26" i="8"/>
  <c r="G26" i="8" s="1"/>
  <c r="N26" i="8"/>
  <c r="E32" i="8"/>
  <c r="C7" i="7"/>
  <c r="E7" i="7" s="1"/>
  <c r="C8" i="7"/>
  <c r="E8" i="7" s="1"/>
  <c r="N8" i="7"/>
  <c r="B9" i="7"/>
  <c r="C9" i="7"/>
  <c r="N9" i="7"/>
  <c r="C10" i="7"/>
  <c r="E10" i="7" s="1"/>
  <c r="G11" i="7" s="1"/>
  <c r="P11" i="7" s="1"/>
  <c r="K10" i="7"/>
  <c r="L10" i="7"/>
  <c r="E16" i="7"/>
  <c r="E23" i="7"/>
  <c r="E24" i="7"/>
  <c r="N24" i="7"/>
  <c r="E25" i="7"/>
  <c r="N25" i="7"/>
  <c r="E26" i="7"/>
  <c r="G27" i="7" s="1"/>
  <c r="P27" i="7" s="1"/>
  <c r="N26" i="7"/>
  <c r="E32" i="7"/>
  <c r="G25" i="7" l="1"/>
  <c r="P26" i="8"/>
  <c r="G9" i="8"/>
  <c r="P9" i="8" s="1"/>
  <c r="G8" i="8"/>
  <c r="P8" i="8" s="1"/>
  <c r="G25" i="8"/>
  <c r="P25" i="8" s="1"/>
  <c r="E9" i="7"/>
  <c r="G9" i="7" s="1"/>
  <c r="P9" i="7" s="1"/>
  <c r="N10" i="7"/>
  <c r="G8" i="7"/>
  <c r="P8" i="7" s="1"/>
  <c r="P25" i="7"/>
  <c r="G24" i="7"/>
  <c r="P24" i="7" s="1"/>
  <c r="G26" i="7"/>
  <c r="P26" i="7" s="1"/>
  <c r="G24" i="8"/>
  <c r="P24" i="8" s="1"/>
  <c r="G10" i="8"/>
  <c r="P10" i="8" s="1"/>
  <c r="G10" i="7" l="1"/>
  <c r="P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Harder</author>
  </authors>
  <commentList>
    <comment ref="I14" authorId="0" shapeId="0" xr:uid="{E44509D6-010B-4BDD-9C0C-A587909D5B6A}">
      <text>
        <r>
          <rPr>
            <b/>
            <sz val="9"/>
            <color indexed="81"/>
            <rFont val="Tahoma"/>
            <family val="2"/>
          </rPr>
          <t>Tim Harder:</t>
        </r>
        <r>
          <rPr>
            <sz val="9"/>
            <color indexed="81"/>
            <rFont val="Tahoma"/>
            <family val="2"/>
          </rPr>
          <t xml:space="preserve">
$1,647 LG&amp;E Restitution payment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Harder</author>
    <author>Garrett, Christopher</author>
  </authors>
  <commentList>
    <comment ref="C16" authorId="0" shapeId="0" xr:uid="{28BF638D-EDC2-43CE-8A0A-C910A4F2754C}">
      <text>
        <r>
          <rPr>
            <sz val="9"/>
            <color indexed="81"/>
            <rFont val="Tahoma"/>
            <family val="2"/>
          </rPr>
          <t xml:space="preserve">For LG&amp;E Electric and Gas, Account 254 was not provided in the Cash Working Capital Components Sch. B-5.2; Details on Tab LGE 254.11 tie to DR AG-KIUC 1-36
</t>
        </r>
      </text>
    </comment>
    <comment ref="D16" authorId="1" shapeId="0" xr:uid="{69900CE6-0DE6-4F33-BD13-FC8FA941DD9C}">
      <text>
        <r>
          <rPr>
            <sz val="9"/>
            <color indexed="81"/>
            <rFont val="Tahoma"/>
            <family val="2"/>
          </rPr>
          <t>Per cwcBS Schedule B Electric &amp; Gas and
AG-KIUC 1-85(a)</t>
        </r>
      </text>
    </comment>
    <comment ref="D32" authorId="1" shapeId="0" xr:uid="{D85B0B2A-6A90-463F-907F-CDBDCB1122DF}">
      <text>
        <r>
          <rPr>
            <b/>
            <sz val="9"/>
            <color indexed="81"/>
            <rFont val="Tahoma"/>
            <family val="2"/>
          </rPr>
          <t>Per BS, Schedule B 184.5</t>
        </r>
      </text>
    </comment>
  </commentList>
</comments>
</file>

<file path=xl/sharedStrings.xml><?xml version="1.0" encoding="utf-8"?>
<sst xmlns="http://schemas.openxmlformats.org/spreadsheetml/2006/main" count="129" uniqueCount="47">
  <si>
    <t>12/31 Balance</t>
  </si>
  <si>
    <t>Regulatory Asset/(Liability)</t>
  </si>
  <si>
    <t>Pension</t>
  </si>
  <si>
    <t>Prepaid/(Liability)</t>
  </si>
  <si>
    <t>OPEB</t>
  </si>
  <si>
    <t>Full-Year</t>
  </si>
  <si>
    <t>Contributions</t>
  </si>
  <si>
    <t>LG&amp;E</t>
  </si>
  <si>
    <t>KU</t>
  </si>
  <si>
    <t>Notes Receivable</t>
  </si>
  <si>
    <t>Cost/(Credit)</t>
  </si>
  <si>
    <t>Clearing</t>
  </si>
  <si>
    <t>Subsidy</t>
  </si>
  <si>
    <t>Accum. Pension</t>
  </si>
  <si>
    <t>LKS</t>
  </si>
  <si>
    <t xml:space="preserve">KU </t>
  </si>
  <si>
    <t>in excess of NPPC</t>
  </si>
  <si>
    <t>Change in Balance</t>
  </si>
  <si>
    <t>Annual Activity</t>
  </si>
  <si>
    <t>Check Digit</t>
  </si>
  <si>
    <t>Accum. OPEB</t>
  </si>
  <si>
    <t>(1) Utility payments to LKS to fund the difference between actuarial gains and losses amortization for GAAP (double corridor) and Kentucky ratemaking purposes (15 years).</t>
  </si>
  <si>
    <t>(2) KU intercompany payments to LG&amp;E for the difference between actuarial gains and losses amortization for GAAP (double corridor) and Kentucky ratemaking purposes (15 years).  These intercompany payments primarily relate to the joint ownership of Trimble Co. 2 and Cane Run 7.</t>
  </si>
  <si>
    <t>Pension Balances Rollforward</t>
  </si>
  <si>
    <t>OPEB Balances Rollforward</t>
  </si>
  <si>
    <r>
      <t xml:space="preserve">Fundings </t>
    </r>
    <r>
      <rPr>
        <vertAlign val="superscript"/>
        <sz val="11"/>
        <color theme="1"/>
        <rFont val="Calibri"/>
        <family val="2"/>
      </rPr>
      <t>(1)</t>
    </r>
  </si>
  <si>
    <r>
      <t xml:space="preserve">Fundings </t>
    </r>
    <r>
      <rPr>
        <vertAlign val="superscript"/>
        <sz val="11"/>
        <color theme="1"/>
        <rFont val="Calibri"/>
        <family val="2"/>
      </rPr>
      <t>(2)</t>
    </r>
  </si>
  <si>
    <t>13 Mo. Avg TYE 12/31/26</t>
  </si>
  <si>
    <t>FERC Balance Sheet ($)</t>
  </si>
  <si>
    <t>Dec - 2025</t>
  </si>
  <si>
    <t>Jan - 2026</t>
  </si>
  <si>
    <t>Feb - 2026</t>
  </si>
  <si>
    <t>Mar - 2026</t>
  </si>
  <si>
    <t>Apr - 2026</t>
  </si>
  <si>
    <t>May - 2026</t>
  </si>
  <si>
    <t>Jun - 2026</t>
  </si>
  <si>
    <t>Jul - 2026</t>
  </si>
  <si>
    <t>Aug - 2026</t>
  </si>
  <si>
    <t>Sep - 2026</t>
  </si>
  <si>
    <t>Oct - 2026</t>
  </si>
  <si>
    <t>Nov - 2026</t>
  </si>
  <si>
    <t>Dec - 2026</t>
  </si>
  <si>
    <t>13 mos avg</t>
  </si>
  <si>
    <t>254.11 - Other Reg Liab LT Postretirement</t>
  </si>
  <si>
    <t>LGE Electric</t>
  </si>
  <si>
    <t>LGE Gas</t>
  </si>
  <si>
    <t>Total LGE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</si>
</sst>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Red]\(#,##0\);&quot; &quot;"/>
  </numFmts>
  <fonts count="8"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font>
    <font>
      <sz val="11"/>
      <color indexed="8"/>
      <name val="Calibri"/>
      <family val="2"/>
      <scheme val="minor"/>
    </font>
    <font>
      <b/>
      <sz val="9"/>
      <color indexed="81"/>
      <name val="Tahoma"/>
      <family val="2"/>
    </font>
    <font>
      <sz val="9"/>
      <color indexed="81"/>
      <name val="Tahoma"/>
      <family val="2"/>
    </font>
    <font>
      <sz val="9"/>
      <name val="Calibri"/>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9">
    <xf numFmtId="0" fontId="0" fillId="0" borderId="0" xfId="0"/>
    <xf numFmtId="0" fontId="0" fillId="0" borderId="1" xfId="0" applyBorder="1" applyAlignment="1">
      <alignment horizontal="center"/>
    </xf>
    <xf numFmtId="164" fontId="0" fillId="0" borderId="0" xfId="0" applyNumberFormat="1"/>
    <xf numFmtId="164" fontId="2" fillId="0" borderId="0" xfId="1" applyNumberFormat="1" applyFont="1" applyFill="1" applyBorder="1"/>
    <xf numFmtId="164" fontId="0" fillId="0" borderId="0" xfId="1" applyNumberFormat="1" applyFont="1" applyFill="1"/>
    <xf numFmtId="0" fontId="0" fillId="0" borderId="0" xfId="0" applyAlignment="1">
      <alignment horizontal="left" indent="1"/>
    </xf>
    <xf numFmtId="0" fontId="2" fillId="0" borderId="0" xfId="0" applyFont="1"/>
    <xf numFmtId="0" fontId="0" fillId="0" borderId="0" xfId="0" quotePrefix="1" applyAlignment="1">
      <alignment horizontal="center"/>
    </xf>
    <xf numFmtId="0" fontId="0" fillId="0" borderId="0" xfId="0" applyAlignment="1">
      <alignment horizontal="center"/>
    </xf>
    <xf numFmtId="164" fontId="1" fillId="0" borderId="0" xfId="1" applyNumberFormat="1" applyFont="1" applyFill="1" applyBorder="1"/>
    <xf numFmtId="0" fontId="4" fillId="0" borderId="0" xfId="0" applyFont="1"/>
    <xf numFmtId="164" fontId="2" fillId="0" borderId="0" xfId="1" applyNumberFormat="1" applyFont="1" applyFill="1"/>
    <xf numFmtId="0" fontId="7" fillId="0" borderId="0" xfId="0" applyFont="1" applyAlignment="1">
      <alignment horizontal="center" vertical="center" wrapText="1"/>
    </xf>
    <xf numFmtId="0" fontId="7" fillId="0" borderId="0" xfId="0" applyFont="1" applyAlignment="1">
      <alignment horizontal="left" indent="1"/>
    </xf>
    <xf numFmtId="165" fontId="7" fillId="0" borderId="0" xfId="0" applyNumberFormat="1" applyFont="1" applyAlignment="1">
      <alignment horizontal="right"/>
    </xf>
    <xf numFmtId="165" fontId="7" fillId="0" borderId="2" xfId="2" applyNumberFormat="1" applyFont="1" applyBorder="1" applyAlignment="1">
      <alignment horizontal="right"/>
    </xf>
    <xf numFmtId="165" fontId="7" fillId="0" borderId="2" xfId="0" applyNumberFormat="1" applyFont="1" applyBorder="1" applyAlignment="1">
      <alignment horizontal="right"/>
    </xf>
    <xf numFmtId="0" fontId="0" fillId="0" borderId="0" xfId="0" applyAlignment="1">
      <alignment horizontal="left"/>
    </xf>
    <xf numFmtId="0" fontId="0" fillId="0" borderId="0" xfId="0" applyAlignment="1">
      <alignment horizontal="left" wrapText="1"/>
    </xf>
  </cellXfs>
  <cellStyles count="3">
    <cellStyle name="Comma" xfId="1" builtinId="3"/>
    <cellStyle name="Normal" xfId="0" builtinId="0"/>
    <cellStyle name="Normal 2" xfId="2" xr:uid="{6A217DE8-884D-4413-AB6A-A5CDF8C0D2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482600</xdr:colOff>
      <xdr:row>33</xdr:row>
      <xdr:rowOff>50801</xdr:rowOff>
    </xdr:to>
    <xdr:pic>
      <xdr:nvPicPr>
        <xdr:cNvPr id="2" name="Picture 1">
          <a:extLst>
            <a:ext uri="{FF2B5EF4-FFF2-40B4-BE49-F238E27FC236}">
              <a16:creationId xmlns:a16="http://schemas.microsoft.com/office/drawing/2014/main" id="{9A1C4EBF-41FB-4E37-BBB8-BE3650B329B0}"/>
            </a:ext>
          </a:extLst>
        </xdr:cNvPr>
        <xdr:cNvPicPr>
          <a:picLocks noChangeAspect="1"/>
        </xdr:cNvPicPr>
      </xdr:nvPicPr>
      <xdr:blipFill>
        <a:blip xmlns:r="http://schemas.openxmlformats.org/officeDocument/2006/relationships" r:embed="rId1"/>
        <a:stretch>
          <a:fillRect/>
        </a:stretch>
      </xdr:blipFill>
      <xdr:spPr>
        <a:xfrm>
          <a:off x="0" y="1"/>
          <a:ext cx="7797800" cy="591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508001</xdr:colOff>
      <xdr:row>33</xdr:row>
      <xdr:rowOff>50799</xdr:rowOff>
    </xdr:to>
    <xdr:pic>
      <xdr:nvPicPr>
        <xdr:cNvPr id="2" name="Picture 1">
          <a:extLst>
            <a:ext uri="{FF2B5EF4-FFF2-40B4-BE49-F238E27FC236}">
              <a16:creationId xmlns:a16="http://schemas.microsoft.com/office/drawing/2014/main" id="{01728A91-F8E7-4AFC-8D97-DE1393CD53CB}"/>
            </a:ext>
          </a:extLst>
        </xdr:cNvPr>
        <xdr:cNvPicPr>
          <a:picLocks noChangeAspect="1"/>
        </xdr:cNvPicPr>
      </xdr:nvPicPr>
      <xdr:blipFill>
        <a:blip xmlns:r="http://schemas.openxmlformats.org/officeDocument/2006/relationships" r:embed="rId1"/>
        <a:stretch>
          <a:fillRect/>
        </a:stretch>
      </xdr:blipFill>
      <xdr:spPr>
        <a:xfrm>
          <a:off x="1" y="0"/>
          <a:ext cx="7823200" cy="5918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495301</xdr:colOff>
      <xdr:row>33</xdr:row>
      <xdr:rowOff>88900</xdr:rowOff>
    </xdr:to>
    <xdr:pic>
      <xdr:nvPicPr>
        <xdr:cNvPr id="2" name="Picture 1">
          <a:extLst>
            <a:ext uri="{FF2B5EF4-FFF2-40B4-BE49-F238E27FC236}">
              <a16:creationId xmlns:a16="http://schemas.microsoft.com/office/drawing/2014/main" id="{C51FF4FC-7527-4A4E-B9BE-D469D6E03067}"/>
            </a:ext>
          </a:extLst>
        </xdr:cNvPr>
        <xdr:cNvPicPr>
          <a:picLocks noChangeAspect="1"/>
        </xdr:cNvPicPr>
      </xdr:nvPicPr>
      <xdr:blipFill>
        <a:blip xmlns:r="http://schemas.openxmlformats.org/officeDocument/2006/relationships" r:embed="rId1"/>
        <a:stretch>
          <a:fillRect/>
        </a:stretch>
      </xdr:blipFill>
      <xdr:spPr>
        <a:xfrm>
          <a:off x="1" y="0"/>
          <a:ext cx="7810500" cy="595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482600</xdr:colOff>
      <xdr:row>32</xdr:row>
      <xdr:rowOff>38099</xdr:rowOff>
    </xdr:to>
    <xdr:pic>
      <xdr:nvPicPr>
        <xdr:cNvPr id="2" name="Picture 1">
          <a:extLst>
            <a:ext uri="{FF2B5EF4-FFF2-40B4-BE49-F238E27FC236}">
              <a16:creationId xmlns:a16="http://schemas.microsoft.com/office/drawing/2014/main" id="{A9B7191C-5C3F-4C44-AA11-E6F31AEC1DE7}"/>
            </a:ext>
          </a:extLst>
        </xdr:cNvPr>
        <xdr:cNvPicPr>
          <a:picLocks noChangeAspect="1"/>
        </xdr:cNvPicPr>
      </xdr:nvPicPr>
      <xdr:blipFill>
        <a:blip xmlns:r="http://schemas.openxmlformats.org/officeDocument/2006/relationships" r:embed="rId1"/>
        <a:stretch>
          <a:fillRect/>
        </a:stretch>
      </xdr:blipFill>
      <xdr:spPr>
        <a:xfrm>
          <a:off x="0" y="0"/>
          <a:ext cx="7797800" cy="5727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495301</xdr:colOff>
      <xdr:row>33</xdr:row>
      <xdr:rowOff>1</xdr:rowOff>
    </xdr:to>
    <xdr:pic>
      <xdr:nvPicPr>
        <xdr:cNvPr id="2" name="Picture 1">
          <a:extLst>
            <a:ext uri="{FF2B5EF4-FFF2-40B4-BE49-F238E27FC236}">
              <a16:creationId xmlns:a16="http://schemas.microsoft.com/office/drawing/2014/main" id="{FBF15DC2-6184-4BE4-9941-4DCE741967E9}"/>
            </a:ext>
          </a:extLst>
        </xdr:cNvPr>
        <xdr:cNvPicPr>
          <a:picLocks noChangeAspect="1"/>
        </xdr:cNvPicPr>
      </xdr:nvPicPr>
      <xdr:blipFill>
        <a:blip xmlns:r="http://schemas.openxmlformats.org/officeDocument/2006/relationships" r:embed="rId1"/>
        <a:stretch>
          <a:fillRect/>
        </a:stretch>
      </xdr:blipFill>
      <xdr:spPr>
        <a:xfrm>
          <a:off x="1" y="1"/>
          <a:ext cx="7810500" cy="5867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495301</xdr:colOff>
      <xdr:row>33</xdr:row>
      <xdr:rowOff>88899</xdr:rowOff>
    </xdr:to>
    <xdr:pic>
      <xdr:nvPicPr>
        <xdr:cNvPr id="2" name="Picture 1">
          <a:extLst>
            <a:ext uri="{FF2B5EF4-FFF2-40B4-BE49-F238E27FC236}">
              <a16:creationId xmlns:a16="http://schemas.microsoft.com/office/drawing/2014/main" id="{B7D5DFA6-4DDA-4E07-8689-D97850F0A045}"/>
            </a:ext>
          </a:extLst>
        </xdr:cNvPr>
        <xdr:cNvPicPr>
          <a:picLocks noChangeAspect="1"/>
        </xdr:cNvPicPr>
      </xdr:nvPicPr>
      <xdr:blipFill>
        <a:blip xmlns:r="http://schemas.openxmlformats.org/officeDocument/2006/relationships" r:embed="rId1"/>
        <a:stretch>
          <a:fillRect/>
        </a:stretch>
      </xdr:blipFill>
      <xdr:spPr>
        <a:xfrm>
          <a:off x="1" y="0"/>
          <a:ext cx="7810500" cy="59562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12</xdr:col>
      <xdr:colOff>533401</xdr:colOff>
      <xdr:row>33</xdr:row>
      <xdr:rowOff>88900</xdr:rowOff>
    </xdr:to>
    <xdr:pic>
      <xdr:nvPicPr>
        <xdr:cNvPr id="2" name="Picture 1">
          <a:extLst>
            <a:ext uri="{FF2B5EF4-FFF2-40B4-BE49-F238E27FC236}">
              <a16:creationId xmlns:a16="http://schemas.microsoft.com/office/drawing/2014/main" id="{A9262FBE-280F-44CD-8DB5-A3EDACC1C423}"/>
            </a:ext>
          </a:extLst>
        </xdr:cNvPr>
        <xdr:cNvPicPr>
          <a:picLocks noChangeAspect="1"/>
        </xdr:cNvPicPr>
      </xdr:nvPicPr>
      <xdr:blipFill>
        <a:blip xmlns:r="http://schemas.openxmlformats.org/officeDocument/2006/relationships" r:embed="rId1"/>
        <a:stretch>
          <a:fillRect/>
        </a:stretch>
      </xdr:blipFill>
      <xdr:spPr>
        <a:xfrm>
          <a:off x="1" y="0"/>
          <a:ext cx="7848600" cy="5956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444500</xdr:colOff>
      <xdr:row>33</xdr:row>
      <xdr:rowOff>88900</xdr:rowOff>
    </xdr:to>
    <xdr:pic>
      <xdr:nvPicPr>
        <xdr:cNvPr id="2" name="Picture 1">
          <a:extLst>
            <a:ext uri="{FF2B5EF4-FFF2-40B4-BE49-F238E27FC236}">
              <a16:creationId xmlns:a16="http://schemas.microsoft.com/office/drawing/2014/main" id="{5AB9D64D-CD1C-409B-ABE8-8B570C3C0788}"/>
            </a:ext>
          </a:extLst>
        </xdr:cNvPr>
        <xdr:cNvPicPr>
          <a:picLocks noChangeAspect="1"/>
        </xdr:cNvPicPr>
      </xdr:nvPicPr>
      <xdr:blipFill>
        <a:blip xmlns:r="http://schemas.openxmlformats.org/officeDocument/2006/relationships" r:embed="rId1"/>
        <a:stretch>
          <a:fillRect/>
        </a:stretch>
      </xdr:blipFill>
      <xdr:spPr>
        <a:xfrm>
          <a:off x="0" y="0"/>
          <a:ext cx="7759700" cy="59563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6"/>
  <sheetViews>
    <sheetView tabSelected="1" zoomScale="115" zoomScaleNormal="115" workbookViewId="0"/>
  </sheetViews>
  <sheetFormatPr defaultColWidth="9.33203125" defaultRowHeight="14.4" x14ac:dyDescent="0.3"/>
  <cols>
    <col min="1" max="1" width="27.6640625" bestFit="1" customWidth="1"/>
    <col min="2" max="2" width="21.33203125" customWidth="1"/>
    <col min="3" max="3" width="25.6640625" bestFit="1" customWidth="1"/>
    <col min="4" max="4" width="14.33203125" bestFit="1" customWidth="1"/>
    <col min="5" max="5" width="16.6640625" customWidth="1"/>
    <col min="6" max="6" width="6.33203125" customWidth="1"/>
    <col min="7" max="7" width="16.6640625" customWidth="1"/>
    <col min="8" max="8" width="5.6640625" customWidth="1"/>
    <col min="9" max="12" width="14.33203125" customWidth="1"/>
    <col min="13" max="13" width="5.33203125" customWidth="1"/>
    <col min="14" max="14" width="14.33203125" customWidth="1"/>
    <col min="15" max="15" width="6.5546875" customWidth="1"/>
    <col min="16" max="16" width="13.33203125" bestFit="1" customWidth="1"/>
    <col min="17" max="17" width="12.5546875" bestFit="1" customWidth="1"/>
    <col min="18" max="18" width="13.33203125" bestFit="1" customWidth="1"/>
    <col min="19" max="19" width="16.5546875" bestFit="1" customWidth="1"/>
  </cols>
  <sheetData>
    <row r="1" spans="1:20" x14ac:dyDescent="0.3">
      <c r="A1" t="s">
        <v>23</v>
      </c>
    </row>
    <row r="3" spans="1:20" x14ac:dyDescent="0.3">
      <c r="A3" s="6" t="s">
        <v>7</v>
      </c>
    </row>
    <row r="4" spans="1:20" x14ac:dyDescent="0.3">
      <c r="B4" s="7" t="s">
        <v>0</v>
      </c>
      <c r="C4" s="7" t="s">
        <v>0</v>
      </c>
      <c r="E4" s="8" t="s">
        <v>13</v>
      </c>
      <c r="F4" s="8"/>
      <c r="G4" s="8"/>
      <c r="H4" s="8"/>
      <c r="I4" s="8" t="s">
        <v>5</v>
      </c>
      <c r="J4" s="8" t="s">
        <v>5</v>
      </c>
      <c r="K4" s="8"/>
      <c r="L4" s="8"/>
      <c r="M4" s="8"/>
      <c r="N4" s="8"/>
    </row>
    <row r="5" spans="1:20" x14ac:dyDescent="0.3">
      <c r="B5" s="7" t="s">
        <v>2</v>
      </c>
      <c r="C5" s="7" t="s">
        <v>2</v>
      </c>
      <c r="D5" s="8" t="s">
        <v>2</v>
      </c>
      <c r="E5" s="8" t="s">
        <v>6</v>
      </c>
      <c r="F5" s="8"/>
      <c r="G5" s="8"/>
      <c r="H5" s="8"/>
      <c r="I5" s="7" t="s">
        <v>2</v>
      </c>
      <c r="J5" s="7" t="s">
        <v>2</v>
      </c>
      <c r="K5" s="7" t="s">
        <v>14</v>
      </c>
      <c r="L5" s="8" t="s">
        <v>15</v>
      </c>
      <c r="M5" s="8"/>
    </row>
    <row r="6" spans="1:20" ht="16.2" x14ac:dyDescent="0.3">
      <c r="B6" s="1" t="s">
        <v>3</v>
      </c>
      <c r="C6" s="1" t="s">
        <v>1</v>
      </c>
      <c r="D6" s="1" t="s">
        <v>11</v>
      </c>
      <c r="E6" s="1" t="s">
        <v>16</v>
      </c>
      <c r="F6" s="1"/>
      <c r="G6" s="1" t="s">
        <v>17</v>
      </c>
      <c r="H6" s="8"/>
      <c r="I6" s="1" t="s">
        <v>10</v>
      </c>
      <c r="J6" s="1" t="s">
        <v>6</v>
      </c>
      <c r="K6" s="1" t="s">
        <v>25</v>
      </c>
      <c r="L6" s="1" t="s">
        <v>26</v>
      </c>
      <c r="M6" s="1"/>
      <c r="N6" s="1" t="s">
        <v>18</v>
      </c>
      <c r="P6" s="1" t="s">
        <v>19</v>
      </c>
    </row>
    <row r="7" spans="1:20" x14ac:dyDescent="0.3">
      <c r="A7">
        <v>2017</v>
      </c>
      <c r="B7" s="4">
        <v>-45332978</v>
      </c>
      <c r="C7" s="4">
        <f>18595167+207274703</f>
        <v>225869870</v>
      </c>
      <c r="D7" s="4">
        <v>0</v>
      </c>
      <c r="E7" s="3">
        <f t="shared" ref="E7:E11" si="0">SUM(B7:D7)</f>
        <v>180536892</v>
      </c>
      <c r="F7" s="3"/>
      <c r="G7" s="9"/>
      <c r="H7" s="3"/>
      <c r="I7" s="4"/>
      <c r="J7" s="4"/>
      <c r="K7" s="4"/>
      <c r="L7" s="4"/>
      <c r="M7" s="4"/>
      <c r="N7" s="2"/>
      <c r="P7" s="2"/>
      <c r="T7" s="4"/>
    </row>
    <row r="8" spans="1:20" x14ac:dyDescent="0.3">
      <c r="A8">
        <v>2018</v>
      </c>
      <c r="B8" s="4">
        <v>-10591371</v>
      </c>
      <c r="C8" s="4">
        <f>25151990+219690027</f>
        <v>244842017</v>
      </c>
      <c r="D8" s="4">
        <v>0</v>
      </c>
      <c r="E8" s="3">
        <f t="shared" si="0"/>
        <v>234250646</v>
      </c>
      <c r="F8" s="3"/>
      <c r="G8" s="9">
        <f t="shared" ref="G8:G14" si="1">E8-E7</f>
        <v>53713754</v>
      </c>
      <c r="H8" s="3"/>
      <c r="I8" s="4">
        <f>1822435-27512</f>
        <v>1794923</v>
      </c>
      <c r="J8" s="4">
        <v>54000000</v>
      </c>
      <c r="K8" s="4">
        <v>2184302</v>
      </c>
      <c r="L8" s="4">
        <v>-675626</v>
      </c>
      <c r="M8" s="4"/>
      <c r="N8" s="2">
        <f t="shared" ref="N8:N14" si="2">-I8+J8+K8+L8</f>
        <v>53713753</v>
      </c>
      <c r="P8" s="2">
        <f t="shared" ref="P8:P14" si="3">G8-N8</f>
        <v>1</v>
      </c>
      <c r="T8" s="4"/>
    </row>
    <row r="9" spans="1:20" x14ac:dyDescent="0.3">
      <c r="A9">
        <v>2019</v>
      </c>
      <c r="B9" s="4">
        <f>24223201+7391859</f>
        <v>31615060</v>
      </c>
      <c r="C9" s="4">
        <f>29253085+172525019</f>
        <v>201778104</v>
      </c>
      <c r="D9" s="4">
        <v>0</v>
      </c>
      <c r="E9" s="3">
        <f t="shared" si="0"/>
        <v>233393164</v>
      </c>
      <c r="F9" s="3"/>
      <c r="G9" s="9">
        <f t="shared" si="1"/>
        <v>-857482</v>
      </c>
      <c r="H9" s="3"/>
      <c r="I9" s="4">
        <f>1421153</f>
        <v>1421153</v>
      </c>
      <c r="J9" s="4">
        <v>622850</v>
      </c>
      <c r="K9" s="4">
        <v>563850</v>
      </c>
      <c r="L9" s="4">
        <v>-623028</v>
      </c>
      <c r="M9" s="4"/>
      <c r="N9" s="2">
        <f t="shared" si="2"/>
        <v>-857481</v>
      </c>
      <c r="P9" s="2">
        <f t="shared" si="3"/>
        <v>-1</v>
      </c>
      <c r="T9" s="4"/>
    </row>
    <row r="10" spans="1:20" x14ac:dyDescent="0.3">
      <c r="A10">
        <v>2020</v>
      </c>
      <c r="B10" s="4">
        <v>77847493</v>
      </c>
      <c r="C10" s="4">
        <f>44417827+120787681</f>
        <v>165205508</v>
      </c>
      <c r="D10" s="4">
        <v>0</v>
      </c>
      <c r="E10" s="3">
        <f t="shared" si="0"/>
        <v>243053001</v>
      </c>
      <c r="F10" s="3"/>
      <c r="G10" s="9">
        <f t="shared" si="1"/>
        <v>9659837</v>
      </c>
      <c r="H10" s="3"/>
      <c r="I10" s="4">
        <f>1624931</f>
        <v>1624931</v>
      </c>
      <c r="J10" s="4">
        <v>8000000</v>
      </c>
      <c r="K10" s="4">
        <f>3186095+1975396</f>
        <v>5161491</v>
      </c>
      <c r="L10" s="4">
        <f>-1130743-745980</f>
        <v>-1876723</v>
      </c>
      <c r="M10" s="4"/>
      <c r="N10" s="2">
        <f t="shared" si="2"/>
        <v>9659837</v>
      </c>
      <c r="P10" s="2">
        <f t="shared" si="3"/>
        <v>0</v>
      </c>
      <c r="T10" s="4"/>
    </row>
    <row r="11" spans="1:20" x14ac:dyDescent="0.3">
      <c r="A11">
        <v>2021</v>
      </c>
      <c r="B11" s="4">
        <v>84690591</v>
      </c>
      <c r="C11" s="4">
        <f>53918274+109443559</f>
        <v>163361833</v>
      </c>
      <c r="D11" s="4">
        <v>0</v>
      </c>
      <c r="E11" s="3">
        <f t="shared" si="0"/>
        <v>248052424</v>
      </c>
      <c r="F11" s="3"/>
      <c r="G11" s="9">
        <f t="shared" si="1"/>
        <v>4999423</v>
      </c>
      <c r="H11" s="3"/>
      <c r="I11" s="4">
        <f>-1252267</f>
        <v>-1252267</v>
      </c>
      <c r="J11" s="4">
        <v>0</v>
      </c>
      <c r="K11" s="4">
        <f>4662667-9642</f>
        <v>4653025</v>
      </c>
      <c r="L11" s="4">
        <v>-905869</v>
      </c>
      <c r="M11" s="4"/>
      <c r="N11" s="2">
        <f t="shared" si="2"/>
        <v>4999423</v>
      </c>
      <c r="P11" s="2">
        <f t="shared" si="3"/>
        <v>0</v>
      </c>
      <c r="T11" s="4"/>
    </row>
    <row r="12" spans="1:20" x14ac:dyDescent="0.3">
      <c r="A12">
        <v>2022</v>
      </c>
      <c r="B12" s="4">
        <v>40769397</v>
      </c>
      <c r="C12" s="4">
        <f>56581051+151334410</f>
        <v>207915461</v>
      </c>
      <c r="D12" s="4">
        <v>0</v>
      </c>
      <c r="E12" s="3">
        <f t="shared" ref="E12:E14" si="4">SUM(B12:D12)</f>
        <v>248684858</v>
      </c>
      <c r="F12" s="3"/>
      <c r="G12" s="9">
        <f t="shared" si="1"/>
        <v>632434</v>
      </c>
      <c r="H12" s="3"/>
      <c r="I12" s="4">
        <f>-1700455</f>
        <v>-1700455</v>
      </c>
      <c r="J12" s="4">
        <v>0</v>
      </c>
      <c r="K12" s="4">
        <f>-534014-11125</f>
        <v>-545139</v>
      </c>
      <c r="L12" s="4">
        <v>-522882</v>
      </c>
      <c r="M12" s="4"/>
      <c r="N12" s="2">
        <f t="shared" si="2"/>
        <v>632434</v>
      </c>
      <c r="P12" s="2">
        <f t="shared" si="3"/>
        <v>0</v>
      </c>
      <c r="T12" s="4"/>
    </row>
    <row r="13" spans="1:20" x14ac:dyDescent="0.3">
      <c r="A13">
        <v>2023</v>
      </c>
      <c r="B13" s="4">
        <v>33561846</v>
      </c>
      <c r="C13" s="4">
        <f>45740378+169547701</f>
        <v>215288079</v>
      </c>
      <c r="D13" s="4">
        <v>0</v>
      </c>
      <c r="E13" s="3">
        <f t="shared" si="4"/>
        <v>248849925</v>
      </c>
      <c r="F13" s="3"/>
      <c r="G13" s="9">
        <f t="shared" si="1"/>
        <v>165067</v>
      </c>
      <c r="H13" s="3"/>
      <c r="I13" s="4">
        <f>-2264785</f>
        <v>-2264785</v>
      </c>
      <c r="J13" s="4">
        <v>0</v>
      </c>
      <c r="K13" s="4">
        <v>-3375174</v>
      </c>
      <c r="L13" s="4">
        <f>1275457</f>
        <v>1275457</v>
      </c>
      <c r="M13" s="4"/>
      <c r="N13" s="2">
        <f t="shared" si="2"/>
        <v>165068</v>
      </c>
      <c r="P13" s="2">
        <f t="shared" si="3"/>
        <v>-1</v>
      </c>
      <c r="T13" s="4"/>
    </row>
    <row r="14" spans="1:20" x14ac:dyDescent="0.3">
      <c r="A14">
        <v>2024</v>
      </c>
      <c r="B14" s="4">
        <f>28753599</f>
        <v>28753599</v>
      </c>
      <c r="C14" s="4">
        <f>43519082+180683526</f>
        <v>224202608</v>
      </c>
      <c r="D14" s="4">
        <v>0</v>
      </c>
      <c r="E14" s="3">
        <f t="shared" si="4"/>
        <v>252956207</v>
      </c>
      <c r="F14" s="3"/>
      <c r="G14" s="9">
        <f t="shared" si="1"/>
        <v>4106282</v>
      </c>
      <c r="H14" s="3"/>
      <c r="I14" s="4">
        <f>-4550769+1647</f>
        <v>-4549122</v>
      </c>
      <c r="J14" s="4">
        <v>0</v>
      </c>
      <c r="K14" s="4">
        <v>-704205</v>
      </c>
      <c r="L14" s="4">
        <f>261365</f>
        <v>261365</v>
      </c>
      <c r="M14" s="4"/>
      <c r="N14" s="2">
        <f t="shared" si="2"/>
        <v>4106282</v>
      </c>
      <c r="P14" s="2">
        <f t="shared" si="3"/>
        <v>0</v>
      </c>
      <c r="T14" s="4"/>
    </row>
    <row r="15" spans="1:20" x14ac:dyDescent="0.3">
      <c r="B15" s="4"/>
      <c r="C15" s="4"/>
      <c r="D15" s="4"/>
      <c r="E15" s="3"/>
      <c r="F15" s="3"/>
      <c r="G15" s="9"/>
      <c r="H15" s="3"/>
      <c r="I15" s="4"/>
      <c r="J15" s="4"/>
      <c r="K15" s="4"/>
      <c r="L15" s="4"/>
      <c r="M15" s="4"/>
      <c r="N15" s="2"/>
      <c r="P15" s="2"/>
      <c r="T15" s="4"/>
    </row>
    <row r="16" spans="1:20" x14ac:dyDescent="0.3">
      <c r="A16" s="5" t="s">
        <v>27</v>
      </c>
      <c r="B16" s="4">
        <f>30740405+16980739</f>
        <v>47721144</v>
      </c>
      <c r="C16" s="4">
        <f>136140228+69044743</f>
        <v>205184971</v>
      </c>
      <c r="D16" s="4">
        <v>2461020</v>
      </c>
      <c r="E16" s="11">
        <f>SUM(B16:D16)</f>
        <v>255367135</v>
      </c>
      <c r="F16" s="3"/>
      <c r="G16" s="9"/>
      <c r="H16" s="3"/>
      <c r="I16" s="4"/>
      <c r="J16" s="4"/>
      <c r="K16" s="4"/>
      <c r="L16" s="2"/>
      <c r="M16" s="2"/>
      <c r="N16" s="4"/>
      <c r="P16" s="2"/>
      <c r="T16" s="4"/>
    </row>
    <row r="17" spans="1:16" x14ac:dyDescent="0.3">
      <c r="D17" s="2"/>
    </row>
    <row r="18" spans="1:16" x14ac:dyDescent="0.3">
      <c r="B18" s="2"/>
      <c r="C18" s="2"/>
      <c r="D18" s="2"/>
      <c r="E18" s="2"/>
      <c r="F18" s="2"/>
      <c r="G18" s="2"/>
      <c r="H18" s="2"/>
      <c r="J18" s="2"/>
      <c r="K18" s="2"/>
      <c r="L18" s="2"/>
      <c r="M18" s="2"/>
      <c r="N18" s="2"/>
    </row>
    <row r="19" spans="1:16" x14ac:dyDescent="0.3">
      <c r="A19" s="6" t="s">
        <v>8</v>
      </c>
    </row>
    <row r="20" spans="1:16" x14ac:dyDescent="0.3">
      <c r="B20" s="7" t="s">
        <v>0</v>
      </c>
      <c r="C20" s="7" t="s">
        <v>0</v>
      </c>
      <c r="E20" s="8" t="s">
        <v>13</v>
      </c>
      <c r="F20" s="8"/>
      <c r="G20" s="8"/>
      <c r="H20" s="8"/>
      <c r="I20" s="8" t="s">
        <v>5</v>
      </c>
      <c r="J20" s="8" t="s">
        <v>5</v>
      </c>
      <c r="K20" s="8"/>
      <c r="L20" s="8"/>
      <c r="M20" s="8"/>
      <c r="N20" s="8"/>
    </row>
    <row r="21" spans="1:16" x14ac:dyDescent="0.3">
      <c r="B21" s="7" t="s">
        <v>2</v>
      </c>
      <c r="C21" s="7" t="s">
        <v>2</v>
      </c>
      <c r="D21" s="8" t="s">
        <v>2</v>
      </c>
      <c r="E21" s="8" t="s">
        <v>6</v>
      </c>
      <c r="F21" s="8"/>
      <c r="G21" s="8"/>
      <c r="H21" s="8"/>
      <c r="I21" s="7" t="s">
        <v>2</v>
      </c>
      <c r="J21" s="7" t="s">
        <v>2</v>
      </c>
      <c r="K21" s="7" t="s">
        <v>14</v>
      </c>
      <c r="L21" s="8" t="s">
        <v>7</v>
      </c>
      <c r="M21" s="8"/>
    </row>
    <row r="22" spans="1:16" ht="16.2" x14ac:dyDescent="0.3">
      <c r="B22" s="1" t="s">
        <v>3</v>
      </c>
      <c r="C22" s="1" t="s">
        <v>1</v>
      </c>
      <c r="D22" s="1" t="s">
        <v>11</v>
      </c>
      <c r="E22" s="1" t="s">
        <v>16</v>
      </c>
      <c r="F22" s="1"/>
      <c r="G22" s="1" t="s">
        <v>17</v>
      </c>
      <c r="H22" s="8"/>
      <c r="I22" s="1" t="s">
        <v>10</v>
      </c>
      <c r="J22" s="1" t="s">
        <v>6</v>
      </c>
      <c r="K22" s="1" t="s">
        <v>25</v>
      </c>
      <c r="L22" s="1" t="s">
        <v>26</v>
      </c>
      <c r="M22" s="1"/>
      <c r="N22" s="1" t="s">
        <v>18</v>
      </c>
      <c r="P22" s="1" t="s">
        <v>19</v>
      </c>
    </row>
    <row r="23" spans="1:16" x14ac:dyDescent="0.3">
      <c r="A23">
        <v>2017</v>
      </c>
      <c r="B23" s="4">
        <v>-36241337</v>
      </c>
      <c r="C23" s="4">
        <v>141611446</v>
      </c>
      <c r="D23" s="4">
        <v>0</v>
      </c>
      <c r="E23" s="3">
        <f t="shared" ref="E23:E30" si="5">SUM(B23:D23)</f>
        <v>105370109</v>
      </c>
      <c r="F23" s="3"/>
      <c r="G23" s="9"/>
      <c r="H23" s="3"/>
      <c r="I23" s="4"/>
      <c r="J23" s="4"/>
      <c r="K23" s="4"/>
      <c r="L23" s="4"/>
      <c r="M23" s="4"/>
      <c r="N23" s="2"/>
      <c r="P23" s="2"/>
    </row>
    <row r="24" spans="1:16" x14ac:dyDescent="0.3">
      <c r="A24">
        <v>2018</v>
      </c>
      <c r="B24" s="4">
        <v>-1498578</v>
      </c>
      <c r="C24" s="4">
        <v>155911061</v>
      </c>
      <c r="D24" s="4">
        <v>0</v>
      </c>
      <c r="E24" s="3">
        <f t="shared" si="5"/>
        <v>154412483</v>
      </c>
      <c r="F24" s="3"/>
      <c r="G24" s="9">
        <f t="shared" ref="G24:G30" si="6">E24-E23</f>
        <v>49042374</v>
      </c>
      <c r="H24" s="3"/>
      <c r="I24" s="4">
        <f>-145977</f>
        <v>-145977</v>
      </c>
      <c r="J24" s="4">
        <v>46000000</v>
      </c>
      <c r="K24" s="4">
        <v>2220772</v>
      </c>
      <c r="L24" s="4">
        <v>675626</v>
      </c>
      <c r="M24" s="4"/>
      <c r="N24" s="2">
        <f t="shared" ref="N24:N30" si="7">-I24+J24+K24+L24</f>
        <v>49042375</v>
      </c>
      <c r="P24" s="2">
        <f t="shared" ref="P24:P30" si="8">G24-N24</f>
        <v>-1</v>
      </c>
    </row>
    <row r="25" spans="1:16" x14ac:dyDescent="0.3">
      <c r="A25">
        <v>2019</v>
      </c>
      <c r="B25" s="4">
        <v>30690208</v>
      </c>
      <c r="C25" s="4">
        <v>127086016</v>
      </c>
      <c r="D25" s="4">
        <v>0</v>
      </c>
      <c r="E25" s="3">
        <f t="shared" si="5"/>
        <v>157776224</v>
      </c>
      <c r="F25" s="3"/>
      <c r="G25" s="9">
        <f t="shared" si="6"/>
        <v>3363741</v>
      </c>
      <c r="H25" s="3"/>
      <c r="I25" s="4">
        <v>-2148626</v>
      </c>
      <c r="J25" s="4">
        <v>0</v>
      </c>
      <c r="K25" s="4">
        <v>592087</v>
      </c>
      <c r="L25" s="4">
        <v>623028</v>
      </c>
      <c r="M25" s="4"/>
      <c r="N25" s="2">
        <f t="shared" si="7"/>
        <v>3363741</v>
      </c>
      <c r="P25" s="2">
        <f t="shared" si="8"/>
        <v>0</v>
      </c>
    </row>
    <row r="26" spans="1:16" x14ac:dyDescent="0.3">
      <c r="A26">
        <v>2020</v>
      </c>
      <c r="B26" s="4">
        <v>61577246</v>
      </c>
      <c r="C26" s="4">
        <v>106102085</v>
      </c>
      <c r="D26" s="4">
        <v>0</v>
      </c>
      <c r="E26" s="3">
        <f t="shared" si="5"/>
        <v>167679331</v>
      </c>
      <c r="F26" s="3"/>
      <c r="G26" s="9">
        <f t="shared" si="6"/>
        <v>9903107</v>
      </c>
      <c r="H26" s="3"/>
      <c r="I26" s="4">
        <f>235890+85183</f>
        <v>321073</v>
      </c>
      <c r="J26" s="4">
        <v>3000000</v>
      </c>
      <c r="K26" s="4">
        <v>5347456</v>
      </c>
      <c r="L26" s="4">
        <v>1876723</v>
      </c>
      <c r="M26" s="4"/>
      <c r="N26" s="2">
        <f t="shared" si="7"/>
        <v>9903106</v>
      </c>
      <c r="P26" s="2">
        <f t="shared" si="8"/>
        <v>1</v>
      </c>
    </row>
    <row r="27" spans="1:16" x14ac:dyDescent="0.3">
      <c r="A27">
        <v>2021</v>
      </c>
      <c r="B27" s="4">
        <v>74517080</v>
      </c>
      <c r="C27" s="4">
        <f>44355272+58698986</f>
        <v>103054258</v>
      </c>
      <c r="D27" s="4">
        <v>0</v>
      </c>
      <c r="E27" s="3">
        <f t="shared" si="5"/>
        <v>177571338</v>
      </c>
      <c r="F27" s="3"/>
      <c r="G27" s="9">
        <f t="shared" si="6"/>
        <v>9892007</v>
      </c>
      <c r="H27" s="3"/>
      <c r="I27" s="4">
        <f>-4000355+55715-85183</f>
        <v>-4029823</v>
      </c>
      <c r="J27" s="4">
        <v>0</v>
      </c>
      <c r="K27" s="4">
        <f>4956314</f>
        <v>4956314</v>
      </c>
      <c r="L27" s="4">
        <f>905869</f>
        <v>905869</v>
      </c>
      <c r="M27" s="4"/>
      <c r="N27" s="2">
        <f t="shared" si="7"/>
        <v>9892006</v>
      </c>
      <c r="P27" s="2">
        <f t="shared" si="8"/>
        <v>1</v>
      </c>
    </row>
    <row r="28" spans="1:16" x14ac:dyDescent="0.3">
      <c r="A28">
        <v>2022</v>
      </c>
      <c r="B28" s="4">
        <v>44029759</v>
      </c>
      <c r="C28" s="4">
        <f>49618357+90020458</f>
        <v>139638815</v>
      </c>
      <c r="D28" s="4">
        <v>0</v>
      </c>
      <c r="E28" s="3">
        <f t="shared" si="5"/>
        <v>183668574</v>
      </c>
      <c r="F28" s="3"/>
      <c r="G28" s="9">
        <f t="shared" si="6"/>
        <v>6097236</v>
      </c>
      <c r="H28" s="3"/>
      <c r="I28" s="4">
        <f>-6024263-55715+109169</f>
        <v>-5970809</v>
      </c>
      <c r="J28" s="4">
        <v>0</v>
      </c>
      <c r="K28" s="4">
        <v>-396456</v>
      </c>
      <c r="L28" s="4">
        <f>522882</f>
        <v>522882</v>
      </c>
      <c r="M28" s="4"/>
      <c r="N28" s="2">
        <f t="shared" si="7"/>
        <v>6097235</v>
      </c>
      <c r="P28" s="2">
        <f t="shared" si="8"/>
        <v>1</v>
      </c>
    </row>
    <row r="29" spans="1:16" x14ac:dyDescent="0.3">
      <c r="A29">
        <v>2023</v>
      </c>
      <c r="B29" s="4">
        <v>50837957</v>
      </c>
      <c r="C29" s="4">
        <f>39897098+96091380</f>
        <v>135988478</v>
      </c>
      <c r="D29" s="4">
        <v>0</v>
      </c>
      <c r="E29" s="3">
        <f t="shared" si="5"/>
        <v>186826435</v>
      </c>
      <c r="F29" s="3"/>
      <c r="G29" s="9">
        <f t="shared" si="6"/>
        <v>3157861</v>
      </c>
      <c r="H29" s="3"/>
      <c r="I29" s="4">
        <f>-8376740-109169</f>
        <v>-8485909</v>
      </c>
      <c r="J29" s="4">
        <v>0</v>
      </c>
      <c r="K29" s="4">
        <v>-4052591</v>
      </c>
      <c r="L29" s="4">
        <v>-1275457</v>
      </c>
      <c r="M29" s="4"/>
      <c r="N29" s="2">
        <f t="shared" si="7"/>
        <v>3157861</v>
      </c>
      <c r="P29" s="2">
        <f t="shared" si="8"/>
        <v>0</v>
      </c>
    </row>
    <row r="30" spans="1:16" x14ac:dyDescent="0.3">
      <c r="A30">
        <v>2024</v>
      </c>
      <c r="B30" s="4">
        <f>46168956</f>
        <v>46168956</v>
      </c>
      <c r="C30" s="4">
        <f>35284981+113479424</f>
        <v>148764405</v>
      </c>
      <c r="D30" s="4">
        <v>0</v>
      </c>
      <c r="E30" s="3">
        <f t="shared" si="5"/>
        <v>194933361</v>
      </c>
      <c r="F30" s="3"/>
      <c r="G30" s="9">
        <f t="shared" si="6"/>
        <v>8106926</v>
      </c>
      <c r="H30" s="3"/>
      <c r="I30" s="4">
        <f>-9228261-12785</f>
        <v>-9241046</v>
      </c>
      <c r="J30" s="4">
        <v>0</v>
      </c>
      <c r="K30" s="4">
        <v>-872753</v>
      </c>
      <c r="L30" s="4">
        <v>-261365</v>
      </c>
      <c r="M30" s="4"/>
      <c r="N30" s="2">
        <f t="shared" si="7"/>
        <v>8106928</v>
      </c>
      <c r="P30" s="2">
        <f t="shared" si="8"/>
        <v>-2</v>
      </c>
    </row>
    <row r="31" spans="1:16" x14ac:dyDescent="0.3">
      <c r="B31" s="4"/>
      <c r="C31" s="4"/>
      <c r="D31" s="4"/>
      <c r="E31" s="3"/>
      <c r="F31" s="3"/>
      <c r="G31" s="9"/>
      <c r="H31" s="3"/>
      <c r="I31" s="4"/>
      <c r="J31" s="4"/>
      <c r="K31" s="4"/>
      <c r="L31" s="4"/>
      <c r="M31" s="4"/>
      <c r="N31" s="2"/>
      <c r="P31" s="2"/>
    </row>
    <row r="32" spans="1:16" x14ac:dyDescent="0.3">
      <c r="A32" s="5" t="s">
        <v>27</v>
      </c>
      <c r="B32" s="4">
        <f>64883641</f>
        <v>64883641</v>
      </c>
      <c r="C32" s="4">
        <v>138181177</v>
      </c>
      <c r="D32" s="4">
        <v>2207761</v>
      </c>
      <c r="E32" s="11">
        <f>SUM(B32:D32)</f>
        <v>205272579</v>
      </c>
      <c r="F32" s="3"/>
      <c r="G32" s="9"/>
      <c r="H32" s="3"/>
      <c r="I32" s="4"/>
      <c r="J32" s="4"/>
      <c r="K32" s="4"/>
      <c r="L32" s="2"/>
      <c r="M32" s="2"/>
      <c r="N32" s="4"/>
      <c r="P32" s="2"/>
    </row>
    <row r="33" spans="1:16" x14ac:dyDescent="0.3">
      <c r="D33" s="2"/>
    </row>
    <row r="35" spans="1:16" x14ac:dyDescent="0.3">
      <c r="A35" s="17" t="s">
        <v>21</v>
      </c>
      <c r="B35" s="17"/>
      <c r="C35" s="17"/>
      <c r="D35" s="17"/>
      <c r="E35" s="17"/>
      <c r="F35" s="17"/>
      <c r="G35" s="17"/>
      <c r="H35" s="17"/>
      <c r="I35" s="17"/>
      <c r="J35" s="17"/>
      <c r="K35" s="17"/>
      <c r="L35" s="17"/>
      <c r="M35" s="17"/>
      <c r="N35" s="17"/>
      <c r="O35" s="17"/>
      <c r="P35" s="17"/>
    </row>
    <row r="36" spans="1:16" ht="32.1" customHeight="1" x14ac:dyDescent="0.3">
      <c r="A36" s="18" t="s">
        <v>22</v>
      </c>
      <c r="B36" s="18"/>
      <c r="C36" s="18"/>
      <c r="D36" s="18"/>
      <c r="E36" s="18"/>
      <c r="F36" s="18"/>
      <c r="G36" s="18"/>
      <c r="H36" s="18"/>
      <c r="I36" s="18"/>
      <c r="J36" s="18"/>
      <c r="K36" s="18"/>
      <c r="L36" s="18"/>
      <c r="M36" s="18"/>
      <c r="N36" s="18"/>
      <c r="O36" s="18"/>
      <c r="P36" s="18"/>
    </row>
  </sheetData>
  <mergeCells count="2">
    <mergeCell ref="A35:P35"/>
    <mergeCell ref="A36:P36"/>
  </mergeCells>
  <pageMargins left="1" right="1" top="1" bottom="1.75" header="0.5" footer="0.5"/>
  <pageSetup scale="49" orientation="landscape" useFirstPageNumber="1" r:id="rId1"/>
  <headerFooter scaleWithDoc="0">
    <oddFooter xml:space="preserve">&amp;L
&amp;1#&amp;"Calibri,Regular"&amp;14&amp;K000000 Business Use&amp;R&amp;"Times New Roman,Bold"&amp;12Rebuttal Exhibit CMG-4
Page &amp;P of 10
</oddFooter>
  </headerFooter>
  <ignoredErrors>
    <ignoredError sqref="E23:E26"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2"/>
  <sheetViews>
    <sheetView zoomScale="115" zoomScaleNormal="115" workbookViewId="0">
      <selection activeCell="D28" sqref="D28"/>
    </sheetView>
  </sheetViews>
  <sheetFormatPr defaultColWidth="9.33203125" defaultRowHeight="14.4" x14ac:dyDescent="0.3"/>
  <cols>
    <col min="1" max="1" width="25.109375" bestFit="1" customWidth="1"/>
    <col min="2" max="2" width="21.33203125" customWidth="1"/>
    <col min="3" max="3" width="25.6640625" bestFit="1" customWidth="1"/>
    <col min="4" max="4" width="14.33203125" bestFit="1" customWidth="1"/>
    <col min="5" max="5" width="16.6640625" customWidth="1"/>
    <col min="6" max="6" width="6.33203125" customWidth="1"/>
    <col min="7" max="7" width="16.6640625" customWidth="1"/>
    <col min="8" max="8" width="5.6640625" customWidth="1"/>
    <col min="9" max="10" width="14.33203125" customWidth="1"/>
    <col min="11" max="11" width="16.5546875" bestFit="1" customWidth="1"/>
    <col min="12" max="12" width="14.33203125" customWidth="1"/>
    <col min="13" max="13" width="5.33203125" customWidth="1"/>
    <col min="14" max="14" width="14.33203125" customWidth="1"/>
    <col min="15" max="15" width="6.5546875" customWidth="1"/>
    <col min="16" max="16" width="13.33203125" bestFit="1" customWidth="1"/>
    <col min="17" max="17" width="12.5546875" bestFit="1" customWidth="1"/>
    <col min="18" max="18" width="13.33203125" bestFit="1" customWidth="1"/>
    <col min="19" max="19" width="16.5546875" bestFit="1" customWidth="1"/>
  </cols>
  <sheetData>
    <row r="1" spans="1:20" x14ac:dyDescent="0.3">
      <c r="A1" t="s">
        <v>24</v>
      </c>
    </row>
    <row r="3" spans="1:20" x14ac:dyDescent="0.3">
      <c r="A3" s="6" t="s">
        <v>7</v>
      </c>
    </row>
    <row r="4" spans="1:20" x14ac:dyDescent="0.3">
      <c r="B4" s="7" t="s">
        <v>0</v>
      </c>
      <c r="C4" s="7" t="s">
        <v>0</v>
      </c>
      <c r="E4" s="8" t="s">
        <v>20</v>
      </c>
      <c r="F4" s="8"/>
      <c r="G4" s="8"/>
      <c r="H4" s="8"/>
      <c r="I4" s="8" t="s">
        <v>5</v>
      </c>
      <c r="J4" s="8" t="s">
        <v>5</v>
      </c>
      <c r="K4" s="7" t="s">
        <v>0</v>
      </c>
      <c r="L4" s="8"/>
      <c r="M4" s="8"/>
      <c r="N4" s="8"/>
    </row>
    <row r="5" spans="1:20" x14ac:dyDescent="0.3">
      <c r="B5" s="7" t="s">
        <v>4</v>
      </c>
      <c r="C5" s="7" t="s">
        <v>4</v>
      </c>
      <c r="D5" s="7" t="s">
        <v>4</v>
      </c>
      <c r="E5" s="8" t="s">
        <v>6</v>
      </c>
      <c r="F5" s="8"/>
      <c r="G5" s="8"/>
      <c r="H5" s="8"/>
      <c r="I5" s="7" t="s">
        <v>4</v>
      </c>
      <c r="J5" s="7" t="s">
        <v>4</v>
      </c>
      <c r="K5" s="7" t="s">
        <v>4</v>
      </c>
      <c r="L5" s="7" t="s">
        <v>4</v>
      </c>
      <c r="M5" s="8"/>
    </row>
    <row r="6" spans="1:20" x14ac:dyDescent="0.3">
      <c r="B6" s="1" t="s">
        <v>3</v>
      </c>
      <c r="C6" s="1" t="s">
        <v>1</v>
      </c>
      <c r="D6" s="1" t="s">
        <v>11</v>
      </c>
      <c r="E6" s="1" t="s">
        <v>16</v>
      </c>
      <c r="F6" s="1"/>
      <c r="G6" s="1" t="s">
        <v>17</v>
      </c>
      <c r="H6" s="8"/>
      <c r="I6" s="1" t="s">
        <v>10</v>
      </c>
      <c r="J6" s="1" t="s">
        <v>6</v>
      </c>
      <c r="K6" s="1" t="s">
        <v>9</v>
      </c>
      <c r="L6" s="1" t="s">
        <v>12</v>
      </c>
      <c r="M6" s="1"/>
      <c r="N6" s="1" t="s">
        <v>18</v>
      </c>
      <c r="P6" s="1" t="s">
        <v>19</v>
      </c>
    </row>
    <row r="7" spans="1:20" x14ac:dyDescent="0.3">
      <c r="A7">
        <v>2017</v>
      </c>
      <c r="B7" s="4">
        <v>-78333908</v>
      </c>
      <c r="C7" s="4">
        <v>7928663</v>
      </c>
      <c r="D7" s="4">
        <v>0</v>
      </c>
      <c r="E7" s="3">
        <f t="shared" ref="E7:E14" si="0">SUM(B7:D7)</f>
        <v>-70405245</v>
      </c>
      <c r="F7" s="9"/>
      <c r="G7" s="9"/>
      <c r="H7" s="3"/>
      <c r="I7" s="4"/>
      <c r="J7" s="4"/>
      <c r="K7" s="4"/>
      <c r="L7" s="4"/>
      <c r="M7" s="4"/>
      <c r="N7" s="2"/>
      <c r="P7" s="2"/>
      <c r="T7" s="4"/>
    </row>
    <row r="8" spans="1:20" x14ac:dyDescent="0.3">
      <c r="A8">
        <v>2018</v>
      </c>
      <c r="B8" s="4">
        <v>-69178623</v>
      </c>
      <c r="C8" s="4">
        <v>2776074</v>
      </c>
      <c r="D8" s="4">
        <v>0</v>
      </c>
      <c r="E8" s="3">
        <f t="shared" si="0"/>
        <v>-66402549</v>
      </c>
      <c r="F8" s="9"/>
      <c r="G8" s="9">
        <f t="shared" ref="G8:G14" si="1">E8-E7</f>
        <v>4002696</v>
      </c>
      <c r="H8" s="3"/>
      <c r="I8" s="4">
        <v>3146396</v>
      </c>
      <c r="J8" s="4">
        <v>7159962</v>
      </c>
      <c r="K8" s="4">
        <v>0</v>
      </c>
      <c r="L8" s="4">
        <v>-10870</v>
      </c>
      <c r="M8" s="4"/>
      <c r="N8" s="2">
        <f t="shared" ref="N8:N14" si="2">-I8+J8-K8+L8</f>
        <v>4002696</v>
      </c>
      <c r="P8" s="2">
        <f t="shared" ref="P8:P14" si="3">G8-N8</f>
        <v>0</v>
      </c>
      <c r="T8" s="4"/>
    </row>
    <row r="9" spans="1:20" x14ac:dyDescent="0.3">
      <c r="A9">
        <v>2019</v>
      </c>
      <c r="B9" s="4">
        <v>-67095376</v>
      </c>
      <c r="C9" s="4">
        <v>3290667</v>
      </c>
      <c r="D9" s="4">
        <v>0</v>
      </c>
      <c r="E9" s="3">
        <f t="shared" si="0"/>
        <v>-63804709</v>
      </c>
      <c r="F9" s="9"/>
      <c r="G9" s="9">
        <f t="shared" si="1"/>
        <v>2597840</v>
      </c>
      <c r="H9" s="3"/>
      <c r="I9" s="4">
        <v>3070099</v>
      </c>
      <c r="J9" s="4">
        <v>6044999</v>
      </c>
      <c r="K9" s="4">
        <v>351900</v>
      </c>
      <c r="L9" s="4">
        <v>-25160</v>
      </c>
      <c r="M9" s="4"/>
      <c r="N9" s="2">
        <f t="shared" si="2"/>
        <v>2597840</v>
      </c>
      <c r="P9" s="2">
        <f t="shared" si="3"/>
        <v>0</v>
      </c>
      <c r="T9" s="4"/>
    </row>
    <row r="10" spans="1:20" x14ac:dyDescent="0.3">
      <c r="A10">
        <v>2020</v>
      </c>
      <c r="B10" s="4">
        <v>-71273331</v>
      </c>
      <c r="C10" s="4">
        <v>8136775</v>
      </c>
      <c r="D10" s="4">
        <v>0</v>
      </c>
      <c r="E10" s="3">
        <f t="shared" si="0"/>
        <v>-63136556</v>
      </c>
      <c r="F10" s="9"/>
      <c r="G10" s="9">
        <f t="shared" si="1"/>
        <v>668153</v>
      </c>
      <c r="H10" s="3"/>
      <c r="I10" s="4">
        <v>2641092</v>
      </c>
      <c r="J10" s="4">
        <v>3376801</v>
      </c>
      <c r="K10" s="4">
        <v>44540</v>
      </c>
      <c r="L10" s="4">
        <v>-23016</v>
      </c>
      <c r="M10" s="4"/>
      <c r="N10" s="2">
        <f t="shared" si="2"/>
        <v>668153</v>
      </c>
      <c r="P10" s="2">
        <f t="shared" si="3"/>
        <v>0</v>
      </c>
      <c r="T10" s="4"/>
    </row>
    <row r="11" spans="1:20" x14ac:dyDescent="0.3">
      <c r="A11">
        <v>2021</v>
      </c>
      <c r="B11" s="4">
        <f>-51040401-3266109</f>
        <v>-54306510</v>
      </c>
      <c r="C11" s="4">
        <v>-8385397</v>
      </c>
      <c r="D11" s="4">
        <v>0</v>
      </c>
      <c r="E11" s="3">
        <f t="shared" si="0"/>
        <v>-62691907</v>
      </c>
      <c r="F11" s="9"/>
      <c r="G11" s="9">
        <f t="shared" si="1"/>
        <v>444649</v>
      </c>
      <c r="H11" s="3"/>
      <c r="I11" s="4">
        <f>2408491-193385</f>
        <v>2215106</v>
      </c>
      <c r="J11" s="4">
        <f>4273742+72684</f>
        <v>4346426</v>
      </c>
      <c r="K11" s="4">
        <f>1667692</f>
        <v>1667692</v>
      </c>
      <c r="L11" s="4">
        <v>-18979</v>
      </c>
      <c r="M11" s="4"/>
      <c r="N11" s="2">
        <f t="shared" si="2"/>
        <v>444649</v>
      </c>
      <c r="P11" s="2">
        <f t="shared" si="3"/>
        <v>0</v>
      </c>
      <c r="T11" s="4"/>
    </row>
    <row r="12" spans="1:20" x14ac:dyDescent="0.3">
      <c r="A12">
        <v>2022</v>
      </c>
      <c r="B12" s="4">
        <f>-40730824-3266086</f>
        <v>-43996910</v>
      </c>
      <c r="C12" s="4">
        <v>-17864590</v>
      </c>
      <c r="D12" s="4">
        <v>0</v>
      </c>
      <c r="E12" s="3">
        <f t="shared" si="0"/>
        <v>-61861500</v>
      </c>
      <c r="F12" s="9"/>
      <c r="G12" s="9">
        <f t="shared" si="1"/>
        <v>830407</v>
      </c>
      <c r="H12" s="3"/>
      <c r="I12" s="4">
        <f>1671688-15823</f>
        <v>1655865</v>
      </c>
      <c r="J12" s="4">
        <f>1804626+697445-734224</f>
        <v>1767847</v>
      </c>
      <c r="K12" s="4">
        <v>-734224</v>
      </c>
      <c r="L12" s="4">
        <v>-15800</v>
      </c>
      <c r="M12" s="4"/>
      <c r="N12" s="2">
        <f t="shared" si="2"/>
        <v>830406</v>
      </c>
      <c r="P12" s="2">
        <f t="shared" si="3"/>
        <v>1</v>
      </c>
      <c r="T12" s="4"/>
    </row>
    <row r="13" spans="1:20" x14ac:dyDescent="0.3">
      <c r="A13">
        <v>2023</v>
      </c>
      <c r="B13" s="4">
        <f>-43896515-2780408</f>
        <v>-46676923</v>
      </c>
      <c r="C13" s="4">
        <v>-16599039</v>
      </c>
      <c r="D13" s="4">
        <v>0</v>
      </c>
      <c r="E13" s="3">
        <f t="shared" si="0"/>
        <v>-63275962</v>
      </c>
      <c r="F13" s="9"/>
      <c r="G13" s="9">
        <f t="shared" si="1"/>
        <v>-1414462</v>
      </c>
      <c r="H13" s="3"/>
      <c r="I13" s="4">
        <f>2849192-495577</f>
        <v>2353615</v>
      </c>
      <c r="J13" s="4">
        <f>-648134+267278</f>
        <v>-380856</v>
      </c>
      <c r="K13" s="4">
        <v>-1329908</v>
      </c>
      <c r="L13" s="4">
        <v>-9899</v>
      </c>
      <c r="M13" s="4"/>
      <c r="N13" s="2">
        <f t="shared" si="2"/>
        <v>-1414462</v>
      </c>
      <c r="P13" s="2">
        <f t="shared" si="3"/>
        <v>0</v>
      </c>
      <c r="T13" s="4"/>
    </row>
    <row r="14" spans="1:20" x14ac:dyDescent="0.3">
      <c r="A14">
        <v>2024</v>
      </c>
      <c r="B14" s="4">
        <f>-42644676-1440836-2281758</f>
        <v>-46367270</v>
      </c>
      <c r="C14" s="4">
        <v>-18923668</v>
      </c>
      <c r="D14" s="4">
        <v>0</v>
      </c>
      <c r="E14" s="3">
        <f t="shared" si="0"/>
        <v>-65290938</v>
      </c>
      <c r="F14" s="9"/>
      <c r="G14" s="9">
        <f t="shared" si="1"/>
        <v>-2014976</v>
      </c>
      <c r="H14" s="3"/>
      <c r="I14" s="4">
        <f>2746430-505087-9</f>
        <v>2241334</v>
      </c>
      <c r="J14" s="4">
        <f>-196146+427084+1857</f>
        <v>232795</v>
      </c>
      <c r="K14" s="4">
        <v>0</v>
      </c>
      <c r="L14" s="4">
        <v>-6437</v>
      </c>
      <c r="M14" s="4"/>
      <c r="N14" s="2">
        <f t="shared" si="2"/>
        <v>-2014976</v>
      </c>
      <c r="P14" s="2">
        <f t="shared" si="3"/>
        <v>0</v>
      </c>
      <c r="T14" s="4"/>
    </row>
    <row r="15" spans="1:20" x14ac:dyDescent="0.3">
      <c r="B15" s="4"/>
      <c r="C15" s="4"/>
      <c r="D15" s="4"/>
      <c r="E15" s="3"/>
      <c r="F15" s="9"/>
      <c r="G15" s="9"/>
      <c r="H15" s="3"/>
      <c r="I15" s="4"/>
      <c r="J15" s="4"/>
      <c r="K15" s="4"/>
      <c r="L15" s="4"/>
      <c r="M15" s="4"/>
      <c r="N15" s="2"/>
      <c r="P15" s="2"/>
      <c r="T15" s="4"/>
    </row>
    <row r="16" spans="1:20" x14ac:dyDescent="0.3">
      <c r="A16" s="5" t="s">
        <v>27</v>
      </c>
      <c r="B16" s="4">
        <f>-35600634-11880076</f>
        <v>-47480710</v>
      </c>
      <c r="C16" s="4">
        <f>-'LGE 254.11'!O5</f>
        <v>-18493096.156666666</v>
      </c>
      <c r="D16" s="4">
        <v>-550008</v>
      </c>
      <c r="E16" s="11">
        <f>SUM(B16:D16)</f>
        <v>-66523814.156666666</v>
      </c>
      <c r="F16" s="9"/>
      <c r="G16" s="9"/>
      <c r="H16" s="3"/>
      <c r="I16" s="4"/>
      <c r="J16" s="4"/>
      <c r="K16" s="4"/>
      <c r="L16" s="2"/>
      <c r="M16" s="2"/>
      <c r="N16" s="4"/>
      <c r="P16" s="2"/>
      <c r="T16" s="4"/>
    </row>
    <row r="17" spans="1:16" x14ac:dyDescent="0.3">
      <c r="C17" s="2"/>
      <c r="D17" s="2"/>
    </row>
    <row r="18" spans="1:16" x14ac:dyDescent="0.3">
      <c r="B18" s="2"/>
      <c r="C18" s="2"/>
      <c r="D18" s="2"/>
      <c r="E18" s="2"/>
      <c r="F18" s="2"/>
      <c r="G18" s="2"/>
      <c r="H18" s="2"/>
      <c r="J18" s="2"/>
      <c r="K18" s="2"/>
      <c r="L18" s="2"/>
      <c r="M18" s="2"/>
      <c r="N18" s="2"/>
    </row>
    <row r="19" spans="1:16" x14ac:dyDescent="0.3">
      <c r="A19" s="6" t="s">
        <v>8</v>
      </c>
    </row>
    <row r="20" spans="1:16" x14ac:dyDescent="0.3">
      <c r="B20" s="7" t="s">
        <v>0</v>
      </c>
      <c r="C20" s="7" t="s">
        <v>0</v>
      </c>
      <c r="E20" s="8" t="s">
        <v>20</v>
      </c>
      <c r="F20" s="8"/>
      <c r="G20" s="8"/>
      <c r="H20" s="8"/>
      <c r="I20" s="8" t="s">
        <v>5</v>
      </c>
      <c r="J20" s="8" t="s">
        <v>5</v>
      </c>
      <c r="K20" s="8" t="s">
        <v>0</v>
      </c>
      <c r="L20" s="8"/>
      <c r="M20" s="8"/>
      <c r="N20" s="8"/>
    </row>
    <row r="21" spans="1:16" x14ac:dyDescent="0.3">
      <c r="B21" s="7" t="s">
        <v>4</v>
      </c>
      <c r="C21" s="7" t="s">
        <v>4</v>
      </c>
      <c r="D21" s="7" t="s">
        <v>4</v>
      </c>
      <c r="E21" s="8" t="s">
        <v>6</v>
      </c>
      <c r="F21" s="8"/>
      <c r="G21" s="8"/>
      <c r="H21" s="8"/>
      <c r="I21" s="7" t="s">
        <v>4</v>
      </c>
      <c r="J21" s="7" t="s">
        <v>4</v>
      </c>
      <c r="K21" s="7" t="s">
        <v>4</v>
      </c>
      <c r="L21" s="8" t="s">
        <v>4</v>
      </c>
      <c r="M21" s="8"/>
    </row>
    <row r="22" spans="1:16" x14ac:dyDescent="0.3">
      <c r="B22" s="1" t="s">
        <v>3</v>
      </c>
      <c r="C22" s="1" t="s">
        <v>1</v>
      </c>
      <c r="D22" s="1" t="s">
        <v>11</v>
      </c>
      <c r="E22" s="1" t="s">
        <v>16</v>
      </c>
      <c r="F22" s="1"/>
      <c r="G22" s="1" t="s">
        <v>17</v>
      </c>
      <c r="H22" s="8"/>
      <c r="I22" s="1" t="s">
        <v>10</v>
      </c>
      <c r="J22" s="1" t="s">
        <v>6</v>
      </c>
      <c r="K22" s="1" t="s">
        <v>9</v>
      </c>
      <c r="L22" s="1" t="s">
        <v>12</v>
      </c>
      <c r="M22" s="1"/>
      <c r="N22" s="1" t="s">
        <v>18</v>
      </c>
      <c r="P22" s="1" t="s">
        <v>19</v>
      </c>
    </row>
    <row r="23" spans="1:16" x14ac:dyDescent="0.3">
      <c r="A23">
        <v>2017</v>
      </c>
      <c r="B23" s="4">
        <v>-38542805</v>
      </c>
      <c r="C23" s="4">
        <v>-27372613</v>
      </c>
      <c r="D23" s="4">
        <v>0</v>
      </c>
      <c r="E23" s="3">
        <f t="shared" ref="E23:E30" si="4">SUM(B23:D23)</f>
        <v>-65915418</v>
      </c>
      <c r="F23" s="3"/>
      <c r="G23" s="9"/>
      <c r="H23" s="3"/>
      <c r="I23" s="4"/>
      <c r="J23" s="4"/>
      <c r="K23" s="4"/>
      <c r="L23" s="4"/>
      <c r="M23" s="4"/>
      <c r="N23" s="2"/>
      <c r="P23" s="2"/>
    </row>
    <row r="24" spans="1:16" x14ac:dyDescent="0.3">
      <c r="A24">
        <v>2018</v>
      </c>
      <c r="B24" s="4">
        <v>-30701803</v>
      </c>
      <c r="C24" s="4">
        <v>-26417052</v>
      </c>
      <c r="D24" s="4">
        <v>0</v>
      </c>
      <c r="E24" s="3">
        <f t="shared" si="4"/>
        <v>-57118855</v>
      </c>
      <c r="F24" s="3"/>
      <c r="G24" s="9">
        <f t="shared" ref="G24:G30" si="5">E24-E23</f>
        <v>8796563</v>
      </c>
      <c r="H24" s="3"/>
      <c r="I24" s="4">
        <v>-500189</v>
      </c>
      <c r="J24" s="4">
        <v>8596485</v>
      </c>
      <c r="K24" s="4">
        <v>0</v>
      </c>
      <c r="L24" s="4">
        <v>-300111</v>
      </c>
      <c r="M24" s="4"/>
      <c r="N24" s="2">
        <f t="shared" ref="N24" si="6">-I24+J24-K24+L24</f>
        <v>8796563</v>
      </c>
      <c r="P24" s="2">
        <f t="shared" ref="P24:P30" si="7">G24-N24</f>
        <v>0</v>
      </c>
    </row>
    <row r="25" spans="1:16" x14ac:dyDescent="0.3">
      <c r="A25">
        <v>2019</v>
      </c>
      <c r="B25" s="4">
        <v>-20244990</v>
      </c>
      <c r="C25" s="4">
        <v>-34131728</v>
      </c>
      <c r="D25" s="4">
        <v>0</v>
      </c>
      <c r="E25" s="3">
        <f t="shared" si="4"/>
        <v>-54376718</v>
      </c>
      <c r="F25" s="3"/>
      <c r="G25" s="9">
        <f t="shared" si="5"/>
        <v>2742137</v>
      </c>
      <c r="H25" s="3"/>
      <c r="I25" s="4">
        <f>-221007</f>
        <v>-221007</v>
      </c>
      <c r="J25" s="4">
        <v>3525493</v>
      </c>
      <c r="K25" s="4">
        <v>700740</v>
      </c>
      <c r="L25" s="4">
        <v>-303622</v>
      </c>
      <c r="M25" s="4"/>
      <c r="N25" s="2">
        <f>-I25+J25-K25+L25</f>
        <v>2742138</v>
      </c>
      <c r="P25" s="2">
        <f t="shared" si="7"/>
        <v>-1</v>
      </c>
    </row>
    <row r="26" spans="1:16" x14ac:dyDescent="0.3">
      <c r="A26">
        <v>2020</v>
      </c>
      <c r="B26" s="4">
        <v>-21046810</v>
      </c>
      <c r="C26" s="4">
        <v>-33235019</v>
      </c>
      <c r="D26" s="4">
        <v>0</v>
      </c>
      <c r="E26" s="3">
        <f t="shared" si="4"/>
        <v>-54281829</v>
      </c>
      <c r="F26" s="3"/>
      <c r="G26" s="9">
        <f t="shared" si="5"/>
        <v>94889</v>
      </c>
      <c r="H26" s="3"/>
      <c r="I26" s="4">
        <v>-85435</v>
      </c>
      <c r="J26" s="4">
        <v>310216</v>
      </c>
      <c r="K26" s="4">
        <v>84880</v>
      </c>
      <c r="L26" s="4">
        <v>-215882</v>
      </c>
      <c r="M26" s="4"/>
      <c r="N26" s="2">
        <f>-I26+J26-K26+L26</f>
        <v>94889</v>
      </c>
      <c r="P26" s="2">
        <f t="shared" si="7"/>
        <v>0</v>
      </c>
    </row>
    <row r="27" spans="1:16" x14ac:dyDescent="0.3">
      <c r="A27">
        <v>2021</v>
      </c>
      <c r="B27" s="4">
        <f>-7467065+1679565-3384471</f>
        <v>-9171971</v>
      </c>
      <c r="C27" s="4">
        <v>-42922988</v>
      </c>
      <c r="D27" s="4">
        <v>0</v>
      </c>
      <c r="E27" s="3">
        <f t="shared" si="4"/>
        <v>-52094959</v>
      </c>
      <c r="F27" s="3"/>
      <c r="G27" s="9">
        <f t="shared" si="5"/>
        <v>2186870</v>
      </c>
      <c r="H27" s="3"/>
      <c r="I27" s="4">
        <f>-1249170-597737</f>
        <v>-1846907</v>
      </c>
      <c r="J27" s="4">
        <f>1105791-196666</f>
        <v>909125</v>
      </c>
      <c r="K27" s="4">
        <f>402959</f>
        <v>402959</v>
      </c>
      <c r="L27" s="4">
        <f>-144159-22044</f>
        <v>-166203</v>
      </c>
      <c r="M27" s="4"/>
      <c r="N27" s="2">
        <f t="shared" ref="N27:N30" si="8">-I27+J27-K27+L27</f>
        <v>2186870</v>
      </c>
      <c r="P27" s="2">
        <f t="shared" si="7"/>
        <v>0</v>
      </c>
    </row>
    <row r="28" spans="1:16" x14ac:dyDescent="0.3">
      <c r="A28">
        <v>2022</v>
      </c>
      <c r="B28" s="4">
        <f>-10172329+973687-4414633</f>
        <v>-13613275</v>
      </c>
      <c r="C28" s="4">
        <v>-37133637</v>
      </c>
      <c r="D28" s="4">
        <v>0</v>
      </c>
      <c r="E28" s="3">
        <f t="shared" si="4"/>
        <v>-50746912</v>
      </c>
      <c r="F28" s="3"/>
      <c r="G28" s="9">
        <f t="shared" si="5"/>
        <v>1348047</v>
      </c>
      <c r="H28" s="3"/>
      <c r="I28" s="4">
        <f>-1304258+1012212</f>
        <v>-292046</v>
      </c>
      <c r="J28" s="4">
        <f>374623+395155+3000</f>
        <v>772778</v>
      </c>
      <c r="K28" s="4">
        <v>-426027</v>
      </c>
      <c r="L28" s="4">
        <f>-124854-17950</f>
        <v>-142804</v>
      </c>
      <c r="M28" s="4"/>
      <c r="N28" s="2">
        <f t="shared" si="8"/>
        <v>1348047</v>
      </c>
      <c r="P28" s="2">
        <f t="shared" si="7"/>
        <v>0</v>
      </c>
    </row>
    <row r="29" spans="1:16" x14ac:dyDescent="0.3">
      <c r="A29">
        <v>2023</v>
      </c>
      <c r="B29" s="4">
        <f>-9690990+681539-4657284</f>
        <v>-13666735</v>
      </c>
      <c r="C29" s="4">
        <v>-37206778</v>
      </c>
      <c r="D29" s="4">
        <v>0</v>
      </c>
      <c r="E29" s="3">
        <f t="shared" si="4"/>
        <v>-50873513</v>
      </c>
      <c r="F29" s="3"/>
      <c r="G29" s="9">
        <f t="shared" si="5"/>
        <v>-126601</v>
      </c>
      <c r="H29" s="3"/>
      <c r="I29" s="4">
        <f>179788+232321</f>
        <v>412109</v>
      </c>
      <c r="J29" s="4">
        <f>-346398+1226</f>
        <v>-345172</v>
      </c>
      <c r="K29" s="4">
        <v>-762552</v>
      </c>
      <c r="L29" s="4">
        <f>-121542-10330</f>
        <v>-131872</v>
      </c>
      <c r="M29" s="4"/>
      <c r="N29" s="2">
        <f t="shared" si="8"/>
        <v>-126601</v>
      </c>
      <c r="P29" s="2">
        <f t="shared" si="7"/>
        <v>0</v>
      </c>
    </row>
    <row r="30" spans="1:16" x14ac:dyDescent="0.3">
      <c r="A30">
        <v>2024</v>
      </c>
      <c r="B30" s="4">
        <f>-9068305+658100-4142906</f>
        <v>-12553111</v>
      </c>
      <c r="C30" s="4">
        <v>-37404928</v>
      </c>
      <c r="D30" s="4">
        <v>0</v>
      </c>
      <c r="E30" s="3">
        <f t="shared" si="4"/>
        <v>-49958039</v>
      </c>
      <c r="F30" s="3"/>
      <c r="G30" s="9">
        <f t="shared" si="5"/>
        <v>915474</v>
      </c>
      <c r="H30" s="3"/>
      <c r="I30" s="4">
        <f>-207957-522221-12</f>
        <v>-730190</v>
      </c>
      <c r="J30" s="4">
        <f>137757+163654</f>
        <v>301411</v>
      </c>
      <c r="K30" s="4">
        <v>0</v>
      </c>
      <c r="L30" s="4">
        <f>-108284-7843</f>
        <v>-116127</v>
      </c>
      <c r="M30" s="4"/>
      <c r="N30" s="2">
        <f t="shared" si="8"/>
        <v>915474</v>
      </c>
      <c r="P30" s="2">
        <f t="shared" si="7"/>
        <v>0</v>
      </c>
    </row>
    <row r="31" spans="1:16" x14ac:dyDescent="0.3">
      <c r="A31" s="10"/>
      <c r="B31" s="4"/>
      <c r="C31" s="4"/>
      <c r="D31" s="4"/>
      <c r="E31" s="3"/>
      <c r="F31" s="3"/>
      <c r="G31" s="9"/>
      <c r="H31" s="3"/>
      <c r="I31" s="4"/>
      <c r="J31" s="4"/>
      <c r="K31" s="4"/>
      <c r="L31" s="4"/>
      <c r="M31" s="4"/>
      <c r="N31" s="2"/>
      <c r="P31" s="2"/>
    </row>
    <row r="32" spans="1:16" x14ac:dyDescent="0.3">
      <c r="A32" s="5" t="s">
        <v>27</v>
      </c>
      <c r="B32" s="4">
        <f>-12881941</f>
        <v>-12881941</v>
      </c>
      <c r="C32" s="4">
        <f>-36861113</f>
        <v>-36861113</v>
      </c>
      <c r="D32" s="4">
        <v>-37989</v>
      </c>
      <c r="E32" s="11">
        <f>SUM(B32:D32)</f>
        <v>-49781043</v>
      </c>
      <c r="F32" s="3"/>
      <c r="G32" s="9"/>
      <c r="H32" s="3"/>
      <c r="I32" s="4"/>
      <c r="J32" s="4"/>
      <c r="K32" s="4"/>
      <c r="L32" s="2"/>
      <c r="M32" s="2"/>
      <c r="N32" s="4"/>
      <c r="P32" s="2"/>
    </row>
  </sheetData>
  <pageMargins left="1" right="1" top="1" bottom="1.75" header="0.5" footer="0.5"/>
  <pageSetup scale="49" firstPageNumber="2" orientation="landscape" useFirstPageNumber="1" r:id="rId1"/>
  <headerFooter scaleWithDoc="0">
    <oddFooter xml:space="preserve">&amp;L
&amp;1#&amp;"Calibri,Regular"&amp;14&amp;K000000 Business Use&amp;R&amp;"Times New Roman,Bold"&amp;12Rebuttal Exhibit CMG-4
Page &amp;P of 10
</oddFooter>
  </headerFooter>
  <ignoredErrors>
    <ignoredError sqref="E7:E11 E23:E2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741E-7EE4-418C-9463-335D09BBD5FD}">
  <sheetPr>
    <pageSetUpPr fitToPage="1"/>
  </sheetPr>
  <dimension ref="A1:O6"/>
  <sheetViews>
    <sheetView workbookViewId="0">
      <pane xSplit="1" ySplit="1" topLeftCell="B2" activePane="bottomRight" state="frozen"/>
      <selection pane="topRight" activeCell="B1" sqref="B1"/>
      <selection pane="bottomLeft" activeCell="A2" sqref="A2"/>
      <selection pane="bottomRight" activeCell="C8" sqref="C8"/>
    </sheetView>
  </sheetViews>
  <sheetFormatPr defaultRowHeight="14.4" x14ac:dyDescent="0.3"/>
  <cols>
    <col min="1" max="1" width="34.5546875" bestFit="1" customWidth="1"/>
    <col min="15" max="15" width="10.6640625" customWidth="1"/>
  </cols>
  <sheetData>
    <row r="1" spans="1:15" x14ac:dyDescent="0.3">
      <c r="A1" s="12" t="s">
        <v>28</v>
      </c>
      <c r="B1" s="12" t="s">
        <v>29</v>
      </c>
      <c r="C1" s="12" t="s">
        <v>30</v>
      </c>
      <c r="D1" s="12" t="s">
        <v>31</v>
      </c>
      <c r="E1" s="12" t="s">
        <v>32</v>
      </c>
      <c r="F1" s="12" t="s">
        <v>33</v>
      </c>
      <c r="G1" s="12" t="s">
        <v>34</v>
      </c>
      <c r="H1" s="12" t="s">
        <v>35</v>
      </c>
      <c r="I1" s="12" t="s">
        <v>36</v>
      </c>
      <c r="J1" s="12" t="s">
        <v>37</v>
      </c>
      <c r="K1" s="12" t="s">
        <v>38</v>
      </c>
      <c r="L1" s="12" t="s">
        <v>39</v>
      </c>
      <c r="M1" s="12" t="s">
        <v>40</v>
      </c>
      <c r="N1" s="12" t="s">
        <v>41</v>
      </c>
      <c r="O1" s="12" t="s">
        <v>42</v>
      </c>
    </row>
    <row r="2" spans="1:15" x14ac:dyDescent="0.3">
      <c r="A2" s="13" t="s">
        <v>43</v>
      </c>
      <c r="B2" s="12"/>
      <c r="C2" s="12"/>
      <c r="D2" s="12"/>
      <c r="E2" s="12"/>
      <c r="F2" s="12"/>
      <c r="G2" s="12"/>
      <c r="H2" s="12"/>
      <c r="I2" s="12"/>
      <c r="J2" s="12"/>
      <c r="K2" s="12"/>
      <c r="L2" s="12"/>
      <c r="M2" s="12"/>
      <c r="N2" s="12"/>
    </row>
    <row r="3" spans="1:15" x14ac:dyDescent="0.3">
      <c r="A3" s="13" t="s">
        <v>44</v>
      </c>
      <c r="B3" s="14">
        <v>12356566.288948333</v>
      </c>
      <c r="C3" s="14">
        <v>12342166.790781664</v>
      </c>
      <c r="D3" s="14">
        <v>12327767.292614998</v>
      </c>
      <c r="E3" s="14">
        <v>12313367.794448333</v>
      </c>
      <c r="F3" s="14">
        <v>12298968.296281664</v>
      </c>
      <c r="G3" s="14">
        <v>12284568.798114998</v>
      </c>
      <c r="H3" s="14">
        <v>12270169.299948333</v>
      </c>
      <c r="I3" s="14">
        <v>12255769.801781664</v>
      </c>
      <c r="J3" s="14">
        <v>12241370.303614998</v>
      </c>
      <c r="K3" s="14">
        <v>12226970.805448333</v>
      </c>
      <c r="L3" s="14">
        <v>12212571.307281664</v>
      </c>
      <c r="M3" s="14">
        <v>12198171.809114998</v>
      </c>
      <c r="N3" s="14">
        <v>12183772.310948333</v>
      </c>
      <c r="O3" s="14">
        <f>AVERAGE(B3:N3)</f>
        <v>12270169.299948333</v>
      </c>
    </row>
    <row r="4" spans="1:15" x14ac:dyDescent="0.3">
      <c r="A4" s="13" t="s">
        <v>45</v>
      </c>
      <c r="B4" s="14">
        <v>6266743.8677183334</v>
      </c>
      <c r="C4" s="14">
        <v>6259441.0325516667</v>
      </c>
      <c r="D4" s="14">
        <v>6252138.1973850001</v>
      </c>
      <c r="E4" s="14">
        <v>6244835.3622183334</v>
      </c>
      <c r="F4" s="14">
        <v>6237532.5270516668</v>
      </c>
      <c r="G4" s="14">
        <v>6230229.6918850001</v>
      </c>
      <c r="H4" s="14">
        <v>6222926.8567183334</v>
      </c>
      <c r="I4" s="14">
        <v>6215624.0215516668</v>
      </c>
      <c r="J4" s="14">
        <v>6208321.1863850001</v>
      </c>
      <c r="K4" s="14">
        <v>6201018.3512183335</v>
      </c>
      <c r="L4" s="14">
        <v>6193715.5160516668</v>
      </c>
      <c r="M4" s="14">
        <v>6186412.6808850002</v>
      </c>
      <c r="N4" s="14">
        <v>6179109.8457183335</v>
      </c>
      <c r="O4" s="14">
        <f>AVERAGE(B4:N4)</f>
        <v>6222926.8567183334</v>
      </c>
    </row>
    <row r="5" spans="1:15" ht="15" thickBot="1" x14ac:dyDescent="0.35">
      <c r="A5" s="13" t="s">
        <v>46</v>
      </c>
      <c r="B5" s="15">
        <f t="shared" ref="B5:N5" si="0">SUM(B3:B4)</f>
        <v>18623310.156666666</v>
      </c>
      <c r="C5" s="15">
        <f t="shared" si="0"/>
        <v>18601607.82333333</v>
      </c>
      <c r="D5" s="15">
        <f t="shared" si="0"/>
        <v>18579905.489999998</v>
      </c>
      <c r="E5" s="15">
        <f t="shared" si="0"/>
        <v>18558203.156666666</v>
      </c>
      <c r="F5" s="15">
        <f t="shared" si="0"/>
        <v>18536500.82333333</v>
      </c>
      <c r="G5" s="15">
        <f t="shared" si="0"/>
        <v>18514798.489999998</v>
      </c>
      <c r="H5" s="15">
        <f t="shared" si="0"/>
        <v>18493096.156666666</v>
      </c>
      <c r="I5" s="15">
        <f t="shared" si="0"/>
        <v>18471393.82333333</v>
      </c>
      <c r="J5" s="15">
        <f t="shared" si="0"/>
        <v>18449691.489999998</v>
      </c>
      <c r="K5" s="15">
        <f t="shared" si="0"/>
        <v>18427989.156666666</v>
      </c>
      <c r="L5" s="15">
        <f t="shared" si="0"/>
        <v>18406286.82333333</v>
      </c>
      <c r="M5" s="15">
        <f t="shared" si="0"/>
        <v>18384584.489999998</v>
      </c>
      <c r="N5" s="15">
        <f t="shared" si="0"/>
        <v>18362882.156666666</v>
      </c>
      <c r="O5" s="16">
        <f>AVERAGE(B5:N5)</f>
        <v>18493096.156666666</v>
      </c>
    </row>
    <row r="6" spans="1:15" ht="15" thickTop="1" x14ac:dyDescent="0.3"/>
  </sheetData>
  <pageMargins left="0.7" right="0.7" top="0.75" bottom="0.75" header="0.3" footer="0.3"/>
  <pageSetup scale="76" orientation="landscape" r:id="rId1"/>
  <headerFooter>
    <oddFooter>&amp;L_x000D_&amp;1#&amp;"Calibri"&amp;14&amp;K000000 Business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3" firstPageNumber="3"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3" firstPageNumber="4"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3" firstPageNumber="5"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6" firstPageNumber="6"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3" firstPageNumber="7"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3" firstPageNumber="8"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3" firstPageNumber="9"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3"/>
  <sheetViews>
    <sheetView zoomScaleNormal="100" workbookViewId="0"/>
  </sheetViews>
  <sheetFormatPr defaultRowHeight="14.4" x14ac:dyDescent="0.3"/>
  <sheetData>
    <row r="23" spans="1:1" x14ac:dyDescent="0.3">
      <c r="A23" s="10"/>
    </row>
  </sheetData>
  <pageMargins left="1" right="1" top="1" bottom="1.75" header="0.5" footer="0.5"/>
  <pageSetup scale="83" firstPageNumber="10" orientation="landscape" useFirstPageNumber="1" r:id="rId1"/>
  <headerFooter scaleWithDoc="0">
    <oddFooter xml:space="preserve">&amp;L
&amp;1#&amp;"Calibri,Regular"&amp;14&amp;K000000 Business Use&amp;R&amp;"Times New Roman,Bold"&amp;12Rebuttal Exhibit CMG-4
Page &amp;P of 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71" ma:contentTypeDescription="Create a new document." ma:contentTypeScope="" ma:versionID="9e9e9aecc9497b4a3a259a1f9668c82b">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3f131de501d1b4714f7781a87fcdd089"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5" ma:format="Dropdown" ma:indexed="true" ma:internalName="Year" ma:readOnly="false">
      <xsd:simpleType>
        <xsd:restriction base="dms:Choice">
          <xsd:enumeration value="2025"/>
          <xsd:enumeration value="2024"/>
          <xsd:enumeration value="2021"/>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Testimony"/>
          <xsd:enumeration value="Supplemental Rebuttal Testimony"/>
          <xsd:enumeration value="Sur-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enumeration value="Rate Case NMS/QF Tariffs"/>
          <xsd:enumeration value="Pre-Pay Program"/>
          <xsd:enumeration value="Grandfathering"/>
          <xsd:enumeration value="Net Metering"/>
          <xsd:enumeration value="Pre-Pay – Research"/>
          <xsd:enumeration value="Data Centers"/>
          <xsd:enumeration value="Settlement"/>
          <xsd:enumeration value="Guidance Sheets"/>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8"/>
          <xsd:enumeration value="Schedule 01-5_8-29_40-Revenue Requirements"/>
          <xsd:enumeration value="Schedule 08-14,16-28-Revenue Requirements"/>
          <xsd:enumeration value="Schedule 01-5-Financial Data"/>
          <xsd:enumeration value="Schedule 06-Annual Reports"/>
          <xsd:enumeration value="Schedule 07-Comparative Financial Statements"/>
          <xsd:enumeration value="Schedule 15-Regulatory Asse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49-Other"/>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Baryenbruch, Patrick L. (Baryenbruch &amp; Company, LLC)"/>
          <xsd:enumeration value="Bellar, Lonnie E."/>
          <xsd:enumeration value="Bevington, John"/>
          <xsd:enumeration value="Burgos, Julissa"/>
          <xsd:enumeration value="Clements, Chad E."/>
          <xsd:enumeration value="Conroy, Robert M."/>
          <xsd:enumeration value="Crockett, John R."/>
          <xsd:enumeration value="Dylan W. D'Ascendis (ScottMadden, Inc.)"/>
          <xsd:enumeration value="Fackler, Andrea M."/>
          <xsd:enumeration value="Garrett, Christopher M."/>
          <xsd:enumeration value="Hornung, Michael E."/>
          <xsd:enumeration value="Johnson, Daniel"/>
          <xsd:enumeration value="Lovekamp, Rick E."/>
          <xsd:enumeration value="McCombs, Drew T."/>
          <xsd:enumeration value="McFarland, Elizabeth J."/>
          <xsd:enumeration value="McKenzie, Adrien M. (FINCAP, Inc.)"/>
          <xsd:enumeration value="Metts, Heather D."/>
          <xsd:enumeration value="Montgomery, Shannon L."/>
          <xsd:enumeration value="Poplaski, Vincent"/>
          <xsd:enumeration value="Rahn, Derek"/>
          <xsd:enumeration value="Rieth, Tom C."/>
          <xsd:enumeration value="Saunders, Eileen L."/>
          <xsd:enumeration value="Schram, Charles R."/>
          <xsd:enumeration value="Sinclair, David S."/>
          <xsd:enumeration value="Spanos, John J. (Gannett Fleming)"/>
          <xsd:enumeration value="Waldrab, Peter W."/>
          <xsd:enumeration value="Wilson, Stuart"/>
          <xsd:enumeration value="z - eFiled/Filed"/>
          <xsd:enumeration value="Arbough, Daniel K."/>
          <xsd:enumeration value="Blake, Kent W."/>
          <xsd:enumeration value="Leichty, Douglas A."/>
          <xsd:enumeration value="Meiman, Greg J."/>
          <xsd:enumeration value="Murphy, J. Clay"/>
          <xsd:enumeration value="Seelye, Steve (The Prime Group)"/>
          <xsd:enumeration value="Straight, Scott"/>
          <xsd:enumeration value="Thompson, Paul W."/>
          <xsd:enumeration value="Wolfe, John K."/>
          <xsd:enumeration value="Lyons, Tim S. (ScottMadden Inc)"/>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KY Industrial Utility Customers - AG/KIUC"/>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Broadband and Cable Association - KBCA"/>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KY Solar Industries Assn - KSIA"/>
          <xsd:enumeration value="Lexington-Fayette Urban County Govt - LFUCG"/>
          <xsd:enumeration value="Louisville Metro Government - METRO"/>
          <xsd:enumeration value="Metro. Housing Coalition - MHC"/>
          <xsd:enumeration value="Metro Housing Coalition/Kentuckians for the Commonwealth/Kentucky Solar Energy Society - MHC/KFTC/KSES"/>
          <xsd:enumeration value="Mountain Association/Kentuckians for the Commonwealth/Kentucky Solar Energy Society - MA/KFTC/KSES"/>
          <xsd:enumeration value="Sierra Club - SC"/>
          <xsd:enumeration value="U.S. Dept. of Defense/Federal Executive Agencies - DOD/FEA"/>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Rate Case Documents"/>
          <xsd:enumeration value="Pre-Pay Program"/>
          <xsd:enumeration value="Support"/>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VSCC DR14"/>
          <xsd:enumeration value="Supplemental Testimony"/>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Billing Determinants"/>
          <xsd:enumeration value="Cost of Service"/>
          <xsd:enumeration value="Jurisdictional Separation Study"/>
          <xsd:enumeration value="Lead-Lag Study"/>
          <xsd:enumeration value="Revenue Requirement"/>
          <xsd:enumeration value="Testimony"/>
          <xsd:enumeration value="Errata"/>
          <xsd:enumeration value="Base Period Update - Jurisdictional Separation Study"/>
          <xsd:enumeration value="Base Period Update - Revenue Requirement"/>
          <xsd:enumeration value="Financial Planning &amp; Analysis"/>
          <xsd:enumeration value="Financial Planning &amp; Analysis - TEST FILE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p:properties xmlns:p="http://schemas.microsoft.com/office/2006/metadata/properties" xmlns:xsi="http://www.w3.org/2001/XMLSchema-instance" xmlns:pc="http://schemas.microsoft.com/office/infopath/2007/PartnerControls">
  <documentManagement>
    <Company xmlns="54fcda00-7b58-44a7-b108-8bd10a8a08ba">
      <Value>KU</Value>
      <Value>LGE</Value>
    </Company>
    <Tariff_x0020_Dev_x0020_Doc_x0020_Type xmlns="54fcda00-7b58-44a7-b108-8bd10a8a08ba" xsi:nil="true"/>
    <Filing_x0020_Requirement xmlns="54fcda00-7b58-44a7-b108-8bd10a8a08ba" xsi:nil="true"/>
    <Round xmlns="54fcda00-7b58-44a7-b108-8bd10a8a08ba" xsi:nil="true"/>
    <FormData xmlns="http://schemas.microsoft.com/sharepoint/v3">&lt;?xml version="1.0" encoding="utf-8"?&gt;&lt;FormVariables&gt;&lt;Version /&gt;&lt;/FormVariables&gt;</FormData>
    <Data_x0020_Request_x0020_Question_x0020_No_x002e_ xmlns="54fcda00-7b58-44a7-b108-8bd10a8a08ba" xsi:nil="true"/>
    <Year xmlns="54fcda00-7b58-44a7-b108-8bd10a8a08ba">2025</Year>
    <Document_x0020_Type xmlns="54fcda00-7b58-44a7-b108-8bd10a8a08ba">Rebuttal Testimony</Document_x0020_Type>
    <Witness_x0020_Testimony xmlns="54fcda00-7b58-44a7-b108-8bd10a8a08ba">Garrett, Christopher M.</Witness_x0020_Testimony>
    <Intervemprs xmlns="54fcda00-7b58-44a7-b108-8bd10a8a08ba" xsi:nil="true"/>
    <Filed_x0020_Documents xmlns="54fcda00-7b58-44a7-b108-8bd10a8a08ba" xsi:nil="true"/>
    <Department xmlns="54fcda00-7b58-44a7-b108-8bd10a8a08ba" xsi:nil="true"/>
  </documentManagement>
</p:properties>
</file>

<file path=customXml/itemProps1.xml><?xml version="1.0" encoding="utf-8"?>
<ds:datastoreItem xmlns:ds="http://schemas.openxmlformats.org/officeDocument/2006/customXml" ds:itemID="{DFF31A42-F48B-425C-9FF4-0A16814A63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fcda00-7b58-44a7-b108-8bd10a8a0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D617D3-E9A4-4DDC-AE3A-8F8540E71114}">
  <ds:schemaRefs/>
</ds:datastoreItem>
</file>

<file path=customXml/itemProps3.xml><?xml version="1.0" encoding="utf-8"?>
<ds:datastoreItem xmlns:ds="http://schemas.openxmlformats.org/officeDocument/2006/customXml" ds:itemID="{A865E53C-89A2-4CD6-B35C-8DD3859378D0}">
  <ds:schemaRefs>
    <ds:schemaRef ds:uri="http://schemas.microsoft.com/sharepoint/v3/contenttype/forms"/>
  </ds:schemaRefs>
</ds:datastoreItem>
</file>

<file path=customXml/itemProps4.xml><?xml version="1.0" encoding="utf-8"?>
<ds:datastoreItem xmlns:ds="http://schemas.openxmlformats.org/officeDocument/2006/customXml" ds:itemID="{F8A2584C-6450-4A20-87FB-8F7CEE487DF1}">
  <ds:schemaRefs>
    <ds:schemaRef ds:uri="http://schemas.microsoft.com/sharepoint/v3/contenttype/forms/url"/>
  </ds:schemaRefs>
</ds:datastoreItem>
</file>

<file path=customXml/itemProps5.xml><?xml version="1.0" encoding="utf-8"?>
<ds:datastoreItem xmlns:ds="http://schemas.openxmlformats.org/officeDocument/2006/customXml" ds:itemID="{A54DCD67-CE52-4B88-8E8D-FF5554DFCD74}">
  <ds:schemaRefs>
    <ds:schemaRef ds:uri="http://purl.org/dc/terms/"/>
    <ds:schemaRef ds:uri="54fcda00-7b58-44a7-b108-8bd10a8a08ba"/>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Pension</vt:lpstr>
      <vt:lpstr>OPEB</vt:lpstr>
      <vt:lpstr>LGE 254.11</vt:lpstr>
      <vt:lpstr>LGE 2018 Pension Contribution</vt:lpstr>
      <vt:lpstr>LGE 2018 Pension Contrib. Union</vt:lpstr>
      <vt:lpstr>LGE 2019 Pension Contribution</vt:lpstr>
      <vt:lpstr>LGE 2020 Pension Contribution</vt:lpstr>
      <vt:lpstr>LGE 2020 Pension Contribution 2</vt:lpstr>
      <vt:lpstr>KU 2018 Pension Contribution</vt:lpstr>
      <vt:lpstr>KU 2020 Pension Contribution</vt:lpstr>
      <vt:lpstr>KU 2020 Pension Contribution 2</vt:lpstr>
      <vt:lpstr>Pension!Print_Area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Kugler, Jeanne</dc:creator>
  <cp:lastModifiedBy>Garrett, Christopher</cp:lastModifiedBy>
  <cp:lastPrinted>2025-09-19T20:58:22Z</cp:lastPrinted>
  <dcterms:created xsi:type="dcterms:W3CDTF">2021-03-10T17:55:07Z</dcterms:created>
  <dcterms:modified xsi:type="dcterms:W3CDTF">2025-09-19T20:58:44Z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ee1c6-0c13-46fe-9f7d-d5b32ad2c571_Enabled">
    <vt:lpwstr>true</vt:lpwstr>
  </property>
  <property fmtid="{D5CDD505-2E9C-101B-9397-08002B2CF9AE}" pid="3" name="MSIP_Label_0adee1c6-0c13-46fe-9f7d-d5b32ad2c571_SetDate">
    <vt:lpwstr>2021-03-10T18:03:22Z</vt:lpwstr>
  </property>
  <property fmtid="{D5CDD505-2E9C-101B-9397-08002B2CF9AE}" pid="4" name="MSIP_Label_0adee1c6-0c13-46fe-9f7d-d5b32ad2c571_Method">
    <vt:lpwstr>Privileged</vt:lpwstr>
  </property>
  <property fmtid="{D5CDD505-2E9C-101B-9397-08002B2CF9AE}" pid="5" name="MSIP_Label_0adee1c6-0c13-46fe-9f7d-d5b32ad2c571_Name">
    <vt:lpwstr>0adee1c6-0c13-46fe-9f7d-d5b32ad2c571</vt:lpwstr>
  </property>
  <property fmtid="{D5CDD505-2E9C-101B-9397-08002B2CF9AE}" pid="6" name="MSIP_Label_0adee1c6-0c13-46fe-9f7d-d5b32ad2c571_SiteId">
    <vt:lpwstr>5ee3b0ba-a559-45ee-a69e-6d3e963a3e72</vt:lpwstr>
  </property>
  <property fmtid="{D5CDD505-2E9C-101B-9397-08002B2CF9AE}" pid="7" name="MSIP_Label_0adee1c6-0c13-46fe-9f7d-d5b32ad2c571_ActionId">
    <vt:lpwstr>406edf79-98e1-4d3c-9d1e-2422dc93f011</vt:lpwstr>
  </property>
  <property fmtid="{D5CDD505-2E9C-101B-9397-08002B2CF9AE}" pid="8" name="MSIP_Label_0adee1c6-0c13-46fe-9f7d-d5b32ad2c571_ContentBits">
    <vt:lpwstr>0</vt:lpwstr>
  </property>
  <property fmtid="{D5CDD505-2E9C-101B-9397-08002B2CF9AE}" pid="9" name="ContentTypeId">
    <vt:lpwstr>0x0101002D0103853DF7894DB347713A7250CD66</vt:lpwstr>
  </property>
  <property fmtid="{D5CDD505-2E9C-101B-9397-08002B2CF9AE}" pid="10" name="MSIP_Label_e0c8e74a-db15-49f1-980d-3d74f2e3ff07_Enabled">
    <vt:lpwstr>true</vt:lpwstr>
  </property>
  <property fmtid="{D5CDD505-2E9C-101B-9397-08002B2CF9AE}" pid="11" name="MSIP_Label_e0c8e74a-db15-49f1-980d-3d74f2e3ff07_SetDate">
    <vt:lpwstr>2025-09-19T12:20:47Z</vt:lpwstr>
  </property>
  <property fmtid="{D5CDD505-2E9C-101B-9397-08002B2CF9AE}" pid="12" name="MSIP_Label_e0c8e74a-db15-49f1-980d-3d74f2e3ff07_Method">
    <vt:lpwstr>Privileged</vt:lpwstr>
  </property>
  <property fmtid="{D5CDD505-2E9C-101B-9397-08002B2CF9AE}" pid="13" name="MSIP_Label_e0c8e74a-db15-49f1-980d-3d74f2e3ff07_Name">
    <vt:lpwstr>376d9127-3fad-41bb7-827b-657efc89d923</vt:lpwstr>
  </property>
  <property fmtid="{D5CDD505-2E9C-101B-9397-08002B2CF9AE}" pid="14" name="MSIP_Label_e0c8e74a-db15-49f1-980d-3d74f2e3ff07_SiteId">
    <vt:lpwstr>25b79aa0-07c6-4d65-9c80-df92aacdc157</vt:lpwstr>
  </property>
  <property fmtid="{D5CDD505-2E9C-101B-9397-08002B2CF9AE}" pid="15" name="MSIP_Label_e0c8e74a-db15-49f1-980d-3d74f2e3ff07_ActionId">
    <vt:lpwstr>944c2fa5-a7c9-4706-982e-9803483271c6</vt:lpwstr>
  </property>
  <property fmtid="{D5CDD505-2E9C-101B-9397-08002B2CF9AE}" pid="16" name="MSIP_Label_e0c8e74a-db15-49f1-980d-3d74f2e3ff07_ContentBits">
    <vt:lpwstr>2</vt:lpwstr>
  </property>
  <property fmtid="{D5CDD505-2E9C-101B-9397-08002B2CF9AE}" pid="17" name="MSIP_Label_e0c8e74a-db15-49f1-980d-3d74f2e3ff07_Tag">
    <vt:lpwstr>10, 0, 1, 1</vt:lpwstr>
  </property>
</Properties>
</file>