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xr:revisionPtr revIDLastSave="0" documentId="13_ncr:1_{418F6998-62E3-447C-9522-3F7BF6985807}" xr6:coauthVersionLast="47" xr6:coauthVersionMax="47" xr10:uidLastSave="{00000000-0000-0000-0000-000000000000}"/>
  <bookViews>
    <workbookView xWindow="-110" yWindow="-110" windowWidth="19420" windowHeight="11500" xr2:uid="{CDBA2BEA-88C6-4D30-B1D2-6F5D46443784}"/>
  </bookViews>
  <sheets>
    <sheet name="CMG-2 Rate Base Adjustments" sheetId="14" r:id="rId1"/>
    <sheet name="CMG-2 Detail" sheetId="6" r:id="rId2"/>
    <sheet name="CMG-2 KU and LGE Summ Rev Req " sheetId="7" r:id="rId3"/>
    <sheet name="CMG-2 Capitalization - COC" sheetId="3" r:id="rId4"/>
    <sheet name="KU LGE CMG-Exhibit 1" sheetId="13" r:id="rId5"/>
  </sheets>
  <externalReferences>
    <externalReference r:id="rId6"/>
  </externalReference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2" hidden="1">#REF!</definedName>
    <definedName name="\\\\" hidden="1">#REF!</definedName>
    <definedName name="\C">#REF!</definedName>
    <definedName name="\E">#REF!</definedName>
    <definedName name="\G">#REF!</definedName>
    <definedName name="\P">#REF!</definedName>
    <definedName name="\R">#REF!</definedName>
    <definedName name="\S">#REF!</definedName>
    <definedName name="__123Graph_1" localSheetId="2" hidden="1">#REF!</definedName>
    <definedName name="__123Graph_1" hidden="1">#REF!</definedName>
    <definedName name="__123Graph_2" localSheetId="2" hidden="1">#REF!</definedName>
    <definedName name="__123Graph_2" hidden="1">#REF!</definedName>
    <definedName name="__123Graph_3" localSheetId="2" hidden="1">#REF!</definedName>
    <definedName name="__123Graph_3" hidden="1">#REF!</definedName>
    <definedName name="__123Graph_4" localSheetId="2" hidden="1">#REF!</definedName>
    <definedName name="__123Graph_4" hidden="1">#REF!</definedName>
    <definedName name="__123Graph_5" localSheetId="2" hidden="1">#REF!</definedName>
    <definedName name="__123Graph_5" hidden="1">#REF!</definedName>
    <definedName name="__123Graph_6" localSheetId="2" hidden="1">#REF!</definedName>
    <definedName name="__123Graph_6" hidden="1">#REF!</definedName>
    <definedName name="__123Graph_8" localSheetId="2" hidden="1">#REF!</definedName>
    <definedName name="__123Graph_8" hidden="1">#REF!</definedName>
    <definedName name="__123Graph_A" localSheetId="2" hidden="1">#REF!</definedName>
    <definedName name="__123Graph_A" hidden="1">#REF!</definedName>
    <definedName name="__123Graph_AGraph1" hidden="1">#REF!</definedName>
    <definedName name="__123Graph_AScreenCrv" hidden="1">#REF!</definedName>
    <definedName name="__123Graph_B" localSheetId="2" hidden="1">#REF!</definedName>
    <definedName name="__123Graph_B" hidden="1">#REF!</definedName>
    <definedName name="__123Graph_BGraph1" hidden="1">#REF!</definedName>
    <definedName name="__123Graph_BScreenCrv" hidden="1">#REF!</definedName>
    <definedName name="__123Graph_C" localSheetId="2" hidden="1">#REF!</definedName>
    <definedName name="__123Graph_C" hidden="1">#REF!</definedName>
    <definedName name="__123Graph_CGraph1" hidden="1">#REF!</definedName>
    <definedName name="__123Graph_CScreenCrv" hidden="1">#REF!</definedName>
    <definedName name="__123Graph_D" localSheetId="2" hidden="1">#REF!</definedName>
    <definedName name="__123Graph_D" hidden="1">#REF!</definedName>
    <definedName name="__123Graph_DGraph1" hidden="1">#REF!</definedName>
    <definedName name="__123Graph_E" localSheetId="2" hidden="1">#REF!</definedName>
    <definedName name="__123Graph_E" hidden="1">#REF!</definedName>
    <definedName name="__123Graph_EGraph1" hidden="1">#REF!</definedName>
    <definedName name="__123Graph_F" localSheetId="2" hidden="1">#REF!</definedName>
    <definedName name="__123Graph_F" hidden="1">#REF!</definedName>
    <definedName name="__123Graph_FGraph1" hidden="1">#REF!</definedName>
    <definedName name="__123Graph_X" localSheetId="2" hidden="1">#REF!</definedName>
    <definedName name="__123Graph_X" hidden="1">#REF!</definedName>
    <definedName name="__key3" localSheetId="2" hidden="1">#REF!</definedName>
    <definedName name="__key3" hidden="1">#REF!</definedName>
    <definedName name="_000">#REF!</definedName>
    <definedName name="_2_6MO_ACT">#REF!</definedName>
    <definedName name="_3_6MO_ACT_UPIS">#REF!</definedName>
    <definedName name="_36__123Graph_BCHART_1" hidden="1">#REF!</definedName>
    <definedName name="_9_2000">#REF!</definedName>
    <definedName name="_9_2001">#REF!</definedName>
    <definedName name="_9_97">#REF!</definedName>
    <definedName name="_9_98">#REF!</definedName>
    <definedName name="_9_99">#REF!</definedName>
    <definedName name="_Dist_Bin" hidden="1">#REF!</definedName>
    <definedName name="_Dist_Values" hidden="1">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ey3" localSheetId="2" hidden="1">#REF!</definedName>
    <definedName name="_Key3" hidden="1">#REF!</definedName>
    <definedName name="_key4" localSheetId="2" hidden="1">#REF!</definedName>
    <definedName name="_key4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P">#REF!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2" hidden="1">#REF!</definedName>
    <definedName name="_Sort" hidden="1">#REF!</definedName>
    <definedName name="_Table1_In1" hidden="1">#REF!</definedName>
    <definedName name="_Table1_Out" hidden="1">#REF!</definedName>
    <definedName name="_Table1_Out_2" hidden="1">#REF!</definedName>
    <definedName name="_Table2_In1" hidden="1">#REF!</definedName>
    <definedName name="_Table2_In2" hidden="1">#REF!</definedName>
    <definedName name="_Table2_Out" hidden="1">#REF!</definedName>
    <definedName name="_Table2_Out_2" hidden="1">#REF!</definedName>
    <definedName name="A">#REF!</definedName>
    <definedName name="aa" hidden="1">{"FAC_SUMMARY",#N/A,FALSE,"Summaries"}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UMRES">#REF!</definedName>
    <definedName name="ACTUAL">"'Vol_Revs'!R5C3:R5C14"</definedName>
    <definedName name="ACwvu.ANALYSIS._.1." hidden="1">#REF!</definedName>
    <definedName name="ACwvu.ANALYSIS._.2." hidden="1">#REF!</definedName>
    <definedName name="ACwvu.grid._.lines." hidden="1">#REF!</definedName>
    <definedName name="ACwvu.OPERATING._.EXPENSES." hidden="1">#REF!</definedName>
    <definedName name="adfaf">#REF!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hahahahaha" localSheetId="2" hidden="1">{"'Server Configuration'!$A$1:$DB$281"}</definedName>
    <definedName name="ahahahahaha" hidden="1">{"'Server Configuration'!$A$1:$DB$281"}</definedName>
    <definedName name="Annual_Sales_KU">#REF!</definedName>
    <definedName name="anscount" hidden="1">3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 hidden="1">#REF!</definedName>
    <definedName name="asdfasdfasdfas" hidden="1">#REF!</definedName>
    <definedName name="Ausgangsjahr">#REF!</definedName>
    <definedName name="AUTO">#REF!</definedName>
    <definedName name="Berichtseinheit">#REF!</definedName>
    <definedName name="BG_Del" hidden="1">15</definedName>
    <definedName name="BG_Ins" hidden="1">4</definedName>
    <definedName name="BG_Mod" hidden="1">6</definedName>
    <definedName name="Blank" hidden="1">{"ARK_JURIS_FUEL",#N/A,FALSE,"Ark_Fuel&amp;Rev"}</definedName>
    <definedName name="blip" localSheetId="2" hidden="1">{"'Server Configuration'!$A$1:$DB$281"}</definedName>
    <definedName name="blip" hidden="1">{"'Server Configuration'!$A$1:$DB$281"}</definedName>
    <definedName name="BLPH1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BNE_MESSAGES_HIDDEN" localSheetId="2" hidden="1">#REF!</definedName>
    <definedName name="BNE_MESSAGES_HIDDEN" hidden="1">#REF!</definedName>
    <definedName name="BudCol01">#REF!</definedName>
    <definedName name="BudCol02">#REF!</definedName>
    <definedName name="BudCol03">#REF!</definedName>
    <definedName name="BudCol04">#REF!</definedName>
    <definedName name="BudCol05">#REF!</definedName>
    <definedName name="BudCol06">#REF!</definedName>
    <definedName name="BudCol07">#REF!</definedName>
    <definedName name="BudCol08">#REF!</definedName>
    <definedName name="BudCol09">#REF!</definedName>
    <definedName name="BudCol10">#REF!</definedName>
    <definedName name="BudCol11">#REF!</definedName>
    <definedName name="BudCol12">#REF!</definedName>
    <definedName name="BudCol13">#REF!</definedName>
    <definedName name="BudCol14">#REF!</definedName>
    <definedName name="BudCol15">#REF!</definedName>
    <definedName name="BudCol16">#REF!</definedName>
    <definedName name="BudCol17">#REF!</definedName>
    <definedName name="BudCol18">#REF!</definedName>
    <definedName name="BudCol19">#REF!</definedName>
    <definedName name="BudCol20">#REF!</definedName>
    <definedName name="BudCol21">#REF!</definedName>
    <definedName name="BudCol22">#REF!</definedName>
    <definedName name="BudCol23">#REF!</definedName>
    <definedName name="BudCol24">#REF!</definedName>
    <definedName name="BudCol25">#REF!</definedName>
    <definedName name="BudColTmp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anerun" hidden="1">#REF!</definedName>
    <definedName name="capitalization">#REF!</definedName>
    <definedName name="case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ECASS">#REF!</definedName>
    <definedName name="CECINC12">#REF!</definedName>
    <definedName name="CECLIAB">#REF!</definedName>
    <definedName name="CECONYassetsprint">#REF!</definedName>
    <definedName name="CECONYincome12print">#REF!</definedName>
    <definedName name="CECONYliabilitiesprint">#REF!</definedName>
    <definedName name="cen">#REF!</definedName>
    <definedName name="Chart">#REF!</definedName>
    <definedName name="Choices_Wrapper">[0]!Choices_Wrapper</definedName>
    <definedName name="Classification_Name">#REF!</definedName>
    <definedName name="CM">#REF!</definedName>
    <definedName name="co">#REF!</definedName>
    <definedName name="Coal_Annual_KU">#REF!</definedName>
    <definedName name="coal_hide_ku_01">#REF!</definedName>
    <definedName name="coal_hide_lge_01">#REF!</definedName>
    <definedName name="coal_ku_01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bined">#REF!</definedName>
    <definedName name="Comp">[0]!Comp</definedName>
    <definedName name="COMPNAME">#REF!</definedName>
    <definedName name="Consolidated_Bal_Sheet">#REF!</definedName>
    <definedName name="CORE_Account">#REF!</definedName>
    <definedName name="crap" hidden="1">{#N/A,#N/A,TRUE,"Facility-Input";#N/A,#N/A,TRUE,"Graphs";#N/A,#N/A,TRUE,"TOTAL"}</definedName>
    <definedName name="CREDIT">#REF!</definedName>
    <definedName name="csAllowDetailBudgeting">1</definedName>
    <definedName name="csAllowLocalConsolidation">1</definedName>
    <definedName name="csAppName">"BudgetWeb"</definedName>
    <definedName name="csCorp_SEC_BS_Dim01">"="</definedName>
    <definedName name="csCorp_SEC_BS_Dim02">"="</definedName>
    <definedName name="csCorp_SEC_IS_Dim01">"="</definedName>
    <definedName name="csCorp_SEC_IS_Dim02">"="</definedName>
    <definedName name="csCorp_SEC_IS_Dim03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DateTime">#REF!</definedName>
    <definedName name="CurReptgMo">#REF!</definedName>
    <definedName name="CurReptgYr">#REF!</definedName>
    <definedName name="CurrMonth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YADJBS">#REF!</definedName>
    <definedName name="d">#REF!</definedName>
    <definedName name="_xlnm.Database">OFFSET(#REF!,0,0,COUNTA(#REF!),COUNTA(#REF!))</definedName>
    <definedName name="DataCol_02">#REF!</definedName>
    <definedName name="DataCol_03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one">#REF!</definedName>
    <definedName name="DATAW">#REF!</definedName>
    <definedName name="DATE_TIME">#REF!</definedName>
    <definedName name="dateb">#REF!</definedName>
    <definedName name="datef">#REF!</definedName>
    <definedName name="DEBIT">#REF!</definedName>
    <definedName name="DEBT">#REF!</definedName>
    <definedName name="delete_me" hidden="1">#REF!</definedName>
    <definedName name="delete_me1" hidden="1">#REF!</definedName>
    <definedName name="delete_me2" hidden="1">#REF!</definedName>
    <definedName name="delete_me3" hidden="1">#REF!</definedName>
    <definedName name="DELTAA">IF(AND(ReportingDate+35&lt;NOW(),RAND()&lt;0.25)," ","")</definedName>
    <definedName name="Departments">#REF!</definedName>
    <definedName name="DEPR_DB">#REF!</definedName>
    <definedName name="DEPR_EXP">#REF!</definedName>
    <definedName name="Deprate">#REF!</definedName>
    <definedName name="Detail">OFFSET(#REF!,0,0,COUNTA(#REF!),COUNTA(#REF!))</definedName>
    <definedName name="dflt4">#REF!</definedName>
    <definedName name="dflt5">#REF!</definedName>
    <definedName name="dflt6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str" hidden="1">{"wp_h4.2",#N/A,FALSE,"WP_H4.2";"wp_h4.3",#N/A,FALSE,"WP_H4.3"}</definedName>
    <definedName name="DISTR_AMI">#REF!</definedName>
    <definedName name="Dobis" hidden="1">#REF!</definedName>
    <definedName name="DolUnitFactor">#REF!</definedName>
    <definedName name="DolUnitList">#REF!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mb">#REF!</definedName>
    <definedName name="e">#REF!</definedName>
    <definedName name="ee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lecUnitFactor">#REF!</definedName>
    <definedName name="ElecUnitList">#REF!</definedName>
    <definedName name="End_Date_Planned">#REF!</definedName>
    <definedName name="ENTRYN">#REF!</definedName>
    <definedName name="ENTRYQ">#REF!</definedName>
    <definedName name="EQUITY">#REF!</definedName>
    <definedName name="EV__CVPARAMS__" hidden="1">"% and $!$B$17:$C$38;"</definedName>
    <definedName name="EV__LASTREFTIME__" hidden="1">38727.409537037</definedName>
    <definedName name="EV__LOCKEDCVW__FINANCE" hidden="1">"TOT_EXP,ACTUAL,8,TOTFUNC,TOT_PROJ,2005.TOTAL,TOT_ACT,YTD,"</definedName>
    <definedName name="EV__LOCKSTATUS__" hidden="1">2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ExistingEstimates">#REF!</definedName>
    <definedName name="Fac_2000">#REF!</definedName>
    <definedName name="fac_annual_ku">#REF!</definedName>
    <definedName name="fac_hide_ku_01">#REF!</definedName>
    <definedName name="fac_hide_lge_01">#REF!</definedName>
    <definedName name="fac_ku_01">#REF!</definedName>
    <definedName name="faf" localSheetId="2" hidden="1">#REF!</definedName>
    <definedName name="faf" hidden="1">#REF!</definedName>
    <definedName name="fdasfas" hidden="1">{#N/A,#N/A,TRUE,"BS";#N/A,#N/A,TRUE,"IS";#N/A,#N/A,TRUE,"NOTES";#N/A,#N/A,TRUE,"UW"}</definedName>
    <definedName name="FEIN">#REF!</definedName>
    <definedName name="FERC">#REF!</definedName>
    <definedName name="FERC_Bal_Sheet">#REF!</definedName>
    <definedName name="FERC_TABLE">#REF!</definedName>
    <definedName name="FERCLiabKU10">#REF!</definedName>
    <definedName name="FinStmt">#REF!</definedName>
    <definedName name="first">#REF!,#REF!,#REF!,#REF!</definedName>
    <definedName name="fl" localSheetId="2" hidden="1">#REF!</definedName>
    <definedName name="fl" hidden="1">#REF!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">"'IFPSReport'!R5C3:R5C14"</definedName>
    <definedName name="FRED">#REF!</definedName>
    <definedName name="FSGmapping">#REF!</definedName>
    <definedName name="Gas.calc" hidden="1">{"ARK_JURIS_FAC",#N/A,FALSE,"Ark_Fuel&amp;Rev"}</definedName>
    <definedName name="GasUnitFactor">#REF!</definedName>
    <definedName name="GasUnitList">#REF!</definedName>
    <definedName name="GenEx_Annual_KU">#REF!</definedName>
    <definedName name="genex_hide_ku_01">#REF!</definedName>
    <definedName name="genex_hide_lge_01">#REF!</definedName>
    <definedName name="genex_ku_01">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pBookReserve">#REF!</definedName>
    <definedName name="GroupNumber">#REF!</definedName>
    <definedName name="haha" hidden="1">{"OMPA_FAC",#N/A,FALSE,"OMPA FAC"}</definedName>
    <definedName name="Header_Row">ROW(#REF!)</definedName>
    <definedName name="hello" hidden="1">{#N/A,#N/A,TRUE,"Facility-Input";#N/A,#N/A,TRUE,"Graphs";#N/A,#N/A,TRUE,"TOTAL"}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 hidden="1">1252</definedName>
    <definedName name="HTML_Control" localSheetId="2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PathTemplate" hidden="1">"Z:\gochart.htm"</definedName>
    <definedName name="HTML_Title" hidden="1">"Asset Tracking 2_9_01"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DTable">#REF!</definedName>
    <definedName name="Input01">#REF!</definedName>
    <definedName name="Input02b">#REF!</definedName>
    <definedName name="Input03b">#REF!</definedName>
    <definedName name="Input04a">#REF!</definedName>
    <definedName name="Input04b">#REF!</definedName>
    <definedName name="Input05b">#REF!</definedName>
    <definedName name="Inputs">#REF!</definedName>
    <definedName name="InputSec_01">#REF!</definedName>
    <definedName name="InputSec02">#REF!</definedName>
    <definedName name="InputSec05a">#REF!</definedName>
    <definedName name="InputSec05b">#REF!</definedName>
    <definedName name="InputSec05c">#REF!</definedName>
    <definedName name="InputSec05d">#REF!</definedName>
    <definedName name="InputSec05e">#REF!</definedName>
    <definedName name="InputSec05f">#REF!</definedName>
    <definedName name="InputSec05g">#REF!</definedName>
    <definedName name="InputSec05h">#REF!</definedName>
    <definedName name="InputSec06a">#REF!</definedName>
    <definedName name="InputSec06b">#REF!</definedName>
    <definedName name="InputSec06c">#REF!</definedName>
    <definedName name="InputSec06d">#REF!</definedName>
    <definedName name="InputSec06e">#REF!</definedName>
    <definedName name="InputSec07a">#REF!</definedName>
    <definedName name="InputSec07b">#REF!</definedName>
    <definedName name="InputSec07c">#REF!</definedName>
    <definedName name="InputSec07d">#REF!</definedName>
    <definedName name="InputSec07e">#REF!</definedName>
    <definedName name="InputSec08a">#REF!</definedName>
    <definedName name="InputSec08b">#REF!</definedName>
    <definedName name="InputSec08c">#REF!</definedName>
    <definedName name="InputSec09a">#REF!</definedName>
    <definedName name="InputSec09b">#REF!</definedName>
    <definedName name="InputSec09c">#REF!</definedName>
    <definedName name="InputStartCell">#REF!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Rat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43046.5300925926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RIBBON_CREATE_SUCCESS">TRUE</definedName>
    <definedName name="IS_RIBBON_SHOW_GRAPH_GROUP">FALSE</definedName>
    <definedName name="IS_RIBBON_SHOW_MAIN_GROUP">TRUE</definedName>
    <definedName name="j">#REF!</definedName>
    <definedName name="JE_Name_1">#REF!</definedName>
    <definedName name="JE_Name_2">#REF!</definedName>
    <definedName name="JESUS" hidden="1">{#N/A,#N/A,TRUE,"Facility-Input";#N/A,#N/A,TRUE,"Graphs";#N/A,#N/A,TRUE,"TOTAL"}</definedName>
    <definedName name="jijul" localSheetId="2" hidden="1">#REF!</definedName>
    <definedName name="jijul" hidden="1">#REF!</definedName>
    <definedName name="jj">#REF!</definedName>
    <definedName name="jjj">#REF!</definedName>
    <definedName name="jjjj">#REF!</definedName>
    <definedName name="jjjjj">#REF!</definedName>
    <definedName name="jjjjjjj">#REF!</definedName>
    <definedName name="June">#REF!</definedName>
    <definedName name="k">#REF!</definedName>
    <definedName name="K2_WBEVMODE" hidden="1">0</definedName>
    <definedName name="KWHCol01">#REF!</definedName>
    <definedName name="KWHCol02">#REF!</definedName>
    <definedName name="KWHCol03">#REF!</definedName>
    <definedName name="KWHCol04">#REF!</definedName>
    <definedName name="KWHCol05">#REF!</definedName>
    <definedName name="KWHCol06">#REF!</definedName>
    <definedName name="KWHCol07">#REF!</definedName>
    <definedName name="KWHCol08">#REF!</definedName>
    <definedName name="KWHCol09">#REF!</definedName>
    <definedName name="KWHCol10">#REF!</definedName>
    <definedName name="KWHCol11">#REF!</definedName>
    <definedName name="KWHCol12">#REF!</definedName>
    <definedName name="KWHCol13">#REF!</definedName>
    <definedName name="KWHCol14">#REF!</definedName>
    <definedName name="KWHCol15">#REF!</definedName>
    <definedName name="KWHCol16">#REF!</definedName>
    <definedName name="KWHCol17">#REF!</definedName>
    <definedName name="KWHCol18">#REF!</definedName>
    <definedName name="KWHCol19">#REF!</definedName>
    <definedName name="KWHCol20">#REF!</definedName>
    <definedName name="KWHCol21">#REF!</definedName>
    <definedName name="KWHCol22">#REF!</definedName>
    <definedName name="KWHCol23">#REF!</definedName>
    <definedName name="KWHCol24">#REF!</definedName>
    <definedName name="KWHCol25">#REF!</definedName>
    <definedName name="KWHColTmp">#REF!</definedName>
    <definedName name="l">#REF!</definedName>
    <definedName name="Last_Row">IF(Values_Entered,Header_Row+Number_of_Payments,Header_Row)</definedName>
    <definedName name="LFMAR">#REF!</definedName>
    <definedName name="LIST">#REF!</definedName>
    <definedName name="LIST2">#REF!</definedName>
    <definedName name="lp">#REF!</definedName>
    <definedName name="lpforecast">#REF!</definedName>
    <definedName name="lpshares">#REF!</definedName>
    <definedName name="netrev_hide_ku_01">#REF!</definedName>
    <definedName name="netrev_hide_lge_01">#REF!</definedName>
    <definedName name="netrev_ku_01">#REF!</definedName>
    <definedName name="NetRevenue_Annual_KU">#REF!</definedName>
    <definedName name="NEWCOSTS">#REF!</definedName>
    <definedName name="NextReptPeriod">#REF!</definedName>
    <definedName name="Nicknames" hidden="1">#REF!</definedName>
    <definedName name="No.">#REF!</definedName>
    <definedName name="Number_of_Payments">MATCH(0.01,End_Bal,-1)+1</definedName>
    <definedName name="NvsASD">"V2006-01-31"</definedName>
    <definedName name="NvsAutoDrillOk">"VN"</definedName>
    <definedName name="NvsElapsedTime">0.000162037038535345</definedName>
    <definedName name="NvsEndTime">38761.3456134259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"%,X,RPT.ACCOUNT.,CZF.."</definedName>
    <definedName name="NvsPanelBusUnit">"V"</definedName>
    <definedName name="NvsPanelEffdt">"V2005-04-21"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"V2006-01-31"</definedName>
    <definedName name="NvsValTbl.ACCOUNT">"GL_ACCOUNT_TBL"</definedName>
    <definedName name="NvsValTbl.BUSINESS_UNIT">"BUS_UNIT_TBL_GL"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kay">#REF!</definedName>
    <definedName name="On_or_Off">#REF!</definedName>
    <definedName name="opp">#REF!</definedName>
    <definedName name="p" hidden="1">{#N/A,#N/A,TRUE,"Acq-Ass";#N/A,#N/A,TRUE,"Acq-IS";#N/A,#N/A,TRUE,"Acq-BS";#N/A,#N/A,TRUE,"Acq-CF"}</definedName>
    <definedName name="PAGE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7">#REF!</definedName>
    <definedName name="page8">#REF!</definedName>
    <definedName name="PAGE9">#REF!</definedName>
    <definedName name="Payment_Date">DATE(YEAR(Loan_Start),MONTH(Loan_Start)+Payment_Number,DAY(Loan_Start))</definedName>
    <definedName name="PERCENT">#REF!</definedName>
    <definedName name="PERIOD">#REF!</definedName>
    <definedName name="PETCOKE">#REF!</definedName>
    <definedName name="PopCache_GL_INTERFACE_REFERENCE7">#REF!</definedName>
    <definedName name="PopCache_GL_INTERFACE_REFERENCE8" hidden="1">#REF!</definedName>
    <definedName name="ppdoo" hidden="1">{#N/A,#N/A,FALSE,"COVER.XLS";#N/A,#N/A,FALSE,"STDBS.XLS";#N/A,#N/A,FALSE,"STDPL.XLS";#N/A,#N/A,FALSE,"NOTES.XLS"}</definedName>
    <definedName name="PPL_Account">#REF!</definedName>
    <definedName name="_xlnm.Print_Area" localSheetId="2">'CMG-2 KU and LGE Summ Rev Req '!$A$1:$Q$25</definedName>
    <definedName name="_xlnm.Print_Area" localSheetId="0">'CMG-2 Rate Base Adjustments'!$A$1:$I$36</definedName>
    <definedName name="_xlnm.Print_Area" localSheetId="4">'KU LGE CMG-Exhibit 1'!$A$1:$J$34</definedName>
    <definedName name="_xlnm.Print_Area">#REF!</definedName>
    <definedName name="Print_Area_MI">#REF!</definedName>
    <definedName name="Print_Area_Reset">OFFSET(Full_Print,0,0,Last_Row)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ing">#REF!</definedName>
    <definedName name="Prod_">#REF!</definedName>
    <definedName name="Project_Report_Group">#REF!</definedName>
    <definedName name="PUBLIC">#REF!</definedName>
    <definedName name="PVA_ReportList">#REF!</definedName>
    <definedName name="PVA_ReportValue">#REF!</definedName>
    <definedName name="PYADJBS">#REF!</definedName>
    <definedName name="q">#REF!</definedName>
    <definedName name="Quarterly_Bal_Sheet">#REF!</definedName>
    <definedName name="RangeRptgMo">#REF!</definedName>
    <definedName name="RangeRptgYr">#REF!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wData1">#REF!</definedName>
    <definedName name="RBC_ReportList">#REF!</definedName>
    <definedName name="RBC_ReportValue">#REF!</definedName>
    <definedName name="RBCDtl_KUE">#REF!</definedName>
    <definedName name="RBCDtl_KUOD">#REF!</definedName>
    <definedName name="RBCDtl_LGEE">#REF!</definedName>
    <definedName name="RBCDtl_LGEG">#REF!</definedName>
    <definedName name="RBCDtl_ODPE">#REF!</definedName>
    <definedName name="RBCSum_KUOD">#REF!</definedName>
    <definedName name="recap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onciliation">#REF!</definedName>
    <definedName name="Recover" localSheetId="2">#REF!</definedName>
    <definedName name="Recover">#REF!</definedName>
    <definedName name="Report">#REF!</definedName>
    <definedName name="Reporting_Month">#REF!</definedName>
    <definedName name="ReportTitle1">#REF!</definedName>
    <definedName name="ReportTitle2">#REF!</definedName>
    <definedName name="ReportTitle3">#REF!</definedName>
    <definedName name="require_hide_ku_01">#REF!</definedName>
    <definedName name="require_hide_lge_01">#REF!</definedName>
    <definedName name="require_ku_01">#REF!</definedName>
    <definedName name="Requirements_Annual_KU">#REF!</definedName>
    <definedName name="Requirements_Data">#REF!</definedName>
    <definedName name="Requirements_KU">#REF!</definedName>
    <definedName name="RetiredUnitReserve">#REF!</definedName>
    <definedName name="revenues_hide_ku_01">#REF!</definedName>
    <definedName name="revenues_ku_01">#REF!</definedName>
    <definedName name="RIBBON_OBJECT_POINTER">1763030655664</definedName>
    <definedName name="ROE_avg">#REF!</definedName>
    <definedName name="ROE_yr_end">#REF!</definedName>
    <definedName name="RowDetails1">#REF!</definedName>
    <definedName name="RowDetails2">#REF!</definedName>
    <definedName name="RowDetails3">#REF!</definedName>
    <definedName name="RptgMonth">#REF!</definedName>
    <definedName name="RptgMonthList">#REF!</definedName>
    <definedName name="RptgMonthLYr">#REF!</definedName>
    <definedName name="rr">#REF!</definedName>
    <definedName name="SALES">#REF!</definedName>
    <definedName name="sales_hide_ku_01">#REF!</definedName>
    <definedName name="sales_ku_01">#REF!</definedName>
    <definedName name="sales_title_ku">#REF!</definedName>
    <definedName name="SAPBEXhrIndnt" hidden="1">"Wide"</definedName>
    <definedName name="SAPBEXrevision" hidden="1">1</definedName>
    <definedName name="SAPBEXsysID" hidden="1">"P45"</definedName>
    <definedName name="SAPBEXwbID" hidden="1">"3X6LG7ZYM17Q22YWQ3JV89B20"</definedName>
    <definedName name="SAPsysID" hidden="1">"708C5W7SBKP804JT78WJ0JNKI"</definedName>
    <definedName name="SAPwbID" hidden="1">"ARS"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MIYTM">#REF!</definedName>
    <definedName name="sencount" hidden="1">1</definedName>
    <definedName name="SMK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tart_Date_Planned">#REF!</definedName>
    <definedName name="stockprice">#REF!</definedName>
    <definedName name="Support">#REF!</definedName>
    <definedName name="SUPPORTQ">#REF!</definedName>
    <definedName name="Swvu.ANALYSIS._.1." hidden="1">#REF!</definedName>
    <definedName name="Swvu.ANALYSIS._.2." hidden="1">#REF!</definedName>
    <definedName name="Swvu.grid._.lines." hidden="1">#REF!</definedName>
    <definedName name="Swvu.OPERATING._.EXPENSES." hidden="1">#REF!</definedName>
    <definedName name="TableName">"Dummy"</definedName>
    <definedName name="TaxRate">#REF!</definedName>
    <definedName name="Temp" hidden="1">{"ARK_JURIS_FUEL",#N/A,FALSE,"Ark_Fuel&amp;Rev"}</definedName>
    <definedName name="TempReptPeriod">#REF!</definedName>
    <definedName name="test" hidden="1">{"ARK_JURIS_FUEL",#N/A,FALSE,"Ark_Fuel&amp;Rev"}</definedName>
    <definedName name="TextRefCopyRangeCount" hidden="1">8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t">#REF!</definedName>
    <definedName name="ttt">#REF!</definedName>
    <definedName name="u">#REF!</definedName>
    <definedName name="uiii">#REF!</definedName>
    <definedName name="uncol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OfMeasure">#REF!</definedName>
    <definedName name="UNITS">#REF!</definedName>
    <definedName name="Untitled">#REF!</definedName>
    <definedName name="UpdateDateTime">#REF!</definedName>
    <definedName name="UpdateTime">#REF!</definedName>
    <definedName name="UPIS">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u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affas" hidden="1">{#N/A,#N/A,FALSE,"New-RegularBevel";#N/A,#N/A,FALSE,"Optiva-Optiva2";#N/A,#N/A,FALSE,"Cathlon-Monoblok";#N/A,#N/A,FALSE,"Stylets"}</definedName>
    <definedName name="VALLEY">#REF!</definedName>
    <definedName name="Values_Entered">IF(Loan_Amount*Interest_Rate*Loan_Years*Loan_Start&gt;0,1,0)</definedName>
    <definedName name="vital5">#REF!</definedName>
    <definedName name="vldatabase">#REF!</definedName>
    <definedName name="vol_rev_annual_ku">#REF!</definedName>
    <definedName name="vol_rev_hide_ku_monthly">#REF!</definedName>
    <definedName name="vol_rev_hide_lge_01">#REF!</definedName>
    <definedName name="vol_rev_ku_monthly">#REF!</definedName>
    <definedName name="volrev_data">#REF!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">#REF!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ORKERS">#REF!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alance._.Sheets." hidden="1">{#N/A,#N/A,FALSE,"Bal sht";"Qtrly Bal Sht",#N/A,FALSE,"Bal sht - QTR"}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ash._.book." hidden="1">{#N/A,#N/A,FALSE,"Current &amp; Demand";#N/A,#N/A,FALSE,"Buttress fund 98 "}</definedName>
    <definedName name="wrn.Cashflow.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ODOGNO._.Print._.all." hidden="1">{#N/A,#N/A,FALSE,"Cover";#N/A,#N/A,FALSE,"BS";#N/A,#N/A,FALSE,"IS"}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CONOCO._.FAC." hidden="1">{"CONOCO_FAC",#N/A,FALSE,"Conoco FAC"}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._.SUMMARY." hidden="1">{"FAC_SUMMARY",#N/A,FALSE,"Summaries"}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go." hidden="1">{"wp_h4.2",#N/A,FALSE,"WP_H4.2";"wp_h4.3",#N/A,FALSE,"WP_H4.3"}</definedName>
    <definedName name="wrn.Haul._.Month._.End." hidden="1">{#N/A,#N/A,TRUE,"BS";#N/A,#N/A,TRUE,"IS";#N/A,#N/A,TRUE,"NOTES";#N/A,#N/A,TRUE,"UW"}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LUXCOS." hidden="1">{"LUX_ASSET",#N/A,FALSE,"CII-Q494.XLS";"LUX_LIAB",#N/A,FALSE,"CII-Q494.XLS";"LUX_INC",#N/A,FALSE,"CII-Q494.XLS";"LUXje",#N/A,FALSE,"CII-Q494.XLS"}</definedName>
    <definedName name="wrn.Margins." hidden="1">{#N/A,#N/A,FALSE,"Liquidity Margin";#N/A,#N/A,FALSE,"Solvency Margin";#N/A,#N/A,FALSE,"Maximum Dividend"}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iniSum." hidden="1">{#N/A,#N/A,TRUE,"Facility-Input";#N/A,#N/A,TRUE,"Graphs";#N/A,#N/A,TRUE,"TOTAL"}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perating_Graphs_Stats." localSheetId="2" hidden="1">{#N/A,#N/A,TRUE,"Operating Graphs";#N/A,#N/A,TRUE,"Stats"}</definedName>
    <definedName name="wrn.Operating_Graphs_Stats." hidden="1">{#N/A,#N/A,TRUE,"Operating Graphs";#N/A,#N/A,TRUE,"Stats"}</definedName>
    <definedName name="wrn.OTHER._.DATA." hidden="1">{"OTHER_DATA",#N/A,FALSE,"Ok_Fuel&amp;Rev"}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localSheetId="2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printb1." localSheetId="2" hidden="1">{#N/A,#N/A,FALSE,"B-1";#N/A,#N/A,FALSE,"B-1(P2)";#N/A,#N/A,FALSE,"B-1(P3)";#N/A,#N/A,FALSE,"B-1(P4)"}</definedName>
    <definedName name="wrn.printb1." hidden="1">{#N/A,#N/A,FALSE,"B-1";#N/A,#N/A,FALSE,"B-1(P2)";#N/A,#N/A,FALSE,"B-1(P3)";#N/A,#N/A,FALSE,"B-1(P4)"}</definedName>
    <definedName name="wrn.printb1.4." localSheetId="2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Produzione." hidden="1">{#N/A,#N/A,FALSE,"Produzione 1";#N/A,#N/A,FALSE,"Rettifica 1";#N/A,#N/A,FALSE,"Produzione 2";#N/A,#N/A,FALSE,"Rettifica 2";#N/A,#N/A,FALSE,"Produzione 3"}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Risk._.Reserves." hidden="1">{#N/A,#N/A,TRUE,"Reserves";#N/A,#N/A,TRUE,"Graphs"}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chedule._.J.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PA._.FAC." hidden="1">{"SPA_FAC",#N/A,FALSE,"OMPA SPA FAC"}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tatistics." hidden="1">{"Std Poor",#N/A,FALSE,"S&amp;P";"Sum Stats",#N/A,FALSE,"Stats"}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hidden="1">{#N/A,#N/A,TRUE,"TOTAL";#N/A,#N/A,TRUE,"Total Pipes"}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rn.WEATHER._.AND._.YR._.END._.CUST._.ADJ." hidden="1">{"WEATHER_CUSTOMERS",#N/A,FALSE,"Ok_Fuel&amp;Rev"}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ALLDOMESTIC">#REF!</definedName>
    <definedName name="XoXo">1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8</definedName>
    <definedName name="XRefCopy13" hidden="1">#REF!</definedName>
    <definedName name="XRefCopy13Row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7Row" hidden="1">#REF!</definedName>
    <definedName name="XRefCopyRangeCount" hidden="1">5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9" hidden="1">#REF!</definedName>
    <definedName name="XRefPaste9Row" hidden="1">#REF!</definedName>
    <definedName name="XRefPasteRangeCount" hidden="1">4</definedName>
    <definedName name="xxx">#REF!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yikes" localSheetId="2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TD">#REF!</definedName>
    <definedName name="yy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  <definedName name="zzzzzzz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4" l="1"/>
  <c r="D27" i="14" s="1"/>
  <c r="F13" i="6"/>
  <c r="E13" i="6"/>
  <c r="D19" i="14"/>
  <c r="E90" i="6"/>
  <c r="F90" i="6" s="1"/>
  <c r="E99" i="6" l="1"/>
  <c r="D12" i="14" l="1"/>
  <c r="D20" i="14" s="1"/>
  <c r="H26" i="14" l="1"/>
  <c r="D26" i="14"/>
  <c r="D28" i="14" s="1"/>
  <c r="H18" i="14"/>
  <c r="F18" i="14"/>
  <c r="D18" i="14"/>
  <c r="D29" i="14" l="1"/>
  <c r="D21" i="14"/>
  <c r="D22" i="14" s="1"/>
  <c r="H9" i="14" l="1"/>
  <c r="F9" i="14"/>
  <c r="D9" i="14"/>
  <c r="B100" i="6" l="1"/>
  <c r="C30" i="13"/>
  <c r="D29" i="13"/>
  <c r="B29" i="13"/>
  <c r="B19" i="13"/>
  <c r="B18" i="13"/>
  <c r="B17" i="13"/>
  <c r="B16" i="13"/>
  <c r="B15" i="13"/>
  <c r="B59" i="6" s="1"/>
  <c r="B14" i="13"/>
  <c r="C13" i="13"/>
  <c r="B12" i="13"/>
  <c r="D9" i="13"/>
  <c r="C9" i="13"/>
  <c r="B9" i="13"/>
  <c r="C6" i="13"/>
  <c r="D6" i="13" s="1"/>
  <c r="D21" i="13" s="1"/>
  <c r="C21" i="13" l="1"/>
  <c r="B31" i="13"/>
  <c r="C20" i="13"/>
  <c r="C22" i="13"/>
  <c r="C23" i="13"/>
  <c r="C24" i="13"/>
  <c r="C14" i="13"/>
  <c r="C29" i="13"/>
  <c r="C15" i="13"/>
  <c r="D18" i="13"/>
  <c r="D16" i="13"/>
  <c r="D17" i="13"/>
  <c r="D23" i="13"/>
  <c r="D24" i="13"/>
  <c r="C16" i="13"/>
  <c r="D22" i="13"/>
  <c r="C17" i="13"/>
  <c r="C18" i="13"/>
  <c r="D14" i="13"/>
  <c r="D15" i="13"/>
  <c r="C12" i="13"/>
  <c r="D12" i="13"/>
  <c r="D20" i="13"/>
  <c r="D73" i="6"/>
  <c r="D99" i="6" s="1"/>
  <c r="C85" i="6"/>
  <c r="C83" i="6"/>
  <c r="C76" i="6"/>
  <c r="C75" i="6"/>
  <c r="C65" i="6"/>
  <c r="C45" i="6"/>
  <c r="C47" i="6"/>
  <c r="C37" i="6"/>
  <c r="C36" i="6"/>
  <c r="C35" i="6"/>
  <c r="C34" i="6"/>
  <c r="C33" i="6"/>
  <c r="C32" i="6"/>
  <c r="C31" i="6"/>
  <c r="C30" i="6"/>
  <c r="C22" i="6"/>
  <c r="C31" i="13" l="1"/>
  <c r="D31" i="13"/>
  <c r="C99" i="6"/>
  <c r="F98" i="6" l="1"/>
  <c r="F97" i="6"/>
  <c r="F96" i="6"/>
  <c r="F95" i="6"/>
  <c r="F94" i="6"/>
  <c r="F93" i="6"/>
  <c r="F92" i="6"/>
  <c r="F91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99" i="6" l="1"/>
  <c r="C58" i="6"/>
  <c r="B58" i="6"/>
  <c r="B60" i="6" s="1"/>
  <c r="B99" i="6" s="1"/>
  <c r="B101" i="6" s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G99" i="6" l="1"/>
  <c r="G104" i="6" s="1"/>
  <c r="F105" i="6"/>
  <c r="H10" i="14" s="1"/>
  <c r="F104" i="6"/>
  <c r="F10" i="14" s="1"/>
  <c r="D58" i="6"/>
  <c r="D10" i="14" s="1"/>
  <c r="D14" i="14" s="1"/>
  <c r="G105" i="6"/>
  <c r="H104" i="6" l="1"/>
  <c r="H105" i="6"/>
  <c r="E58" i="6"/>
  <c r="F58" i="6" s="1"/>
  <c r="F14" i="6" l="1"/>
  <c r="H11" i="14" s="1"/>
  <c r="H19" i="14" s="1"/>
  <c r="E14" i="6"/>
  <c r="F11" i="6"/>
  <c r="E11" i="6"/>
  <c r="F12" i="6"/>
  <c r="I12" i="6" s="1"/>
  <c r="E12" i="6"/>
  <c r="L45" i="3"/>
  <c r="J45" i="3"/>
  <c r="D45" i="3"/>
  <c r="F43" i="3" s="1"/>
  <c r="N43" i="3"/>
  <c r="J43" i="3"/>
  <c r="N42" i="3"/>
  <c r="J42" i="3"/>
  <c r="F42" i="3"/>
  <c r="N41" i="3"/>
  <c r="N45" i="3" s="1"/>
  <c r="J41" i="3"/>
  <c r="L32" i="3"/>
  <c r="D32" i="3"/>
  <c r="F30" i="3" s="1"/>
  <c r="N30" i="3"/>
  <c r="J30" i="3"/>
  <c r="J29" i="3"/>
  <c r="N29" i="3" s="1"/>
  <c r="N28" i="3"/>
  <c r="J28" i="3"/>
  <c r="F13" i="14" l="1"/>
  <c r="F27" i="14" s="1"/>
  <c r="H13" i="14"/>
  <c r="H27" i="14" s="1"/>
  <c r="F12" i="14"/>
  <c r="F20" i="14" s="1"/>
  <c r="H12" i="14"/>
  <c r="H20" i="14" s="1"/>
  <c r="F11" i="14"/>
  <c r="F19" i="14" s="1"/>
  <c r="P42" i="3"/>
  <c r="T42" i="3" s="1"/>
  <c r="P43" i="3"/>
  <c r="T43" i="3" s="1"/>
  <c r="P41" i="3"/>
  <c r="F41" i="3"/>
  <c r="F45" i="3" s="1"/>
  <c r="N32" i="3"/>
  <c r="P30" i="3" s="1"/>
  <c r="T30" i="3" s="1"/>
  <c r="P28" i="3"/>
  <c r="J32" i="3"/>
  <c r="F29" i="3"/>
  <c r="F28" i="3"/>
  <c r="F32" i="3" s="1"/>
  <c r="F21" i="14" l="1"/>
  <c r="F22" i="14" s="1"/>
  <c r="F14" i="14"/>
  <c r="H14" i="14"/>
  <c r="H28" i="14"/>
  <c r="H29" i="14" s="1"/>
  <c r="H21" i="14"/>
  <c r="H22" i="14" s="1"/>
  <c r="F28" i="14"/>
  <c r="F29" i="14" s="1"/>
  <c r="P45" i="3"/>
  <c r="T41" i="3"/>
  <c r="T28" i="3"/>
  <c r="P29" i="3"/>
  <c r="T29" i="3" s="1"/>
  <c r="T45" i="3" l="1"/>
  <c r="V45" i="3"/>
  <c r="T32" i="3"/>
  <c r="V32" i="3"/>
  <c r="P32" i="3"/>
</calcChain>
</file>

<file path=xl/sharedStrings.xml><?xml version="1.0" encoding="utf-8"?>
<sst xmlns="http://schemas.openxmlformats.org/spreadsheetml/2006/main" count="341" uniqueCount="179">
  <si>
    <t>AG and KIUC Rate Base Issues</t>
  </si>
  <si>
    <t>KU</t>
  </si>
  <si>
    <t xml:space="preserve">   Utilize Rate Base Instead of Capitalization to Reflect Return On Component for Base Rates</t>
  </si>
  <si>
    <t xml:space="preserve">   Remove Generation and Transmission CWIP from Rate Base</t>
  </si>
  <si>
    <t xml:space="preserve">   Modify CWC to Exclude Non-Cash Depr/Amort and Deferred Income Taxes</t>
  </si>
  <si>
    <t xml:space="preserve">   Modify CWC to Exclude Non-Cash Coal Expense</t>
  </si>
  <si>
    <t xml:space="preserve">   Exclude Non-Cash Pension and OPEB Related Asset and Liability Amounts, Net of ADIT</t>
  </si>
  <si>
    <t xml:space="preserve">   Exclude All Account 184 Pension Clearing Account Amounts</t>
  </si>
  <si>
    <t xml:space="preserve">   Adjust A/D and ADIT for Depreciation Expense Reductions-Terminal Net Salvage-Thermal</t>
  </si>
  <si>
    <t xml:space="preserve">   Adjust A/D and ADIT for Depreciation Expense Reductions-Terminal Net Salvage-Other</t>
  </si>
  <si>
    <t xml:space="preserve">   Adjust A/D and ADIT for Depreciation Expense Reductions-Extend Life Spans</t>
  </si>
  <si>
    <t>Total</t>
  </si>
  <si>
    <t>Kentucky Utilities Company and Louisville Gas &amp; Electric Company</t>
  </si>
  <si>
    <t>Summary of Revenue Requirement Adjustments-Jurisdictional Electric and Gas Operations</t>
  </si>
  <si>
    <t>Recommended by AG-KIUC</t>
  </si>
  <si>
    <t>Case Nos. 2025-00113 and 2025-00114</t>
  </si>
  <si>
    <t>For the Test Year Ended December 31, 2026</t>
  </si>
  <si>
    <t>($ Millions)</t>
  </si>
  <si>
    <t>LG&amp;E</t>
  </si>
  <si>
    <t>Electric</t>
  </si>
  <si>
    <t>Gas</t>
  </si>
  <si>
    <t>AG-KIUC</t>
  </si>
  <si>
    <t>Amount</t>
  </si>
  <si>
    <t>Witness</t>
  </si>
  <si>
    <t>Kollen</t>
  </si>
  <si>
    <t>Jurisdictional</t>
  </si>
  <si>
    <t>ADIT</t>
  </si>
  <si>
    <t>Louisville Gas and Electric Company</t>
  </si>
  <si>
    <t>Adjusted</t>
  </si>
  <si>
    <t>13 Month</t>
  </si>
  <si>
    <t xml:space="preserve">Kentucky </t>
  </si>
  <si>
    <t>Average</t>
  </si>
  <si>
    <t>Proforma</t>
  </si>
  <si>
    <t>Total Co.</t>
  </si>
  <si>
    <t>Capital</t>
  </si>
  <si>
    <t xml:space="preserve">Jurisdictional </t>
  </si>
  <si>
    <t>Component</t>
  </si>
  <si>
    <t>Weighted</t>
  </si>
  <si>
    <t>Grossed Up</t>
  </si>
  <si>
    <t>Balance</t>
  </si>
  <si>
    <t>Adjustments</t>
  </si>
  <si>
    <t>Capitalization</t>
  </si>
  <si>
    <t>Factor</t>
  </si>
  <si>
    <t>Ratio</t>
  </si>
  <si>
    <t>Costs</t>
  </si>
  <si>
    <t>Avg Cost</t>
  </si>
  <si>
    <t>Cost</t>
  </si>
  <si>
    <t>Short Term Debt</t>
  </si>
  <si>
    <t>Long Term Debt</t>
  </si>
  <si>
    <t>Common Equity</t>
  </si>
  <si>
    <t>Total Capital</t>
  </si>
  <si>
    <t>to</t>
  </si>
  <si>
    <t>KU Capital Structure, Cost of Capital, and Gross Revenue Conversion Factor Per Filing (With August 25, 2025 Update)</t>
  </si>
  <si>
    <t>LG&amp;E (Electric) Capital Structure, Cost of Capital, and Gross Revenue Conversion Factor Per Filing (August 25, 2025 Update)</t>
  </si>
  <si>
    <t>LG&amp;E (Gas) Capital Structure, Cost of Capital, and Gross Revenue Conversion Factor Per Filing (August 25, 2025 Update)</t>
  </si>
  <si>
    <t>128.6 - Other special funds - non-current</t>
  </si>
  <si>
    <t>13 MONTH AVERAGE</t>
  </si>
  <si>
    <t>254.11 - Other Reg Liab LT Postretirement</t>
  </si>
  <si>
    <t>184.20 - Clearing Accts (Accr Pens)</t>
  </si>
  <si>
    <t>Reg Asset/Liability ADIT Adjustments</t>
  </si>
  <si>
    <t>182.1 - Other Reg Assets Non Cur</t>
  </si>
  <si>
    <t>182.11 - 2024 Hurricane Helene</t>
  </si>
  <si>
    <t>182.15 - Other Reg Assets NC ARO</t>
  </si>
  <si>
    <t>182.21 - Other Reg Assets NC Rate Case Exp</t>
  </si>
  <si>
    <t>182.26 - Other Regulatory Assets Cur VA Fuel</t>
  </si>
  <si>
    <t>182.43 - Other Regulatory Assets Cur OST</t>
  </si>
  <si>
    <t>182.45 - Other Reg Assets NC Plant Outage Norm</t>
  </si>
  <si>
    <t>182.6 - Other Regulatory Assets Cur FAC</t>
  </si>
  <si>
    <t>182.7 - Other Regulatory Assets Cur ECR</t>
  </si>
  <si>
    <t>182.776 - Other Reg Assets NC - AMI Legacy meters KPSC</t>
  </si>
  <si>
    <t>182.8 - Other Regulatory Assets NC Open ARO Ponds - KY</t>
  </si>
  <si>
    <t>182.81 - Other Regulatory Assets NC Open ARO Ponds - VA</t>
  </si>
  <si>
    <t>182.82 - Other Regulatory Assets NC Open ARO Ponds - FERC Departing</t>
  </si>
  <si>
    <t>182.83 - Other Regulatory Assets NC Open ARO Ponds - FERC Remaining</t>
  </si>
  <si>
    <t>182.85 - Other Regulatory Assets NC Closed ARO Ponds - KY</t>
  </si>
  <si>
    <t>182.87 - Other Regulatory Assets NC Closed ARO Ponds - FERC Departing</t>
  </si>
  <si>
    <t>182.88 - Other Regulatory Assets NC Closed Ponds - FERC Remaining</t>
  </si>
  <si>
    <t>182.89 - Other Regulatory Assets NC ARO Generation - CCR</t>
  </si>
  <si>
    <t>182.9 - Other Reg Assets NC Winter Strm</t>
  </si>
  <si>
    <t>182.91 - 2024 Helene Hurricane - VA</t>
  </si>
  <si>
    <t>182.911 - Other Reg Assets NC 2023 Wind Storm</t>
  </si>
  <si>
    <t>182.95 - Other Reg Assets NC - Summer Storm 2018</t>
  </si>
  <si>
    <t>182.971 - Other Reg Assets NC - Glendale Megasite</t>
  </si>
  <si>
    <t>182.980 - Other Reg Assets NC - May 2024 Storm</t>
  </si>
  <si>
    <t>182.982 - Other Reg Assets NC - IT Reinvention</t>
  </si>
  <si>
    <t>182.99 - Other Regulatory Assets NC ARO - ECR/CCR</t>
  </si>
  <si>
    <t>182.992 - Other Reg Assets NC - AMI O&amp;M KPSC Electric</t>
  </si>
  <si>
    <t>182.993 - Reg Liab NC - COR - ARO</t>
  </si>
  <si>
    <t>182.995 - Other Reg Assets NC - AMI Capital KSPC Electric</t>
  </si>
  <si>
    <t>182.999 - Other Reg Assets NC - CPCN Generation</t>
  </si>
  <si>
    <t>254.3 - Other Reg Liab LT</t>
  </si>
  <si>
    <t>254.41 - Other Reg Liab Cur Muni True Up</t>
  </si>
  <si>
    <t>254.6 - Other Reg Liab Cur FAC</t>
  </si>
  <si>
    <t>254.7 - Other Reg Liab Cur ECR</t>
  </si>
  <si>
    <t>254.8 - Other Reg Liab Cur DSM</t>
  </si>
  <si>
    <t>254.971 - Other Reg Liab LT - AMI Excess Depr KPSC Electric</t>
  </si>
  <si>
    <t>254.992 - Other Reg Liab LT - AMI O&amp;M KPSC Electric</t>
  </si>
  <si>
    <t>254.997 - Other Reg Liab LT - AMI Cost of Capital</t>
  </si>
  <si>
    <t>Rate Base</t>
  </si>
  <si>
    <t>182.22 - Other Reg Assets NC Wachovia Swap</t>
  </si>
  <si>
    <t>182.29 - Reg Assets Current GLT</t>
  </si>
  <si>
    <t>182.35 - Other Reg Assets NC - BOA Swap</t>
  </si>
  <si>
    <t>182.5 - Other Regulatory Assets Cur GSC</t>
  </si>
  <si>
    <t>182.774 - Other Reg Assets NC - Generation RAR</t>
  </si>
  <si>
    <t>182.96 - Other Reg Assets NC - Winter Storm 2018</t>
  </si>
  <si>
    <t>182.994 - Other Reg Assets NC - AMI O&amp;M KPSC Gas</t>
  </si>
  <si>
    <t>182.997 - Other Reg Assets NC - AMI Capital KPSC Gas</t>
  </si>
  <si>
    <t>254.994 - Other Reg Liab LT - AMI O&amp;M KPSC Gas</t>
  </si>
  <si>
    <t>Difference</t>
  </si>
  <si>
    <t>RAR</t>
  </si>
  <si>
    <t>Capitalization vs. Rate Base Difference</t>
  </si>
  <si>
    <t>ARO</t>
  </si>
  <si>
    <t>Net</t>
  </si>
  <si>
    <r>
      <t xml:space="preserve">   Utilize Rate Base Instead of Capitalization to Reflect Return On Component for Base Rates </t>
    </r>
    <r>
      <rPr>
        <vertAlign val="superscript"/>
        <sz val="12"/>
        <rFont val="Times New Roman"/>
        <family val="1"/>
      </rPr>
      <t>(1)</t>
    </r>
  </si>
  <si>
    <r>
      <t xml:space="preserve">   Exclude Non-Cash Pension and OPEB Related Asset and Liability Amounts, Net of ADIT</t>
    </r>
    <r>
      <rPr>
        <vertAlign val="superscript"/>
        <sz val="12"/>
        <rFont val="Times New Roman"/>
        <family val="1"/>
      </rPr>
      <t>(1)</t>
    </r>
  </si>
  <si>
    <t>Summary of Revenue Requirement Impact of Rate Base Adjustments</t>
  </si>
  <si>
    <t>Recommended by AG-KIUC and Adjusted by Company</t>
  </si>
  <si>
    <t>E/G Allocation</t>
  </si>
  <si>
    <t>KENTUCKY UTILITIES COMPANY</t>
  </si>
  <si>
    <t>Explanation of Differences between Capitalization and Rate Base</t>
  </si>
  <si>
    <t>13 Month Average</t>
  </si>
  <si>
    <t>Description</t>
  </si>
  <si>
    <t>Total Company Balance</t>
  </si>
  <si>
    <t>Kentucky Jurisdictional</t>
  </si>
  <si>
    <t>Other     Jurisdictional</t>
  </si>
  <si>
    <t>Rate Base Percentage (Schedule J-1.1/J-1.2)</t>
  </si>
  <si>
    <t>Items not included in Rate Base:</t>
  </si>
  <si>
    <t>ARO Liabilities</t>
  </si>
  <si>
    <t>ARO Assets</t>
  </si>
  <si>
    <t>Net Balance Sheet Working Capital</t>
  </si>
  <si>
    <t>Net Regulatory Assets/Liabilities</t>
  </si>
  <si>
    <t>Accumulated Deferred IncomeTaxes</t>
  </si>
  <si>
    <t>Leases</t>
  </si>
  <si>
    <t>Miscellaneous Deferred Debit</t>
  </si>
  <si>
    <t>Other Property and Investments</t>
  </si>
  <si>
    <t>ADIT Proration</t>
  </si>
  <si>
    <t>AMI Regulatory Liability</t>
  </si>
  <si>
    <t>CPCN New Generation Regulatory Asset</t>
  </si>
  <si>
    <t>IT Regulatory Asset</t>
  </si>
  <si>
    <t>EEI Deferred taxes</t>
  </si>
  <si>
    <t>Investment Tax Credit</t>
  </si>
  <si>
    <t>Retired Asset Recovery Rider</t>
  </si>
  <si>
    <t>Items included in rate base:</t>
  </si>
  <si>
    <t>Cash Working Capital (Income Statement)</t>
  </si>
  <si>
    <t>Capitalization / Rate Base Allocation Differences</t>
  </si>
  <si>
    <t>Exhibit 1</t>
  </si>
  <si>
    <t>B5.2</t>
  </si>
  <si>
    <t>Company adjusted Pension and OPEB, net of ADIT Adjustments</t>
  </si>
  <si>
    <t xml:space="preserve">   ADIT impact of corrections</t>
  </si>
  <si>
    <t xml:space="preserve">   ADIT impacts</t>
  </si>
  <si>
    <t>OPEB Reg Liability</t>
  </si>
  <si>
    <t>Correction is offset below</t>
  </si>
  <si>
    <r>
      <t xml:space="preserve">   Include Regulatory Assets and Liabilities in Rate Base</t>
    </r>
    <r>
      <rPr>
        <vertAlign val="superscript"/>
        <sz val="12"/>
        <rFont val="Times New Roman"/>
        <family val="1"/>
      </rPr>
      <t>(2)</t>
    </r>
  </si>
  <si>
    <r>
      <t xml:space="preserve">   Correction to include LG&amp;E OPEB Regulatory Liability</t>
    </r>
    <r>
      <rPr>
        <vertAlign val="superscript"/>
        <sz val="12"/>
        <rFont val="Times New Roman"/>
        <family val="1"/>
      </rPr>
      <t>(3)</t>
    </r>
  </si>
  <si>
    <r>
      <t xml:space="preserve">   Correction to Remove Restricted Cash from Prepaid Pension</t>
    </r>
    <r>
      <rPr>
        <vertAlign val="superscript"/>
        <sz val="12"/>
        <rFont val="Times New Roman"/>
        <family val="1"/>
      </rPr>
      <t>(4)</t>
    </r>
  </si>
  <si>
    <t>CMG-2 Rebuttal Testimony</t>
  </si>
  <si>
    <t>Account Details</t>
  </si>
  <si>
    <t>KU and LG&amp;E</t>
  </si>
  <si>
    <r>
      <rPr>
        <vertAlign val="superscript"/>
        <sz val="12"/>
        <color theme="1"/>
        <rFont val="Times New Roman"/>
        <family val="1"/>
      </rPr>
      <t>(4)</t>
    </r>
    <r>
      <rPr>
        <sz val="12"/>
        <color theme="1"/>
        <rFont val="Times New Roman"/>
        <family val="1"/>
      </rPr>
      <t>Correction for removal of restricted cash inappropriately included in pension assets by the Companies.</t>
    </r>
  </si>
  <si>
    <r>
      <rPr>
        <vertAlign val="superscript"/>
        <sz val="12"/>
        <color theme="1"/>
        <rFont val="Times New Roman"/>
        <family val="1"/>
      </rPr>
      <t>(3)</t>
    </r>
    <r>
      <rPr>
        <sz val="12"/>
        <color theme="1"/>
        <rFont val="Times New Roman"/>
        <family val="1"/>
      </rPr>
      <t>Correction for inclusion of Other Postretirement Regulatory Liability omitted in error by LG&amp;E.</t>
    </r>
  </si>
  <si>
    <t>$ millions</t>
  </si>
  <si>
    <t>Total Exclude Non-Cash Pension and OPEB Related Asset and Liability Amounts, Net of ADIT</t>
  </si>
  <si>
    <t>Updated to tie to amounts included in Supplemental Response to Questions No. 54 and 55 filed on August 25, 2025</t>
  </si>
  <si>
    <r>
      <t xml:space="preserve">   Exclude All Account 184 Pension Clearing Account Amounts</t>
    </r>
    <r>
      <rPr>
        <vertAlign val="superscript"/>
        <sz val="12"/>
        <rFont val="Times New Roman"/>
        <family val="1"/>
      </rPr>
      <t>(1)</t>
    </r>
  </si>
  <si>
    <r>
      <rPr>
        <vertAlign val="superscript"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>Adjustment to include regulatory assets and liabilities in rate base per CMG-2 Detail.</t>
    </r>
  </si>
  <si>
    <r>
      <t>KU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</si>
  <si>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>LG&amp;E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</si>
  <si>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t>184.5 - Clearing Accts (O/LT Liab)</t>
  </si>
  <si>
    <r>
      <rPr>
        <vertAlign val="superscript"/>
        <sz val="11"/>
        <rFont val="Aptos Narrow"/>
        <family val="2"/>
        <scheme val="minor"/>
      </rPr>
      <t>(1)</t>
    </r>
    <r>
      <rPr>
        <sz val="11"/>
        <rFont val="Aptos Narrow"/>
        <family val="2"/>
        <scheme val="minor"/>
      </rPr>
      <t>Account balances obtained from BS tab within Schedule J.</t>
    </r>
  </si>
  <si>
    <r>
      <t xml:space="preserve">   Correction to Pension/OPEB Clearing Accounts and Allocation between electric and gas for LG&amp;E</t>
    </r>
    <r>
      <rPr>
        <vertAlign val="superscript"/>
        <sz val="12"/>
        <rFont val="Times New Roman"/>
        <family val="1"/>
      </rPr>
      <t>(5)</t>
    </r>
  </si>
  <si>
    <r>
      <rPr>
        <vertAlign val="superscript"/>
        <sz val="12"/>
        <color theme="1"/>
        <rFont val="Times New Roman"/>
        <family val="1"/>
      </rPr>
      <t>(5)</t>
    </r>
    <r>
      <rPr>
        <sz val="12"/>
        <color theme="1"/>
        <rFont val="Times New Roman"/>
        <family val="1"/>
      </rPr>
      <t>Correction for Pension/OPEB Clearing Accounts omitted and allocated incorrectly by LG&amp;E.</t>
    </r>
  </si>
  <si>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Direct Testimony and Exhibits of Lane Kollen. </t>
    </r>
  </si>
  <si>
    <t>Company adjusted Utilize Rate Base Instead of Capitalization</t>
  </si>
  <si>
    <t>Total Utilize Rate Base Instead of Capitalization</t>
  </si>
  <si>
    <t>Company adjusted Exclude Account 184 Pension Clearing adjustments</t>
  </si>
  <si>
    <t>Total Exclude Account 184 Pension Clearing Account Amounts</t>
  </si>
  <si>
    <t>Pension and OPEB Adjustments</t>
  </si>
  <si>
    <t>LGEE</t>
  </si>
  <si>
    <t>LGEG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</si>
</sst>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00%"/>
    <numFmt numFmtId="167" formatCode="0.0000%"/>
    <numFmt numFmtId="168" formatCode="#,##0_);[Red]\(#,##0\);&quot; &quot;"/>
    <numFmt numFmtId="169" formatCode="_(* #,##0.000_);_(* \(#,##0.000\);_(* &quot;-&quot;?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sz val="10"/>
      <name val="Courie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b/>
      <u/>
      <sz val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4" fillId="0" borderId="0"/>
    <xf numFmtId="0" fontId="11" fillId="0" borderId="0"/>
    <xf numFmtId="37" fontId="14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164" fontId="6" fillId="0" borderId="0" xfId="3" applyNumberFormat="1"/>
    <xf numFmtId="0" fontId="3" fillId="0" borderId="1" xfId="3" applyFont="1" applyBorder="1"/>
    <xf numFmtId="0" fontId="3" fillId="0" borderId="3" xfId="3" applyFont="1" applyBorder="1"/>
    <xf numFmtId="0" fontId="6" fillId="0" borderId="0" xfId="3"/>
    <xf numFmtId="0" fontId="3" fillId="0" borderId="4" xfId="3" applyFont="1" applyBorder="1"/>
    <xf numFmtId="0" fontId="7" fillId="0" borderId="0" xfId="3" applyFont="1" applyAlignment="1">
      <alignment horizontal="center"/>
    </xf>
    <xf numFmtId="0" fontId="3" fillId="0" borderId="5" xfId="3" applyFont="1" applyBorder="1"/>
    <xf numFmtId="0" fontId="7" fillId="0" borderId="0" xfId="3" quotePrefix="1" applyFont="1" applyAlignment="1">
      <alignment horizontal="center"/>
    </xf>
    <xf numFmtId="0" fontId="3" fillId="0" borderId="0" xfId="3" applyFont="1"/>
    <xf numFmtId="0" fontId="7" fillId="0" borderId="0" xfId="3" applyFont="1"/>
    <xf numFmtId="0" fontId="6" fillId="0" borderId="0" xfId="3" applyAlignment="1">
      <alignment horizontal="center"/>
    </xf>
    <xf numFmtId="0" fontId="7" fillId="0" borderId="6" xfId="3" applyFont="1" applyBorder="1" applyAlignment="1">
      <alignment horizontal="center"/>
    </xf>
    <xf numFmtId="0" fontId="3" fillId="0" borderId="0" xfId="3" applyFont="1" applyAlignment="1">
      <alignment horizontal="center"/>
    </xf>
    <xf numFmtId="164" fontId="3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3" applyFont="1" applyAlignment="1">
      <alignment horizontal="left"/>
    </xf>
    <xf numFmtId="164" fontId="3" fillId="0" borderId="0" xfId="4" applyNumberFormat="1" applyFont="1"/>
    <xf numFmtId="43" fontId="6" fillId="0" borderId="0" xfId="3" applyNumberFormat="1"/>
    <xf numFmtId="0" fontId="3" fillId="0" borderId="8" xfId="3" applyFont="1" applyBorder="1"/>
    <xf numFmtId="0" fontId="3" fillId="0" borderId="9" xfId="3" applyFont="1" applyBorder="1"/>
    <xf numFmtId="164" fontId="3" fillId="0" borderId="9" xfId="4" applyNumberFormat="1" applyFont="1" applyFill="1" applyBorder="1" applyAlignment="1">
      <alignment horizontal="center"/>
    </xf>
    <xf numFmtId="0" fontId="3" fillId="0" borderId="10" xfId="3" applyFont="1" applyBorder="1"/>
    <xf numFmtId="164" fontId="6" fillId="0" borderId="0" xfId="4" applyNumberFormat="1" applyFill="1"/>
    <xf numFmtId="164" fontId="6" fillId="0" borderId="0" xfId="4" applyNumberFormat="1"/>
    <xf numFmtId="0" fontId="6" fillId="0" borderId="6" xfId="3" applyBorder="1" applyAlignment="1">
      <alignment horizontal="center"/>
    </xf>
    <xf numFmtId="165" fontId="6" fillId="0" borderId="0" xfId="4" applyNumberFormat="1" applyFont="1"/>
    <xf numFmtId="165" fontId="6" fillId="0" borderId="0" xfId="4" applyNumberFormat="1" applyFont="1" applyBorder="1"/>
    <xf numFmtId="167" fontId="6" fillId="0" borderId="0" xfId="3" applyNumberFormat="1"/>
    <xf numFmtId="0" fontId="8" fillId="0" borderId="0" xfId="3" quotePrefix="1" applyFont="1" applyAlignment="1">
      <alignment horizontal="left"/>
    </xf>
    <xf numFmtId="165" fontId="6" fillId="0" borderId="0" xfId="3" applyNumberFormat="1"/>
    <xf numFmtId="165" fontId="6" fillId="0" borderId="0" xfId="4" applyNumberFormat="1" applyFont="1" applyFill="1" applyBorder="1"/>
    <xf numFmtId="166" fontId="0" fillId="0" borderId="0" xfId="5" applyNumberFormat="1" applyFont="1"/>
    <xf numFmtId="0" fontId="8" fillId="0" borderId="0" xfId="3" applyFont="1"/>
    <xf numFmtId="166" fontId="6" fillId="0" borderId="0" xfId="5" applyNumberFormat="1" applyFont="1" applyAlignment="1">
      <alignment horizontal="center"/>
    </xf>
    <xf numFmtId="0" fontId="6" fillId="0" borderId="6" xfId="3" quotePrefix="1" applyBorder="1" applyAlignment="1">
      <alignment horizontal="center"/>
    </xf>
    <xf numFmtId="165" fontId="6" fillId="0" borderId="0" xfId="4" applyNumberFormat="1" applyFont="1" applyFill="1" applyBorder="1" applyAlignment="1">
      <alignment horizontal="right" wrapText="1"/>
    </xf>
    <xf numFmtId="165" fontId="6" fillId="0" borderId="0" xfId="4" applyNumberFormat="1" applyBorder="1"/>
    <xf numFmtId="10" fontId="6" fillId="0" borderId="0" xfId="5" applyNumberFormat="1" applyFont="1" applyFill="1"/>
    <xf numFmtId="10" fontId="6" fillId="0" borderId="0" xfId="3" applyNumberFormat="1"/>
    <xf numFmtId="10" fontId="0" fillId="0" borderId="0" xfId="5" applyNumberFormat="1" applyFont="1"/>
    <xf numFmtId="165" fontId="6" fillId="0" borderId="0" xfId="4" applyNumberFormat="1" applyFont="1" applyFill="1" applyBorder="1" applyAlignment="1">
      <alignment horizontal="right"/>
    </xf>
    <xf numFmtId="165" fontId="6" fillId="0" borderId="6" xfId="4" applyNumberFormat="1" applyFont="1" applyFill="1" applyBorder="1" applyAlignment="1">
      <alignment horizontal="right"/>
    </xf>
    <xf numFmtId="165" fontId="6" fillId="0" borderId="6" xfId="4" applyNumberFormat="1" applyBorder="1"/>
    <xf numFmtId="165" fontId="6" fillId="0" borderId="6" xfId="3" applyNumberFormat="1" applyBorder="1"/>
    <xf numFmtId="10" fontId="6" fillId="0" borderId="6" xfId="3" applyNumberFormat="1" applyBorder="1"/>
    <xf numFmtId="10" fontId="6" fillId="0" borderId="0" xfId="5" applyNumberFormat="1" applyFont="1" applyBorder="1"/>
    <xf numFmtId="10" fontId="6" fillId="0" borderId="6" xfId="5" applyNumberFormat="1" applyFont="1" applyFill="1" applyBorder="1"/>
    <xf numFmtId="5" fontId="6" fillId="0" borderId="0" xfId="3" applyNumberFormat="1"/>
    <xf numFmtId="0" fontId="6" fillId="0" borderId="0" xfId="3" quotePrefix="1" applyAlignment="1">
      <alignment horizontal="left"/>
    </xf>
    <xf numFmtId="165" fontId="6" fillId="0" borderId="7" xfId="4" applyNumberFormat="1" applyFont="1" applyBorder="1"/>
    <xf numFmtId="10" fontId="6" fillId="0" borderId="7" xfId="5" applyNumberFormat="1" applyFont="1" applyBorder="1"/>
    <xf numFmtId="10" fontId="6" fillId="0" borderId="7" xfId="5" applyNumberFormat="1" applyFont="1" applyFill="1" applyBorder="1"/>
    <xf numFmtId="165" fontId="6" fillId="0" borderId="0" xfId="5" applyNumberFormat="1" applyFont="1" applyFill="1" applyBorder="1"/>
    <xf numFmtId="166" fontId="6" fillId="0" borderId="0" xfId="5" applyNumberFormat="1" applyFont="1" applyFill="1" applyAlignment="1">
      <alignment horizontal="center"/>
    </xf>
    <xf numFmtId="165" fontId="6" fillId="0" borderId="0" xfId="4" applyNumberFormat="1"/>
    <xf numFmtId="165" fontId="6" fillId="0" borderId="0" xfId="4" applyNumberFormat="1" applyFont="1" applyFill="1"/>
    <xf numFmtId="10" fontId="6" fillId="0" borderId="0" xfId="5" applyNumberFormat="1" applyFont="1" applyFill="1" applyBorder="1" applyAlignment="1">
      <alignment horizontal="right" wrapText="1"/>
    </xf>
    <xf numFmtId="165" fontId="6" fillId="0" borderId="0" xfId="7" applyNumberFormat="1" applyFont="1" applyFill="1" applyBorder="1" applyAlignment="1">
      <alignment horizontal="right" wrapText="1"/>
    </xf>
    <xf numFmtId="165" fontId="6" fillId="0" borderId="6" xfId="7" applyNumberFormat="1" applyFont="1" applyFill="1" applyBorder="1" applyAlignment="1">
      <alignment horizontal="right" wrapText="1"/>
    </xf>
    <xf numFmtId="168" fontId="5" fillId="0" borderId="0" xfId="8" applyNumberFormat="1" applyFont="1" applyAlignment="1">
      <alignment horizontal="left"/>
    </xf>
    <xf numFmtId="165" fontId="0" fillId="0" borderId="0" xfId="1" applyNumberFormat="1" applyFont="1"/>
    <xf numFmtId="168" fontId="10" fillId="0" borderId="0" xfId="0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165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right"/>
    </xf>
    <xf numFmtId="10" fontId="10" fillId="0" borderId="0" xfId="2" applyNumberFormat="1" applyFont="1" applyAlignment="1">
      <alignment horizontal="right"/>
    </xf>
    <xf numFmtId="168" fontId="12" fillId="0" borderId="0" xfId="0" applyNumberFormat="1" applyFont="1" applyAlignment="1">
      <alignment horizontal="left"/>
    </xf>
    <xf numFmtId="165" fontId="0" fillId="0" borderId="6" xfId="0" applyNumberFormat="1" applyBorder="1"/>
    <xf numFmtId="49" fontId="13" fillId="0" borderId="0" xfId="8" applyNumberFormat="1" applyFont="1" applyAlignment="1">
      <alignment horizontal="center" wrapText="1"/>
    </xf>
    <xf numFmtId="168" fontId="10" fillId="0" borderId="0" xfId="10" applyNumberFormat="1" applyFont="1" applyAlignment="1">
      <alignment horizontal="left"/>
    </xf>
    <xf numFmtId="0" fontId="0" fillId="0" borderId="0" xfId="0" applyAlignment="1">
      <alignment horizontal="right"/>
    </xf>
    <xf numFmtId="165" fontId="0" fillId="0" borderId="0" xfId="1" applyNumberFormat="1" applyFont="1" applyFill="1"/>
    <xf numFmtId="165" fontId="10" fillId="0" borderId="0" xfId="1" applyNumberFormat="1" applyFont="1" applyFill="1"/>
    <xf numFmtId="168" fontId="4" fillId="0" borderId="0" xfId="8" applyNumberFormat="1" applyAlignment="1">
      <alignment horizontal="left"/>
    </xf>
    <xf numFmtId="165" fontId="5" fillId="0" borderId="0" xfId="1" applyNumberFormat="1" applyFont="1" applyFill="1" applyAlignment="1">
      <alignment horizontal="right"/>
    </xf>
    <xf numFmtId="43" fontId="0" fillId="0" borderId="0" xfId="1" applyFont="1" applyFill="1"/>
    <xf numFmtId="165" fontId="5" fillId="0" borderId="6" xfId="1" applyNumberFormat="1" applyFont="1" applyFill="1" applyBorder="1" applyAlignment="1">
      <alignment horizontal="right"/>
    </xf>
    <xf numFmtId="0" fontId="0" fillId="0" borderId="6" xfId="0" applyBorder="1"/>
    <xf numFmtId="165" fontId="0" fillId="0" borderId="6" xfId="1" applyNumberFormat="1" applyFont="1" applyBorder="1"/>
    <xf numFmtId="0" fontId="16" fillId="0" borderId="0" xfId="0" applyFont="1"/>
    <xf numFmtId="0" fontId="17" fillId="0" borderId="0" xfId="0" applyFont="1"/>
    <xf numFmtId="0" fontId="3" fillId="0" borderId="0" xfId="0" applyFont="1"/>
    <xf numFmtId="164" fontId="16" fillId="0" borderId="0" xfId="1" applyNumberFormat="1" applyFont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0" fontId="6" fillId="0" borderId="0" xfId="12" applyFont="1"/>
    <xf numFmtId="0" fontId="6" fillId="0" borderId="0" xfId="12" quotePrefix="1" applyFont="1" applyAlignment="1">
      <alignment horizontal="center" wrapText="1"/>
    </xf>
    <xf numFmtId="0" fontId="6" fillId="0" borderId="6" xfId="12" applyFont="1" applyBorder="1" applyAlignment="1">
      <alignment horizontal="center" wrapText="1"/>
    </xf>
    <xf numFmtId="0" fontId="6" fillId="0" borderId="6" xfId="12" quotePrefix="1" applyFont="1" applyBorder="1" applyAlignment="1">
      <alignment horizontal="center" wrapText="1"/>
    </xf>
    <xf numFmtId="10" fontId="6" fillId="0" borderId="0" xfId="13" applyNumberFormat="1" applyFont="1" applyFill="1" applyAlignment="1">
      <alignment horizontal="center"/>
    </xf>
    <xf numFmtId="0" fontId="6" fillId="0" borderId="0" xfId="12" quotePrefix="1" applyFont="1" applyAlignment="1">
      <alignment horizontal="left"/>
    </xf>
    <xf numFmtId="165" fontId="6" fillId="0" borderId="0" xfId="12" applyNumberFormat="1" applyFont="1"/>
    <xf numFmtId="37" fontId="6" fillId="0" borderId="6" xfId="14" applyNumberFormat="1" applyFont="1" applyBorder="1"/>
    <xf numFmtId="165" fontId="6" fillId="0" borderId="6" xfId="15" applyNumberFormat="1" applyFont="1" applyFill="1" applyBorder="1"/>
    <xf numFmtId="165" fontId="6" fillId="0" borderId="0" xfId="15" applyNumberFormat="1" applyFont="1" applyFill="1" applyBorder="1"/>
    <xf numFmtId="0" fontId="8" fillId="0" borderId="0" xfId="12" quotePrefix="1" applyFont="1" applyAlignment="1">
      <alignment horizontal="left"/>
    </xf>
    <xf numFmtId="37" fontId="6" fillId="0" borderId="0" xfId="14" applyNumberFormat="1" applyFont="1"/>
    <xf numFmtId="165" fontId="15" fillId="0" borderId="0" xfId="12" applyNumberFormat="1" applyFont="1"/>
    <xf numFmtId="0" fontId="15" fillId="0" borderId="0" xfId="12" applyFont="1"/>
    <xf numFmtId="165" fontId="15" fillId="0" borderId="0" xfId="15" applyNumberFormat="1" applyFont="1" applyFill="1"/>
    <xf numFmtId="43" fontId="1" fillId="0" borderId="0" xfId="1" applyFont="1" applyFill="1"/>
    <xf numFmtId="0" fontId="8" fillId="0" borderId="0" xfId="12" applyFont="1"/>
    <xf numFmtId="165" fontId="15" fillId="0" borderId="0" xfId="15" applyNumberFormat="1" applyFont="1"/>
    <xf numFmtId="165" fontId="6" fillId="0" borderId="6" xfId="12" applyNumberFormat="1" applyFont="1" applyBorder="1"/>
    <xf numFmtId="168" fontId="1" fillId="0" borderId="0" xfId="12" applyNumberFormat="1" applyAlignment="1">
      <alignment horizontal="left"/>
    </xf>
    <xf numFmtId="165" fontId="15" fillId="0" borderId="0" xfId="15" applyNumberFormat="1" applyFont="1" applyFill="1" applyAlignment="1">
      <alignment horizontal="right"/>
    </xf>
    <xf numFmtId="168" fontId="12" fillId="0" borderId="0" xfId="10" applyNumberFormat="1" applyFont="1" applyAlignment="1">
      <alignment horizontal="right"/>
    </xf>
    <xf numFmtId="0" fontId="16" fillId="0" borderId="0" xfId="0" applyFont="1" applyAlignment="1">
      <alignment horizontal="center"/>
    </xf>
    <xf numFmtId="164" fontId="16" fillId="0" borderId="6" xfId="1" applyNumberFormat="1" applyFont="1" applyFill="1" applyBorder="1"/>
    <xf numFmtId="164" fontId="16" fillId="0" borderId="0" xfId="1" applyNumberFormat="1" applyFont="1" applyFill="1"/>
    <xf numFmtId="169" fontId="16" fillId="0" borderId="0" xfId="0" applyNumberFormat="1" applyFont="1"/>
    <xf numFmtId="0" fontId="7" fillId="0" borderId="2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quotePrefix="1" applyFont="1" applyAlignment="1">
      <alignment horizontal="center"/>
    </xf>
    <xf numFmtId="0" fontId="20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164" fontId="16" fillId="0" borderId="0" xfId="1" applyNumberFormat="1" applyFont="1" applyAlignment="1">
      <alignment horizontal="center"/>
    </xf>
  </cellXfs>
  <cellStyles count="16">
    <cellStyle name="Comma" xfId="1" builtinId="3"/>
    <cellStyle name="Comma 110 2" xfId="15" xr:uid="{5CEF9D47-8296-489F-BA28-DE4213E69FC9}"/>
    <cellStyle name="Comma 2" xfId="4" xr:uid="{FDB0876B-58E5-4A09-920E-4DE1D0404915}"/>
    <cellStyle name="Comma 86" xfId="7" xr:uid="{38379E44-F754-42B4-B224-681BAC48A084}"/>
    <cellStyle name="Normal" xfId="0" builtinId="0"/>
    <cellStyle name="Normal 10" xfId="3" xr:uid="{1F241802-616B-44E8-9B0B-2729EB4EF68C}"/>
    <cellStyle name="Normal 11 17" xfId="9" xr:uid="{539D653D-A5E7-4BD2-8AE8-B97DB6C28142}"/>
    <cellStyle name="Normal 145" xfId="6" xr:uid="{5C5BE337-9078-4755-8D7C-4309A64A2C33}"/>
    <cellStyle name="Normal 46" xfId="8" xr:uid="{71144D9E-FC75-40B6-B704-13D3BA8ED1D8}"/>
    <cellStyle name="Normal 51" xfId="14" xr:uid="{C155E974-8BD2-41B6-B76A-A16BAA33C798}"/>
    <cellStyle name="Normal 58" xfId="12" xr:uid="{ED9F2E7A-7D34-4816-84B4-208BD800E571}"/>
    <cellStyle name="Normal 62" xfId="10" xr:uid="{DFFE0130-CECC-46FD-A69A-2F5AD71DA2BF}"/>
    <cellStyle name="Percent" xfId="2" builtinId="5"/>
    <cellStyle name="Percent 15" xfId="11" xr:uid="{31280867-3402-4C9B-BDF5-D70755607AC4}"/>
    <cellStyle name="Percent 2" xfId="5" xr:uid="{1DD1B660-E9FF-461A-98D8-D1BED7D899AD}"/>
    <cellStyle name="Percent 2 7" xfId="13" xr:uid="{C95E9F22-2AC3-4928-9F82-9C076AC2E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plcorp-my.sharepoint.com/personal/dmccombs_pplweb_com/Documents/Documents/KY%20Rate%20Case/2025%20KY%20Rate%20Case%20-%20KU%20Recon%20of%20Cap%20and%20Rate%20Base-Forecast%20Period%20(Draft)%20-%20ERRATA%20UPDATE%209.21.25.xlsx" TargetMode="External"/><Relationship Id="rId1" Type="http://schemas.openxmlformats.org/officeDocument/2006/relationships/externalLinkPath" Target="2025%20KY%20Rate%20Case%20-%20KU%20Recon%20of%20Cap%20and%20Rate%20Base-Forecast%20Period%20(Draft)%20-%20ERRATA%20UPDATE%209.2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ling Requirement"/>
      <sheetName val="KU FR 16(6)(f) Old"/>
      <sheetName val="KU FR 16(6)(f)"/>
      <sheetName val="Adjustments"/>
      <sheetName val="SCH B-5.2 F (2)"/>
      <sheetName val="Detail Recon Wkpr"/>
      <sheetName val="Cap vs. RB Detail"/>
      <sheetName val="BS"/>
      <sheetName val="SCH J-1.1|J-1.2"/>
      <sheetName val="SCH B-1.1 F"/>
      <sheetName val="SCH B-8"/>
      <sheetName val="SCH B-1"/>
      <sheetName val="BS1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C104">
            <v>-21397234.468006782</v>
          </cell>
          <cell r="D104">
            <v>50581380.033076726</v>
          </cell>
          <cell r="E104">
            <v>-1412103.3162497878</v>
          </cell>
          <cell r="F104">
            <v>485423.27153848205</v>
          </cell>
          <cell r="G104">
            <v>-36819439.427585237</v>
          </cell>
          <cell r="H104">
            <v>-23231684.04675778</v>
          </cell>
          <cell r="I104">
            <v>-110823046.20922557</v>
          </cell>
          <cell r="J104">
            <v>-287881.30000000005</v>
          </cell>
        </row>
      </sheetData>
      <sheetData sheetId="7"/>
      <sheetData sheetId="8">
        <row r="16">
          <cell r="G16">
            <v>0.93259999999999998</v>
          </cell>
        </row>
        <row r="46">
          <cell r="G46">
            <v>-323302.09999999998</v>
          </cell>
          <cell r="J46">
            <v>-426922.16911220551</v>
          </cell>
          <cell r="K46">
            <v>1064274.6399999999</v>
          </cell>
          <cell r="L46">
            <v>-6088532.8899999997</v>
          </cell>
          <cell r="M46">
            <v>1748072.81</v>
          </cell>
        </row>
      </sheetData>
      <sheetData sheetId="9">
        <row r="38">
          <cell r="X38">
            <v>43432606.866670325</v>
          </cell>
        </row>
        <row r="54">
          <cell r="T54">
            <v>5126542.6964351833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1231-A734-406E-98D5-99D76E7757B4}">
  <sheetPr>
    <pageSetUpPr fitToPage="1"/>
  </sheetPr>
  <dimension ref="A1:V36"/>
  <sheetViews>
    <sheetView tabSelected="1" showWhiteSpace="0" zoomScale="85" zoomScaleNormal="85" workbookViewId="0">
      <selection activeCell="B7" sqref="B7"/>
    </sheetView>
  </sheetViews>
  <sheetFormatPr defaultColWidth="9.08984375" defaultRowHeight="15.5" x14ac:dyDescent="0.35"/>
  <cols>
    <col min="1" max="1" width="3.54296875" style="84" customWidth="1"/>
    <col min="2" max="2" width="94.54296875" style="84" bestFit="1" customWidth="1"/>
    <col min="3" max="3" width="9.08984375" style="84"/>
    <col min="4" max="4" width="10.36328125" style="87" bestFit="1" customWidth="1"/>
    <col min="5" max="5" width="1.90625" style="87" customWidth="1"/>
    <col min="6" max="6" width="10.36328125" style="87" bestFit="1" customWidth="1"/>
    <col min="7" max="7" width="1.54296875" style="87" customWidth="1"/>
    <col min="8" max="8" width="9.08984375" style="87"/>
    <col min="9" max="9" width="35.6328125" style="84" bestFit="1" customWidth="1"/>
    <col min="10" max="16384" width="9.08984375" style="84"/>
  </cols>
  <sheetData>
    <row r="1" spans="1:22" x14ac:dyDescent="0.35">
      <c r="A1" s="118" t="s">
        <v>12</v>
      </c>
      <c r="B1" s="118"/>
      <c r="C1" s="118"/>
      <c r="D1" s="118"/>
      <c r="E1" s="118"/>
      <c r="F1" s="118"/>
      <c r="G1" s="118"/>
      <c r="H1" s="118"/>
      <c r="I1" s="118"/>
      <c r="J1" s="117"/>
      <c r="K1" s="117"/>
      <c r="L1" s="117"/>
      <c r="M1" s="117"/>
      <c r="N1" s="117"/>
      <c r="O1" s="117"/>
    </row>
    <row r="2" spans="1:22" x14ac:dyDescent="0.35">
      <c r="A2" s="119" t="s">
        <v>115</v>
      </c>
      <c r="B2" s="119"/>
      <c r="C2" s="119"/>
      <c r="D2" s="119"/>
      <c r="E2" s="119"/>
      <c r="F2" s="119"/>
      <c r="G2" s="119"/>
      <c r="H2" s="119"/>
      <c r="I2" s="119"/>
      <c r="J2" s="9"/>
      <c r="K2" s="9"/>
      <c r="L2" s="9"/>
      <c r="M2" s="9"/>
      <c r="N2" s="9"/>
      <c r="O2" s="9"/>
    </row>
    <row r="3" spans="1:22" x14ac:dyDescent="0.35">
      <c r="A3" s="119" t="s">
        <v>116</v>
      </c>
      <c r="B3" s="119"/>
      <c r="C3" s="119"/>
      <c r="D3" s="119"/>
      <c r="E3" s="119"/>
      <c r="F3" s="119"/>
      <c r="G3" s="119"/>
      <c r="H3" s="119"/>
      <c r="I3" s="119"/>
      <c r="J3" s="9"/>
      <c r="K3" s="9"/>
      <c r="L3" s="9"/>
      <c r="M3" s="9"/>
      <c r="N3" s="9"/>
      <c r="O3" s="9"/>
    </row>
    <row r="4" spans="1:22" x14ac:dyDescent="0.35">
      <c r="A4" s="119" t="s">
        <v>15</v>
      </c>
      <c r="B4" s="119"/>
      <c r="C4" s="119"/>
      <c r="D4" s="119"/>
      <c r="E4" s="119"/>
      <c r="F4" s="119"/>
      <c r="G4" s="119"/>
      <c r="H4" s="119"/>
      <c r="I4" s="119"/>
      <c r="J4" s="9"/>
      <c r="K4" s="9"/>
      <c r="L4" s="9"/>
      <c r="M4" s="9"/>
      <c r="N4" s="9"/>
      <c r="O4" s="9"/>
    </row>
    <row r="5" spans="1:22" x14ac:dyDescent="0.35">
      <c r="A5" s="119" t="s">
        <v>16</v>
      </c>
      <c r="B5" s="119"/>
      <c r="C5" s="119"/>
      <c r="D5" s="119"/>
      <c r="E5" s="119"/>
      <c r="F5" s="119"/>
      <c r="G5" s="119"/>
      <c r="H5" s="119"/>
      <c r="I5" s="119"/>
      <c r="J5" s="9"/>
      <c r="K5" s="9"/>
      <c r="L5" s="9"/>
      <c r="M5" s="9"/>
      <c r="N5" s="9"/>
      <c r="O5" s="9"/>
    </row>
    <row r="7" spans="1:22" x14ac:dyDescent="0.35">
      <c r="B7" s="84" t="s">
        <v>160</v>
      </c>
      <c r="D7" s="123" t="s">
        <v>1</v>
      </c>
      <c r="E7" s="123"/>
      <c r="F7" s="123" t="s">
        <v>177</v>
      </c>
      <c r="G7" s="123"/>
      <c r="H7" s="123" t="s">
        <v>178</v>
      </c>
    </row>
    <row r="8" spans="1:22" x14ac:dyDescent="0.35">
      <c r="A8" s="85" t="s">
        <v>172</v>
      </c>
    </row>
    <row r="9" spans="1:22" ht="18.5" x14ac:dyDescent="0.35">
      <c r="B9" s="86" t="s">
        <v>113</v>
      </c>
      <c r="D9" s="87">
        <f>'CMG-2 KU and LGE Summ Rev Req '!J15</f>
        <v>-9.062317901214243</v>
      </c>
      <c r="F9" s="87">
        <f>'CMG-2 KU and LGE Summ Rev Req '!L15</f>
        <v>0.54537596317365156</v>
      </c>
      <c r="H9" s="87">
        <f>'CMG-2 KU and LGE Summ Rev Req '!N15</f>
        <v>-4.6471679256742062</v>
      </c>
    </row>
    <row r="10" spans="1:22" ht="18.5" x14ac:dyDescent="0.35">
      <c r="B10" s="86" t="s">
        <v>152</v>
      </c>
      <c r="D10" s="87">
        <f>'CMG-2 Detail'!D58*'CMG-2 Capitalization - COC'!J16*'CMG-2 Capitalization - COC'!Z18/1000000</f>
        <v>7.8014218619178788</v>
      </c>
      <c r="F10" s="87">
        <f>'CMG-2 Detail'!F104*'CMG-2 Capitalization - COC'!V32/1000000</f>
        <v>3.5166109534527807</v>
      </c>
      <c r="H10" s="87">
        <f>'CMG-2 Detail'!F105*'CMG-2 Capitalization - COC'!V45/1000000</f>
        <v>1.7834809130924805</v>
      </c>
    </row>
    <row r="11" spans="1:22" ht="18.5" x14ac:dyDescent="0.35">
      <c r="B11" s="86" t="s">
        <v>153</v>
      </c>
      <c r="D11" s="115"/>
      <c r="E11" s="115"/>
      <c r="F11" s="115">
        <f>-(('CMG-2 Detail'!E14)*'CMG-2 Capitalization - COC'!V32)/1000000</f>
        <v>-1.2384369004917197</v>
      </c>
      <c r="G11" s="115"/>
      <c r="H11" s="115">
        <f>-(('CMG-2 Detail'!F14)*'CMG-2 Capitalization - COC'!V45)/1000000</f>
        <v>-0.62808442654930485</v>
      </c>
      <c r="I11" s="84" t="s">
        <v>151</v>
      </c>
      <c r="K11" s="113"/>
      <c r="L11" s="113"/>
    </row>
    <row r="12" spans="1:22" ht="18.5" x14ac:dyDescent="0.35">
      <c r="B12" s="86" t="s">
        <v>154</v>
      </c>
      <c r="D12" s="115">
        <f>-('CMG-2 Detail'!B7*'CMG-2 Capitalization - COC'!J14*'CMG-2 Capitalization - COC'!Z18)/1000000</f>
        <v>-0.252489137787684</v>
      </c>
      <c r="E12" s="115"/>
      <c r="F12" s="115">
        <f>-(('CMG-2 Detail'!E11)*'CMG-2 Capitalization - COC'!V32)/1000000</f>
        <v>-9.2079430942476101E-2</v>
      </c>
      <c r="G12" s="115"/>
      <c r="H12" s="115">
        <f>-(('CMG-2 Detail'!F11)*'CMG-2 Capitalization - COC'!V45)/1000000</f>
        <v>-5.0863897514652111E-2</v>
      </c>
      <c r="I12" s="84" t="s">
        <v>151</v>
      </c>
    </row>
    <row r="13" spans="1:22" ht="18.5" x14ac:dyDescent="0.35">
      <c r="B13" s="86" t="s">
        <v>169</v>
      </c>
      <c r="D13" s="114">
        <f>'CMG-2 Detail'!B8*'CMG-2 Capitalization - COC'!J16*'CMG-2 Capitalization - COC'!Z18/1000000</f>
        <v>-3.5646271418758677E-3</v>
      </c>
      <c r="E13" s="114"/>
      <c r="F13" s="114">
        <f>'CMG-2 Detail'!E12*'CMG-2 Capitalization - COC'!V32/1000000</f>
        <v>0.16480842790584313</v>
      </c>
      <c r="G13" s="114"/>
      <c r="H13" s="114">
        <f>-'CMG-2 Detail'!I12*'CMG-2 Capitalization - COC'!V32/1000000</f>
        <v>-7.8633443990184584E-2</v>
      </c>
      <c r="I13" s="84" t="s">
        <v>151</v>
      </c>
    </row>
    <row r="14" spans="1:22" x14ac:dyDescent="0.35">
      <c r="B14" s="84" t="s">
        <v>173</v>
      </c>
      <c r="D14" s="115">
        <f>SUM(D9:D12)</f>
        <v>-1.5133851770840483</v>
      </c>
      <c r="E14" s="115"/>
      <c r="F14" s="115">
        <f>SUM(F9:F12)</f>
        <v>2.7314705851922372</v>
      </c>
      <c r="G14" s="115"/>
      <c r="H14" s="115">
        <f>SUM(H9:H12)</f>
        <v>-3.5426353366456822</v>
      </c>
      <c r="R14" s="116"/>
      <c r="T14" s="116"/>
      <c r="V14" s="116"/>
    </row>
    <row r="15" spans="1:22" x14ac:dyDescent="0.35">
      <c r="D15" s="115"/>
      <c r="E15" s="115"/>
      <c r="F15" s="115"/>
      <c r="G15" s="115"/>
      <c r="H15" s="115"/>
    </row>
    <row r="16" spans="1:22" x14ac:dyDescent="0.35">
      <c r="D16" s="115"/>
      <c r="E16" s="115"/>
      <c r="F16" s="115"/>
      <c r="G16" s="115"/>
      <c r="H16" s="115"/>
    </row>
    <row r="17" spans="1:22" x14ac:dyDescent="0.35">
      <c r="A17" s="85" t="s">
        <v>147</v>
      </c>
      <c r="D17" s="115"/>
      <c r="E17" s="115"/>
      <c r="F17" s="115"/>
      <c r="G17" s="115"/>
      <c r="H17" s="115"/>
    </row>
    <row r="18" spans="1:22" ht="18.5" x14ac:dyDescent="0.35">
      <c r="B18" s="86" t="s">
        <v>114</v>
      </c>
      <c r="D18" s="115">
        <f>'CMG-2 KU and LGE Summ Rev Req '!J19</f>
        <v>-10.922902874261602</v>
      </c>
      <c r="E18" s="115"/>
      <c r="F18" s="115">
        <f>'CMG-2 KU and LGE Summ Rev Req '!L19</f>
        <v>-9.9442627325142059</v>
      </c>
      <c r="G18" s="115"/>
      <c r="H18" s="115">
        <f>'CMG-2 KU and LGE Summ Rev Req '!N19</f>
        <v>-5.6164031329169584</v>
      </c>
      <c r="R18" s="116"/>
      <c r="T18" s="116"/>
      <c r="V18" s="116"/>
    </row>
    <row r="19" spans="1:22" ht="18.5" x14ac:dyDescent="0.35">
      <c r="B19" s="86" t="s">
        <v>153</v>
      </c>
      <c r="D19" s="115">
        <f>-D11</f>
        <v>0</v>
      </c>
      <c r="E19" s="115"/>
      <c r="F19" s="115">
        <f>-F11</f>
        <v>1.2384369004917197</v>
      </c>
      <c r="G19" s="115"/>
      <c r="H19" s="115">
        <f>-H11</f>
        <v>0.62808442654930485</v>
      </c>
      <c r="R19" s="116"/>
      <c r="T19" s="116"/>
      <c r="V19" s="116"/>
    </row>
    <row r="20" spans="1:22" ht="18.5" x14ac:dyDescent="0.35">
      <c r="B20" s="86" t="s">
        <v>154</v>
      </c>
      <c r="D20" s="115">
        <f>-D12</f>
        <v>0.252489137787684</v>
      </c>
      <c r="E20" s="115"/>
      <c r="F20" s="115">
        <f>-F12</f>
        <v>9.2079430942476101E-2</v>
      </c>
      <c r="G20" s="115"/>
      <c r="H20" s="115">
        <f>-H12</f>
        <v>5.0863897514652111E-2</v>
      </c>
      <c r="R20" s="116"/>
      <c r="T20" s="116"/>
      <c r="V20" s="116"/>
    </row>
    <row r="21" spans="1:22" x14ac:dyDescent="0.35">
      <c r="B21" s="84" t="s">
        <v>148</v>
      </c>
      <c r="D21" s="114">
        <f>-SUM(D19:D20)*0.2495</f>
        <v>-6.2996039878027155E-2</v>
      </c>
      <c r="E21" s="114"/>
      <c r="F21" s="114">
        <f>-SUM(F19:F20)*0.2495</f>
        <v>-0.33196382469283187</v>
      </c>
      <c r="G21" s="114"/>
      <c r="H21" s="114">
        <f>-SUM(H19:H20)*0.2495</f>
        <v>-0.16939760685395727</v>
      </c>
      <c r="R21" s="116"/>
      <c r="T21" s="116"/>
      <c r="V21" s="116"/>
    </row>
    <row r="22" spans="1:22" x14ac:dyDescent="0.35">
      <c r="B22" s="86" t="s">
        <v>161</v>
      </c>
      <c r="D22" s="115">
        <f>SUM(D18:D21)</f>
        <v>-10.733409776351944</v>
      </c>
      <c r="E22" s="115"/>
      <c r="F22" s="115">
        <f>SUM(F18:F21)</f>
        <v>-8.9457102257728405</v>
      </c>
      <c r="G22" s="115"/>
      <c r="H22" s="115">
        <f>SUM(H18:H21)</f>
        <v>-5.1068524157069586</v>
      </c>
      <c r="R22" s="116"/>
      <c r="T22" s="116"/>
      <c r="V22" s="116"/>
    </row>
    <row r="23" spans="1:22" x14ac:dyDescent="0.35">
      <c r="D23" s="115"/>
      <c r="E23" s="115"/>
      <c r="F23" s="115"/>
      <c r="G23" s="115"/>
      <c r="H23" s="115"/>
    </row>
    <row r="24" spans="1:22" x14ac:dyDescent="0.35">
      <c r="D24" s="115"/>
      <c r="E24" s="115"/>
      <c r="F24" s="115"/>
      <c r="G24" s="115"/>
      <c r="H24" s="115"/>
    </row>
    <row r="25" spans="1:22" x14ac:dyDescent="0.35">
      <c r="A25" s="85" t="s">
        <v>174</v>
      </c>
      <c r="D25" s="115"/>
      <c r="E25" s="115"/>
      <c r="F25" s="115"/>
      <c r="G25" s="115"/>
      <c r="H25" s="115"/>
    </row>
    <row r="26" spans="1:22" ht="18.5" x14ac:dyDescent="0.35">
      <c r="B26" s="86" t="s">
        <v>163</v>
      </c>
      <c r="D26" s="115">
        <f>'CMG-2 KU and LGE Summ Rev Req '!J20</f>
        <v>-0.20957310423186515</v>
      </c>
      <c r="E26" s="115"/>
      <c r="F26" s="115">
        <v>0</v>
      </c>
      <c r="G26" s="115"/>
      <c r="H26" s="115">
        <f>'CMG-2 KU and LGE Summ Rev Req '!N20</f>
        <v>-0.14353749913098673</v>
      </c>
      <c r="R26" s="116"/>
      <c r="T26" s="116"/>
      <c r="V26" s="116"/>
    </row>
    <row r="27" spans="1:22" ht="18.5" x14ac:dyDescent="0.35">
      <c r="B27" s="86" t="s">
        <v>169</v>
      </c>
      <c r="D27" s="115">
        <f>-D13</f>
        <v>3.5646271418758677E-3</v>
      </c>
      <c r="E27" s="115"/>
      <c r="F27" s="115">
        <f>-F13</f>
        <v>-0.16480842790584313</v>
      </c>
      <c r="G27" s="115"/>
      <c r="H27" s="115">
        <f>-H13</f>
        <v>7.8633443990184584E-2</v>
      </c>
      <c r="R27" s="116"/>
      <c r="T27" s="116"/>
      <c r="V27" s="116"/>
    </row>
    <row r="28" spans="1:22" x14ac:dyDescent="0.35">
      <c r="B28" s="84" t="s">
        <v>149</v>
      </c>
      <c r="D28" s="114">
        <f>-SUM(D26:D27)*0.2495</f>
        <v>5.1399115033952329E-2</v>
      </c>
      <c r="E28" s="114"/>
      <c r="F28" s="114">
        <f>-SUM(F26:F27)*0.2495</f>
        <v>4.1119702762507863E-2</v>
      </c>
      <c r="G28" s="114"/>
      <c r="H28" s="114">
        <f>-SUM(H26:H27)*0.2495</f>
        <v>1.6193561757630138E-2</v>
      </c>
      <c r="R28" s="116"/>
      <c r="T28" s="116"/>
      <c r="V28" s="116"/>
    </row>
    <row r="29" spans="1:22" x14ac:dyDescent="0.35">
      <c r="B29" s="86" t="s">
        <v>175</v>
      </c>
      <c r="D29" s="87">
        <f>SUM(D26:D28)</f>
        <v>-0.15460936205603695</v>
      </c>
      <c r="F29" s="87">
        <f>SUM(F26:F28)</f>
        <v>-0.12368872514333526</v>
      </c>
      <c r="H29" s="87">
        <f>SUM(H26:H28)</f>
        <v>-4.8710493383172015E-2</v>
      </c>
      <c r="R29" s="116"/>
      <c r="T29" s="116"/>
      <c r="V29" s="116"/>
    </row>
    <row r="32" spans="1:22" ht="18.5" x14ac:dyDescent="0.35">
      <c r="B32" s="84" t="s">
        <v>171</v>
      </c>
    </row>
    <row r="33" spans="2:2" ht="18.5" x14ac:dyDescent="0.35">
      <c r="B33" s="84" t="s">
        <v>164</v>
      </c>
    </row>
    <row r="34" spans="2:2" ht="18.5" x14ac:dyDescent="0.35">
      <c r="B34" s="84" t="s">
        <v>159</v>
      </c>
    </row>
    <row r="35" spans="2:2" ht="18.5" x14ac:dyDescent="0.35">
      <c r="B35" s="84" t="s">
        <v>158</v>
      </c>
    </row>
    <row r="36" spans="2:2" ht="18.5" x14ac:dyDescent="0.35">
      <c r="B36" s="84" t="s">
        <v>170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69" orientation="landscape" r:id="rId1"/>
  <headerFooter>
    <oddHeader>&amp;R&amp;"-,Bold"Rebuttal Exhibit CMG-2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496E-D54F-4E74-994B-41CDAB30DC51}">
  <dimension ref="A1:I105"/>
  <sheetViews>
    <sheetView topLeftCell="A4" workbookViewId="0">
      <selection activeCell="A12" sqref="A12"/>
    </sheetView>
  </sheetViews>
  <sheetFormatPr defaultRowHeight="14.5" x14ac:dyDescent="0.35"/>
  <cols>
    <col min="1" max="1" width="65.90625" bestFit="1" customWidth="1"/>
    <col min="2" max="2" width="16" bestFit="1" customWidth="1"/>
    <col min="3" max="3" width="15.36328125" bestFit="1" customWidth="1"/>
    <col min="4" max="5" width="18.08984375" bestFit="1" customWidth="1"/>
    <col min="6" max="6" width="17" bestFit="1" customWidth="1"/>
    <col min="7" max="7" width="20.54296875" bestFit="1" customWidth="1"/>
    <col min="8" max="8" width="12.54296875" bestFit="1" customWidth="1"/>
    <col min="9" max="9" width="14.36328125" bestFit="1" customWidth="1"/>
    <col min="10" max="11" width="11.54296875" bestFit="1" customWidth="1"/>
  </cols>
  <sheetData>
    <row r="1" spans="1:9" x14ac:dyDescent="0.35">
      <c r="A1" s="1" t="s">
        <v>155</v>
      </c>
    </row>
    <row r="2" spans="1:9" x14ac:dyDescent="0.35">
      <c r="A2" s="1" t="s">
        <v>156</v>
      </c>
    </row>
    <row r="3" spans="1:9" x14ac:dyDescent="0.35">
      <c r="A3" s="1" t="s">
        <v>157</v>
      </c>
    </row>
    <row r="5" spans="1:9" x14ac:dyDescent="0.35">
      <c r="A5" s="1" t="s">
        <v>176</v>
      </c>
    </row>
    <row r="6" spans="1:9" ht="29" x14ac:dyDescent="0.35">
      <c r="A6" s="2" t="s">
        <v>165</v>
      </c>
      <c r="B6" s="73" t="s">
        <v>56</v>
      </c>
    </row>
    <row r="7" spans="1:9" x14ac:dyDescent="0.35">
      <c r="A7" s="62" t="s">
        <v>55</v>
      </c>
      <c r="B7" s="63">
        <v>2690858.0952564338</v>
      </c>
    </row>
    <row r="8" spans="1:9" x14ac:dyDescent="0.35">
      <c r="A8" s="64" t="s">
        <v>167</v>
      </c>
      <c r="B8" s="65">
        <v>-37989.379999995232</v>
      </c>
    </row>
    <row r="10" spans="1:9" ht="29" x14ac:dyDescent="0.35">
      <c r="A10" s="2" t="s">
        <v>166</v>
      </c>
      <c r="B10" s="73" t="s">
        <v>56</v>
      </c>
      <c r="C10" s="2" t="s">
        <v>19</v>
      </c>
      <c r="D10" s="2" t="s">
        <v>20</v>
      </c>
      <c r="E10" s="2" t="s">
        <v>19</v>
      </c>
      <c r="F10" s="2" t="s">
        <v>20</v>
      </c>
    </row>
    <row r="11" spans="1:9" x14ac:dyDescent="0.35">
      <c r="A11" s="64" t="s">
        <v>55</v>
      </c>
      <c r="B11" s="63">
        <v>1416252.0833888964</v>
      </c>
      <c r="C11" s="69">
        <v>0.64416739092578712</v>
      </c>
      <c r="D11" s="69">
        <v>0.35583260907421288</v>
      </c>
      <c r="E11" s="67">
        <f>B11*C11</f>
        <v>912303.40944983566</v>
      </c>
      <c r="F11" s="3">
        <f>B11*D11</f>
        <v>503948.67393906071</v>
      </c>
    </row>
    <row r="12" spans="1:9" x14ac:dyDescent="0.35">
      <c r="A12" s="64" t="s">
        <v>58</v>
      </c>
      <c r="B12" s="65">
        <v>2461020.1000000006</v>
      </c>
      <c r="C12" s="70">
        <v>0.66349999999999998</v>
      </c>
      <c r="D12" s="70">
        <v>0.33650000000000002</v>
      </c>
      <c r="E12" s="67">
        <f>B12*C12</f>
        <v>1632886.8363500002</v>
      </c>
      <c r="F12" s="3">
        <f>B12*D12</f>
        <v>828133.26365000021</v>
      </c>
      <c r="G12" s="3">
        <v>1422139</v>
      </c>
      <c r="H12" t="s">
        <v>146</v>
      </c>
      <c r="I12" s="67">
        <f>G12-SUM(F12:F13)</f>
        <v>779083.43171499413</v>
      </c>
    </row>
    <row r="13" spans="1:9" x14ac:dyDescent="0.35">
      <c r="A13" s="64" t="s">
        <v>167</v>
      </c>
      <c r="B13" s="63">
        <v>-550008.00999998301</v>
      </c>
      <c r="C13" s="70">
        <v>0.66349999999999998</v>
      </c>
      <c r="D13" s="70">
        <v>0.33650000000000002</v>
      </c>
      <c r="E13" s="67">
        <f>B13*C13</f>
        <v>-364930.31463498872</v>
      </c>
      <c r="F13" s="3">
        <f>B13*D13</f>
        <v>-185077.69536499429</v>
      </c>
      <c r="G13" s="3"/>
      <c r="I13" s="67"/>
    </row>
    <row r="14" spans="1:9" x14ac:dyDescent="0.35">
      <c r="A14" s="64" t="s">
        <v>57</v>
      </c>
      <c r="B14" s="65">
        <v>18493096.156666666</v>
      </c>
      <c r="C14" s="70">
        <v>0.66349999999999998</v>
      </c>
      <c r="D14" s="70">
        <v>0.33650000000000002</v>
      </c>
      <c r="E14" s="67">
        <f>B14*C14</f>
        <v>12270169.299948333</v>
      </c>
      <c r="F14" s="3">
        <f>B14*D14</f>
        <v>6222926.8567183334</v>
      </c>
    </row>
    <row r="16" spans="1:9" ht="16.5" x14ac:dyDescent="0.35">
      <c r="A16" s="64" t="s">
        <v>168</v>
      </c>
    </row>
    <row r="18" spans="1:5" x14ac:dyDescent="0.35">
      <c r="A18" s="71" t="s">
        <v>59</v>
      </c>
    </row>
    <row r="19" spans="1:5" ht="43.5" x14ac:dyDescent="0.35">
      <c r="A19" s="2" t="s">
        <v>1</v>
      </c>
      <c r="B19" s="73" t="s">
        <v>110</v>
      </c>
      <c r="C19" s="2" t="s">
        <v>111</v>
      </c>
      <c r="D19" s="2" t="s">
        <v>11</v>
      </c>
      <c r="E19" s="2" t="s">
        <v>26</v>
      </c>
    </row>
    <row r="20" spans="1:5" x14ac:dyDescent="0.35">
      <c r="A20" s="62" t="s">
        <v>60</v>
      </c>
      <c r="B20" s="76">
        <v>18995037.650656067</v>
      </c>
      <c r="D20" s="66">
        <f t="shared" ref="D20:D57" si="0">B20-SUM(C20:C20)</f>
        <v>18995037.650656067</v>
      </c>
    </row>
    <row r="21" spans="1:5" x14ac:dyDescent="0.35">
      <c r="A21" s="62" t="s">
        <v>61</v>
      </c>
      <c r="B21" s="76">
        <v>7560206.8829999957</v>
      </c>
      <c r="D21" s="66">
        <f t="shared" si="0"/>
        <v>7560206.8829999957</v>
      </c>
    </row>
    <row r="22" spans="1:5" x14ac:dyDescent="0.35">
      <c r="A22" s="62" t="s">
        <v>62</v>
      </c>
      <c r="B22" s="76">
        <v>8804936.4907692298</v>
      </c>
      <c r="C22" s="76">
        <f>B22</f>
        <v>8804936.4907692298</v>
      </c>
      <c r="D22" s="66">
        <f t="shared" si="0"/>
        <v>0</v>
      </c>
    </row>
    <row r="23" spans="1:5" x14ac:dyDescent="0.35">
      <c r="A23" s="62" t="s">
        <v>63</v>
      </c>
      <c r="B23" s="76">
        <v>1940537.2753846166</v>
      </c>
      <c r="D23" s="66">
        <f t="shared" si="0"/>
        <v>1940537.2753846166</v>
      </c>
    </row>
    <row r="24" spans="1:5" x14ac:dyDescent="0.35">
      <c r="A24" s="62" t="s">
        <v>64</v>
      </c>
      <c r="B24" s="76">
        <v>9.9999999511055648E-3</v>
      </c>
      <c r="D24" s="66">
        <f t="shared" si="0"/>
        <v>9.9999999511055648E-3</v>
      </c>
    </row>
    <row r="25" spans="1:5" x14ac:dyDescent="0.35">
      <c r="A25" s="62" t="s">
        <v>65</v>
      </c>
      <c r="B25" s="76">
        <v>997671.88384338142</v>
      </c>
      <c r="D25" s="66">
        <f t="shared" si="0"/>
        <v>997671.88384338142</v>
      </c>
    </row>
    <row r="26" spans="1:5" x14ac:dyDescent="0.35">
      <c r="A26" s="62" t="s">
        <v>66</v>
      </c>
      <c r="B26" s="76">
        <v>15596862.200000001</v>
      </c>
      <c r="D26" s="66">
        <f t="shared" si="0"/>
        <v>15596862.200000001</v>
      </c>
    </row>
    <row r="27" spans="1:5" x14ac:dyDescent="0.35">
      <c r="A27" s="62" t="s">
        <v>67</v>
      </c>
      <c r="B27" s="76">
        <v>729770.10628960968</v>
      </c>
      <c r="C27" s="76"/>
      <c r="D27" s="66">
        <f t="shared" si="0"/>
        <v>729770.10628960968</v>
      </c>
    </row>
    <row r="28" spans="1:5" x14ac:dyDescent="0.35">
      <c r="A28" s="62" t="s">
        <v>68</v>
      </c>
      <c r="B28" s="76">
        <v>422632.57025613677</v>
      </c>
      <c r="D28" s="66">
        <f t="shared" si="0"/>
        <v>422632.57025613677</v>
      </c>
    </row>
    <row r="29" spans="1:5" x14ac:dyDescent="0.35">
      <c r="A29" s="62" t="s">
        <v>69</v>
      </c>
      <c r="B29" s="76">
        <v>20532262.192033406</v>
      </c>
      <c r="D29" s="66">
        <f t="shared" si="0"/>
        <v>20532262.192033406</v>
      </c>
    </row>
    <row r="30" spans="1:5" x14ac:dyDescent="0.35">
      <c r="A30" s="62" t="s">
        <v>70</v>
      </c>
      <c r="B30" s="76">
        <v>-57740525.567762643</v>
      </c>
      <c r="C30" s="76">
        <f t="shared" ref="C30:C37" si="1">B30</f>
        <v>-57740525.567762643</v>
      </c>
      <c r="D30" s="66">
        <f t="shared" si="0"/>
        <v>0</v>
      </c>
    </row>
    <row r="31" spans="1:5" x14ac:dyDescent="0.35">
      <c r="A31" s="62" t="s">
        <v>71</v>
      </c>
      <c r="B31" s="76">
        <v>-3266880.6100000003</v>
      </c>
      <c r="C31" s="76">
        <f t="shared" si="1"/>
        <v>-3266880.6100000003</v>
      </c>
      <c r="D31" s="66">
        <f t="shared" si="0"/>
        <v>0</v>
      </c>
    </row>
    <row r="32" spans="1:5" x14ac:dyDescent="0.35">
      <c r="A32" s="62" t="s">
        <v>72</v>
      </c>
      <c r="B32" s="76">
        <v>-123002.70999999998</v>
      </c>
      <c r="C32" s="76">
        <f t="shared" si="1"/>
        <v>-123002.70999999998</v>
      </c>
      <c r="D32" s="66">
        <f t="shared" si="0"/>
        <v>0</v>
      </c>
    </row>
    <row r="33" spans="1:4" x14ac:dyDescent="0.35">
      <c r="A33" s="62" t="s">
        <v>73</v>
      </c>
      <c r="B33" s="76">
        <v>-168720.99969746859</v>
      </c>
      <c r="C33" s="76">
        <f t="shared" si="1"/>
        <v>-168720.99969746859</v>
      </c>
      <c r="D33" s="66">
        <f t="shared" si="0"/>
        <v>0</v>
      </c>
    </row>
    <row r="34" spans="1:4" x14ac:dyDescent="0.35">
      <c r="A34" s="62" t="s">
        <v>74</v>
      </c>
      <c r="B34" s="76">
        <v>-55630960.160769232</v>
      </c>
      <c r="C34" s="76">
        <f t="shared" si="1"/>
        <v>-55630960.160769232</v>
      </c>
      <c r="D34" s="66">
        <f t="shared" si="0"/>
        <v>0</v>
      </c>
    </row>
    <row r="35" spans="1:4" x14ac:dyDescent="0.35">
      <c r="A35" s="62" t="s">
        <v>75</v>
      </c>
      <c r="B35" s="76">
        <v>-1908468.0199999998</v>
      </c>
      <c r="C35" s="76">
        <f t="shared" si="1"/>
        <v>-1908468.0199999998</v>
      </c>
      <c r="D35" s="66">
        <f t="shared" si="0"/>
        <v>0</v>
      </c>
    </row>
    <row r="36" spans="1:4" x14ac:dyDescent="0.35">
      <c r="A36" s="62" t="s">
        <v>76</v>
      </c>
      <c r="B36" s="76">
        <v>-105652.84576310238</v>
      </c>
      <c r="C36" s="76">
        <f t="shared" si="1"/>
        <v>-105652.84576310238</v>
      </c>
      <c r="D36" s="66">
        <f t="shared" si="0"/>
        <v>0</v>
      </c>
    </row>
    <row r="37" spans="1:4" x14ac:dyDescent="0.35">
      <c r="A37" s="62" t="s">
        <v>77</v>
      </c>
      <c r="B37" s="76">
        <v>53845161.584615387</v>
      </c>
      <c r="C37" s="76">
        <f t="shared" si="1"/>
        <v>53845161.584615387</v>
      </c>
      <c r="D37" s="66">
        <f t="shared" si="0"/>
        <v>0</v>
      </c>
    </row>
    <row r="38" spans="1:4" x14ac:dyDescent="0.35">
      <c r="A38" s="62" t="s">
        <v>78</v>
      </c>
      <c r="B38" s="76">
        <v>6833045.6600000048</v>
      </c>
      <c r="D38" s="66">
        <f t="shared" si="0"/>
        <v>6833045.6600000048</v>
      </c>
    </row>
    <row r="39" spans="1:4" x14ac:dyDescent="0.35">
      <c r="A39" s="62" t="s">
        <v>79</v>
      </c>
      <c r="B39" s="76">
        <v>2208005.5799999991</v>
      </c>
      <c r="D39" s="66">
        <f t="shared" si="0"/>
        <v>2208005.5799999991</v>
      </c>
    </row>
    <row r="40" spans="1:4" x14ac:dyDescent="0.35">
      <c r="A40" s="62" t="s">
        <v>80</v>
      </c>
      <c r="B40" s="76">
        <v>9914978.6999999974</v>
      </c>
      <c r="D40" s="66">
        <f t="shared" si="0"/>
        <v>9914978.6999999974</v>
      </c>
    </row>
    <row r="41" spans="1:4" x14ac:dyDescent="0.35">
      <c r="A41" s="62" t="s">
        <v>81</v>
      </c>
      <c r="B41" s="76">
        <v>1357719.9100000006</v>
      </c>
      <c r="D41" s="66">
        <f t="shared" si="0"/>
        <v>1357719.9100000006</v>
      </c>
    </row>
    <row r="42" spans="1:4" x14ac:dyDescent="0.35">
      <c r="A42" s="62" t="s">
        <v>82</v>
      </c>
      <c r="B42" s="76">
        <v>7763597.7479999978</v>
      </c>
      <c r="D42" s="66">
        <f t="shared" si="0"/>
        <v>7763597.7479999978</v>
      </c>
    </row>
    <row r="43" spans="1:4" x14ac:dyDescent="0.35">
      <c r="A43" s="62" t="s">
        <v>83</v>
      </c>
      <c r="B43" s="76">
        <v>4498498.5839999998</v>
      </c>
      <c r="D43" s="66">
        <f t="shared" si="0"/>
        <v>4498498.5839999998</v>
      </c>
    </row>
    <row r="44" spans="1:4" x14ac:dyDescent="0.35">
      <c r="A44" s="62" t="s">
        <v>84</v>
      </c>
      <c r="B44" s="76">
        <v>4838114.4577012314</v>
      </c>
      <c r="D44" s="66">
        <f t="shared" si="0"/>
        <v>4838114.4577012314</v>
      </c>
    </row>
    <row r="45" spans="1:4" x14ac:dyDescent="0.35">
      <c r="A45" s="62" t="s">
        <v>85</v>
      </c>
      <c r="B45" s="76">
        <v>59261617.729999989</v>
      </c>
      <c r="C45" s="76">
        <f>B45</f>
        <v>59261617.729999989</v>
      </c>
      <c r="D45" s="66">
        <f t="shared" si="0"/>
        <v>0</v>
      </c>
    </row>
    <row r="46" spans="1:4" x14ac:dyDescent="0.35">
      <c r="A46" s="62" t="s">
        <v>86</v>
      </c>
      <c r="B46" s="76">
        <v>19254915.883333333</v>
      </c>
      <c r="D46" s="66">
        <f t="shared" si="0"/>
        <v>19254915.883333333</v>
      </c>
    </row>
    <row r="47" spans="1:4" x14ac:dyDescent="0.35">
      <c r="A47" s="62" t="s">
        <v>87</v>
      </c>
      <c r="B47" s="76">
        <v>24713274.860000007</v>
      </c>
      <c r="C47" s="76">
        <f>B47</f>
        <v>24713274.860000007</v>
      </c>
      <c r="D47" s="66">
        <f t="shared" si="0"/>
        <v>0</v>
      </c>
    </row>
    <row r="48" spans="1:4" x14ac:dyDescent="0.35">
      <c r="A48" s="62" t="s">
        <v>88</v>
      </c>
      <c r="B48" s="76">
        <v>1540030.8043333329</v>
      </c>
      <c r="D48" s="66">
        <f t="shared" si="0"/>
        <v>1540030.8043333329</v>
      </c>
    </row>
    <row r="49" spans="1:7" x14ac:dyDescent="0.35">
      <c r="A49" s="62" t="s">
        <v>89</v>
      </c>
      <c r="B49" s="76">
        <v>5354702.4388119718</v>
      </c>
      <c r="C49" s="76"/>
      <c r="D49" s="66">
        <f t="shared" si="0"/>
        <v>5354702.4388119718</v>
      </c>
    </row>
    <row r="50" spans="1:7" x14ac:dyDescent="0.35">
      <c r="A50" s="62" t="s">
        <v>90</v>
      </c>
      <c r="B50" s="77">
        <v>-24923786.910446648</v>
      </c>
      <c r="D50" s="66">
        <f t="shared" si="0"/>
        <v>-24923786.910446648</v>
      </c>
    </row>
    <row r="51" spans="1:7" x14ac:dyDescent="0.35">
      <c r="A51" s="62" t="s">
        <v>91</v>
      </c>
      <c r="B51" s="77">
        <v>-475022.7713247863</v>
      </c>
      <c r="D51" s="66">
        <f t="shared" si="0"/>
        <v>-475022.7713247863</v>
      </c>
    </row>
    <row r="52" spans="1:7" x14ac:dyDescent="0.35">
      <c r="A52" s="62" t="s">
        <v>92</v>
      </c>
      <c r="B52" s="77">
        <v>-2060622.4483492603</v>
      </c>
      <c r="D52" s="66">
        <f t="shared" si="0"/>
        <v>-2060622.4483492603</v>
      </c>
    </row>
    <row r="53" spans="1:7" x14ac:dyDescent="0.35">
      <c r="A53" s="62" t="s">
        <v>93</v>
      </c>
      <c r="B53" s="77">
        <v>-448418.65546346299</v>
      </c>
      <c r="D53" s="66">
        <f t="shared" si="0"/>
        <v>-448418.65546346299</v>
      </c>
    </row>
    <row r="54" spans="1:7" x14ac:dyDescent="0.35">
      <c r="A54" s="78" t="s">
        <v>94</v>
      </c>
      <c r="B54" s="79">
        <v>-252000</v>
      </c>
      <c r="C54" s="80"/>
      <c r="D54" s="66">
        <f t="shared" si="0"/>
        <v>-252000</v>
      </c>
    </row>
    <row r="55" spans="1:7" x14ac:dyDescent="0.35">
      <c r="A55" s="78" t="s">
        <v>95</v>
      </c>
      <c r="B55" s="79">
        <v>-2522817.7307067993</v>
      </c>
      <c r="D55" s="66">
        <f t="shared" si="0"/>
        <v>-2522817.7307067993</v>
      </c>
    </row>
    <row r="56" spans="1:7" x14ac:dyDescent="0.35">
      <c r="A56" s="78" t="s">
        <v>96</v>
      </c>
      <c r="B56" s="79">
        <v>-15265426.132312445</v>
      </c>
      <c r="D56" s="66">
        <f t="shared" si="0"/>
        <v>-15265426.132312445</v>
      </c>
    </row>
    <row r="57" spans="1:7" x14ac:dyDescent="0.35">
      <c r="A57" s="78" t="s">
        <v>97</v>
      </c>
      <c r="B57" s="81">
        <v>-1248229.4312062636</v>
      </c>
      <c r="C57" s="82"/>
      <c r="D57" s="72">
        <f t="shared" si="0"/>
        <v>-1248229.4312062636</v>
      </c>
      <c r="E57" s="2"/>
      <c r="F57" s="2" t="s">
        <v>112</v>
      </c>
    </row>
    <row r="58" spans="1:7" x14ac:dyDescent="0.35">
      <c r="B58" s="63">
        <f>SUM(B20:B57)</f>
        <v>110823046.20922557</v>
      </c>
      <c r="C58" s="66">
        <f>SUM(C20:C57)</f>
        <v>27680779.751392171</v>
      </c>
      <c r="D58" s="66">
        <f>SUM(D20:D57)</f>
        <v>83142266.457833439</v>
      </c>
      <c r="E58" s="66">
        <f>D58*0.2495</f>
        <v>20743995.481229443</v>
      </c>
      <c r="F58" s="66">
        <f>D58-E58</f>
        <v>62398270.976604</v>
      </c>
    </row>
    <row r="59" spans="1:7" x14ac:dyDescent="0.35">
      <c r="A59" s="112" t="s">
        <v>145</v>
      </c>
      <c r="B59" s="83">
        <f>'KU LGE CMG-Exhibit 1'!B15</f>
        <v>110823046.20922557</v>
      </c>
    </row>
    <row r="60" spans="1:7" x14ac:dyDescent="0.35">
      <c r="A60" s="112" t="s">
        <v>108</v>
      </c>
      <c r="B60" s="63">
        <f>B58-B59</f>
        <v>0</v>
      </c>
    </row>
    <row r="61" spans="1:7" x14ac:dyDescent="0.35">
      <c r="A61" s="112"/>
      <c r="B61" s="63"/>
    </row>
    <row r="62" spans="1:7" ht="29" x14ac:dyDescent="0.35">
      <c r="A62" s="2" t="s">
        <v>18</v>
      </c>
      <c r="B62" s="73" t="s">
        <v>56</v>
      </c>
      <c r="C62" s="2" t="s">
        <v>111</v>
      </c>
      <c r="D62" s="2" t="s">
        <v>109</v>
      </c>
      <c r="E62" s="2" t="s">
        <v>150</v>
      </c>
      <c r="F62" s="2" t="s">
        <v>11</v>
      </c>
      <c r="G62" s="2" t="s">
        <v>26</v>
      </c>
    </row>
    <row r="63" spans="1:7" x14ac:dyDescent="0.35">
      <c r="A63" s="74" t="s">
        <v>60</v>
      </c>
      <c r="B63" s="76">
        <v>18995037.650656067</v>
      </c>
      <c r="C63" s="63"/>
      <c r="D63" s="63"/>
      <c r="E63" s="63"/>
      <c r="F63" s="66">
        <f t="shared" ref="F63:F89" si="2">B63-SUM(C63:D63)</f>
        <v>18995037.650656067</v>
      </c>
    </row>
    <row r="64" spans="1:7" x14ac:dyDescent="0.35">
      <c r="A64" s="74" t="s">
        <v>61</v>
      </c>
      <c r="B64" s="76">
        <v>1392922.6559999995</v>
      </c>
      <c r="C64" s="63"/>
      <c r="D64" s="63"/>
      <c r="E64" s="63"/>
      <c r="F64" s="66">
        <f t="shared" si="2"/>
        <v>1392922.6559999995</v>
      </c>
    </row>
    <row r="65" spans="1:6" x14ac:dyDescent="0.35">
      <c r="A65" s="74" t="s">
        <v>62</v>
      </c>
      <c r="B65" s="76">
        <v>11454097.195384612</v>
      </c>
      <c r="C65" s="63">
        <f>B65</f>
        <v>11454097.195384612</v>
      </c>
      <c r="D65" s="63"/>
      <c r="E65" s="63"/>
      <c r="F65" s="66">
        <f t="shared" si="2"/>
        <v>0</v>
      </c>
    </row>
    <row r="66" spans="1:6" x14ac:dyDescent="0.35">
      <c r="A66" s="74" t="s">
        <v>63</v>
      </c>
      <c r="B66" s="76">
        <v>1401710.1000000027</v>
      </c>
      <c r="C66" s="63"/>
      <c r="D66" s="63"/>
      <c r="E66" s="63"/>
      <c r="F66" s="66">
        <f t="shared" si="2"/>
        <v>1401710.1000000027</v>
      </c>
    </row>
    <row r="67" spans="1:6" x14ac:dyDescent="0.35">
      <c r="A67" s="74" t="s">
        <v>99</v>
      </c>
      <c r="B67" s="76">
        <v>3431540.3999999994</v>
      </c>
      <c r="C67" s="63"/>
      <c r="D67" s="63"/>
      <c r="E67" s="63"/>
      <c r="F67" s="66">
        <f t="shared" si="2"/>
        <v>3431540.3999999994</v>
      </c>
    </row>
    <row r="68" spans="1:6" x14ac:dyDescent="0.35">
      <c r="A68" s="74" t="s">
        <v>100</v>
      </c>
      <c r="B68" s="76">
        <v>792311.76498383866</v>
      </c>
      <c r="C68" s="63"/>
      <c r="D68" s="63"/>
      <c r="E68" s="63"/>
      <c r="F68" s="66">
        <f t="shared" si="2"/>
        <v>792311.76498383866</v>
      </c>
    </row>
    <row r="69" spans="1:6" x14ac:dyDescent="0.35">
      <c r="A69" s="74" t="s">
        <v>101</v>
      </c>
      <c r="B69" s="76">
        <v>4378447.4499999993</v>
      </c>
      <c r="C69" s="63"/>
      <c r="D69" s="63"/>
      <c r="E69" s="63"/>
      <c r="F69" s="66">
        <f t="shared" si="2"/>
        <v>4378447.4499999993</v>
      </c>
    </row>
    <row r="70" spans="1:6" x14ac:dyDescent="0.35">
      <c r="A70" s="74" t="s">
        <v>65</v>
      </c>
      <c r="B70" s="63">
        <v>700668.08684302552</v>
      </c>
      <c r="C70" s="63"/>
      <c r="D70" s="63"/>
      <c r="E70" s="63"/>
      <c r="F70" s="66">
        <f t="shared" si="2"/>
        <v>700668.08684302552</v>
      </c>
    </row>
    <row r="71" spans="1:6" x14ac:dyDescent="0.35">
      <c r="A71" s="74" t="s">
        <v>66</v>
      </c>
      <c r="B71" s="63">
        <v>3519897.7100000014</v>
      </c>
      <c r="C71" s="63"/>
      <c r="D71" s="63"/>
      <c r="E71" s="63"/>
      <c r="F71" s="66">
        <f t="shared" si="2"/>
        <v>3519897.7100000014</v>
      </c>
    </row>
    <row r="72" spans="1:6" x14ac:dyDescent="0.35">
      <c r="A72" s="74" t="s">
        <v>102</v>
      </c>
      <c r="B72" s="63">
        <v>2287680.9219368612</v>
      </c>
      <c r="C72" s="63"/>
      <c r="D72" s="63"/>
      <c r="E72" s="63"/>
      <c r="F72" s="66">
        <f t="shared" si="2"/>
        <v>2287680.9219368612</v>
      </c>
    </row>
    <row r="73" spans="1:6" x14ac:dyDescent="0.35">
      <c r="A73" s="74" t="s">
        <v>103</v>
      </c>
      <c r="B73" s="63">
        <v>71791611.365938514</v>
      </c>
      <c r="C73" s="63"/>
      <c r="D73" s="63">
        <f>B73</f>
        <v>71791611.365938514</v>
      </c>
      <c r="E73" s="63"/>
      <c r="F73" s="66">
        <f t="shared" si="2"/>
        <v>0</v>
      </c>
    </row>
    <row r="74" spans="1:6" x14ac:dyDescent="0.35">
      <c r="A74" s="74" t="s">
        <v>69</v>
      </c>
      <c r="B74" s="63">
        <v>9485028.973622201</v>
      </c>
      <c r="C74" s="63"/>
      <c r="D74" s="63"/>
      <c r="E74" s="63"/>
      <c r="F74" s="66">
        <f t="shared" si="2"/>
        <v>9485028.973622201</v>
      </c>
    </row>
    <row r="75" spans="1:6" x14ac:dyDescent="0.35">
      <c r="A75" s="74" t="s">
        <v>70</v>
      </c>
      <c r="B75" s="63">
        <v>-23690101.093765981</v>
      </c>
      <c r="C75" s="63">
        <f>B75</f>
        <v>-23690101.093765981</v>
      </c>
      <c r="D75" s="63"/>
      <c r="E75" s="63"/>
      <c r="F75" s="66">
        <f t="shared" si="2"/>
        <v>0</v>
      </c>
    </row>
    <row r="76" spans="1:6" x14ac:dyDescent="0.35">
      <c r="A76" s="74" t="s">
        <v>77</v>
      </c>
      <c r="B76" s="63">
        <v>16194918.331538461</v>
      </c>
      <c r="C76" s="63">
        <f>B76</f>
        <v>16194918.331538461</v>
      </c>
      <c r="D76" s="63"/>
      <c r="E76" s="63"/>
      <c r="F76" s="66">
        <f t="shared" si="2"/>
        <v>0</v>
      </c>
    </row>
    <row r="77" spans="1:6" x14ac:dyDescent="0.35">
      <c r="A77" s="74" t="s">
        <v>78</v>
      </c>
      <c r="B77" s="63">
        <v>1932074.9799999904</v>
      </c>
      <c r="C77" s="63"/>
      <c r="D77" s="63"/>
      <c r="E77" s="63"/>
      <c r="F77" s="66">
        <f t="shared" si="2"/>
        <v>1932074.9799999904</v>
      </c>
    </row>
    <row r="78" spans="1:6" x14ac:dyDescent="0.35">
      <c r="A78" s="74" t="s">
        <v>80</v>
      </c>
      <c r="B78" s="63">
        <v>7524853.1999999937</v>
      </c>
      <c r="C78" s="63"/>
      <c r="D78" s="63"/>
      <c r="E78" s="63"/>
      <c r="F78" s="66">
        <f t="shared" si="2"/>
        <v>7524853.1999999937</v>
      </c>
    </row>
    <row r="79" spans="1:6" x14ac:dyDescent="0.35">
      <c r="A79" s="74" t="s">
        <v>81</v>
      </c>
      <c r="B79" s="63">
        <v>697863.32999999984</v>
      </c>
      <c r="C79" s="63"/>
      <c r="D79" s="63"/>
      <c r="E79" s="63"/>
      <c r="F79" s="66">
        <f t="shared" si="2"/>
        <v>697863.32999999984</v>
      </c>
    </row>
    <row r="80" spans="1:6" x14ac:dyDescent="0.35">
      <c r="A80" s="74" t="s">
        <v>104</v>
      </c>
      <c r="B80" s="63">
        <v>3252020.2800000003</v>
      </c>
      <c r="C80" s="63"/>
      <c r="D80" s="63"/>
      <c r="E80" s="63"/>
      <c r="F80" s="66">
        <f t="shared" si="2"/>
        <v>3252020.2800000003</v>
      </c>
    </row>
    <row r="81" spans="1:6" x14ac:dyDescent="0.35">
      <c r="A81" s="74" t="s">
        <v>83</v>
      </c>
      <c r="B81" s="63">
        <v>3927841.5779999997</v>
      </c>
      <c r="C81" s="63"/>
      <c r="D81" s="63"/>
      <c r="E81" s="63"/>
      <c r="F81" s="66">
        <f t="shared" si="2"/>
        <v>3927841.5779999997</v>
      </c>
    </row>
    <row r="82" spans="1:6" x14ac:dyDescent="0.35">
      <c r="A82" s="74" t="s">
        <v>84</v>
      </c>
      <c r="B82" s="63">
        <v>5450017.3498669099</v>
      </c>
      <c r="C82" s="63"/>
      <c r="D82" s="63"/>
      <c r="E82" s="63"/>
      <c r="F82" s="66">
        <f t="shared" si="2"/>
        <v>5450017.3498669099</v>
      </c>
    </row>
    <row r="83" spans="1:6" x14ac:dyDescent="0.35">
      <c r="A83" s="74" t="s">
        <v>85</v>
      </c>
      <c r="B83" s="63">
        <v>5030062.4120600075</v>
      </c>
      <c r="C83" s="63">
        <f>B83</f>
        <v>5030062.4120600075</v>
      </c>
      <c r="D83" s="63"/>
      <c r="E83" s="63"/>
      <c r="F83" s="66">
        <f t="shared" si="2"/>
        <v>0</v>
      </c>
    </row>
    <row r="84" spans="1:6" x14ac:dyDescent="0.35">
      <c r="A84" s="74" t="s">
        <v>86</v>
      </c>
      <c r="B84" s="63">
        <v>12861893.636333337</v>
      </c>
      <c r="C84" s="63"/>
      <c r="D84" s="63"/>
      <c r="E84" s="63"/>
      <c r="F84" s="66">
        <f t="shared" si="2"/>
        <v>12861893.636333337</v>
      </c>
    </row>
    <row r="85" spans="1:6" x14ac:dyDescent="0.35">
      <c r="A85" s="74" t="s">
        <v>87</v>
      </c>
      <c r="B85" s="63">
        <v>18571310.889999993</v>
      </c>
      <c r="C85" s="63">
        <f>B85</f>
        <v>18571310.889999993</v>
      </c>
      <c r="D85" s="63"/>
      <c r="E85" s="63"/>
      <c r="F85" s="66">
        <f t="shared" si="2"/>
        <v>0</v>
      </c>
    </row>
    <row r="86" spans="1:6" x14ac:dyDescent="0.35">
      <c r="A86" s="74" t="s">
        <v>105</v>
      </c>
      <c r="B86" s="63">
        <v>5634786.2363333339</v>
      </c>
      <c r="C86" s="63"/>
      <c r="D86" s="63"/>
      <c r="E86" s="63"/>
      <c r="F86" s="66">
        <f t="shared" si="2"/>
        <v>5634786.2363333339</v>
      </c>
    </row>
    <row r="87" spans="1:6" x14ac:dyDescent="0.35">
      <c r="A87" s="74" t="s">
        <v>88</v>
      </c>
      <c r="B87" s="76">
        <v>1043509.0618333332</v>
      </c>
      <c r="C87" s="76"/>
      <c r="D87" s="76"/>
      <c r="E87" s="76"/>
      <c r="F87" s="66">
        <f t="shared" si="2"/>
        <v>1043509.0618333332</v>
      </c>
    </row>
    <row r="88" spans="1:6" x14ac:dyDescent="0.35">
      <c r="A88" s="74" t="s">
        <v>106</v>
      </c>
      <c r="B88" s="76">
        <v>665163.68849999993</v>
      </c>
      <c r="C88" s="76"/>
      <c r="D88" s="76"/>
      <c r="E88" s="76"/>
      <c r="F88" s="66">
        <f t="shared" si="2"/>
        <v>665163.68849999993</v>
      </c>
    </row>
    <row r="89" spans="1:6" x14ac:dyDescent="0.35">
      <c r="A89" s="74" t="s">
        <v>89</v>
      </c>
      <c r="B89" s="76">
        <v>4937861.9628213234</v>
      </c>
      <c r="C89" s="76"/>
      <c r="D89" s="76"/>
      <c r="E89" s="76"/>
      <c r="F89" s="66">
        <f t="shared" si="2"/>
        <v>4937861.9628213234</v>
      </c>
    </row>
    <row r="90" spans="1:6" x14ac:dyDescent="0.35">
      <c r="A90" s="74" t="s">
        <v>57</v>
      </c>
      <c r="B90" s="63">
        <v>-18493096.156666666</v>
      </c>
      <c r="C90" s="63"/>
      <c r="D90" s="63"/>
      <c r="E90" s="63">
        <f>B90</f>
        <v>-18493096.156666666</v>
      </c>
      <c r="F90" s="66">
        <f>B90-SUM(C90:E90)</f>
        <v>0</v>
      </c>
    </row>
    <row r="91" spans="1:6" x14ac:dyDescent="0.35">
      <c r="A91" s="74" t="s">
        <v>90</v>
      </c>
      <c r="B91" s="63">
        <v>-24923786.910446648</v>
      </c>
      <c r="C91" s="63"/>
      <c r="D91" s="63"/>
      <c r="E91" s="63"/>
      <c r="F91" s="66">
        <f t="shared" ref="F91:F98" si="3">B91-SUM(C91:D91)</f>
        <v>-24923786.910446648</v>
      </c>
    </row>
    <row r="92" spans="1:6" x14ac:dyDescent="0.35">
      <c r="A92" s="74" t="s">
        <v>92</v>
      </c>
      <c r="B92" s="63">
        <v>-1829335.420228228</v>
      </c>
      <c r="C92" s="63"/>
      <c r="D92" s="63"/>
      <c r="E92" s="63"/>
      <c r="F92" s="66">
        <f t="shared" si="3"/>
        <v>-1829335.420228228</v>
      </c>
    </row>
    <row r="93" spans="1:6" x14ac:dyDescent="0.35">
      <c r="A93" s="74" t="s">
        <v>93</v>
      </c>
      <c r="B93" s="63">
        <v>-4293721.7913011424</v>
      </c>
      <c r="C93" s="63"/>
      <c r="D93" s="63"/>
      <c r="E93" s="63"/>
      <c r="F93" s="66">
        <f t="shared" si="3"/>
        <v>-4293721.7913011424</v>
      </c>
    </row>
    <row r="94" spans="1:6" x14ac:dyDescent="0.35">
      <c r="A94" s="74" t="s">
        <v>94</v>
      </c>
      <c r="B94" s="63">
        <v>-176538.46153846153</v>
      </c>
      <c r="C94" s="63"/>
      <c r="D94" s="63"/>
      <c r="E94" s="63"/>
      <c r="F94" s="66">
        <f t="shared" si="3"/>
        <v>-176538.46153846153</v>
      </c>
    </row>
    <row r="95" spans="1:6" x14ac:dyDescent="0.35">
      <c r="A95" s="74" t="s">
        <v>95</v>
      </c>
      <c r="B95" s="76">
        <v>-1089287.59341281</v>
      </c>
      <c r="C95" s="76"/>
      <c r="D95" s="76"/>
      <c r="E95" s="76"/>
      <c r="F95" s="66">
        <f t="shared" si="3"/>
        <v>-1089287.59341281</v>
      </c>
    </row>
    <row r="96" spans="1:6" x14ac:dyDescent="0.35">
      <c r="A96" s="74" t="s">
        <v>96</v>
      </c>
      <c r="B96" s="76">
        <v>-4109452.5088112722</v>
      </c>
      <c r="C96" s="76"/>
      <c r="D96" s="76"/>
      <c r="E96" s="76"/>
      <c r="F96" s="66">
        <f t="shared" si="3"/>
        <v>-4109452.5088112722</v>
      </c>
    </row>
    <row r="97" spans="1:8" x14ac:dyDescent="0.35">
      <c r="A97" s="74" t="s">
        <v>107</v>
      </c>
      <c r="B97" s="76">
        <v>-4764465.3877058234</v>
      </c>
      <c r="C97" s="76"/>
      <c r="D97" s="76"/>
      <c r="E97" s="76"/>
      <c r="F97" s="66">
        <f t="shared" si="3"/>
        <v>-4764465.3877058234</v>
      </c>
    </row>
    <row r="98" spans="1:8" x14ac:dyDescent="0.35">
      <c r="A98" s="74" t="s">
        <v>97</v>
      </c>
      <c r="B98" s="83">
        <v>-614360.46492960013</v>
      </c>
      <c r="C98" s="83"/>
      <c r="D98" s="83"/>
      <c r="E98" s="83"/>
      <c r="F98" s="72">
        <f t="shared" si="3"/>
        <v>-614360.46492960013</v>
      </c>
      <c r="G98" s="2"/>
    </row>
    <row r="99" spans="1:8" x14ac:dyDescent="0.35">
      <c r="B99" s="63">
        <f>SUM(B60:B98)</f>
        <v>133370985.4238452</v>
      </c>
      <c r="C99" s="66">
        <f>SUM(C60:C98)</f>
        <v>27560287.735217094</v>
      </c>
      <c r="D99" s="66">
        <f>SUM(D60:D98)</f>
        <v>71791611.365938514</v>
      </c>
      <c r="E99" s="66">
        <f>SUM(E60:E98)</f>
        <v>-18493096.156666666</v>
      </c>
      <c r="F99" s="63">
        <f>SUM(F63:F98)</f>
        <v>52512182.479356229</v>
      </c>
      <c r="G99" s="66">
        <f>F99*0.2495</f>
        <v>13101789.52859938</v>
      </c>
    </row>
    <row r="100" spans="1:8" x14ac:dyDescent="0.35">
      <c r="A100" s="112" t="s">
        <v>145</v>
      </c>
      <c r="B100" s="83">
        <f>'KU LGE CMG-Exhibit 1'!G15</f>
        <v>133370985.4238452</v>
      </c>
    </row>
    <row r="101" spans="1:8" x14ac:dyDescent="0.35">
      <c r="A101" s="112" t="s">
        <v>108</v>
      </c>
      <c r="B101" s="63">
        <f>B99-B100</f>
        <v>0</v>
      </c>
    </row>
    <row r="103" spans="1:8" x14ac:dyDescent="0.35">
      <c r="F103" s="2" t="s">
        <v>117</v>
      </c>
      <c r="G103" s="2" t="s">
        <v>26</v>
      </c>
      <c r="H103" s="2" t="s">
        <v>112</v>
      </c>
    </row>
    <row r="104" spans="1:8" x14ac:dyDescent="0.35">
      <c r="D104" s="75" t="s">
        <v>19</v>
      </c>
      <c r="E104" s="68">
        <v>0.66349999999999998</v>
      </c>
      <c r="F104" s="66">
        <f>E104*F99</f>
        <v>34841833.075052857</v>
      </c>
      <c r="G104" s="66">
        <f>E104*G99</f>
        <v>8693037.3522256874</v>
      </c>
      <c r="H104" s="66">
        <f>F104-G104</f>
        <v>26148795.72282717</v>
      </c>
    </row>
    <row r="105" spans="1:8" x14ac:dyDescent="0.35">
      <c r="D105" s="75" t="s">
        <v>20</v>
      </c>
      <c r="E105" s="68">
        <v>0.33650000000000002</v>
      </c>
      <c r="F105" s="66">
        <f>E105*F99</f>
        <v>17670349.404303372</v>
      </c>
      <c r="G105" s="66">
        <f>E105*G99</f>
        <v>4408752.1763736913</v>
      </c>
      <c r="H105" s="66">
        <f>F105-G105</f>
        <v>13261597.227929682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EF60-DDDB-420B-A815-8B33EEFD3734}">
  <sheetPr>
    <pageSetUpPr fitToPage="1"/>
  </sheetPr>
  <dimension ref="A1:Y32"/>
  <sheetViews>
    <sheetView showGridLines="0" workbookViewId="0">
      <selection activeCell="B1" sqref="B1:P6"/>
    </sheetView>
  </sheetViews>
  <sheetFormatPr defaultColWidth="9.08984375" defaultRowHeight="12.5" x14ac:dyDescent="0.25"/>
  <cols>
    <col min="1" max="1" width="1.36328125" style="7" customWidth="1"/>
    <col min="2" max="8" width="9.6328125" style="7" customWidth="1"/>
    <col min="9" max="9" width="15.54296875" style="7" customWidth="1"/>
    <col min="10" max="10" width="10.54296875" style="7" customWidth="1"/>
    <col min="11" max="11" width="2.36328125" style="7" customWidth="1"/>
    <col min="12" max="12" width="10.54296875" style="7" customWidth="1"/>
    <col min="13" max="13" width="2.36328125" style="7" customWidth="1"/>
    <col min="14" max="14" width="10.54296875" style="7" customWidth="1"/>
    <col min="15" max="15" width="1.90625" style="7" customWidth="1"/>
    <col min="16" max="16" width="9.08984375" style="7" customWidth="1"/>
    <col min="17" max="17" width="1.36328125" style="7" customWidth="1"/>
    <col min="18" max="23" width="9.08984375" style="7"/>
    <col min="24" max="24" width="9.08984375" style="7" customWidth="1"/>
    <col min="25" max="16384" width="9.08984375" style="7"/>
  </cols>
  <sheetData>
    <row r="1" spans="1:25" ht="15.5" x14ac:dyDescent="0.35">
      <c r="A1" s="5"/>
      <c r="B1" s="118" t="s">
        <v>12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6"/>
    </row>
    <row r="2" spans="1:25" ht="15.5" x14ac:dyDescent="0.35">
      <c r="A2" s="8"/>
      <c r="B2" s="119" t="s">
        <v>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0"/>
    </row>
    <row r="3" spans="1:25" ht="15.5" x14ac:dyDescent="0.35">
      <c r="A3" s="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0"/>
    </row>
    <row r="4" spans="1:25" ht="15.5" x14ac:dyDescent="0.35">
      <c r="A4" s="8"/>
      <c r="B4" s="119" t="s">
        <v>15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0"/>
    </row>
    <row r="5" spans="1:25" ht="15.5" x14ac:dyDescent="0.35">
      <c r="A5" s="8"/>
      <c r="B5" s="119" t="s">
        <v>16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0"/>
    </row>
    <row r="6" spans="1:25" ht="15.5" x14ac:dyDescent="0.35">
      <c r="A6" s="8"/>
      <c r="B6" s="120" t="s">
        <v>17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0"/>
    </row>
    <row r="7" spans="1:25" ht="15.5" x14ac:dyDescent="0.35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/>
    </row>
    <row r="8" spans="1:25" ht="15.5" x14ac:dyDescent="0.35">
      <c r="A8" s="8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0"/>
    </row>
    <row r="9" spans="1:25" ht="15.5" x14ac:dyDescent="0.35">
      <c r="A9" s="8"/>
      <c r="B9" s="12"/>
      <c r="C9" s="12"/>
      <c r="D9" s="12"/>
      <c r="E9" s="12"/>
      <c r="F9" s="12"/>
      <c r="G9" s="12"/>
      <c r="H9" s="12"/>
      <c r="I9" s="12"/>
      <c r="J9" s="13"/>
      <c r="K9" s="13"/>
      <c r="L9" s="9" t="s">
        <v>18</v>
      </c>
      <c r="M9" s="13"/>
      <c r="N9" s="9" t="s">
        <v>18</v>
      </c>
      <c r="O9" s="9"/>
      <c r="P9" s="9"/>
      <c r="Q9" s="10"/>
      <c r="R9" s="14"/>
    </row>
    <row r="10" spans="1:25" ht="15.5" x14ac:dyDescent="0.35">
      <c r="A10" s="8"/>
      <c r="B10" s="12"/>
      <c r="C10" s="12"/>
      <c r="D10" s="12"/>
      <c r="E10" s="12"/>
      <c r="F10" s="12"/>
      <c r="G10" s="12"/>
      <c r="H10" s="12"/>
      <c r="I10" s="12"/>
      <c r="J10" s="9" t="s">
        <v>1</v>
      </c>
      <c r="K10" s="13"/>
      <c r="L10" s="9" t="s">
        <v>19</v>
      </c>
      <c r="M10" s="13"/>
      <c r="N10" s="9" t="s">
        <v>20</v>
      </c>
      <c r="O10" s="9"/>
      <c r="P10" s="9" t="s">
        <v>21</v>
      </c>
      <c r="Q10" s="10"/>
      <c r="R10" s="14"/>
    </row>
    <row r="11" spans="1:25" ht="15.5" x14ac:dyDescent="0.35">
      <c r="A11" s="8"/>
      <c r="B11" s="12"/>
      <c r="C11" s="12"/>
      <c r="D11" s="12"/>
      <c r="E11" s="12"/>
      <c r="F11" s="12"/>
      <c r="G11" s="12"/>
      <c r="H11" s="12"/>
      <c r="I11" s="12"/>
      <c r="J11" s="15" t="s">
        <v>22</v>
      </c>
      <c r="K11" s="13"/>
      <c r="L11" s="15" t="s">
        <v>22</v>
      </c>
      <c r="M11" s="13"/>
      <c r="N11" s="15" t="s">
        <v>22</v>
      </c>
      <c r="O11" s="9"/>
      <c r="P11" s="15" t="s">
        <v>23</v>
      </c>
      <c r="Q11" s="10"/>
      <c r="R11" s="14"/>
    </row>
    <row r="12" spans="1:25" ht="15.5" x14ac:dyDescent="0.35">
      <c r="A12" s="8"/>
      <c r="B12" s="12"/>
      <c r="C12" s="12"/>
      <c r="D12" s="12"/>
      <c r="E12" s="12"/>
      <c r="F12" s="12"/>
      <c r="G12" s="12"/>
      <c r="H12" s="12"/>
      <c r="I12" s="12"/>
      <c r="J12" s="16"/>
      <c r="K12" s="12"/>
      <c r="L12" s="16"/>
      <c r="M12" s="12"/>
      <c r="N12" s="16"/>
      <c r="O12" s="16"/>
      <c r="P12" s="16"/>
      <c r="Q12" s="10"/>
    </row>
    <row r="13" spans="1:25" ht="15.5" x14ac:dyDescent="0.35">
      <c r="A13" s="8"/>
      <c r="B13" s="18"/>
      <c r="C13" s="12"/>
      <c r="D13" s="12"/>
      <c r="E13" s="12"/>
      <c r="F13" s="12"/>
      <c r="G13" s="12"/>
      <c r="H13" s="12"/>
      <c r="I13" s="12"/>
      <c r="J13" s="17"/>
      <c r="K13" s="12"/>
      <c r="L13" s="17"/>
      <c r="M13" s="12"/>
      <c r="N13" s="17"/>
      <c r="O13" s="17"/>
      <c r="P13" s="17"/>
      <c r="Q13" s="10"/>
    </row>
    <row r="14" spans="1:25" ht="15.5" x14ac:dyDescent="0.35">
      <c r="A14" s="8"/>
      <c r="B14" s="13" t="s">
        <v>0</v>
      </c>
      <c r="C14" s="12"/>
      <c r="D14" s="12"/>
      <c r="E14" s="12"/>
      <c r="F14" s="12"/>
      <c r="G14" s="12"/>
      <c r="H14" s="12"/>
      <c r="I14" s="12"/>
      <c r="J14" s="17"/>
      <c r="K14" s="12"/>
      <c r="L14" s="17"/>
      <c r="M14" s="12"/>
      <c r="N14" s="17"/>
      <c r="O14" s="17"/>
      <c r="P14" s="17"/>
      <c r="Q14" s="10"/>
      <c r="X14" s="14"/>
      <c r="Y14" s="14"/>
    </row>
    <row r="15" spans="1:25" ht="15.5" x14ac:dyDescent="0.35">
      <c r="A15" s="8"/>
      <c r="B15" s="12" t="s">
        <v>2</v>
      </c>
      <c r="C15" s="12"/>
      <c r="D15" s="12"/>
      <c r="E15" s="12"/>
      <c r="F15" s="12"/>
      <c r="G15" s="12"/>
      <c r="H15" s="12"/>
      <c r="I15" s="12"/>
      <c r="J15" s="17">
        <v>-9.062317901214243</v>
      </c>
      <c r="K15" s="12"/>
      <c r="L15" s="19">
        <v>0.54537596317365156</v>
      </c>
      <c r="M15" s="19"/>
      <c r="N15" s="17">
        <v>-4.6471679256742062</v>
      </c>
      <c r="O15" s="17"/>
      <c r="P15" s="17" t="s">
        <v>24</v>
      </c>
      <c r="Q15" s="10"/>
      <c r="X15" s="14"/>
      <c r="Y15" s="14"/>
    </row>
    <row r="16" spans="1:25" ht="15.5" x14ac:dyDescent="0.35">
      <c r="A16" s="8"/>
      <c r="B16" s="12" t="s">
        <v>3</v>
      </c>
      <c r="C16" s="12"/>
      <c r="D16" s="12"/>
      <c r="E16" s="12"/>
      <c r="F16" s="12"/>
      <c r="G16" s="12"/>
      <c r="H16" s="12"/>
      <c r="I16" s="12"/>
      <c r="J16" s="17">
        <v>-25.037989438158665</v>
      </c>
      <c r="K16" s="12"/>
      <c r="L16" s="19">
        <v>-11.257981170014885</v>
      </c>
      <c r="M16" s="19"/>
      <c r="N16" s="17">
        <v>-3.3606183952588884</v>
      </c>
      <c r="O16" s="17"/>
      <c r="P16" s="17" t="s">
        <v>24</v>
      </c>
      <c r="Q16" s="10"/>
      <c r="X16" s="14"/>
      <c r="Y16" s="14"/>
    </row>
    <row r="17" spans="1:25" ht="15.5" x14ac:dyDescent="0.35">
      <c r="A17" s="8"/>
      <c r="B17" s="12" t="s">
        <v>4</v>
      </c>
      <c r="C17" s="12"/>
      <c r="D17" s="12"/>
      <c r="E17" s="12"/>
      <c r="F17" s="12"/>
      <c r="G17" s="12"/>
      <c r="H17" s="12"/>
      <c r="I17" s="12"/>
      <c r="J17" s="17">
        <v>-5.5124281366578192</v>
      </c>
      <c r="K17" s="12"/>
      <c r="L17" s="19">
        <v>-3.5893687530252829</v>
      </c>
      <c r="M17" s="19"/>
      <c r="N17" s="17">
        <v>-0.87337640926478988</v>
      </c>
      <c r="O17" s="17"/>
      <c r="P17" s="17" t="s">
        <v>24</v>
      </c>
      <c r="Q17" s="10"/>
      <c r="X17" s="14"/>
      <c r="Y17" s="14"/>
    </row>
    <row r="18" spans="1:25" ht="15.5" x14ac:dyDescent="0.35">
      <c r="A18" s="8"/>
      <c r="B18" s="12" t="s">
        <v>5</v>
      </c>
      <c r="C18" s="12"/>
      <c r="D18" s="12"/>
      <c r="E18" s="12"/>
      <c r="F18" s="12"/>
      <c r="G18" s="12"/>
      <c r="H18" s="12"/>
      <c r="I18" s="12"/>
      <c r="J18" s="17">
        <v>-0.85057575051690215</v>
      </c>
      <c r="K18" s="12"/>
      <c r="L18" s="19">
        <v>-0.5806830751416957</v>
      </c>
      <c r="M18" s="19"/>
      <c r="N18" s="17">
        <v>0</v>
      </c>
      <c r="O18" s="17"/>
      <c r="P18" s="17" t="s">
        <v>24</v>
      </c>
      <c r="Q18" s="10"/>
      <c r="X18" s="14"/>
      <c r="Y18" s="14"/>
    </row>
    <row r="19" spans="1:25" ht="15.5" x14ac:dyDescent="0.35">
      <c r="A19" s="8"/>
      <c r="B19" s="12" t="s">
        <v>6</v>
      </c>
      <c r="C19" s="12"/>
      <c r="D19" s="12"/>
      <c r="E19" s="12"/>
      <c r="F19" s="12"/>
      <c r="G19" s="12"/>
      <c r="H19" s="12"/>
      <c r="I19" s="12"/>
      <c r="J19" s="17">
        <v>-10.922902874261602</v>
      </c>
      <c r="K19" s="12"/>
      <c r="L19" s="19">
        <v>-9.9442627325142059</v>
      </c>
      <c r="M19" s="19"/>
      <c r="N19" s="17">
        <v>-5.6164031329169584</v>
      </c>
      <c r="O19" s="17"/>
      <c r="P19" s="17" t="s">
        <v>24</v>
      </c>
      <c r="Q19" s="10"/>
      <c r="X19" s="14"/>
      <c r="Y19" s="14"/>
    </row>
    <row r="20" spans="1:25" ht="15.5" x14ac:dyDescent="0.35">
      <c r="A20" s="8"/>
      <c r="B20" s="12" t="s">
        <v>7</v>
      </c>
      <c r="C20" s="12"/>
      <c r="D20" s="12"/>
      <c r="E20" s="12"/>
      <c r="F20" s="12"/>
      <c r="G20" s="12"/>
      <c r="H20" s="12"/>
      <c r="I20" s="12"/>
      <c r="J20" s="17">
        <v>-0.20957310423186515</v>
      </c>
      <c r="K20" s="12"/>
      <c r="L20" s="19">
        <v>0</v>
      </c>
      <c r="M20" s="19"/>
      <c r="N20" s="17">
        <v>-0.14353749913098673</v>
      </c>
      <c r="O20" s="17"/>
      <c r="P20" s="17" t="s">
        <v>24</v>
      </c>
      <c r="Q20" s="10"/>
      <c r="X20" s="14"/>
      <c r="Y20" s="14"/>
    </row>
    <row r="21" spans="1:25" ht="15.5" x14ac:dyDescent="0.35">
      <c r="A21" s="8"/>
      <c r="B21" s="12" t="s">
        <v>8</v>
      </c>
      <c r="C21" s="12"/>
      <c r="D21" s="12"/>
      <c r="E21" s="12"/>
      <c r="F21" s="12"/>
      <c r="G21" s="12"/>
      <c r="H21" s="12"/>
      <c r="I21" s="12"/>
      <c r="J21" s="17">
        <v>0.5434234146957474</v>
      </c>
      <c r="K21" s="12"/>
      <c r="L21" s="19">
        <v>0.20078976315320751</v>
      </c>
      <c r="M21" s="19"/>
      <c r="N21" s="17">
        <v>0</v>
      </c>
      <c r="O21" s="17"/>
      <c r="P21" s="17" t="s">
        <v>24</v>
      </c>
      <c r="Q21" s="10"/>
      <c r="X21" s="14"/>
      <c r="Y21" s="14"/>
    </row>
    <row r="22" spans="1:25" ht="15.5" x14ac:dyDescent="0.35">
      <c r="A22" s="8"/>
      <c r="B22" s="12" t="s">
        <v>9</v>
      </c>
      <c r="C22" s="12"/>
      <c r="D22" s="12"/>
      <c r="E22" s="12"/>
      <c r="F22" s="12"/>
      <c r="G22" s="12"/>
      <c r="H22" s="12"/>
      <c r="I22" s="12"/>
      <c r="J22" s="17">
        <v>1.5504664855856176E-3</v>
      </c>
      <c r="K22" s="12"/>
      <c r="L22" s="19">
        <v>3.6454718326393021E-3</v>
      </c>
      <c r="M22" s="19"/>
      <c r="N22" s="17">
        <v>0</v>
      </c>
      <c r="O22" s="17"/>
      <c r="P22" s="17" t="s">
        <v>24</v>
      </c>
      <c r="Q22" s="10"/>
      <c r="X22" s="14"/>
      <c r="Y22" s="14"/>
    </row>
    <row r="23" spans="1:25" ht="15.5" x14ac:dyDescent="0.35">
      <c r="A23" s="8"/>
      <c r="B23" s="12" t="s">
        <v>10</v>
      </c>
      <c r="C23" s="12"/>
      <c r="D23" s="12"/>
      <c r="E23" s="12"/>
      <c r="F23" s="12"/>
      <c r="G23" s="12"/>
      <c r="H23" s="12"/>
      <c r="I23" s="12"/>
      <c r="J23" s="17">
        <v>1.3855111895055543</v>
      </c>
      <c r="K23" s="12"/>
      <c r="L23" s="19">
        <v>0.11115177029386418</v>
      </c>
      <c r="M23" s="19"/>
      <c r="N23" s="17">
        <v>0</v>
      </c>
      <c r="O23" s="17"/>
      <c r="P23" s="17" t="s">
        <v>24</v>
      </c>
      <c r="Q23" s="10"/>
      <c r="X23" s="14"/>
      <c r="Y23" s="14"/>
    </row>
    <row r="24" spans="1:25" ht="15.5" x14ac:dyDescent="0.35">
      <c r="A24" s="8"/>
      <c r="B24" s="12"/>
      <c r="C24" s="12"/>
      <c r="D24" s="12"/>
      <c r="E24" s="12"/>
      <c r="F24" s="12"/>
      <c r="G24" s="12"/>
      <c r="H24" s="12"/>
      <c r="I24" s="12"/>
      <c r="J24" s="17"/>
      <c r="K24" s="12"/>
      <c r="L24" s="19"/>
      <c r="M24" s="19"/>
      <c r="N24" s="17"/>
      <c r="O24" s="17"/>
      <c r="P24" s="17"/>
      <c r="Q24" s="10"/>
      <c r="X24" s="14"/>
      <c r="Y24" s="14"/>
    </row>
    <row r="25" spans="1:25" ht="5.25" customHeight="1" thickBot="1" x14ac:dyDescent="0.4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2"/>
      <c r="N25" s="23"/>
      <c r="O25" s="23"/>
      <c r="P25" s="23"/>
      <c r="Q25" s="24"/>
    </row>
    <row r="26" spans="1:25" x14ac:dyDescent="0.25">
      <c r="N26" s="25"/>
      <c r="O26" s="25"/>
      <c r="P26" s="25"/>
    </row>
    <row r="27" spans="1:25" x14ac:dyDescent="0.25">
      <c r="N27" s="25"/>
      <c r="O27" s="25"/>
      <c r="P27" s="25"/>
    </row>
    <row r="28" spans="1:25" x14ac:dyDescent="0.25">
      <c r="J28" s="4"/>
      <c r="L28" s="4"/>
      <c r="N28" s="4"/>
      <c r="O28" s="4"/>
      <c r="P28" s="4"/>
    </row>
    <row r="29" spans="1:25" x14ac:dyDescent="0.25">
      <c r="J29" s="4"/>
      <c r="L29" s="4"/>
      <c r="N29" s="4"/>
      <c r="O29" s="25"/>
      <c r="P29" s="25"/>
    </row>
    <row r="30" spans="1:25" x14ac:dyDescent="0.25">
      <c r="O30" s="26"/>
      <c r="P30" s="26"/>
    </row>
    <row r="31" spans="1:25" x14ac:dyDescent="0.25">
      <c r="J31" s="4"/>
      <c r="L31" s="4"/>
      <c r="N31" s="4"/>
      <c r="O31" s="26"/>
      <c r="P31" s="26"/>
    </row>
    <row r="32" spans="1:25" x14ac:dyDescent="0.25">
      <c r="N32" s="26"/>
      <c r="O32" s="26"/>
      <c r="P32" s="26"/>
    </row>
  </sheetData>
  <mergeCells count="6">
    <mergeCell ref="B6:P6"/>
    <mergeCell ref="B1:P1"/>
    <mergeCell ref="B2:P2"/>
    <mergeCell ref="B3:P3"/>
    <mergeCell ref="B4:P4"/>
    <mergeCell ref="B5:P5"/>
  </mergeCells>
  <pageMargins left="0.4" right="0.25" top="1" bottom="1" header="0.5" footer="0.5"/>
  <pageSetup scale="76" orientation="portrait" r:id="rId1"/>
  <headerFooter alignWithMargins="0">
    <oddFooter>&amp;L_x000D_&amp;1#&amp;"Calibri"&amp;14&amp;K000000 Business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10F0-E200-4BA7-AA77-9BC9190A6284}">
  <dimension ref="A1:AB46"/>
  <sheetViews>
    <sheetView workbookViewId="0">
      <selection activeCell="J16" sqref="J16"/>
    </sheetView>
  </sheetViews>
  <sheetFormatPr defaultRowHeight="14.5" x14ac:dyDescent="0.35"/>
  <cols>
    <col min="1" max="1" width="1" customWidth="1"/>
    <col min="2" max="2" width="14.08984375" customWidth="1"/>
    <col min="3" max="3" width="1.08984375" customWidth="1"/>
    <col min="4" max="4" width="13.90625" customWidth="1"/>
    <col min="5" max="5" width="1.08984375" customWidth="1"/>
    <col min="6" max="6" width="12.54296875" customWidth="1"/>
    <col min="7" max="7" width="1.08984375" customWidth="1"/>
    <col min="8" max="8" width="16.453125" customWidth="1"/>
    <col min="9" max="9" width="1.08984375" customWidth="1"/>
    <col min="10" max="10" width="14" bestFit="1" customWidth="1"/>
    <col min="11" max="11" width="1.08984375" customWidth="1"/>
    <col min="12" max="12" width="14.54296875" bestFit="1" customWidth="1"/>
    <col min="13" max="13" width="1" customWidth="1"/>
    <col min="14" max="14" width="14" bestFit="1" customWidth="1"/>
    <col min="15" max="15" width="1" customWidth="1"/>
    <col min="16" max="16" width="18.36328125" customWidth="1"/>
    <col min="17" max="17" width="1" customWidth="1"/>
    <col min="18" max="18" width="14" customWidth="1"/>
    <col min="19" max="19" width="1" customWidth="1"/>
    <col min="20" max="20" width="8.54296875" customWidth="1"/>
    <col min="21" max="21" width="1" customWidth="1"/>
    <col min="22" max="22" width="8.54296875" customWidth="1"/>
    <col min="23" max="23" width="1.08984375" customWidth="1"/>
    <col min="24" max="24" width="12.90625" customWidth="1"/>
    <col min="25" max="25" width="1.08984375" customWidth="1"/>
    <col min="26" max="26" width="14.36328125" customWidth="1"/>
    <col min="27" max="27" width="8.6328125" customWidth="1"/>
    <col min="28" max="28" width="15.453125" customWidth="1"/>
  </cols>
  <sheetData>
    <row r="1" spans="1:28" ht="15.5" x14ac:dyDescent="0.35">
      <c r="B1" s="118" t="s">
        <v>12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28" ht="15.5" x14ac:dyDescent="0.35">
      <c r="B2" s="119" t="s">
        <v>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8" ht="15.5" x14ac:dyDescent="0.35"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28" ht="15.5" x14ac:dyDescent="0.35">
      <c r="B4" s="119" t="s">
        <v>15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28" ht="15.5" x14ac:dyDescent="0.35">
      <c r="B5" s="119" t="s">
        <v>16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28" ht="15.5" x14ac:dyDescent="0.35">
      <c r="B6" s="120" t="s">
        <v>17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8" x14ac:dyDescent="0.35">
      <c r="A7" s="31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35">
      <c r="A8" s="3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4"/>
      <c r="S8" s="7"/>
      <c r="T8" s="7"/>
      <c r="U8" s="7"/>
      <c r="V8" s="7"/>
      <c r="W8" s="7"/>
      <c r="X8" s="34"/>
      <c r="Y8" s="7"/>
      <c r="Z8" s="7"/>
      <c r="AA8" s="7"/>
      <c r="AB8" s="7"/>
    </row>
    <row r="9" spans="1:28" x14ac:dyDescent="0.35">
      <c r="A9" s="35"/>
      <c r="B9" s="7"/>
      <c r="C9" s="7"/>
      <c r="D9" s="7"/>
      <c r="E9" s="7"/>
      <c r="F9" s="7"/>
      <c r="G9" s="7"/>
      <c r="H9" s="14" t="s">
        <v>1</v>
      </c>
      <c r="I9" s="7"/>
      <c r="J9" s="14" t="s">
        <v>1</v>
      </c>
      <c r="K9" s="14"/>
      <c r="L9" s="14"/>
      <c r="M9" s="14"/>
      <c r="N9" s="7"/>
      <c r="O9" s="7"/>
      <c r="P9" s="14"/>
      <c r="Q9" s="7"/>
      <c r="R9" s="14" t="s">
        <v>28</v>
      </c>
      <c r="S9" s="7"/>
      <c r="T9" s="7"/>
      <c r="U9" s="7"/>
      <c r="V9" s="14"/>
      <c r="W9" s="7"/>
      <c r="X9" s="36"/>
      <c r="Y9" s="14"/>
      <c r="Z9" s="14"/>
      <c r="AA9" s="7"/>
      <c r="AB9" s="7"/>
    </row>
    <row r="10" spans="1:28" x14ac:dyDescent="0.35">
      <c r="A10" s="35"/>
      <c r="B10" s="7"/>
      <c r="C10" s="7"/>
      <c r="D10" s="14" t="s">
        <v>29</v>
      </c>
      <c r="E10" s="14"/>
      <c r="F10" s="14" t="s">
        <v>1</v>
      </c>
      <c r="G10" s="14"/>
      <c r="H10" s="14" t="s">
        <v>28</v>
      </c>
      <c r="I10" s="14"/>
      <c r="J10" s="14" t="s">
        <v>30</v>
      </c>
      <c r="K10" s="14"/>
      <c r="L10" s="14" t="s">
        <v>1</v>
      </c>
      <c r="M10" s="14"/>
      <c r="N10" s="7"/>
      <c r="O10" s="7"/>
      <c r="P10" s="14"/>
      <c r="Q10" s="7"/>
      <c r="R10" s="14" t="s">
        <v>1</v>
      </c>
      <c r="S10" s="7"/>
      <c r="T10" s="14" t="s">
        <v>28</v>
      </c>
      <c r="U10" s="7"/>
      <c r="V10" s="14"/>
      <c r="W10" s="7"/>
      <c r="X10" s="14"/>
      <c r="Y10" s="14"/>
      <c r="Z10" s="14"/>
      <c r="AA10" s="14"/>
      <c r="AB10" s="7"/>
    </row>
    <row r="11" spans="1:28" x14ac:dyDescent="0.35">
      <c r="A11" s="35"/>
      <c r="B11" s="7"/>
      <c r="C11" s="7"/>
      <c r="D11" s="14" t="s">
        <v>31</v>
      </c>
      <c r="E11" s="14"/>
      <c r="F11" s="14" t="s">
        <v>32</v>
      </c>
      <c r="G11" s="14"/>
      <c r="H11" s="14" t="s">
        <v>33</v>
      </c>
      <c r="I11" s="14"/>
      <c r="J11" s="14" t="s">
        <v>25</v>
      </c>
      <c r="K11" s="14"/>
      <c r="L11" s="14" t="s">
        <v>25</v>
      </c>
      <c r="M11" s="14"/>
      <c r="N11" s="14" t="s">
        <v>34</v>
      </c>
      <c r="O11" s="14"/>
      <c r="P11" s="14" t="s">
        <v>35</v>
      </c>
      <c r="Q11" s="14"/>
      <c r="R11" s="14" t="s">
        <v>25</v>
      </c>
      <c r="S11" s="14"/>
      <c r="T11" s="14" t="s">
        <v>34</v>
      </c>
      <c r="U11" s="14"/>
      <c r="V11" s="14" t="s">
        <v>36</v>
      </c>
      <c r="W11" s="14"/>
      <c r="X11" s="14" t="s">
        <v>37</v>
      </c>
      <c r="Y11" s="14"/>
      <c r="Z11" s="14" t="s">
        <v>38</v>
      </c>
      <c r="AA11" s="14"/>
      <c r="AB11" s="7"/>
    </row>
    <row r="12" spans="1:28" x14ac:dyDescent="0.35">
      <c r="A12" s="35"/>
      <c r="B12" s="7"/>
      <c r="C12" s="7"/>
      <c r="D12" s="27" t="s">
        <v>39</v>
      </c>
      <c r="E12" s="14"/>
      <c r="F12" s="27" t="s">
        <v>40</v>
      </c>
      <c r="G12" s="14"/>
      <c r="H12" s="27" t="s">
        <v>41</v>
      </c>
      <c r="I12" s="14"/>
      <c r="J12" s="27" t="s">
        <v>42</v>
      </c>
      <c r="K12" s="14"/>
      <c r="L12" s="27" t="s">
        <v>41</v>
      </c>
      <c r="M12" s="14"/>
      <c r="N12" s="27" t="s">
        <v>43</v>
      </c>
      <c r="O12" s="14"/>
      <c r="P12" s="27" t="s">
        <v>40</v>
      </c>
      <c r="Q12" s="14"/>
      <c r="R12" s="27" t="s">
        <v>41</v>
      </c>
      <c r="S12" s="14"/>
      <c r="T12" s="27" t="s">
        <v>43</v>
      </c>
      <c r="U12" s="14"/>
      <c r="V12" s="27" t="s">
        <v>44</v>
      </c>
      <c r="W12" s="14"/>
      <c r="X12" s="27" t="s">
        <v>45</v>
      </c>
      <c r="Y12" s="14"/>
      <c r="Z12" s="37" t="s">
        <v>46</v>
      </c>
      <c r="AA12" s="14"/>
      <c r="AB12" s="7"/>
    </row>
    <row r="13" spans="1:28" x14ac:dyDescent="0.35">
      <c r="A13" s="7"/>
      <c r="B13" s="7"/>
      <c r="C13" s="7"/>
      <c r="D13" s="14"/>
      <c r="E13" s="1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35">
      <c r="A14" s="7"/>
      <c r="B14" s="7" t="s">
        <v>47</v>
      </c>
      <c r="C14" s="7"/>
      <c r="D14" s="38">
        <v>232249902.50018799</v>
      </c>
      <c r="E14" s="28">
        <v>-30146.840487458645</v>
      </c>
      <c r="F14" s="39">
        <v>-114484.37642358735</v>
      </c>
      <c r="G14" s="28"/>
      <c r="H14" s="32">
        <v>232135418.1237644</v>
      </c>
      <c r="I14" s="32"/>
      <c r="J14" s="40">
        <v>0.93259999999999998</v>
      </c>
      <c r="K14" s="32"/>
      <c r="L14" s="32">
        <v>216489490.94222268</v>
      </c>
      <c r="M14" s="32"/>
      <c r="N14" s="41">
        <v>2.8686862588027509E-2</v>
      </c>
      <c r="O14" s="41"/>
      <c r="P14" s="38">
        <v>-39028251.370717362</v>
      </c>
      <c r="Q14" s="41"/>
      <c r="R14" s="32">
        <v>177461239.57150531</v>
      </c>
      <c r="S14" s="41"/>
      <c r="T14" s="41">
        <v>2.8686862588027513E-2</v>
      </c>
      <c r="U14" s="41"/>
      <c r="V14" s="42">
        <v>4.4585772903168647E-2</v>
      </c>
      <c r="W14" s="41"/>
      <c r="X14" s="40">
        <v>1.2790259406541995E-3</v>
      </c>
      <c r="Y14" s="41"/>
      <c r="Z14" s="41">
        <v>1.2844411445194935E-3</v>
      </c>
      <c r="AA14" s="33"/>
      <c r="AB14" s="7"/>
    </row>
    <row r="15" spans="1:28" x14ac:dyDescent="0.35">
      <c r="A15" s="7"/>
      <c r="B15" s="7" t="s">
        <v>48</v>
      </c>
      <c r="C15" s="7"/>
      <c r="D15" s="43">
        <v>3588812215.4391251</v>
      </c>
      <c r="E15" s="28">
        <v>-540431.12109703722</v>
      </c>
      <c r="F15" s="39">
        <v>-1769055.3329105002</v>
      </c>
      <c r="G15" s="28"/>
      <c r="H15" s="32">
        <v>3587043160.1062145</v>
      </c>
      <c r="I15" s="32"/>
      <c r="J15" s="40">
        <v>0.93259999999999998</v>
      </c>
      <c r="K15" s="32"/>
      <c r="L15" s="32">
        <v>3345276451.1150556</v>
      </c>
      <c r="M15" s="32"/>
      <c r="N15" s="41">
        <v>0.443280112371429</v>
      </c>
      <c r="O15" s="41"/>
      <c r="P15" s="43">
        <v>-603079113.31134307</v>
      </c>
      <c r="Q15" s="41"/>
      <c r="R15" s="32">
        <v>2742197337.8037124</v>
      </c>
      <c r="S15" s="41"/>
      <c r="T15" s="41">
        <v>0.443280112371429</v>
      </c>
      <c r="U15" s="41"/>
      <c r="V15" s="42">
        <v>4.9334226037661397E-2</v>
      </c>
      <c r="W15" s="41"/>
      <c r="X15" s="40">
        <v>2.1868881261732021E-2</v>
      </c>
      <c r="Y15" s="41"/>
      <c r="Z15" s="41">
        <v>2.1961470822720607E-2</v>
      </c>
      <c r="AA15" s="33"/>
      <c r="AB15" s="7"/>
    </row>
    <row r="16" spans="1:28" x14ac:dyDescent="0.35">
      <c r="A16" s="7"/>
      <c r="B16" s="7" t="s">
        <v>49</v>
      </c>
      <c r="C16" s="7"/>
      <c r="D16" s="44">
        <v>4275298398.4610119</v>
      </c>
      <c r="E16" s="28">
        <v>-1154801.3384155042</v>
      </c>
      <c r="F16" s="45">
        <v>-2430751.2997781327</v>
      </c>
      <c r="G16" s="28"/>
      <c r="H16" s="46">
        <v>4272867647.1612339</v>
      </c>
      <c r="I16" s="32"/>
      <c r="J16" s="40">
        <v>0.93259999999999998</v>
      </c>
      <c r="K16" s="32"/>
      <c r="L16" s="46">
        <v>3984876367.7425666</v>
      </c>
      <c r="M16" s="46"/>
      <c r="N16" s="47">
        <v>0.5280330250405435</v>
      </c>
      <c r="O16" s="41"/>
      <c r="P16" s="44">
        <v>-718384785.72151291</v>
      </c>
      <c r="Q16" s="41"/>
      <c r="R16" s="46">
        <v>3266491582.0210538</v>
      </c>
      <c r="S16" s="41"/>
      <c r="T16" s="47">
        <v>0.52803302504054361</v>
      </c>
      <c r="U16" s="41"/>
      <c r="V16" s="48">
        <v>0.1095</v>
      </c>
      <c r="W16" s="41"/>
      <c r="X16" s="49">
        <v>5.7819616241939528E-2</v>
      </c>
      <c r="Y16" s="41"/>
      <c r="Z16" s="47">
        <v>7.7367642663601022E-2</v>
      </c>
      <c r="AA16" s="33"/>
      <c r="AB16" s="47">
        <v>0.14652046177918618</v>
      </c>
    </row>
    <row r="17" spans="1:28" x14ac:dyDescent="0.35">
      <c r="A17" s="7"/>
      <c r="B17" s="7"/>
      <c r="C17" s="7"/>
      <c r="D17" s="28"/>
      <c r="E17" s="28"/>
      <c r="F17" s="28"/>
      <c r="G17" s="28"/>
      <c r="H17" s="50"/>
      <c r="I17" s="50"/>
      <c r="J17" s="50"/>
      <c r="K17" s="50"/>
      <c r="L17" s="50"/>
      <c r="M17" s="50"/>
      <c r="N17" s="7"/>
      <c r="O17" s="7"/>
      <c r="P17" s="7"/>
      <c r="Q17" s="7"/>
      <c r="R17" s="50"/>
      <c r="S17" s="7"/>
      <c r="T17" s="7"/>
      <c r="U17" s="7"/>
      <c r="V17" s="41"/>
      <c r="W17" s="7"/>
      <c r="X17" s="41"/>
      <c r="Y17" s="41"/>
      <c r="Z17" s="30"/>
      <c r="AA17" s="30"/>
      <c r="AB17" s="7"/>
    </row>
    <row r="18" spans="1:28" ht="15" thickBot="1" x14ac:dyDescent="0.4">
      <c r="A18" s="7"/>
      <c r="B18" s="51" t="s">
        <v>50</v>
      </c>
      <c r="C18" s="7"/>
      <c r="D18" s="52">
        <v>8096360516.4003248</v>
      </c>
      <c r="E18" s="28">
        <v>-1154801.3384155042</v>
      </c>
      <c r="F18" s="52">
        <v>-4314291.0091122203</v>
      </c>
      <c r="G18" s="28"/>
      <c r="H18" s="52">
        <v>8092046225.3912125</v>
      </c>
      <c r="I18" s="28"/>
      <c r="J18" s="28"/>
      <c r="K18" s="28"/>
      <c r="L18" s="52">
        <v>7546642309.7998447</v>
      </c>
      <c r="M18" s="28"/>
      <c r="N18" s="53">
        <v>1</v>
      </c>
      <c r="O18" s="28"/>
      <c r="P18" s="52">
        <v>-1360492150.4035735</v>
      </c>
      <c r="Q18" s="28"/>
      <c r="R18" s="52">
        <v>6186150159.3962708</v>
      </c>
      <c r="S18" s="28"/>
      <c r="T18" s="53">
        <v>1</v>
      </c>
      <c r="U18" s="28"/>
      <c r="V18" s="29"/>
      <c r="W18" s="28"/>
      <c r="X18" s="53">
        <v>8.0967523444325756E-2</v>
      </c>
      <c r="Y18" s="28"/>
      <c r="Z18" s="54">
        <v>0.10061355463084112</v>
      </c>
      <c r="AA18" s="55"/>
      <c r="AB18" s="7"/>
    </row>
    <row r="19" spans="1:28" ht="15" thickTop="1" x14ac:dyDescent="0.35">
      <c r="A19" s="7"/>
      <c r="B19" s="51"/>
      <c r="C19" s="7"/>
      <c r="D19" s="29"/>
      <c r="E19" s="28"/>
      <c r="F19" s="29"/>
      <c r="G19" s="28"/>
      <c r="H19" s="29"/>
      <c r="I19" s="28"/>
      <c r="J19" s="2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8"/>
      <c r="X19" s="48"/>
      <c r="Y19" s="28"/>
      <c r="Z19" s="29"/>
      <c r="AA19" s="20"/>
      <c r="AB19" s="7"/>
    </row>
    <row r="21" spans="1:28" x14ac:dyDescent="0.35">
      <c r="A21" s="31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8" x14ac:dyDescent="0.35">
      <c r="A22" s="3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4"/>
      <c r="O22" s="7"/>
      <c r="P22" s="7"/>
      <c r="Q22" s="7"/>
      <c r="R22" s="7"/>
      <c r="S22" s="7"/>
      <c r="T22" s="7"/>
      <c r="U22" s="7"/>
      <c r="V22" s="14"/>
    </row>
    <row r="23" spans="1:28" x14ac:dyDescent="0.35">
      <c r="A23" s="35"/>
      <c r="B23" s="7"/>
      <c r="C23" s="7"/>
      <c r="D23" s="7"/>
      <c r="E23" s="7"/>
      <c r="F23" s="7"/>
      <c r="G23" s="7"/>
      <c r="H23" s="14" t="s">
        <v>18</v>
      </c>
      <c r="I23" s="14"/>
      <c r="J23" s="14"/>
      <c r="K23" s="14"/>
      <c r="L23" s="14" t="s">
        <v>18</v>
      </c>
      <c r="M23" s="7"/>
      <c r="N23" s="14" t="s">
        <v>28</v>
      </c>
      <c r="O23" s="7"/>
      <c r="P23" s="7"/>
      <c r="Q23" s="7"/>
      <c r="R23" s="14"/>
      <c r="S23" s="7"/>
      <c r="T23" s="56"/>
      <c r="U23" s="14"/>
      <c r="V23" s="14"/>
    </row>
    <row r="24" spans="1:28" x14ac:dyDescent="0.35">
      <c r="A24" s="35"/>
      <c r="B24" s="7"/>
      <c r="C24" s="7"/>
      <c r="D24" s="14" t="s">
        <v>29</v>
      </c>
      <c r="E24" s="14"/>
      <c r="F24" s="14"/>
      <c r="G24" s="14"/>
      <c r="H24" s="14" t="s">
        <v>30</v>
      </c>
      <c r="I24" s="14"/>
      <c r="J24" s="14" t="s">
        <v>18</v>
      </c>
      <c r="K24" s="14"/>
      <c r="L24" s="14" t="s">
        <v>40</v>
      </c>
      <c r="M24" s="7"/>
      <c r="N24" s="14" t="s">
        <v>18</v>
      </c>
      <c r="O24" s="7"/>
      <c r="P24" s="14" t="s">
        <v>28</v>
      </c>
      <c r="Q24" s="7"/>
      <c r="R24" s="14"/>
      <c r="S24" s="7"/>
      <c r="T24" s="14"/>
      <c r="U24" s="14"/>
      <c r="V24" s="14"/>
    </row>
    <row r="25" spans="1:28" x14ac:dyDescent="0.35">
      <c r="A25" s="35"/>
      <c r="B25" s="7"/>
      <c r="C25" s="7"/>
      <c r="D25" s="14" t="s">
        <v>31</v>
      </c>
      <c r="E25" s="14"/>
      <c r="F25" s="14" t="s">
        <v>34</v>
      </c>
      <c r="G25" s="14"/>
      <c r="H25" s="14" t="s">
        <v>19</v>
      </c>
      <c r="I25" s="14"/>
      <c r="J25" s="14" t="s">
        <v>19</v>
      </c>
      <c r="K25" s="14"/>
      <c r="L25" s="14" t="s">
        <v>51</v>
      </c>
      <c r="M25" s="14"/>
      <c r="N25" s="14" t="s">
        <v>19</v>
      </c>
      <c r="O25" s="14"/>
      <c r="P25" s="14" t="s">
        <v>34</v>
      </c>
      <c r="Q25" s="14"/>
      <c r="R25" s="14" t="s">
        <v>36</v>
      </c>
      <c r="S25" s="14"/>
      <c r="T25" s="14" t="s">
        <v>37</v>
      </c>
      <c r="U25" s="14"/>
      <c r="V25" s="14" t="s">
        <v>38</v>
      </c>
    </row>
    <row r="26" spans="1:28" x14ac:dyDescent="0.35">
      <c r="A26" s="35"/>
      <c r="B26" s="7"/>
      <c r="C26" s="7"/>
      <c r="D26" s="27" t="s">
        <v>39</v>
      </c>
      <c r="E26" s="14"/>
      <c r="F26" s="27" t="s">
        <v>43</v>
      </c>
      <c r="G26" s="14"/>
      <c r="H26" s="27" t="s">
        <v>42</v>
      </c>
      <c r="I26" s="14"/>
      <c r="J26" s="27" t="s">
        <v>41</v>
      </c>
      <c r="K26" s="27"/>
      <c r="L26" s="27" t="s">
        <v>41</v>
      </c>
      <c r="M26" s="14"/>
      <c r="N26" s="27" t="s">
        <v>41</v>
      </c>
      <c r="O26" s="14"/>
      <c r="P26" s="27" t="s">
        <v>43</v>
      </c>
      <c r="Q26" s="14"/>
      <c r="R26" s="27" t="s">
        <v>44</v>
      </c>
      <c r="S26" s="14"/>
      <c r="T26" s="27" t="s">
        <v>45</v>
      </c>
      <c r="U26" s="14"/>
      <c r="V26" s="37" t="s">
        <v>46</v>
      </c>
    </row>
    <row r="27" spans="1:28" x14ac:dyDescent="0.35">
      <c r="A27" s="7"/>
      <c r="B27" s="7"/>
      <c r="C27" s="7"/>
      <c r="D27" s="14"/>
      <c r="E27" s="1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8" x14ac:dyDescent="0.35">
      <c r="A28" s="7"/>
      <c r="B28" s="7" t="s">
        <v>47</v>
      </c>
      <c r="C28" s="7"/>
      <c r="D28" s="57">
        <v>85050622.996770963</v>
      </c>
      <c r="E28" s="58"/>
      <c r="F28" s="41">
        <f>D28/D32</f>
        <v>1.3207540338600818E-2</v>
      </c>
      <c r="G28" s="58"/>
      <c r="H28" s="40">
        <v>0.7651</v>
      </c>
      <c r="I28" s="32"/>
      <c r="J28" s="32">
        <f>D28*H28</f>
        <v>65072231.654829465</v>
      </c>
      <c r="K28" s="32"/>
      <c r="L28" s="57">
        <v>-15690023.977957597</v>
      </c>
      <c r="M28" s="41"/>
      <c r="N28" s="32">
        <f>J28+L28</f>
        <v>49382207.676871866</v>
      </c>
      <c r="O28" s="41"/>
      <c r="P28" s="41">
        <f>N28/N32</f>
        <v>1.320754033860082E-2</v>
      </c>
      <c r="Q28" s="41"/>
      <c r="R28" s="59">
        <v>4.463690927234059E-2</v>
      </c>
      <c r="S28" s="41"/>
      <c r="T28" s="41">
        <f>P28*R28</f>
        <v>5.8954377980490326E-4</v>
      </c>
      <c r="U28" s="41"/>
      <c r="V28" s="41">
        <v>5.9187814721752929E-4</v>
      </c>
    </row>
    <row r="29" spans="1:28" x14ac:dyDescent="0.35">
      <c r="A29" s="7"/>
      <c r="B29" s="7" t="s">
        <v>48</v>
      </c>
      <c r="C29" s="7"/>
      <c r="D29" s="60">
        <v>2941658774.4014602</v>
      </c>
      <c r="E29" s="58"/>
      <c r="F29" s="41">
        <f>D29/D32</f>
        <v>0.45681119733574899</v>
      </c>
      <c r="G29" s="58"/>
      <c r="H29" s="40">
        <v>0.7651</v>
      </c>
      <c r="I29" s="32"/>
      <c r="J29" s="32">
        <f>D29*H29</f>
        <v>2250663128.2945571</v>
      </c>
      <c r="K29" s="32"/>
      <c r="L29" s="57">
        <v>-542673234.82251954</v>
      </c>
      <c r="M29" s="41"/>
      <c r="N29" s="32">
        <f>J29+L29</f>
        <v>1707989893.4720376</v>
      </c>
      <c r="O29" s="41"/>
      <c r="P29" s="41">
        <f>N29/N32</f>
        <v>0.45681119733574899</v>
      </c>
      <c r="Q29" s="41"/>
      <c r="R29" s="59">
        <v>4.9511443475700967E-2</v>
      </c>
      <c r="S29" s="41"/>
      <c r="T29" s="41">
        <f>P29*R29</f>
        <v>2.2617381775956215E-2</v>
      </c>
      <c r="U29" s="41"/>
      <c r="V29" s="41">
        <v>2.2706937939188376E-2</v>
      </c>
    </row>
    <row r="30" spans="1:28" x14ac:dyDescent="0.35">
      <c r="A30" s="7"/>
      <c r="B30" s="7" t="s">
        <v>49</v>
      </c>
      <c r="C30" s="7"/>
      <c r="D30" s="61">
        <v>3412841103.023035</v>
      </c>
      <c r="E30" s="58"/>
      <c r="F30" s="47">
        <f>D30/D32</f>
        <v>0.52998126232565013</v>
      </c>
      <c r="G30" s="58"/>
      <c r="H30" s="40">
        <v>0.7651</v>
      </c>
      <c r="I30" s="32"/>
      <c r="J30" s="46">
        <f>D30*H30</f>
        <v>2611164727.922924</v>
      </c>
      <c r="K30" s="46"/>
      <c r="L30" s="45">
        <v>-629596313.967314</v>
      </c>
      <c r="M30" s="41"/>
      <c r="N30" s="46">
        <f>J30+L30</f>
        <v>1981568413.95561</v>
      </c>
      <c r="O30" s="41"/>
      <c r="P30" s="47">
        <f>N30/N32</f>
        <v>0.52998126232565024</v>
      </c>
      <c r="Q30" s="41"/>
      <c r="R30" s="41">
        <v>0.1095</v>
      </c>
      <c r="S30" s="41"/>
      <c r="T30" s="47">
        <f>P30*R30</f>
        <v>5.8032948224658702E-2</v>
      </c>
      <c r="U30" s="41"/>
      <c r="V30" s="47">
        <v>7.7631894013652336E-2</v>
      </c>
    </row>
    <row r="31" spans="1:28" x14ac:dyDescent="0.35">
      <c r="A31" s="7"/>
      <c r="B31" s="7"/>
      <c r="C31" s="7"/>
      <c r="D31" s="28"/>
      <c r="E31" s="28"/>
      <c r="F31" s="7"/>
      <c r="G31" s="28"/>
      <c r="H31" s="50"/>
      <c r="I31" s="50"/>
      <c r="J31" s="50"/>
      <c r="K31" s="50"/>
      <c r="L31" s="7"/>
      <c r="M31" s="7"/>
      <c r="N31" s="50"/>
      <c r="O31" s="7"/>
      <c r="P31" s="7"/>
      <c r="Q31" s="7"/>
      <c r="R31" s="41"/>
      <c r="S31" s="7"/>
      <c r="T31" s="41"/>
      <c r="U31" s="41"/>
      <c r="V31" s="30"/>
    </row>
    <row r="32" spans="1:28" ht="15" thickBot="1" x14ac:dyDescent="0.4">
      <c r="A32" s="7"/>
      <c r="B32" s="51" t="s">
        <v>50</v>
      </c>
      <c r="C32" s="7"/>
      <c r="D32" s="52">
        <f>SUM(D28:D31)</f>
        <v>6439550500.4212666</v>
      </c>
      <c r="E32" s="28"/>
      <c r="F32" s="53">
        <f>SUM(F28:F31)</f>
        <v>1</v>
      </c>
      <c r="G32" s="28"/>
      <c r="H32" s="28"/>
      <c r="I32" s="28"/>
      <c r="J32" s="52">
        <f>SUM(J28:J31)</f>
        <v>4926900087.8723106</v>
      </c>
      <c r="K32" s="28"/>
      <c r="L32" s="52">
        <f>SUM(L28:L31)</f>
        <v>-1187959572.7677913</v>
      </c>
      <c r="M32" s="28"/>
      <c r="N32" s="52">
        <f>SUM(N28:N31)</f>
        <v>3738940515.1045194</v>
      </c>
      <c r="O32" s="28"/>
      <c r="P32" s="53">
        <f>SUM(P28:P31)</f>
        <v>1</v>
      </c>
      <c r="Q32" s="28"/>
      <c r="R32" s="29"/>
      <c r="S32" s="28"/>
      <c r="T32" s="53">
        <f>SUM(T28:T31)</f>
        <v>8.1239873780419816E-2</v>
      </c>
      <c r="U32" s="28"/>
      <c r="V32" s="54">
        <f>SUM(V28:V31)</f>
        <v>0.10093071010005825</v>
      </c>
    </row>
    <row r="33" spans="1:22" ht="15" thickTop="1" x14ac:dyDescent="0.35"/>
    <row r="34" spans="1:22" x14ac:dyDescent="0.35">
      <c r="A34" s="31" t="s">
        <v>54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35">
      <c r="A35" s="3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  <c r="O35" s="7"/>
      <c r="P35" s="7"/>
      <c r="Q35" s="7"/>
      <c r="R35" s="7"/>
      <c r="S35" s="7"/>
      <c r="T35" s="7"/>
      <c r="U35" s="7"/>
      <c r="V35" s="14"/>
    </row>
    <row r="36" spans="1:22" x14ac:dyDescent="0.35">
      <c r="A36" s="35"/>
      <c r="B36" s="7"/>
      <c r="C36" s="7"/>
      <c r="D36" s="7"/>
      <c r="E36" s="7"/>
      <c r="F36" s="7"/>
      <c r="G36" s="7"/>
      <c r="H36" s="14" t="s">
        <v>18</v>
      </c>
      <c r="I36" s="14"/>
      <c r="J36" s="14"/>
      <c r="K36" s="14"/>
      <c r="L36" s="14" t="s">
        <v>18</v>
      </c>
      <c r="M36" s="7"/>
      <c r="N36" s="14" t="s">
        <v>28</v>
      </c>
      <c r="O36" s="7"/>
      <c r="P36" s="7"/>
      <c r="Q36" s="7"/>
      <c r="R36" s="14"/>
      <c r="S36" s="7"/>
      <c r="T36" s="56"/>
      <c r="U36" s="14"/>
      <c r="V36" s="14"/>
    </row>
    <row r="37" spans="1:22" x14ac:dyDescent="0.35">
      <c r="A37" s="35"/>
      <c r="B37" s="7"/>
      <c r="C37" s="7"/>
      <c r="D37" s="14" t="s">
        <v>29</v>
      </c>
      <c r="E37" s="14"/>
      <c r="F37" s="14"/>
      <c r="G37" s="14"/>
      <c r="H37" s="14" t="s">
        <v>30</v>
      </c>
      <c r="I37" s="14"/>
      <c r="J37" s="14" t="s">
        <v>18</v>
      </c>
      <c r="K37" s="14"/>
      <c r="L37" s="14" t="s">
        <v>40</v>
      </c>
      <c r="M37" s="7"/>
      <c r="N37" s="14" t="s">
        <v>18</v>
      </c>
      <c r="O37" s="7"/>
      <c r="P37" s="14" t="s">
        <v>28</v>
      </c>
      <c r="Q37" s="7"/>
      <c r="R37" s="14"/>
      <c r="S37" s="7"/>
      <c r="T37" s="14"/>
      <c r="U37" s="14"/>
      <c r="V37" s="14"/>
    </row>
    <row r="38" spans="1:22" x14ac:dyDescent="0.35">
      <c r="A38" s="35"/>
      <c r="B38" s="7"/>
      <c r="C38" s="7"/>
      <c r="D38" s="14" t="s">
        <v>31</v>
      </c>
      <c r="E38" s="14"/>
      <c r="F38" s="14" t="s">
        <v>34</v>
      </c>
      <c r="G38" s="14"/>
      <c r="H38" s="14" t="s">
        <v>20</v>
      </c>
      <c r="I38" s="14"/>
      <c r="J38" s="14" t="s">
        <v>20</v>
      </c>
      <c r="K38" s="14"/>
      <c r="L38" s="14" t="s">
        <v>51</v>
      </c>
      <c r="M38" s="14"/>
      <c r="N38" s="14" t="s">
        <v>20</v>
      </c>
      <c r="O38" s="14"/>
      <c r="P38" s="14" t="s">
        <v>34</v>
      </c>
      <c r="Q38" s="14"/>
      <c r="R38" s="14" t="s">
        <v>36</v>
      </c>
      <c r="S38" s="14"/>
      <c r="T38" s="14" t="s">
        <v>37</v>
      </c>
      <c r="U38" s="14"/>
      <c r="V38" s="14" t="s">
        <v>38</v>
      </c>
    </row>
    <row r="39" spans="1:22" x14ac:dyDescent="0.35">
      <c r="A39" s="35"/>
      <c r="B39" s="7"/>
      <c r="C39" s="7"/>
      <c r="D39" s="27" t="s">
        <v>39</v>
      </c>
      <c r="E39" s="14"/>
      <c r="F39" s="27" t="s">
        <v>43</v>
      </c>
      <c r="G39" s="14"/>
      <c r="H39" s="27" t="s">
        <v>42</v>
      </c>
      <c r="I39" s="14"/>
      <c r="J39" s="27" t="s">
        <v>41</v>
      </c>
      <c r="K39" s="27"/>
      <c r="L39" s="27" t="s">
        <v>41</v>
      </c>
      <c r="M39" s="14"/>
      <c r="N39" s="27" t="s">
        <v>41</v>
      </c>
      <c r="O39" s="14"/>
      <c r="P39" s="27" t="s">
        <v>43</v>
      </c>
      <c r="Q39" s="14"/>
      <c r="R39" s="27" t="s">
        <v>44</v>
      </c>
      <c r="S39" s="14"/>
      <c r="T39" s="27" t="s">
        <v>45</v>
      </c>
      <c r="U39" s="14"/>
      <c r="V39" s="37" t="s">
        <v>46</v>
      </c>
    </row>
    <row r="40" spans="1:22" x14ac:dyDescent="0.35">
      <c r="A40" s="7"/>
      <c r="B40" s="7"/>
      <c r="C40" s="7"/>
      <c r="D40" s="14"/>
      <c r="E40" s="1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35">
      <c r="A41" s="7"/>
      <c r="B41" s="7" t="s">
        <v>47</v>
      </c>
      <c r="C41" s="7"/>
      <c r="D41" s="57">
        <v>85050622.996770963</v>
      </c>
      <c r="E41" s="58"/>
      <c r="F41" s="41">
        <f>D41/D45</f>
        <v>1.3207540338600818E-2</v>
      </c>
      <c r="G41" s="58"/>
      <c r="H41" s="40">
        <v>0.2349</v>
      </c>
      <c r="I41" s="32"/>
      <c r="J41" s="32">
        <f>D41*H41</f>
        <v>19978391.341941498</v>
      </c>
      <c r="K41" s="32"/>
      <c r="L41" s="39">
        <v>-1291993.1001205845</v>
      </c>
      <c r="M41" s="41"/>
      <c r="N41" s="32">
        <f>J41+L41</f>
        <v>18686398.241820913</v>
      </c>
      <c r="O41" s="41"/>
      <c r="P41" s="41">
        <f>N41/N45</f>
        <v>1.320754033860082E-2</v>
      </c>
      <c r="Q41" s="41"/>
      <c r="R41" s="59">
        <v>4.463690927234059E-2</v>
      </c>
      <c r="S41" s="41"/>
      <c r="T41" s="41">
        <f>P41*R41</f>
        <v>5.8954377980490326E-4</v>
      </c>
      <c r="U41" s="41"/>
      <c r="V41" s="41">
        <v>5.9187814721752929E-4</v>
      </c>
    </row>
    <row r="42" spans="1:22" x14ac:dyDescent="0.35">
      <c r="A42" s="7"/>
      <c r="B42" s="7" t="s">
        <v>48</v>
      </c>
      <c r="C42" s="7"/>
      <c r="D42" s="60">
        <v>2941658774.4014602</v>
      </c>
      <c r="E42" s="58"/>
      <c r="F42" s="41">
        <f>D42/D45</f>
        <v>0.45681119733574899</v>
      </c>
      <c r="G42" s="58"/>
      <c r="H42" s="40">
        <v>0.2349</v>
      </c>
      <c r="I42" s="32"/>
      <c r="J42" s="32">
        <f>D42*H42</f>
        <v>690995646.10690296</v>
      </c>
      <c r="K42" s="32"/>
      <c r="L42" s="39">
        <v>-44686360.963871546</v>
      </c>
      <c r="M42" s="41"/>
      <c r="N42" s="32">
        <f>J42+L42</f>
        <v>646309285.14303136</v>
      </c>
      <c r="O42" s="41"/>
      <c r="P42" s="41">
        <f>N42/N45</f>
        <v>0.45681119733574899</v>
      </c>
      <c r="Q42" s="41"/>
      <c r="R42" s="59">
        <v>4.9511443475700967E-2</v>
      </c>
      <c r="S42" s="41"/>
      <c r="T42" s="41">
        <f>P42*R42</f>
        <v>2.2617381775956215E-2</v>
      </c>
      <c r="U42" s="41"/>
      <c r="V42" s="41">
        <v>2.2706937939188376E-2</v>
      </c>
    </row>
    <row r="43" spans="1:22" x14ac:dyDescent="0.35">
      <c r="A43" s="7"/>
      <c r="B43" s="7" t="s">
        <v>49</v>
      </c>
      <c r="C43" s="7"/>
      <c r="D43" s="61">
        <v>3412841103.023035</v>
      </c>
      <c r="E43" s="58"/>
      <c r="F43" s="47">
        <f>D43/D45</f>
        <v>0.52998126232565013</v>
      </c>
      <c r="G43" s="58"/>
      <c r="H43" s="40">
        <v>0.2349</v>
      </c>
      <c r="I43" s="32"/>
      <c r="J43" s="46">
        <f>D43*H43</f>
        <v>801676375.10011089</v>
      </c>
      <c r="K43" s="46"/>
      <c r="L43" s="45">
        <v>-51844031.255139574</v>
      </c>
      <c r="M43" s="41"/>
      <c r="N43" s="46">
        <f>J43+L43</f>
        <v>749832343.8449713</v>
      </c>
      <c r="O43" s="41"/>
      <c r="P43" s="47">
        <f>N43/N45</f>
        <v>0.52998126232565024</v>
      </c>
      <c r="Q43" s="41"/>
      <c r="R43" s="41">
        <v>0.1095</v>
      </c>
      <c r="S43" s="41"/>
      <c r="T43" s="47">
        <f>P43*R43</f>
        <v>5.8032948224658702E-2</v>
      </c>
      <c r="U43" s="41"/>
      <c r="V43" s="47">
        <v>7.7631894013652336E-2</v>
      </c>
    </row>
    <row r="44" spans="1:22" x14ac:dyDescent="0.35">
      <c r="A44" s="7"/>
      <c r="B44" s="7"/>
      <c r="C44" s="7"/>
      <c r="D44" s="28"/>
      <c r="E44" s="28"/>
      <c r="F44" s="7"/>
      <c r="G44" s="28"/>
      <c r="H44" s="50"/>
      <c r="I44" s="50"/>
      <c r="J44" s="50"/>
      <c r="K44" s="50"/>
      <c r="L44" s="7"/>
      <c r="M44" s="7"/>
      <c r="N44" s="50"/>
      <c r="O44" s="7"/>
      <c r="P44" s="7"/>
      <c r="Q44" s="7"/>
      <c r="R44" s="41"/>
      <c r="S44" s="7"/>
      <c r="T44" s="41"/>
      <c r="U44" s="41"/>
      <c r="V44" s="30"/>
    </row>
    <row r="45" spans="1:22" ht="15" thickBot="1" x14ac:dyDescent="0.4">
      <c r="A45" s="7"/>
      <c r="B45" s="51" t="s">
        <v>50</v>
      </c>
      <c r="C45" s="7"/>
      <c r="D45" s="52">
        <f>SUM(D41:D44)</f>
        <v>6439550500.4212666</v>
      </c>
      <c r="E45" s="28"/>
      <c r="F45" s="53">
        <f>SUM(F41:F44)</f>
        <v>1</v>
      </c>
      <c r="G45" s="28"/>
      <c r="H45" s="28"/>
      <c r="I45" s="28"/>
      <c r="J45" s="52">
        <f>SUM(J41:J44)</f>
        <v>1512650412.5489554</v>
      </c>
      <c r="K45" s="28"/>
      <c r="L45" s="52">
        <f>SUM(L41:L44)</f>
        <v>-97822385.319131702</v>
      </c>
      <c r="M45" s="28"/>
      <c r="N45" s="52">
        <f>SUM(N41:N44)</f>
        <v>1414828027.2298236</v>
      </c>
      <c r="O45" s="28"/>
      <c r="P45" s="53">
        <f>SUM(P41:P44)</f>
        <v>1</v>
      </c>
      <c r="Q45" s="28"/>
      <c r="R45" s="29"/>
      <c r="S45" s="28"/>
      <c r="T45" s="53">
        <f>SUM(T41:T44)</f>
        <v>8.1239873780419816E-2</v>
      </c>
      <c r="U45" s="28"/>
      <c r="V45" s="54">
        <f>SUM(V41:V44)</f>
        <v>0.10093071010005825</v>
      </c>
    </row>
    <row r="46" spans="1:22" ht="15" thickTop="1" x14ac:dyDescent="0.35"/>
  </sheetData>
  <mergeCells count="6">
    <mergeCell ref="B6:P6"/>
    <mergeCell ref="B1:P1"/>
    <mergeCell ref="B2:P2"/>
    <mergeCell ref="B3:P3"/>
    <mergeCell ref="B4:P4"/>
    <mergeCell ref="B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2328-CB15-4370-A098-3CE3D9E6EB9F}">
  <dimension ref="A1:J33"/>
  <sheetViews>
    <sheetView topLeftCell="A8" workbookViewId="0">
      <selection sqref="A1:D1"/>
    </sheetView>
  </sheetViews>
  <sheetFormatPr defaultRowHeight="14.5" x14ac:dyDescent="0.35"/>
  <cols>
    <col min="1" max="1" width="42.08984375" bestFit="1" customWidth="1"/>
    <col min="2" max="3" width="14.54296875" bestFit="1" customWidth="1"/>
    <col min="4" max="4" width="12.90625" bestFit="1" customWidth="1"/>
    <col min="5" max="5" width="3.90625" customWidth="1"/>
    <col min="7" max="9" width="17.08984375" bestFit="1" customWidth="1"/>
    <col min="10" max="10" width="8.453125" customWidth="1"/>
  </cols>
  <sheetData>
    <row r="1" spans="1:10" ht="15.5" x14ac:dyDescent="0.35">
      <c r="A1" s="121" t="s">
        <v>118</v>
      </c>
      <c r="B1" s="121"/>
      <c r="C1" s="121"/>
      <c r="D1" s="121"/>
      <c r="E1" s="88"/>
      <c r="F1" s="121" t="s">
        <v>27</v>
      </c>
      <c r="G1" s="121"/>
      <c r="H1" s="121"/>
      <c r="I1" s="121"/>
    </row>
    <row r="2" spans="1:10" x14ac:dyDescent="0.35">
      <c r="A2" s="89"/>
      <c r="B2" s="89"/>
      <c r="C2" s="89"/>
      <c r="D2" s="89"/>
      <c r="E2" s="89"/>
    </row>
    <row r="3" spans="1:10" x14ac:dyDescent="0.35">
      <c r="A3" s="122" t="s">
        <v>119</v>
      </c>
      <c r="B3" s="122"/>
      <c r="C3" s="122"/>
      <c r="D3" s="122"/>
      <c r="E3" s="90"/>
      <c r="F3" s="122" t="s">
        <v>119</v>
      </c>
      <c r="G3" s="122"/>
      <c r="H3" s="122"/>
      <c r="I3" s="122"/>
      <c r="J3" s="90"/>
    </row>
    <row r="4" spans="1:10" ht="26" x14ac:dyDescent="0.35">
      <c r="A4" s="91"/>
      <c r="B4" s="92" t="s">
        <v>120</v>
      </c>
      <c r="C4" s="92" t="s">
        <v>120</v>
      </c>
      <c r="D4" s="92" t="s">
        <v>120</v>
      </c>
      <c r="E4" s="92"/>
      <c r="G4" s="92" t="s">
        <v>120</v>
      </c>
      <c r="H4" s="92" t="s">
        <v>120</v>
      </c>
      <c r="I4" s="92" t="s">
        <v>120</v>
      </c>
    </row>
    <row r="5" spans="1:10" ht="26" x14ac:dyDescent="0.35">
      <c r="A5" s="93" t="s">
        <v>121</v>
      </c>
      <c r="B5" s="94" t="s">
        <v>122</v>
      </c>
      <c r="C5" s="94" t="s">
        <v>123</v>
      </c>
      <c r="D5" s="94" t="s">
        <v>124</v>
      </c>
      <c r="E5" s="92"/>
      <c r="G5" s="94" t="s">
        <v>122</v>
      </c>
      <c r="H5" s="94" t="s">
        <v>19</v>
      </c>
      <c r="I5" s="94" t="s">
        <v>20</v>
      </c>
    </row>
    <row r="6" spans="1:10" x14ac:dyDescent="0.35">
      <c r="A6" s="91" t="s">
        <v>125</v>
      </c>
      <c r="B6" s="91"/>
      <c r="C6" s="95">
        <f>'[1]SCH J-1.1|J-1.2'!G16</f>
        <v>0.93259999999999998</v>
      </c>
      <c r="D6" s="95">
        <f>1-C6</f>
        <v>6.7400000000000015E-2</v>
      </c>
      <c r="E6" s="95"/>
      <c r="G6" s="91"/>
      <c r="H6" s="95">
        <v>0.7651</v>
      </c>
      <c r="I6" s="95">
        <v>0.2349</v>
      </c>
    </row>
    <row r="7" spans="1:10" x14ac:dyDescent="0.35">
      <c r="A7" s="96" t="s">
        <v>41</v>
      </c>
      <c r="B7" s="97">
        <v>8096360516.4003248</v>
      </c>
      <c r="C7" s="97">
        <v>6186150159.3962708</v>
      </c>
      <c r="D7" s="97">
        <v>545403915.59136784</v>
      </c>
      <c r="E7" s="97"/>
      <c r="G7" s="97">
        <v>6439550500.4212666</v>
      </c>
      <c r="H7" s="97">
        <v>3738940515.1045194</v>
      </c>
      <c r="I7" s="97">
        <v>1414828027.2298236</v>
      </c>
    </row>
    <row r="8" spans="1:10" x14ac:dyDescent="0.35">
      <c r="A8" s="96" t="s">
        <v>98</v>
      </c>
      <c r="B8" s="98">
        <v>8018285772.4440966</v>
      </c>
      <c r="C8" s="99">
        <v>6096079611.7241421</v>
      </c>
      <c r="D8" s="99">
        <v>540316775.84837461</v>
      </c>
      <c r="E8" s="100"/>
      <c r="G8" s="98">
        <v>6389370478.7535019</v>
      </c>
      <c r="H8" s="99">
        <v>3744343984.4549346</v>
      </c>
      <c r="I8" s="99">
        <v>1368784875.8773143</v>
      </c>
    </row>
    <row r="9" spans="1:10" x14ac:dyDescent="0.35">
      <c r="A9" s="96" t="s">
        <v>108</v>
      </c>
      <c r="B9" s="97">
        <f>B7-B8</f>
        <v>78074743.956228256</v>
      </c>
      <c r="C9" s="100">
        <f t="shared" ref="C9:D9" si="0">C7-C8</f>
        <v>90070547.672128677</v>
      </c>
      <c r="D9" s="100">
        <f t="shared" si="0"/>
        <v>5087139.7429932356</v>
      </c>
      <c r="E9" s="100"/>
      <c r="G9" s="97">
        <v>50180021.667764664</v>
      </c>
      <c r="H9" s="100">
        <v>-5403469.3504152298</v>
      </c>
      <c r="I9" s="100">
        <v>46043151.35250926</v>
      </c>
    </row>
    <row r="10" spans="1:10" x14ac:dyDescent="0.35">
      <c r="A10" s="96"/>
      <c r="B10" s="97"/>
      <c r="C10" s="97"/>
      <c r="D10" s="100"/>
      <c r="E10" s="100"/>
      <c r="G10" s="97"/>
      <c r="H10" s="97"/>
      <c r="I10" s="100"/>
    </row>
    <row r="11" spans="1:10" x14ac:dyDescent="0.35">
      <c r="A11" s="101" t="s">
        <v>126</v>
      </c>
      <c r="B11" s="102"/>
      <c r="C11" s="100"/>
      <c r="D11" s="100"/>
      <c r="E11" s="100"/>
      <c r="G11" s="102"/>
      <c r="H11" s="100"/>
      <c r="I11" s="100"/>
    </row>
    <row r="12" spans="1:10" x14ac:dyDescent="0.35">
      <c r="A12" s="96" t="s">
        <v>127</v>
      </c>
      <c r="B12" s="102">
        <f>-'[1]Cap vs. RB Detail'!D104</f>
        <v>-50581380.033076726</v>
      </c>
      <c r="C12" s="103">
        <f>B12*$C$6</f>
        <v>-47172195.018847354</v>
      </c>
      <c r="D12" s="103">
        <f>B12*$D$6</f>
        <v>-3409185.0142293721</v>
      </c>
      <c r="E12" s="103"/>
      <c r="G12" s="102">
        <v>-78673328.902307659</v>
      </c>
      <c r="H12" s="103">
        <v>-60192963.943155587</v>
      </c>
      <c r="I12" s="103">
        <v>-18480364.959152069</v>
      </c>
    </row>
    <row r="13" spans="1:10" x14ac:dyDescent="0.35">
      <c r="A13" s="96" t="s">
        <v>128</v>
      </c>
      <c r="B13" s="102"/>
      <c r="C13" s="103">
        <f>-'[1]Cap vs. RB Detail'!C104</f>
        <v>21397234.468006782</v>
      </c>
      <c r="D13" s="103"/>
      <c r="E13" s="103"/>
      <c r="G13" s="102"/>
      <c r="H13" s="103">
        <v>17516343.148416363</v>
      </c>
      <c r="I13" s="103">
        <v>33600471.49158363</v>
      </c>
    </row>
    <row r="14" spans="1:10" x14ac:dyDescent="0.35">
      <c r="A14" s="96" t="s">
        <v>129</v>
      </c>
      <c r="B14" s="103">
        <f>-'[1]Cap vs. RB Detail'!H104</f>
        <v>23231684.04675778</v>
      </c>
      <c r="C14" s="103">
        <f>B14*$C$6</f>
        <v>21665868.542006306</v>
      </c>
      <c r="D14" s="103">
        <f>B14*$D$6</f>
        <v>1565815.5047514748</v>
      </c>
      <c r="E14" s="103"/>
      <c r="G14" s="103">
        <v>42921244.428541213</v>
      </c>
      <c r="H14" s="103">
        <v>32839044.112276882</v>
      </c>
      <c r="I14" s="103">
        <v>10082200.316264331</v>
      </c>
    </row>
    <row r="15" spans="1:10" x14ac:dyDescent="0.35">
      <c r="A15" s="96" t="s">
        <v>130</v>
      </c>
      <c r="B15" s="103">
        <f>-'[1]Cap vs. RB Detail'!I104</f>
        <v>110823046.20922557</v>
      </c>
      <c r="C15" s="103">
        <f>B15*$C$6</f>
        <v>103353572.89472376</v>
      </c>
      <c r="D15" s="103">
        <f>B15*$D$6</f>
        <v>7469473.3145018052</v>
      </c>
      <c r="E15" s="103"/>
      <c r="G15" s="103">
        <v>133370985.4238452</v>
      </c>
      <c r="H15" s="103">
        <v>102042140.94778396</v>
      </c>
      <c r="I15" s="103">
        <v>31328844.476061236</v>
      </c>
    </row>
    <row r="16" spans="1:10" x14ac:dyDescent="0.35">
      <c r="A16" s="96" t="s">
        <v>131</v>
      </c>
      <c r="B16" s="103">
        <f>-'[1]Cap vs. RB Detail'!E104</f>
        <v>1412103.3162497878</v>
      </c>
      <c r="C16" s="103">
        <f t="shared" ref="C16:C18" si="1">B16*$C$6</f>
        <v>1316927.5527345522</v>
      </c>
      <c r="D16" s="103">
        <f>B16*$D$6</f>
        <v>95175.763515235725</v>
      </c>
      <c r="E16" s="103"/>
      <c r="G16" s="103">
        <v>576470.31665694714</v>
      </c>
      <c r="H16" s="103">
        <v>441057.43927423027</v>
      </c>
      <c r="I16" s="103">
        <v>135412.87738271689</v>
      </c>
    </row>
    <row r="17" spans="1:9" x14ac:dyDescent="0.35">
      <c r="A17" s="96" t="s">
        <v>132</v>
      </c>
      <c r="B17" s="103">
        <f>-'[1]Cap vs. RB Detail'!F104</f>
        <v>-485423.27153848205</v>
      </c>
      <c r="C17" s="103">
        <f t="shared" si="1"/>
        <v>-452705.74303678836</v>
      </c>
      <c r="D17" s="103">
        <f>B17*$D$6</f>
        <v>-32717.528501693698</v>
      </c>
      <c r="E17" s="103"/>
      <c r="G17" s="103">
        <v>229047.77230774518</v>
      </c>
      <c r="H17" s="103">
        <v>175244.45059265583</v>
      </c>
      <c r="I17" s="103">
        <v>53803.32171508934</v>
      </c>
    </row>
    <row r="18" spans="1:9" x14ac:dyDescent="0.35">
      <c r="A18" s="96" t="s">
        <v>133</v>
      </c>
      <c r="B18" s="103">
        <f>-'[1]Cap vs. RB Detail'!G104</f>
        <v>36819439.427585237</v>
      </c>
      <c r="C18" s="103">
        <f t="shared" si="1"/>
        <v>34337809.210165992</v>
      </c>
      <c r="D18" s="103">
        <f>B18*$D$6</f>
        <v>2481630.2174192457</v>
      </c>
      <c r="E18" s="103"/>
      <c r="G18" s="103"/>
      <c r="H18" s="103"/>
      <c r="I18" s="103"/>
    </row>
    <row r="19" spans="1:9" x14ac:dyDescent="0.35">
      <c r="A19" s="96" t="s">
        <v>134</v>
      </c>
      <c r="B19" s="97">
        <f>-'[1]Cap vs. RB Detail'!J104</f>
        <v>287881.30000000005</v>
      </c>
      <c r="C19" s="103"/>
      <c r="D19" s="103"/>
      <c r="E19" s="103"/>
      <c r="G19" s="97">
        <v>868148.61000000045</v>
      </c>
      <c r="H19" s="103"/>
      <c r="I19" s="103"/>
    </row>
    <row r="20" spans="1:9" x14ac:dyDescent="0.35">
      <c r="A20" s="104" t="s">
        <v>135</v>
      </c>
      <c r="B20" s="105"/>
      <c r="C20" s="106">
        <f>('[1]SCH J-1.1|J-1.2'!J46)*C6</f>
        <v>-398147.61491404288</v>
      </c>
      <c r="D20" s="105">
        <f>('[1]SCH J-1.1|J-1.2'!J46)*D6</f>
        <v>-28774.554198162659</v>
      </c>
      <c r="E20" s="105"/>
      <c r="G20" s="105"/>
      <c r="H20" s="106">
        <v>-694923.34764873981</v>
      </c>
      <c r="I20" s="105">
        <v>129417.51099199057</v>
      </c>
    </row>
    <row r="21" spans="1:9" x14ac:dyDescent="0.35">
      <c r="A21" s="104" t="s">
        <v>136</v>
      </c>
      <c r="B21" s="105"/>
      <c r="C21" s="106">
        <f>('[1]SCH J-1.1|J-1.2'!K46)*C6</f>
        <v>992542.5292639999</v>
      </c>
      <c r="D21" s="105">
        <f>('[1]SCH J-1.1|J-1.2'!K46)*D6</f>
        <v>71732.110736000002</v>
      </c>
      <c r="E21" s="105"/>
      <c r="G21" s="105"/>
      <c r="H21" s="106">
        <v>324993.78999999998</v>
      </c>
      <c r="I21" s="105">
        <v>266367.59999999998</v>
      </c>
    </row>
    <row r="22" spans="1:9" x14ac:dyDescent="0.35">
      <c r="A22" s="104" t="s">
        <v>137</v>
      </c>
      <c r="B22" s="105"/>
      <c r="C22" s="106">
        <f>('[1]SCH J-1.1|J-1.2'!L46)*C6</f>
        <v>-5678165.7732139993</v>
      </c>
      <c r="D22" s="105">
        <f>('[1]SCH J-1.1|J-1.2'!L46)*D6</f>
        <v>-410367.11678600009</v>
      </c>
      <c r="E22" s="105"/>
      <c r="G22" s="105"/>
      <c r="H22" s="106">
        <v>-5646645.1599999666</v>
      </c>
      <c r="I22" s="105"/>
    </row>
    <row r="23" spans="1:9" x14ac:dyDescent="0.35">
      <c r="A23" s="104" t="s">
        <v>138</v>
      </c>
      <c r="B23" s="105"/>
      <c r="C23" s="106">
        <f>('[1]SCH J-1.1|J-1.2'!M46)*C6</f>
        <v>1630252.702606</v>
      </c>
      <c r="D23" s="105">
        <f>('[1]SCH J-1.1|J-1.2'!M46)*D6</f>
        <v>117820.10739400004</v>
      </c>
      <c r="E23" s="105"/>
      <c r="G23" s="105"/>
      <c r="H23" s="106">
        <v>1435066.46</v>
      </c>
      <c r="I23" s="105">
        <v>514874.38383814401</v>
      </c>
    </row>
    <row r="24" spans="1:9" x14ac:dyDescent="0.35">
      <c r="A24" s="104" t="s">
        <v>139</v>
      </c>
      <c r="B24" s="105"/>
      <c r="C24" s="106">
        <f>'[1]SCH J-1.1|J-1.2'!G46*C6</f>
        <v>-301511.53845999995</v>
      </c>
      <c r="D24" s="105">
        <f>'[1]SCH J-1.1|J-1.2'!G46*D6</f>
        <v>-21790.561540000002</v>
      </c>
      <c r="E24" s="105"/>
      <c r="G24" s="105"/>
      <c r="H24" s="106"/>
      <c r="I24" s="105"/>
    </row>
    <row r="25" spans="1:9" x14ac:dyDescent="0.35">
      <c r="A25" s="104" t="s">
        <v>140</v>
      </c>
      <c r="B25" s="105"/>
      <c r="C25" s="106"/>
      <c r="D25" s="105"/>
      <c r="E25" s="105"/>
      <c r="G25" s="105">
        <v>-28159351.09454447</v>
      </c>
      <c r="H25" s="106"/>
      <c r="I25" s="105"/>
    </row>
    <row r="26" spans="1:9" x14ac:dyDescent="0.35">
      <c r="A26" s="104" t="s">
        <v>141</v>
      </c>
      <c r="B26" s="105"/>
      <c r="C26" s="106"/>
      <c r="D26" s="105"/>
      <c r="E26" s="105"/>
      <c r="G26" s="105"/>
      <c r="H26" s="106">
        <v>-84277508.027396396</v>
      </c>
      <c r="I26" s="105"/>
    </row>
    <row r="27" spans="1:9" x14ac:dyDescent="0.35">
      <c r="A27" s="104"/>
      <c r="B27" s="105"/>
      <c r="C27" s="106"/>
      <c r="D27" s="105"/>
      <c r="E27" s="105"/>
      <c r="G27" s="105"/>
      <c r="H27" s="106"/>
      <c r="I27" s="105"/>
    </row>
    <row r="28" spans="1:9" x14ac:dyDescent="0.35">
      <c r="A28" s="107" t="s">
        <v>142</v>
      </c>
      <c r="B28" s="108"/>
      <c r="C28" s="108"/>
      <c r="D28" s="108"/>
      <c r="E28" s="108"/>
      <c r="G28" s="108"/>
      <c r="H28" s="108"/>
      <c r="I28" s="108"/>
    </row>
    <row r="29" spans="1:9" x14ac:dyDescent="0.35">
      <c r="A29" s="96" t="s">
        <v>143</v>
      </c>
      <c r="B29" s="102">
        <f>-'[1]SCH B-1.1 F'!X38</f>
        <v>-43432606.866670325</v>
      </c>
      <c r="C29" s="100">
        <f>B29-D29</f>
        <v>-38306064.170235142</v>
      </c>
      <c r="D29" s="100">
        <f>-'[1]SCH B-1.1 F'!T54</f>
        <v>-5126542.6964351833</v>
      </c>
      <c r="E29" s="100"/>
      <c r="G29" s="102">
        <v>-20953194.789054662</v>
      </c>
      <c r="H29" s="100">
        <v>-19194733.029190369</v>
      </c>
      <c r="I29" s="100">
        <v>-1758461.759864293</v>
      </c>
    </row>
    <row r="30" spans="1:9" x14ac:dyDescent="0.35">
      <c r="A30" s="96" t="s">
        <v>144</v>
      </c>
      <c r="B30" s="109">
        <v>0</v>
      </c>
      <c r="C30" s="99">
        <f>-D30</f>
        <v>-2314870</v>
      </c>
      <c r="D30" s="99">
        <v>2314870</v>
      </c>
      <c r="E30" s="100"/>
      <c r="G30" s="109">
        <v>0</v>
      </c>
      <c r="H30" s="99">
        <v>9829414</v>
      </c>
      <c r="I30" s="99">
        <v>-9829414</v>
      </c>
    </row>
    <row r="31" spans="1:9" x14ac:dyDescent="0.35">
      <c r="A31" s="110"/>
      <c r="B31" s="111">
        <f>SUM(B12:B30)</f>
        <v>78074744.128532827</v>
      </c>
      <c r="C31" s="111">
        <f>SUM(C12:C30)</f>
        <v>90070548.040800065</v>
      </c>
      <c r="D31" s="111">
        <f>SUM(D12:D30)</f>
        <v>5087139.5466273492</v>
      </c>
      <c r="E31" s="111"/>
      <c r="G31" s="111">
        <v>50180021.765444323</v>
      </c>
      <c r="H31" s="111">
        <v>-5403469.1590469405</v>
      </c>
      <c r="I31" s="111">
        <v>46043151.258820787</v>
      </c>
    </row>
    <row r="33" spans="1:1" x14ac:dyDescent="0.35">
      <c r="A33" t="s">
        <v>162</v>
      </c>
    </row>
  </sheetData>
  <mergeCells count="4">
    <mergeCell ref="A1:D1"/>
    <mergeCell ref="F1:I1"/>
    <mergeCell ref="A3:D3"/>
    <mergeCell ref="F3:I3"/>
  </mergeCells>
  <pageMargins left="0.7" right="0.7" top="0.75" bottom="0.75" header="0.3" footer="0.3"/>
  <pageSetup orientation="portrait" r:id="rId1"/>
  <headerFoot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2025</Year>
    <Document_x0020_Type xmlns="54fcda00-7b58-44a7-b108-8bd10a8a08ba">Rebuttal Testimony</Document_x0020_Type>
    <Witness_x0020_Testimony xmlns="54fcda00-7b58-44a7-b108-8bd10a8a08ba">Garrett, Christopher M.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9EF19701-DD39-444A-BDD9-9695CADFA3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023686-11EF-4EB6-B44C-E7837239E3D9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D5904BAD-D28B-4BAE-BDF4-0A75B21782A4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4fcda00-7b58-44a7-b108-8bd10a8a08b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A1751D2-D5BF-4083-8166-2DAF7FC13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84CEBE0-CE8B-4353-B776-C6A3ACD983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CMG-2 Rate Base Adjustments</vt:lpstr>
      <vt:lpstr>CMG-2 Detail</vt:lpstr>
      <vt:lpstr>CMG-2 KU and LGE Summ Rev Req </vt:lpstr>
      <vt:lpstr>CMG-2 Capitalization - COC</vt:lpstr>
      <vt:lpstr>KU LGE CMG-Exhibit 1</vt:lpstr>
      <vt:lpstr>'CMG-2 KU and LGE Summ Rev Req '!Print_Area</vt:lpstr>
      <vt:lpstr>'CMG-2 Rate Base Adjustments'!Print_Area</vt:lpstr>
      <vt:lpstr>'KU LGE CMG-Exhibit 1'!Print_Area</vt:lpstr>
    </vt:vector>
  </TitlesOfParts>
  <Company>PPL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McCombs, Drew</dc:creator>
  <cp:lastModifiedBy>Garrett, Christopher</cp:lastModifiedBy>
  <cp:lastPrinted>2025-09-29T17:10:11Z</cp:lastPrinted>
  <dcterms:created xsi:type="dcterms:W3CDTF">2025-09-16T14:00:11Z</dcterms:created>
  <dcterms:modified xsi:type="dcterms:W3CDTF">2025-09-29T17:10:36Z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0c8e74a-db15-49f1-980d-3d74f2e3ff07_Enabled">
    <vt:lpwstr>true</vt:lpwstr>
  </property>
  <property fmtid="{D5CDD505-2E9C-101B-9397-08002B2CF9AE}" pid="5" name="MSIP_Label_e0c8e74a-db15-49f1-980d-3d74f2e3ff07_SetDate">
    <vt:lpwstr>2025-09-16T20:39:23Z</vt:lpwstr>
  </property>
  <property fmtid="{D5CDD505-2E9C-101B-9397-08002B2CF9AE}" pid="6" name="MSIP_Label_e0c8e74a-db15-49f1-980d-3d74f2e3ff07_Method">
    <vt:lpwstr>Privileged</vt:lpwstr>
  </property>
  <property fmtid="{D5CDD505-2E9C-101B-9397-08002B2CF9AE}" pid="7" name="MSIP_Label_e0c8e74a-db15-49f1-980d-3d74f2e3ff07_Name">
    <vt:lpwstr>376d9127-3fad-41bb7-827b-657efc89d923</vt:lpwstr>
  </property>
  <property fmtid="{D5CDD505-2E9C-101B-9397-08002B2CF9AE}" pid="8" name="MSIP_Label_e0c8e74a-db15-49f1-980d-3d74f2e3ff07_SiteId">
    <vt:lpwstr>25b79aa0-07c6-4d65-9c80-df92aacdc157</vt:lpwstr>
  </property>
  <property fmtid="{D5CDD505-2E9C-101B-9397-08002B2CF9AE}" pid="9" name="MSIP_Label_e0c8e74a-db15-49f1-980d-3d74f2e3ff07_ActionId">
    <vt:lpwstr>7780120a-6a85-4dfb-a917-737d4951b9dc</vt:lpwstr>
  </property>
  <property fmtid="{D5CDD505-2E9C-101B-9397-08002B2CF9AE}" pid="10" name="MSIP_Label_e0c8e74a-db15-49f1-980d-3d74f2e3ff07_ContentBits">
    <vt:lpwstr>2</vt:lpwstr>
  </property>
  <property fmtid="{D5CDD505-2E9C-101B-9397-08002B2CF9AE}" pid="11" name="MSIP_Label_e0c8e74a-db15-49f1-980d-3d74f2e3ff07_Tag">
    <vt:lpwstr>10, 0, 1, 1</vt:lpwstr>
  </property>
  <property fmtid="{D5CDD505-2E9C-101B-9397-08002B2CF9AE}" pid="12" name="ContentTypeId">
    <vt:lpwstr>0x0101002D0103853DF7894DB347713A7250CD66</vt:lpwstr>
  </property>
</Properties>
</file>