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xr:revisionPtr revIDLastSave="0" documentId="13_ncr:1_{18048454-D380-4112-A1A6-7F1CA3197AA8}" xr6:coauthVersionLast="47" xr6:coauthVersionMax="47" xr10:uidLastSave="{00000000-0000-0000-0000-000000000000}"/>
  <bookViews>
    <workbookView xWindow="-108" yWindow="-108" windowWidth="23256" windowHeight="13896" xr2:uid="{A11E871D-447B-4E60-823C-34B75C3FA606}"/>
  </bookViews>
  <sheets>
    <sheet name="Capitalization vs. Rate Base" sheetId="1" r:id="rId1"/>
  </sheets>
  <externalReferences>
    <externalReference r:id="rId2"/>
  </externalReferences>
  <definedNames>
    <definedName name="_xlnm.Print_Area" localSheetId="0">'Capitalization vs. Rate Base'!$A$1:$J$34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29" i="1"/>
  <c r="B29" i="1"/>
  <c r="C29" i="1" s="1"/>
  <c r="B19" i="1"/>
  <c r="B18" i="1"/>
  <c r="B17" i="1"/>
  <c r="B16" i="1"/>
  <c r="B15" i="1"/>
  <c r="B14" i="1"/>
  <c r="C13" i="1"/>
  <c r="B12" i="1"/>
  <c r="C9" i="1"/>
  <c r="B9" i="1"/>
  <c r="C6" i="1"/>
  <c r="C24" i="1" s="1"/>
  <c r="C17" i="1" l="1"/>
  <c r="C18" i="1"/>
  <c r="C20" i="1"/>
  <c r="C21" i="1"/>
  <c r="B31" i="1"/>
  <c r="C22" i="1"/>
  <c r="C14" i="1"/>
  <c r="C15" i="1"/>
  <c r="C16" i="1"/>
  <c r="C12" i="1"/>
  <c r="D6" i="1"/>
  <c r="D16" i="1" s="1"/>
  <c r="C23" i="1"/>
  <c r="D15" i="1" l="1"/>
  <c r="D23" i="1"/>
  <c r="D17" i="1"/>
  <c r="D20" i="1"/>
  <c r="D22" i="1"/>
  <c r="D21" i="1"/>
  <c r="D18" i="1"/>
  <c r="D14" i="1"/>
  <c r="D24" i="1"/>
  <c r="D9" i="1"/>
  <c r="D12" i="1"/>
  <c r="C31" i="1"/>
  <c r="D31" i="1" l="1"/>
</calcChain>
</file>

<file path=xl/sharedStrings.xml><?xml version="1.0" encoding="utf-8"?>
<sst xmlns="http://schemas.openxmlformats.org/spreadsheetml/2006/main" count="41" uniqueCount="34">
  <si>
    <t>KENTUCKY UTILITIES COMPANY</t>
  </si>
  <si>
    <t>Explanation of Differences between Capitalization and Rate Base</t>
  </si>
  <si>
    <t>13 Month Average</t>
  </si>
  <si>
    <t>Description</t>
  </si>
  <si>
    <t>Total Company Balance</t>
  </si>
  <si>
    <t>Kentucky Jurisdictional</t>
  </si>
  <si>
    <t>Other     Jurisdictional</t>
  </si>
  <si>
    <t>Rate Base Percentage (Schedule J-1.1/J-1.2)</t>
  </si>
  <si>
    <t>Capitalization</t>
  </si>
  <si>
    <t>Rate Base</t>
  </si>
  <si>
    <t>Difference</t>
  </si>
  <si>
    <t>Items not included in Rate Base:</t>
  </si>
  <si>
    <t>ARO Liabilities</t>
  </si>
  <si>
    <t>ARO Assets</t>
  </si>
  <si>
    <t>Net Balance Sheet Working Capital</t>
  </si>
  <si>
    <t>Net Regulatory Assets/Liabilities</t>
  </si>
  <si>
    <t>Accumulated Deferred IncomeTaxes</t>
  </si>
  <si>
    <t>Leases</t>
  </si>
  <si>
    <t>Miscellaneous Deferred Debit</t>
  </si>
  <si>
    <t>Other Property and Investments</t>
  </si>
  <si>
    <t>ADIT Proration</t>
  </si>
  <si>
    <t>AMI Regulatory Liability</t>
  </si>
  <si>
    <t>CPCN New Generation Regulatory Asset</t>
  </si>
  <si>
    <t>IT Regulatory Asset</t>
  </si>
  <si>
    <t>EEI Deferred taxes</t>
  </si>
  <si>
    <t>Items included in rate base:</t>
  </si>
  <si>
    <t>Cash Working Capital (Income Statement)</t>
  </si>
  <si>
    <t>Capitalization / Rate Base Allocation Differences</t>
  </si>
  <si>
    <t>Louisville Gas and Electric Company</t>
  </si>
  <si>
    <t>Electric</t>
  </si>
  <si>
    <t>Gas</t>
  </si>
  <si>
    <t>Investment Tax Credit</t>
  </si>
  <si>
    <t>Retired Asset Recovery Rider</t>
  </si>
  <si>
    <t>Updated to tie to amounts included in Supplemental Response to Questions No. 54 and 55 filed on August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</si>
</sst>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5" fillId="0" borderId="1" xfId="2" quotePrefix="1" applyFont="1" applyBorder="1" applyAlignment="1">
      <alignment horizontal="center" wrapText="1"/>
    </xf>
    <xf numFmtId="10" fontId="5" fillId="0" borderId="0" xfId="3" applyNumberFormat="1" applyFont="1" applyFill="1" applyAlignment="1">
      <alignment horizontal="center"/>
    </xf>
    <xf numFmtId="0" fontId="5" fillId="0" borderId="0" xfId="2" quotePrefix="1" applyFont="1" applyAlignment="1">
      <alignment horizontal="left"/>
    </xf>
    <xf numFmtId="164" fontId="5" fillId="0" borderId="1" xfId="5" applyNumberFormat="1" applyFont="1" applyFill="1" applyBorder="1"/>
    <xf numFmtId="164" fontId="5" fillId="0" borderId="0" xfId="5" applyNumberFormat="1" applyFont="1" applyFill="1" applyBorder="1"/>
    <xf numFmtId="0" fontId="4" fillId="0" borderId="0" xfId="2" quotePrefix="1" applyFont="1" applyAlignment="1">
      <alignment horizontal="left"/>
    </xf>
    <xf numFmtId="37" fontId="5" fillId="0" borderId="0" xfId="4" applyNumberFormat="1" applyFont="1"/>
    <xf numFmtId="0" fontId="7" fillId="0" borderId="0" xfId="2" applyFont="1"/>
    <xf numFmtId="164" fontId="7" fillId="0" borderId="0" xfId="5" applyNumberFormat="1" applyFont="1"/>
    <xf numFmtId="0" fontId="4" fillId="0" borderId="0" xfId="2" applyFont="1"/>
    <xf numFmtId="164" fontId="5" fillId="0" borderId="1" xfId="2" applyNumberFormat="1" applyFont="1" applyBorder="1"/>
    <xf numFmtId="165" fontId="1" fillId="0" borderId="0" xfId="2" applyNumberFormat="1" applyAlignment="1">
      <alignment horizontal="left"/>
    </xf>
    <xf numFmtId="164" fontId="7" fillId="0" borderId="0" xfId="5" applyNumberFormat="1" applyFont="1" applyFill="1" applyAlignment="1">
      <alignment horizontal="right"/>
    </xf>
    <xf numFmtId="164" fontId="5" fillId="0" borderId="0" xfId="2" applyNumberFormat="1" applyFont="1"/>
    <xf numFmtId="37" fontId="5" fillId="0" borderId="1" xfId="4" applyNumberFormat="1" applyFont="1" applyBorder="1"/>
    <xf numFmtId="164" fontId="7" fillId="0" borderId="0" xfId="2" applyNumberFormat="1" applyFont="1"/>
    <xf numFmtId="164" fontId="7" fillId="0" borderId="0" xfId="5" applyNumberFormat="1" applyFont="1" applyFill="1"/>
    <xf numFmtId="43" fontId="1" fillId="0" borderId="0" xfId="1" applyFont="1" applyFill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</cellXfs>
  <cellStyles count="9">
    <cellStyle name="Comma" xfId="1" builtinId="3"/>
    <cellStyle name="Comma 110 2" xfId="5" xr:uid="{3AE561C1-C1FE-48F1-9F94-367EC7862EAE}"/>
    <cellStyle name="Comma 157" xfId="8" xr:uid="{5D18A13C-A468-488B-8E16-69CC507A2004}"/>
    <cellStyle name="Currency 156" xfId="7" xr:uid="{A4C91953-F704-46CE-BBD1-881D7152E5DF}"/>
    <cellStyle name="Normal" xfId="0" builtinId="0"/>
    <cellStyle name="Normal 51" xfId="4" xr:uid="{F1D8CC11-4BB9-4440-9636-514807E519F3}"/>
    <cellStyle name="Normal 58" xfId="2" xr:uid="{278AD516-AEC2-4661-B23F-4454B03BAADB}"/>
    <cellStyle name="Normal 63" xfId="6" xr:uid="{9445E175-7213-4E9E-AD59-169C6CAF2CE7}"/>
    <cellStyle name="Percent 2 7" xfId="3" xr:uid="{1EF6988C-35A9-4ABA-B41B-EB6632443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plcorp-my.sharepoint.com/personal/dmccombs_pplweb_com/Documents/Documents/KY%20Rate%20Case/2025%20KY%20Rate%20Case%20-%20KU%20Recon%20of%20Cap%20and%20Rate%20Base-Forecast%20Period%20(Draft)%20-%20ERRATA%20UPDATE%209.21.25.xlsx" TargetMode="External"/><Relationship Id="rId1" Type="http://schemas.openxmlformats.org/officeDocument/2006/relationships/externalLinkPath" Target="2025%20KY%20Rate%20Case%20-%20KU%20Recon%20of%20Cap%20and%20Rate%20Base-Forecast%20Period%20(Draft)%20-%20ERRATA%20UPDATE%209.2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ling Requirement"/>
      <sheetName val="KU FR 16(6)(f) Old"/>
      <sheetName val="KU FR 16(6)(f)"/>
      <sheetName val="Adjustments"/>
      <sheetName val="SCH B-5.2 F (2)"/>
      <sheetName val="Detail Recon Wkpr"/>
      <sheetName val="Cap vs. RB Detail"/>
      <sheetName val="BS"/>
      <sheetName val="SCH J-1.1|J-1.2"/>
      <sheetName val="SCH B-1.1 F"/>
      <sheetName val="SCH B-8"/>
      <sheetName val="SCH B-1"/>
      <sheetName val="BS1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C104">
            <v>-21397234.468006782</v>
          </cell>
          <cell r="D104">
            <v>50581380.033076726</v>
          </cell>
          <cell r="E104">
            <v>-1412103.3162497878</v>
          </cell>
          <cell r="F104">
            <v>485423.27153848205</v>
          </cell>
          <cell r="G104">
            <v>-36819439.427585237</v>
          </cell>
          <cell r="H104">
            <v>-23231684.04675778</v>
          </cell>
          <cell r="I104">
            <v>-110823046.20922557</v>
          </cell>
          <cell r="J104">
            <v>-287881.30000000005</v>
          </cell>
        </row>
      </sheetData>
      <sheetData sheetId="7"/>
      <sheetData sheetId="8">
        <row r="16">
          <cell r="G16">
            <v>0.93259999999999998</v>
          </cell>
        </row>
        <row r="46">
          <cell r="G46">
            <v>-323302.09999999998</v>
          </cell>
          <cell r="J46">
            <v>-426922.16911220551</v>
          </cell>
          <cell r="K46">
            <v>1064274.6399999999</v>
          </cell>
          <cell r="L46">
            <v>-6088532.8899999997</v>
          </cell>
          <cell r="M46">
            <v>1748072.81</v>
          </cell>
        </row>
      </sheetData>
      <sheetData sheetId="9">
        <row r="38">
          <cell r="X38">
            <v>43432606.866670325</v>
          </cell>
        </row>
        <row r="54">
          <cell r="T54">
            <v>5126542.6964351833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B8CF-F456-4973-89D7-03BD50CAD636}">
  <sheetPr>
    <pageSetUpPr fitToPage="1"/>
  </sheetPr>
  <dimension ref="A1:J33"/>
  <sheetViews>
    <sheetView tabSelected="1" zoomScaleNormal="100" workbookViewId="0">
      <selection sqref="A1:D1"/>
    </sheetView>
  </sheetViews>
  <sheetFormatPr defaultRowHeight="14.4" x14ac:dyDescent="0.3"/>
  <cols>
    <col min="1" max="1" width="42.109375" bestFit="1" customWidth="1"/>
    <col min="2" max="3" width="14.5546875" bestFit="1" customWidth="1"/>
    <col min="4" max="4" width="12.88671875" bestFit="1" customWidth="1"/>
    <col min="5" max="5" width="3.88671875" customWidth="1"/>
    <col min="6" max="6" width="9.109375"/>
    <col min="7" max="9" width="17.109375" bestFit="1" customWidth="1"/>
    <col min="10" max="10" width="8.44140625" customWidth="1"/>
  </cols>
  <sheetData>
    <row r="1" spans="1:10" ht="15.6" x14ac:dyDescent="0.3">
      <c r="A1" s="25" t="s">
        <v>0</v>
      </c>
      <c r="B1" s="25"/>
      <c r="C1" s="25"/>
      <c r="D1" s="25"/>
      <c r="E1" s="1"/>
      <c r="F1" s="25" t="s">
        <v>28</v>
      </c>
      <c r="G1" s="25"/>
      <c r="H1" s="25"/>
      <c r="I1" s="25"/>
    </row>
    <row r="2" spans="1:10" x14ac:dyDescent="0.3">
      <c r="A2" s="2"/>
      <c r="B2" s="2"/>
      <c r="C2" s="2"/>
      <c r="D2" s="2"/>
      <c r="E2" s="2"/>
    </row>
    <row r="3" spans="1:10" x14ac:dyDescent="0.3">
      <c r="A3" s="26" t="s">
        <v>1</v>
      </c>
      <c r="B3" s="26"/>
      <c r="C3" s="26"/>
      <c r="D3" s="26"/>
      <c r="E3" s="3"/>
      <c r="F3" s="26" t="s">
        <v>1</v>
      </c>
      <c r="G3" s="26"/>
      <c r="H3" s="26"/>
      <c r="I3" s="26"/>
      <c r="J3" s="3"/>
    </row>
    <row r="4" spans="1:10" ht="27" x14ac:dyDescent="0.3">
      <c r="A4" s="4"/>
      <c r="B4" s="5" t="s">
        <v>2</v>
      </c>
      <c r="C4" s="5" t="s">
        <v>2</v>
      </c>
      <c r="D4" s="5" t="s">
        <v>2</v>
      </c>
      <c r="E4" s="5"/>
      <c r="G4" s="5" t="s">
        <v>2</v>
      </c>
      <c r="H4" s="5" t="s">
        <v>2</v>
      </c>
      <c r="I4" s="5" t="s">
        <v>2</v>
      </c>
    </row>
    <row r="5" spans="1:10" ht="27" x14ac:dyDescent="0.3">
      <c r="A5" s="6" t="s">
        <v>3</v>
      </c>
      <c r="B5" s="7" t="s">
        <v>4</v>
      </c>
      <c r="C5" s="7" t="s">
        <v>5</v>
      </c>
      <c r="D5" s="7" t="s">
        <v>6</v>
      </c>
      <c r="E5" s="5"/>
      <c r="G5" s="7" t="s">
        <v>4</v>
      </c>
      <c r="H5" s="7" t="s">
        <v>29</v>
      </c>
      <c r="I5" s="7" t="s">
        <v>30</v>
      </c>
    </row>
    <row r="6" spans="1:10" x14ac:dyDescent="0.3">
      <c r="A6" s="4" t="s">
        <v>7</v>
      </c>
      <c r="B6" s="4"/>
      <c r="C6" s="8">
        <f>'[1]SCH J-1.1|J-1.2'!G16</f>
        <v>0.93259999999999998</v>
      </c>
      <c r="D6" s="8">
        <f>1-C6</f>
        <v>6.7400000000000015E-2</v>
      </c>
      <c r="E6" s="8"/>
      <c r="G6" s="4"/>
      <c r="H6" s="8">
        <v>0.7651</v>
      </c>
      <c r="I6" s="8">
        <v>0.2349</v>
      </c>
    </row>
    <row r="7" spans="1:10" x14ac:dyDescent="0.3">
      <c r="A7" s="9" t="s">
        <v>8</v>
      </c>
      <c r="B7" s="20">
        <v>8096360516.4003248</v>
      </c>
      <c r="C7" s="20">
        <v>6186150159.3962708</v>
      </c>
      <c r="D7" s="20">
        <v>545403915.59136784</v>
      </c>
      <c r="E7" s="20"/>
      <c r="G7" s="20">
        <v>6439550500.4212666</v>
      </c>
      <c r="H7" s="20">
        <v>3738940515.1045194</v>
      </c>
      <c r="I7" s="20">
        <v>1414828027.2298236</v>
      </c>
    </row>
    <row r="8" spans="1:10" x14ac:dyDescent="0.3">
      <c r="A8" s="9" t="s">
        <v>9</v>
      </c>
      <c r="B8" s="21">
        <v>8018285772.4440966</v>
      </c>
      <c r="C8" s="10">
        <v>6096079611.7241421</v>
      </c>
      <c r="D8" s="10">
        <v>540316775.84837461</v>
      </c>
      <c r="E8" s="11"/>
      <c r="G8" s="21">
        <v>6389370478.7535019</v>
      </c>
      <c r="H8" s="10">
        <v>3744343984.4549346</v>
      </c>
      <c r="I8" s="10">
        <v>1368784875.8773143</v>
      </c>
    </row>
    <row r="9" spans="1:10" x14ac:dyDescent="0.3">
      <c r="A9" s="9" t="s">
        <v>10</v>
      </c>
      <c r="B9" s="20">
        <f>B7-B8</f>
        <v>78074743.956228256</v>
      </c>
      <c r="C9" s="11">
        <f t="shared" ref="C9:D9" si="0">C7-C8</f>
        <v>90070547.672128677</v>
      </c>
      <c r="D9" s="11">
        <f t="shared" si="0"/>
        <v>5087139.7429932356</v>
      </c>
      <c r="E9" s="11"/>
      <c r="G9" s="20">
        <v>50180021.667764664</v>
      </c>
      <c r="H9" s="11">
        <v>-5403469.3504152298</v>
      </c>
      <c r="I9" s="11">
        <v>46043151.35250926</v>
      </c>
    </row>
    <row r="10" spans="1:10" x14ac:dyDescent="0.3">
      <c r="A10" s="9"/>
      <c r="B10" s="20"/>
      <c r="C10" s="20"/>
      <c r="D10" s="11"/>
      <c r="E10" s="11"/>
      <c r="G10" s="20"/>
      <c r="H10" s="20"/>
      <c r="I10" s="11"/>
    </row>
    <row r="11" spans="1:10" x14ac:dyDescent="0.3">
      <c r="A11" s="12" t="s">
        <v>11</v>
      </c>
      <c r="B11" s="13"/>
      <c r="C11" s="11"/>
      <c r="D11" s="11"/>
      <c r="E11" s="11"/>
      <c r="G11" s="13"/>
      <c r="H11" s="11"/>
      <c r="I11" s="11"/>
    </row>
    <row r="12" spans="1:10" x14ac:dyDescent="0.3">
      <c r="A12" s="9" t="s">
        <v>12</v>
      </c>
      <c r="B12" s="13">
        <f>-'[1]Cap vs. RB Detail'!D104</f>
        <v>-50581380.033076726</v>
      </c>
      <c r="C12" s="22">
        <f>B12*$C$6</f>
        <v>-47172195.018847354</v>
      </c>
      <c r="D12" s="22">
        <f>B12*$D$6</f>
        <v>-3409185.0142293721</v>
      </c>
      <c r="E12" s="22"/>
      <c r="G12" s="13">
        <v>-78673328.902307659</v>
      </c>
      <c r="H12" s="22">
        <v>-60192963.943155587</v>
      </c>
      <c r="I12" s="22">
        <v>-18480364.959152069</v>
      </c>
    </row>
    <row r="13" spans="1:10" x14ac:dyDescent="0.3">
      <c r="A13" s="9" t="s">
        <v>13</v>
      </c>
      <c r="B13" s="13"/>
      <c r="C13" s="22">
        <f>-'[1]Cap vs. RB Detail'!C104</f>
        <v>21397234.468006782</v>
      </c>
      <c r="D13" s="22"/>
      <c r="E13" s="22"/>
      <c r="G13" s="13"/>
      <c r="H13" s="22">
        <v>17516343.148416363</v>
      </c>
      <c r="I13" s="22">
        <v>33600471.49158363</v>
      </c>
    </row>
    <row r="14" spans="1:10" x14ac:dyDescent="0.3">
      <c r="A14" s="9" t="s">
        <v>14</v>
      </c>
      <c r="B14" s="22">
        <f>-'[1]Cap vs. RB Detail'!H104</f>
        <v>23231684.04675778</v>
      </c>
      <c r="C14" s="22">
        <f>B14*$C$6</f>
        <v>21665868.542006306</v>
      </c>
      <c r="D14" s="22">
        <f>B14*$D$6</f>
        <v>1565815.5047514748</v>
      </c>
      <c r="E14" s="22"/>
      <c r="G14" s="22">
        <v>42921244.428541213</v>
      </c>
      <c r="H14" s="22">
        <v>32839044.112276882</v>
      </c>
      <c r="I14" s="22">
        <v>10082200.316264331</v>
      </c>
    </row>
    <row r="15" spans="1:10" x14ac:dyDescent="0.3">
      <c r="A15" s="9" t="s">
        <v>15</v>
      </c>
      <c r="B15" s="22">
        <f>-'[1]Cap vs. RB Detail'!I104</f>
        <v>110823046.20922557</v>
      </c>
      <c r="C15" s="22">
        <f>B15*$C$6</f>
        <v>103353572.89472376</v>
      </c>
      <c r="D15" s="22">
        <f>B15*$D$6</f>
        <v>7469473.3145018052</v>
      </c>
      <c r="E15" s="22"/>
      <c r="G15" s="22">
        <v>133370985.4238452</v>
      </c>
      <c r="H15" s="22">
        <v>102042140.94778396</v>
      </c>
      <c r="I15" s="22">
        <v>31328844.476061236</v>
      </c>
    </row>
    <row r="16" spans="1:10" x14ac:dyDescent="0.3">
      <c r="A16" s="9" t="s">
        <v>16</v>
      </c>
      <c r="B16" s="22">
        <f>-'[1]Cap vs. RB Detail'!E104</f>
        <v>1412103.3162497878</v>
      </c>
      <c r="C16" s="22">
        <f t="shared" ref="C16:C18" si="1">B16*$C$6</f>
        <v>1316927.5527345522</v>
      </c>
      <c r="D16" s="22">
        <f>B16*$D$6</f>
        <v>95175.763515235725</v>
      </c>
      <c r="E16" s="22"/>
      <c r="G16" s="22">
        <v>576470.31665694714</v>
      </c>
      <c r="H16" s="22">
        <v>441057.43927423027</v>
      </c>
      <c r="I16" s="22">
        <v>135412.87738271689</v>
      </c>
    </row>
    <row r="17" spans="1:9" x14ac:dyDescent="0.3">
      <c r="A17" s="9" t="s">
        <v>17</v>
      </c>
      <c r="B17" s="22">
        <f>-'[1]Cap vs. RB Detail'!F104</f>
        <v>-485423.27153848205</v>
      </c>
      <c r="C17" s="22">
        <f t="shared" si="1"/>
        <v>-452705.74303678836</v>
      </c>
      <c r="D17" s="22">
        <f>B17*$D$6</f>
        <v>-32717.528501693698</v>
      </c>
      <c r="E17" s="22"/>
      <c r="G17" s="22">
        <v>229047.77230774518</v>
      </c>
      <c r="H17" s="22">
        <v>175244.45059265583</v>
      </c>
      <c r="I17" s="22">
        <v>53803.32171508934</v>
      </c>
    </row>
    <row r="18" spans="1:9" x14ac:dyDescent="0.3">
      <c r="A18" s="9" t="s">
        <v>18</v>
      </c>
      <c r="B18" s="22">
        <f>-'[1]Cap vs. RB Detail'!G104</f>
        <v>36819439.427585237</v>
      </c>
      <c r="C18" s="22">
        <f t="shared" si="1"/>
        <v>34337809.210165992</v>
      </c>
      <c r="D18" s="22">
        <f>B18*$D$6</f>
        <v>2481630.2174192457</v>
      </c>
      <c r="E18" s="22"/>
      <c r="G18" s="22"/>
      <c r="H18" s="22"/>
      <c r="I18" s="22"/>
    </row>
    <row r="19" spans="1:9" x14ac:dyDescent="0.3">
      <c r="A19" s="9" t="s">
        <v>19</v>
      </c>
      <c r="B19" s="20">
        <f>-'[1]Cap vs. RB Detail'!J104</f>
        <v>287881.30000000005</v>
      </c>
      <c r="C19" s="22"/>
      <c r="D19" s="22"/>
      <c r="E19" s="22"/>
      <c r="G19" s="20">
        <v>868148.61000000045</v>
      </c>
      <c r="H19" s="22"/>
      <c r="I19" s="22"/>
    </row>
    <row r="20" spans="1:9" x14ac:dyDescent="0.3">
      <c r="A20" s="14" t="s">
        <v>20</v>
      </c>
      <c r="B20" s="23"/>
      <c r="C20" s="24">
        <f>('[1]SCH J-1.1|J-1.2'!J46)*C6</f>
        <v>-398147.61491404288</v>
      </c>
      <c r="D20" s="23">
        <f>('[1]SCH J-1.1|J-1.2'!J46)*D6</f>
        <v>-28774.554198162659</v>
      </c>
      <c r="E20" s="23"/>
      <c r="G20" s="23"/>
      <c r="H20" s="24">
        <v>-694923.34764873981</v>
      </c>
      <c r="I20" s="23">
        <v>129417.51099199057</v>
      </c>
    </row>
    <row r="21" spans="1:9" x14ac:dyDescent="0.3">
      <c r="A21" s="14" t="s">
        <v>21</v>
      </c>
      <c r="B21" s="23"/>
      <c r="C21" s="24">
        <f>('[1]SCH J-1.1|J-1.2'!K46)*C6</f>
        <v>992542.5292639999</v>
      </c>
      <c r="D21" s="23">
        <f>('[1]SCH J-1.1|J-1.2'!K46)*D6</f>
        <v>71732.110736000002</v>
      </c>
      <c r="E21" s="23"/>
      <c r="G21" s="23"/>
      <c r="H21" s="24">
        <v>324993.78999999998</v>
      </c>
      <c r="I21" s="23">
        <v>266367.59999999998</v>
      </c>
    </row>
    <row r="22" spans="1:9" x14ac:dyDescent="0.3">
      <c r="A22" s="14" t="s">
        <v>22</v>
      </c>
      <c r="B22" s="23"/>
      <c r="C22" s="24">
        <f>('[1]SCH J-1.1|J-1.2'!L46)*C6</f>
        <v>-5678165.7732139993</v>
      </c>
      <c r="D22" s="23">
        <f>('[1]SCH J-1.1|J-1.2'!L46)*D6</f>
        <v>-410367.11678600009</v>
      </c>
      <c r="E22" s="23"/>
      <c r="G22" s="23"/>
      <c r="H22" s="24">
        <v>-5646645.1599999666</v>
      </c>
      <c r="I22" s="23"/>
    </row>
    <row r="23" spans="1:9" x14ac:dyDescent="0.3">
      <c r="A23" s="14" t="s">
        <v>23</v>
      </c>
      <c r="B23" s="23"/>
      <c r="C23" s="24">
        <f>('[1]SCH J-1.1|J-1.2'!M46)*C6</f>
        <v>1630252.702606</v>
      </c>
      <c r="D23" s="23">
        <f>('[1]SCH J-1.1|J-1.2'!M46)*D6</f>
        <v>117820.10739400004</v>
      </c>
      <c r="E23" s="23"/>
      <c r="G23" s="23"/>
      <c r="H23" s="24">
        <v>1435066.46</v>
      </c>
      <c r="I23" s="23">
        <v>514874.38383814401</v>
      </c>
    </row>
    <row r="24" spans="1:9" x14ac:dyDescent="0.3">
      <c r="A24" s="14" t="s">
        <v>24</v>
      </c>
      <c r="B24" s="23"/>
      <c r="C24" s="24">
        <f>'[1]SCH J-1.1|J-1.2'!G46*C6</f>
        <v>-301511.53845999995</v>
      </c>
      <c r="D24" s="23">
        <f>'[1]SCH J-1.1|J-1.2'!G46*D6</f>
        <v>-21790.561540000002</v>
      </c>
      <c r="E24" s="23"/>
      <c r="G24" s="23"/>
      <c r="H24" s="24"/>
      <c r="I24" s="23"/>
    </row>
    <row r="25" spans="1:9" x14ac:dyDescent="0.3">
      <c r="A25" s="14" t="s">
        <v>31</v>
      </c>
      <c r="B25" s="23"/>
      <c r="C25" s="24"/>
      <c r="D25" s="23"/>
      <c r="E25" s="23"/>
      <c r="G25" s="23">
        <v>-28159351.09454447</v>
      </c>
      <c r="H25" s="24"/>
      <c r="I25" s="23"/>
    </row>
    <row r="26" spans="1:9" x14ac:dyDescent="0.3">
      <c r="A26" s="14" t="s">
        <v>32</v>
      </c>
      <c r="B26" s="23"/>
      <c r="C26" s="24"/>
      <c r="D26" s="23"/>
      <c r="E26" s="23"/>
      <c r="G26" s="23"/>
      <c r="H26" s="24">
        <v>-84277508.027396396</v>
      </c>
      <c r="I26" s="23"/>
    </row>
    <row r="27" spans="1:9" x14ac:dyDescent="0.3">
      <c r="A27" s="14"/>
      <c r="B27" s="23"/>
      <c r="C27" s="24"/>
      <c r="D27" s="23"/>
      <c r="E27" s="23"/>
      <c r="G27" s="23"/>
      <c r="H27" s="24"/>
      <c r="I27" s="23"/>
    </row>
    <row r="28" spans="1:9" x14ac:dyDescent="0.3">
      <c r="A28" s="16" t="s">
        <v>25</v>
      </c>
      <c r="B28" s="15"/>
      <c r="C28" s="15"/>
      <c r="D28" s="15"/>
      <c r="E28" s="15"/>
      <c r="G28" s="15"/>
      <c r="H28" s="15"/>
      <c r="I28" s="15"/>
    </row>
    <row r="29" spans="1:9" x14ac:dyDescent="0.3">
      <c r="A29" s="9" t="s">
        <v>26</v>
      </c>
      <c r="B29" s="13">
        <f>-'[1]SCH B-1.1 F'!X38</f>
        <v>-43432606.866670325</v>
      </c>
      <c r="C29" s="11">
        <f>B29-D29</f>
        <v>-38306064.170235142</v>
      </c>
      <c r="D29" s="11">
        <f>-'[1]SCH B-1.1 F'!T54</f>
        <v>-5126542.6964351833</v>
      </c>
      <c r="E29" s="11"/>
      <c r="G29" s="13">
        <v>-20953194.789054662</v>
      </c>
      <c r="H29" s="11">
        <v>-19194733.029190369</v>
      </c>
      <c r="I29" s="11">
        <v>-1758461.759864293</v>
      </c>
    </row>
    <row r="30" spans="1:9" x14ac:dyDescent="0.3">
      <c r="A30" s="9" t="s">
        <v>27</v>
      </c>
      <c r="B30" s="17">
        <v>0</v>
      </c>
      <c r="C30" s="10">
        <f>-D30</f>
        <v>-2314870</v>
      </c>
      <c r="D30" s="10">
        <v>2314870</v>
      </c>
      <c r="E30" s="11"/>
      <c r="G30" s="17">
        <v>0</v>
      </c>
      <c r="H30" s="10">
        <v>9829414</v>
      </c>
      <c r="I30" s="10">
        <v>-9829414</v>
      </c>
    </row>
    <row r="31" spans="1:9" x14ac:dyDescent="0.3">
      <c r="A31" s="18"/>
      <c r="B31" s="19">
        <f>SUM(B12:B30)</f>
        <v>78074744.128532827</v>
      </c>
      <c r="C31" s="19">
        <f>SUM(C12:C30)</f>
        <v>90070548.040800065</v>
      </c>
      <c r="D31" s="19">
        <f>SUM(D12:D30)</f>
        <v>5087139.5466273492</v>
      </c>
      <c r="E31" s="19"/>
      <c r="G31" s="19">
        <v>50180021.765444323</v>
      </c>
      <c r="H31" s="19">
        <v>-5403469.1590469405</v>
      </c>
      <c r="I31" s="19">
        <v>46043151.258820787</v>
      </c>
    </row>
    <row r="33" spans="1:1" x14ac:dyDescent="0.3">
      <c r="A33" t="s">
        <v>33</v>
      </c>
    </row>
  </sheetData>
  <mergeCells count="4">
    <mergeCell ref="A1:D1"/>
    <mergeCell ref="A3:D3"/>
    <mergeCell ref="F1:I1"/>
    <mergeCell ref="F3:I3"/>
  </mergeCells>
  <pageMargins left="0.7" right="0.7" top="0.75" bottom="0.75" header="0.3" footer="0.3"/>
  <pageSetup scale="77" orientation="landscape" r:id="rId1"/>
  <headerFooter>
    <oddFooter>&amp;L
&amp;1#&amp;"Calibri,Regular"&amp;14&amp;K000000 Business Use&amp;R&amp;"-,Bold"Rebuttal Exhibit CMG-1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 xsi:nil="true"/>
    <Year xmlns="54fcda00-7b58-44a7-b108-8bd10a8a08ba">2025</Year>
    <Document_x0020_Type xmlns="54fcda00-7b58-44a7-b108-8bd10a8a08ba">Rebuttal Testimony</Document_x0020_Type>
    <Witness_x0020_Testimony xmlns="54fcda00-7b58-44a7-b108-8bd10a8a08ba">Garrett, Christopher M.</Witness_x0020_Testimony>
    <Intervemprs xmlns="54fcda00-7b58-44a7-b108-8bd10a8a08ba" xsi:nil="true"/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B68C992-193F-466F-8EFB-3EE5446C9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B96CAB-0531-46D3-A44C-F5C3B3A0B18E}">
  <ds:schemaRefs/>
</ds:datastoreItem>
</file>

<file path=customXml/itemProps3.xml><?xml version="1.0" encoding="utf-8"?>
<ds:datastoreItem xmlns:ds="http://schemas.openxmlformats.org/officeDocument/2006/customXml" ds:itemID="{EB0152B8-7976-4607-A8E3-D3AE063875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D00AE1-13FD-4B92-80E0-8554543D4DCA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F24E9F23-6400-46F4-80F9-725340165821}">
  <ds:schemaRefs>
    <ds:schemaRef ds:uri="http://schemas.microsoft.com/sharepoint/v3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4fcda00-7b58-44a7-b108-8bd10a8a08b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Capitalization vs. Rate Base</vt:lpstr>
      <vt:lpstr>'Capitalization vs. Rate Base'!Print_Area</vt:lpstr>
    </vt:vector>
  </TitlesOfParts>
  <Company>PPL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McCombs, Drew</dc:creator>
  <cp:lastModifiedBy>Garrett, Christopher</cp:lastModifiedBy>
  <cp:lastPrinted>2025-09-25T20:13:42Z</cp:lastPrinted>
  <dcterms:created xsi:type="dcterms:W3CDTF">2025-09-22T00:51:43Z</dcterms:created>
  <dcterms:modified xsi:type="dcterms:W3CDTF">2025-09-25T20:13:57Z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0c8e74a-db15-49f1-980d-3d74f2e3ff07_Enabled">
    <vt:lpwstr>true</vt:lpwstr>
  </property>
  <property fmtid="{D5CDD505-2E9C-101B-9397-08002B2CF9AE}" pid="5" name="MSIP_Label_e0c8e74a-db15-49f1-980d-3d74f2e3ff07_SetDate">
    <vt:lpwstr>2025-09-22T01:08:31Z</vt:lpwstr>
  </property>
  <property fmtid="{D5CDD505-2E9C-101B-9397-08002B2CF9AE}" pid="6" name="MSIP_Label_e0c8e74a-db15-49f1-980d-3d74f2e3ff07_Method">
    <vt:lpwstr>Privileged</vt:lpwstr>
  </property>
  <property fmtid="{D5CDD505-2E9C-101B-9397-08002B2CF9AE}" pid="7" name="MSIP_Label_e0c8e74a-db15-49f1-980d-3d74f2e3ff07_Name">
    <vt:lpwstr>376d9127-3fad-41bb7-827b-657efc89d923</vt:lpwstr>
  </property>
  <property fmtid="{D5CDD505-2E9C-101B-9397-08002B2CF9AE}" pid="8" name="MSIP_Label_e0c8e74a-db15-49f1-980d-3d74f2e3ff07_SiteId">
    <vt:lpwstr>25b79aa0-07c6-4d65-9c80-df92aacdc157</vt:lpwstr>
  </property>
  <property fmtid="{D5CDD505-2E9C-101B-9397-08002B2CF9AE}" pid="9" name="MSIP_Label_e0c8e74a-db15-49f1-980d-3d74f2e3ff07_ActionId">
    <vt:lpwstr>6bc213cf-8511-47e8-a8e9-f7c62abb4c19</vt:lpwstr>
  </property>
  <property fmtid="{D5CDD505-2E9C-101B-9397-08002B2CF9AE}" pid="10" name="MSIP_Label_e0c8e74a-db15-49f1-980d-3d74f2e3ff07_ContentBits">
    <vt:lpwstr>2</vt:lpwstr>
  </property>
  <property fmtid="{D5CDD505-2E9C-101B-9397-08002B2CF9AE}" pid="11" name="MSIP_Label_e0c8e74a-db15-49f1-980d-3d74f2e3ff07_Tag">
    <vt:lpwstr>10, 0, 1, 1</vt:lpwstr>
  </property>
  <property fmtid="{D5CDD505-2E9C-101B-9397-08002B2CF9AE}" pid="12" name="ContentTypeId">
    <vt:lpwstr>0x0101002D0103853DF7894DB347713A7250CD66</vt:lpwstr>
  </property>
</Properties>
</file>