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N2025\CN-00113_00114 - KU LGE Rate Cases\17-Supplemental Testimony\3-Final Documents from SharePoint\"/>
    </mc:Choice>
  </mc:AlternateContent>
  <xr:revisionPtr revIDLastSave="0" documentId="8_{F1D93DB7-E1CC-4C84-95B7-45C6D973BECC}" xr6:coauthVersionLast="47" xr6:coauthVersionMax="47" xr10:uidLastSave="{00000000-0000-0000-0000-000000000000}"/>
  <bookViews>
    <workbookView xWindow="-120" yWindow="-120" windowWidth="29040" windowHeight="17520" firstSheet="1" activeTab="1" xr2:uid="{9EE69C61-505F-4512-83C5-96CF902511DC}"/>
  </bookViews>
  <sheets>
    <sheet name="GCR Rev Requirement old" sheetId="1" r:id="rId1"/>
    <sheet name="Estimated Bill Impact" sheetId="4" r:id="rId2"/>
    <sheet name="GCR KU" sheetId="6" r:id="rId3"/>
    <sheet name="GCR LGE" sheetId="5" r:id="rId4"/>
    <sheet name="SCH J Stip KU" sheetId="8" r:id="rId5"/>
    <sheet name="Sch J Stip LGE-E" sheetId="7" r:id="rId6"/>
    <sheet name="Juris Alloc" sheetId="10" r:id="rId7"/>
  </sheets>
  <externalReferences>
    <externalReference r:id="rId8"/>
    <externalReference r:id="rId9"/>
  </externalReferences>
  <definedNames>
    <definedName name="\\" localSheetId="4" hidden="1">#REF!</definedName>
    <definedName name="\\" localSheetId="5" hidden="1">#REF!</definedName>
    <definedName name="\\" hidden="1">#REF!</definedName>
    <definedName name="\\\" localSheetId="4" hidden="1">#REF!</definedName>
    <definedName name="\\\" localSheetId="5" hidden="1">#REF!</definedName>
    <definedName name="\\\" hidden="1">#REF!</definedName>
    <definedName name="\\\\" localSheetId="4" hidden="1">#REF!</definedName>
    <definedName name="\\\\" localSheetId="5" hidden="1">#REF!</definedName>
    <definedName name="\\\\" hidden="1">#REF!</definedName>
    <definedName name="__123Graph_1" localSheetId="4" hidden="1">#REF!</definedName>
    <definedName name="__123Graph_1" hidden="1">#REF!</definedName>
    <definedName name="__123Graph_2" localSheetId="4" hidden="1">#REF!</definedName>
    <definedName name="__123Graph_2" hidden="1">#REF!</definedName>
    <definedName name="__123Graph_3" localSheetId="4" hidden="1">#REF!</definedName>
    <definedName name="__123Graph_3" hidden="1">#REF!</definedName>
    <definedName name="__123Graph_4" localSheetId="4" hidden="1">#REF!</definedName>
    <definedName name="__123Graph_4" hidden="1">#REF!</definedName>
    <definedName name="__123Graph_5" localSheetId="4" hidden="1">#REF!</definedName>
    <definedName name="__123Graph_5" hidden="1">#REF!</definedName>
    <definedName name="__123Graph_6" localSheetId="4" hidden="1">#REF!</definedName>
    <definedName name="__123Graph_6" hidden="1">#REF!</definedName>
    <definedName name="__123Graph_8" localSheetId="4" hidden="1">#REF!</definedName>
    <definedName name="__123Graph_8" hidden="1">#REF!</definedName>
    <definedName name="__123Graph_A" localSheetId="4" hidden="1">#REF!</definedName>
    <definedName name="__123Graph_A" localSheetId="5" hidden="1">#REF!</definedName>
    <definedName name="__123Graph_A" hidden="1">#REF!</definedName>
    <definedName name="__123Graph_B" localSheetId="4" hidden="1">#REF!</definedName>
    <definedName name="__123Graph_B" localSheetId="5" hidden="1">#REF!</definedName>
    <definedName name="__123Graph_B" hidden="1">#REF!</definedName>
    <definedName name="__123Graph_C" localSheetId="4" hidden="1">#REF!</definedName>
    <definedName name="__123Graph_C" localSheetId="5" hidden="1">#REF!</definedName>
    <definedName name="__123Graph_C" hidden="1">#REF!</definedName>
    <definedName name="__123Graph_D" localSheetId="4" hidden="1">#REF!</definedName>
    <definedName name="__123Graph_D" localSheetId="5" hidden="1">#REF!</definedName>
    <definedName name="__123Graph_D" hidden="1">#REF!</definedName>
    <definedName name="__123Graph_E" localSheetId="4" hidden="1">#REF!</definedName>
    <definedName name="__123Graph_E" localSheetId="5" hidden="1">#REF!</definedName>
    <definedName name="__123Graph_E" hidden="1">#REF!</definedName>
    <definedName name="__123Graph_F" localSheetId="4" hidden="1">#REF!</definedName>
    <definedName name="__123Graph_F" localSheetId="5" hidden="1">#REF!</definedName>
    <definedName name="__123Graph_F" hidden="1">#REF!</definedName>
    <definedName name="__123Graph_X" localSheetId="4" hidden="1">#REF!</definedName>
    <definedName name="__123Graph_X" localSheetId="5" hidden="1">#REF!</definedName>
    <definedName name="__123Graph_X" hidden="1">#REF!</definedName>
    <definedName name="_Fill" localSheetId="4" hidden="1">#REF!</definedName>
    <definedName name="_Fill" localSheetId="5" hidden="1">#REF!</definedName>
    <definedName name="_Fill" hidden="1">#REF!</definedName>
    <definedName name="_Order1" hidden="1">0</definedName>
    <definedName name="_Order2" hidden="1">0</definedName>
    <definedName name="ahahahahaha" localSheetId="4" hidden="1">{"'Server Configuration'!$A$1:$DB$281"}</definedName>
    <definedName name="ahahahahaha" localSheetId="5" hidden="1">{"'Server Configuration'!$A$1:$DB$281"}</definedName>
    <definedName name="ahahahahaha" hidden="1">{"'Server Configuration'!$A$1:$DB$281"}</definedName>
    <definedName name="blip" localSheetId="4" hidden="1">{"'Server Configuration'!$A$1:$DB$281"}</definedName>
    <definedName name="blip" localSheetId="5" hidden="1">{"'Server Configuration'!$A$1:$DB$281"}</definedName>
    <definedName name="blip" hidden="1">{"'Server Configuration'!$A$1:$DB$281"}</definedName>
    <definedName name="HTML_CodePage" hidden="1">1252</definedName>
    <definedName name="HTML_Control" localSheetId="4" hidden="1">{"'Server Configuration'!$A$1:$DB$281"}</definedName>
    <definedName name="HTML_Control" localSheetId="5" hidden="1">{"'Server Configuration'!$A$1:$DB$281"}</definedName>
    <definedName name="HTML_Control" hidden="1">{"'Server Configuration'!$A$1:$DB$281"}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Title" hidden="1">"Asset Tracking 2_9_01"</definedName>
    <definedName name="JE_Name_1">#REF!</definedName>
    <definedName name="PopCache_GL_INTERFACE_REFERENCE7">#REF!</definedName>
    <definedName name="_xlnm.Print_Area" localSheetId="1">'Estimated Bill Impact'!$A$1:$F$38,'Estimated Bill Impact'!$K$1:$P$38</definedName>
    <definedName name="_xlnm.Print_Area" localSheetId="3">'GCR LGE'!$A$1:$AW$34</definedName>
    <definedName name="_xlnm.Print_Area" localSheetId="4">'SCH J Stip KU'!$A$1:$P$24</definedName>
    <definedName name="_xlnm.Print_Area" localSheetId="5">'Sch J Stip LGE-E'!$A$1:$K$23</definedName>
    <definedName name="_xlnm.Print_Titles" localSheetId="1">'Estimated Bill Impact'!#REF!,'Estimated Bill Impact'!$2:$2</definedName>
    <definedName name="_xlnm.Print_Titles" localSheetId="2">'GCR KU'!$1:$1</definedName>
    <definedName name="_xlnm.Print_Titles" localSheetId="3">'GCR LGE'!$1:$1</definedName>
    <definedName name="_xlnm.Print_Titles" localSheetId="0">'GCR Rev Requirement old'!$A:$A,'GCR Rev Requirement old'!$1:$1</definedName>
    <definedName name="Recover">#REF!</definedName>
    <definedName name="TableName">"Dummy"</definedName>
    <definedName name="wrn.Wkp._.Capital._.Structure." localSheetId="4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localSheetId="5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omEquity." localSheetId="4" hidden="1">{"Wkp ComEquity",#N/A,FALSE,"Cap Struct WPs"}</definedName>
    <definedName name="wrn.Wkp._.ComEquity." localSheetId="5" hidden="1">{"Wkp ComEquity",#N/A,FALSE,"Cap Struct WPs"}</definedName>
    <definedName name="wrn.Wkp._.ComEquity." hidden="1">{"Wkp ComEquity",#N/A,FALSE,"Cap Struct WPs"}</definedName>
    <definedName name="wrn.Wkp._.JDITC." localSheetId="4" hidden="1">{"Wkp JDITC",#N/A,FALSE,"Cap Struct WPs"}</definedName>
    <definedName name="wrn.Wkp._.JDITC." localSheetId="5" hidden="1">{"Wkp JDITC",#N/A,FALSE,"Cap Struct WPs"}</definedName>
    <definedName name="wrn.Wkp._.JDITC." hidden="1">{"Wkp JDITC",#N/A,FALSE,"Cap Struct WPs"}</definedName>
    <definedName name="wrn.Wkp._.LTerm._.Debt." localSheetId="4" hidden="1">{"Wkp LTerm Debt",#N/A,FALSE,"Cap Struct WPs"}</definedName>
    <definedName name="wrn.Wkp._.LTerm._.Debt." localSheetId="5" hidden="1">{"Wkp LTerm Debt",#N/A,FALSE,"Cap Struct WPs"}</definedName>
    <definedName name="wrn.Wkp._.LTerm._.Debt." hidden="1">{"Wkp LTerm Debt",#N/A,FALSE,"Cap Struct WPs"}</definedName>
    <definedName name="wrn.Wkp._.LTerm._.Debt._.13Mo._.Avg." localSheetId="4" hidden="1">{"Wkp LTerm Debt 13MoAvg",#N/A,FALSE,"Cap Struct WPs"}</definedName>
    <definedName name="wrn.Wkp._.LTerm._.Debt._.13Mo._.Avg." localSheetId="5" hidden="1">{"Wkp LTerm Debt 13MoAvg",#N/A,FALSE,"Cap Struct WPs"}</definedName>
    <definedName name="wrn.Wkp._.LTerm._.Debt._.13Mo._.Avg." hidden="1">{"Wkp LTerm Debt 13MoAvg",#N/A,FALSE,"Cap Struct WPs"}</definedName>
    <definedName name="wrn.Wkp._.LTerm._.Debt._.Amort." localSheetId="4" hidden="1">{"Wkp Lterm Debt Amort",#N/A,FALSE,"Cap Struct WPs"}</definedName>
    <definedName name="wrn.Wkp._.LTerm._.Debt._.Amort." localSheetId="5" hidden="1">{"Wkp Lterm Debt Amort",#N/A,FALSE,"Cap Struct WPs"}</definedName>
    <definedName name="wrn.Wkp._.LTerm._.Debt._.Amort." hidden="1">{"Wkp Lterm Debt Amort",#N/A,FALSE,"Cap Struct WPs"}</definedName>
    <definedName name="wrn.Wkp._.LTerm._.Debt._.Int." localSheetId="4" hidden="1">{"Wkp LTerm Debt Int",#N/A,FALSE,"Cap Struct WPs"}</definedName>
    <definedName name="wrn.Wkp._.LTerm._.Debt._.Int." localSheetId="5" hidden="1">{"Wkp LTerm Debt Int",#N/A,FALSE,"Cap Struct WPs"}</definedName>
    <definedName name="wrn.Wkp._.LTerm._.Debt._.Int." hidden="1">{"Wkp LTerm Debt Int",#N/A,FALSE,"Cap Struct WPs"}</definedName>
    <definedName name="wrn.Wkp._.PreStock." localSheetId="4" hidden="1">{"Wkp PreStock",#N/A,FALSE,"Cap Struct WPs"}</definedName>
    <definedName name="wrn.Wkp._.PreStock." localSheetId="5" hidden="1">{"Wkp PreStock",#N/A,FALSE,"Cap Struct WPs"}</definedName>
    <definedName name="wrn.Wkp._.PreStock." hidden="1">{"Wkp PreStock",#N/A,FALSE,"Cap Struct WPs"}</definedName>
    <definedName name="wrn.Wkp._.PreStock._.13MoAvg." localSheetId="4" hidden="1">{"Wkp PreStock 13MoAvg",#N/A,FALSE,"Cap Struct WPs"}</definedName>
    <definedName name="wrn.Wkp._.PreStock._.13MoAvg." localSheetId="5" hidden="1">{"Wkp PreStock 13MoAvg",#N/A,FALSE,"Cap Struct WPs"}</definedName>
    <definedName name="wrn.Wkp._.PreStock._.13MoAvg." hidden="1">{"Wkp PreStock 13MoAvg",#N/A,FALSE,"Cap Struct WPs"}</definedName>
    <definedName name="wrn.Wkp._.PreStock._.Amort." localSheetId="4" hidden="1">{"Wkp PreStock Amort",#N/A,FALSE,"Cap Struct WPs"}</definedName>
    <definedName name="wrn.Wkp._.PreStock._.Amort." localSheetId="5" hidden="1">{"Wkp PreStock Amort",#N/A,FALSE,"Cap Struct WPs"}</definedName>
    <definedName name="wrn.Wkp._.PreStock._.Amort." hidden="1">{"Wkp PreStock Amort",#N/A,FALSE,"Cap Struct WPs"}</definedName>
    <definedName name="wrn.Wkp._.PreStock._.Dividend." localSheetId="4" hidden="1">{"Wkp PreStock Dividend",#N/A,FALSE,"Cap Struct WPs"}</definedName>
    <definedName name="wrn.Wkp._.PreStock._.Dividend." localSheetId="5" hidden="1">{"Wkp PreStock Dividend",#N/A,FALSE,"Cap Struct WPs"}</definedName>
    <definedName name="wrn.Wkp._.PreStock._.Dividend." hidden="1">{"Wkp PreStock Dividend",#N/A,FALSE,"Cap Struct WPs"}</definedName>
    <definedName name="wrn.Wkp._.STerm._.Debt." localSheetId="4" hidden="1">{"Wkp STerm Debt",#N/A,FALSE,"Cap Struct WPs"}</definedName>
    <definedName name="wrn.Wkp._.STerm._.Debt." localSheetId="5" hidden="1">{"Wkp STerm Debt",#N/A,FALSE,"Cap Struct WPs"}</definedName>
    <definedName name="wrn.Wkp._.STerm._.Debt." hidden="1">{"Wkp STerm Debt",#N/A,FALSE,"Cap Struct WPs"}</definedName>
    <definedName name="wrn.Wkp._.Unamort._.Debt._.Exp." localSheetId="4" hidden="1">{"Wkp Unamort Debt Exp",#N/A,FALSE,"Cap Struct WPs"}</definedName>
    <definedName name="wrn.Wkp._.Unamort._.Debt._.Exp." localSheetId="5" hidden="1">{"Wkp Unamort Debt Exp",#N/A,FALSE,"Cap Struct WPs"}</definedName>
    <definedName name="wrn.Wkp._.Unamort._.Debt._.Exp." hidden="1">{"Wkp Unamort Debt Exp",#N/A,FALSE,"Cap Struct WPs"}</definedName>
    <definedName name="wrn.Wkp._.Unamort._.PreStock._.Exp." localSheetId="4" hidden="1">{"Wkp Unamort PreStock Exp",#N/A,FALSE,"Cap Struct WPs"}</definedName>
    <definedName name="wrn.Wkp._.Unamort._.PreStock._.Exp." localSheetId="5" hidden="1">{"Wkp Unamort PreStock Exp",#N/A,FALSE,"Cap Struct WPs"}</definedName>
    <definedName name="wrn.Wkp._.Unamort._.PreStock._.Exp." hidden="1">{"Wkp Unamort PreStock Exp",#N/A,FALSE,"Cap Struct WPs"}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0" i="4" l="1"/>
  <c r="M79" i="4"/>
  <c r="M78" i="4"/>
  <c r="M76" i="4"/>
  <c r="M73" i="4"/>
  <c r="M72" i="4"/>
  <c r="M71" i="4"/>
  <c r="M70" i="4"/>
  <c r="M69" i="4"/>
  <c r="M67" i="4"/>
  <c r="M68" i="4"/>
  <c r="M66" i="4"/>
  <c r="C66" i="4"/>
  <c r="M81" i="4" l="1"/>
  <c r="L81" i="4"/>
  <c r="O79" i="4"/>
  <c r="O78" i="4"/>
  <c r="O77" i="4"/>
  <c r="O76" i="4"/>
  <c r="O75" i="4"/>
  <c r="O74" i="4"/>
  <c r="O69" i="4"/>
  <c r="O68" i="4"/>
  <c r="N80" i="4"/>
  <c r="O80" i="4" s="1"/>
  <c r="N76" i="4"/>
  <c r="N73" i="4"/>
  <c r="O73" i="4" s="1"/>
  <c r="N72" i="4"/>
  <c r="O72" i="4" s="1"/>
  <c r="N71" i="4"/>
  <c r="O71" i="4" s="1"/>
  <c r="N70" i="4"/>
  <c r="O70" i="4" s="1"/>
  <c r="N69" i="4"/>
  <c r="N68" i="4"/>
  <c r="N67" i="4"/>
  <c r="O67" i="4" s="1"/>
  <c r="N66" i="4"/>
  <c r="N81" i="4" s="1"/>
  <c r="L50" i="4"/>
  <c r="L82" i="4"/>
  <c r="L83" i="4" l="1"/>
  <c r="O66" i="4"/>
  <c r="O81" i="4"/>
  <c r="O82" i="4" l="1"/>
  <c r="P31" i="4"/>
  <c r="O31" i="4"/>
  <c r="N31" i="4"/>
  <c r="M31" i="4"/>
  <c r="L31" i="4"/>
  <c r="E80" i="4"/>
  <c r="E77" i="4"/>
  <c r="E74" i="4"/>
  <c r="D76" i="4"/>
  <c r="D75" i="4"/>
  <c r="D73" i="4"/>
  <c r="D72" i="4"/>
  <c r="D71" i="4"/>
  <c r="D70" i="4"/>
  <c r="D69" i="4"/>
  <c r="D68" i="4"/>
  <c r="D67" i="4"/>
  <c r="C79" i="4"/>
  <c r="E79" i="4" s="1"/>
  <c r="C78" i="4"/>
  <c r="E78" i="4" s="1"/>
  <c r="C76" i="4"/>
  <c r="E76" i="4" s="1"/>
  <c r="C75" i="4"/>
  <c r="E75" i="4" s="1"/>
  <c r="C73" i="4"/>
  <c r="E73" i="4" s="1"/>
  <c r="C72" i="4"/>
  <c r="C71" i="4"/>
  <c r="C70" i="4"/>
  <c r="C69" i="4"/>
  <c r="E69" i="4" s="1"/>
  <c r="C68" i="4"/>
  <c r="E68" i="4" s="1"/>
  <c r="C67" i="4"/>
  <c r="B50" i="4"/>
  <c r="C81" i="4" l="1"/>
  <c r="E71" i="4"/>
  <c r="E70" i="4"/>
  <c r="E72" i="4"/>
  <c r="E67" i="4"/>
  <c r="B82" i="4" l="1"/>
  <c r="B81" i="4"/>
  <c r="B49" i="4"/>
  <c r="B83" i="4" l="1"/>
  <c r="D66" i="4" l="1"/>
  <c r="D81" i="4" l="1"/>
  <c r="E66" i="4"/>
  <c r="E81" i="4" s="1"/>
  <c r="E82" i="4" l="1"/>
  <c r="F31" i="4"/>
  <c r="E31" i="4"/>
  <c r="D31" i="4"/>
  <c r="C31" i="4"/>
  <c r="B31" i="4"/>
  <c r="L25" i="4" l="1"/>
  <c r="B25" i="4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M24" i="8"/>
  <c r="K24" i="7"/>
  <c r="AW11" i="5" s="1"/>
  <c r="AU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AT11" i="5" l="1"/>
  <c r="AV11" i="5"/>
  <c r="AW21" i="5" l="1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16" i="10"/>
  <c r="B16" i="10"/>
  <c r="D22" i="8" l="1"/>
  <c r="G18" i="8"/>
  <c r="F16" i="7"/>
  <c r="E18" i="7"/>
  <c r="F18" i="7" s="1"/>
  <c r="E20" i="7"/>
  <c r="F20" i="7" s="1"/>
  <c r="D22" i="7"/>
  <c r="G20" i="8" l="1"/>
  <c r="F22" i="7"/>
  <c r="F20" i="8" l="1"/>
  <c r="H20" i="8" s="1"/>
  <c r="F16" i="8" l="1"/>
  <c r="H16" i="8" l="1"/>
  <c r="F18" i="8" l="1"/>
  <c r="E22" i="8"/>
  <c r="H18" i="8" l="1"/>
  <c r="F22" i="8"/>
  <c r="H22" i="8" l="1"/>
  <c r="K18" i="8" s="1"/>
  <c r="M18" i="8" s="1"/>
  <c r="K16" i="8" l="1"/>
  <c r="K20" i="8"/>
  <c r="M20" i="8" s="1"/>
  <c r="M16" i="8" l="1"/>
  <c r="M22" i="8" s="1"/>
  <c r="K22" i="8"/>
  <c r="J20" i="8" l="1"/>
  <c r="J18" i="8"/>
  <c r="J16" i="8" l="1"/>
  <c r="J22" i="8" s="1"/>
  <c r="I22" i="8"/>
  <c r="H16" i="7" l="1"/>
  <c r="H20" i="7"/>
  <c r="H18" i="7"/>
  <c r="H22" i="7" l="1"/>
  <c r="I18" i="7" s="1"/>
  <c r="K18" i="7" s="1"/>
  <c r="G22" i="7"/>
  <c r="I20" i="7" l="1"/>
  <c r="K20" i="7" s="1"/>
  <c r="I16" i="7"/>
  <c r="I22" i="7" l="1"/>
  <c r="K16" i="7"/>
  <c r="K22" i="7" s="1"/>
  <c r="P58" i="4" l="1"/>
  <c r="P57" i="4"/>
  <c r="P56" i="4"/>
  <c r="O58" i="4"/>
  <c r="O57" i="4"/>
  <c r="O56" i="4"/>
  <c r="F9" i="6"/>
  <c r="F10" i="6" s="1"/>
  <c r="F12" i="6" s="1"/>
  <c r="F20" i="6" s="1"/>
  <c r="F22" i="6" s="1"/>
  <c r="G9" i="6"/>
  <c r="G10" i="6" s="1"/>
  <c r="G12" i="6" s="1"/>
  <c r="G20" i="6" s="1"/>
  <c r="G22" i="6" s="1"/>
  <c r="H9" i="6"/>
  <c r="I9" i="6"/>
  <c r="J9" i="6"/>
  <c r="K9" i="6"/>
  <c r="K10" i="6" s="1"/>
  <c r="K12" i="6" s="1"/>
  <c r="K20" i="6" s="1"/>
  <c r="K22" i="6" s="1"/>
  <c r="L9" i="6"/>
  <c r="L10" i="6" s="1"/>
  <c r="L12" i="6" s="1"/>
  <c r="L20" i="6" s="1"/>
  <c r="L22" i="6" s="1"/>
  <c r="M9" i="6"/>
  <c r="M10" i="6" s="1"/>
  <c r="M12" i="6" s="1"/>
  <c r="M20" i="6" s="1"/>
  <c r="M22" i="6" s="1"/>
  <c r="N9" i="6"/>
  <c r="N10" i="6" s="1"/>
  <c r="N12" i="6" s="1"/>
  <c r="N20" i="6" s="1"/>
  <c r="N22" i="6" s="1"/>
  <c r="O9" i="6"/>
  <c r="O10" i="6" s="1"/>
  <c r="O12" i="6" s="1"/>
  <c r="O20" i="6" s="1"/>
  <c r="O22" i="6" s="1"/>
  <c r="P9" i="6"/>
  <c r="P10" i="6" s="1"/>
  <c r="P12" i="6" s="1"/>
  <c r="P20" i="6" s="1"/>
  <c r="P22" i="6" s="1"/>
  <c r="Q9" i="6"/>
  <c r="R9" i="6"/>
  <c r="S9" i="6"/>
  <c r="S10" i="6" s="1"/>
  <c r="S12" i="6" s="1"/>
  <c r="S20" i="6" s="1"/>
  <c r="S22" i="6" s="1"/>
  <c r="T9" i="6"/>
  <c r="T10" i="6" s="1"/>
  <c r="T12" i="6" s="1"/>
  <c r="T20" i="6" s="1"/>
  <c r="T22" i="6" s="1"/>
  <c r="U9" i="6"/>
  <c r="U10" i="6" s="1"/>
  <c r="U12" i="6" s="1"/>
  <c r="U20" i="6" s="1"/>
  <c r="U22" i="6" s="1"/>
  <c r="V9" i="6"/>
  <c r="V10" i="6" s="1"/>
  <c r="V12" i="6" s="1"/>
  <c r="V20" i="6" s="1"/>
  <c r="V22" i="6" s="1"/>
  <c r="W9" i="6"/>
  <c r="W10" i="6" s="1"/>
  <c r="W12" i="6" s="1"/>
  <c r="W20" i="6" s="1"/>
  <c r="W22" i="6" s="1"/>
  <c r="X9" i="6"/>
  <c r="Y9" i="6"/>
  <c r="Z9" i="6"/>
  <c r="AA9" i="6"/>
  <c r="AA10" i="6" s="1"/>
  <c r="AA12" i="6" s="1"/>
  <c r="AA20" i="6" s="1"/>
  <c r="AA22" i="6" s="1"/>
  <c r="AB9" i="6"/>
  <c r="AB10" i="6" s="1"/>
  <c r="AB12" i="6" s="1"/>
  <c r="AB20" i="6" s="1"/>
  <c r="AB22" i="6" s="1"/>
  <c r="AC9" i="6"/>
  <c r="AC10" i="6" s="1"/>
  <c r="AC12" i="6" s="1"/>
  <c r="AC20" i="6" s="1"/>
  <c r="AC22" i="6" s="1"/>
  <c r="AD9" i="6"/>
  <c r="AD10" i="6" s="1"/>
  <c r="AD12" i="6" s="1"/>
  <c r="AD20" i="6" s="1"/>
  <c r="AD22" i="6" s="1"/>
  <c r="AE9" i="6"/>
  <c r="AE10" i="6" s="1"/>
  <c r="AE12" i="6" s="1"/>
  <c r="AE20" i="6" s="1"/>
  <c r="AE22" i="6" s="1"/>
  <c r="AF9" i="6"/>
  <c r="AF10" i="6" s="1"/>
  <c r="AF12" i="6" s="1"/>
  <c r="AF20" i="6" s="1"/>
  <c r="AF22" i="6" s="1"/>
  <c r="AG9" i="6"/>
  <c r="AH9" i="6"/>
  <c r="AI9" i="6"/>
  <c r="AI10" i="6" s="1"/>
  <c r="AI12" i="6" s="1"/>
  <c r="AI20" i="6" s="1"/>
  <c r="AI22" i="6" s="1"/>
  <c r="AJ9" i="6"/>
  <c r="AJ10" i="6" s="1"/>
  <c r="AJ12" i="6" s="1"/>
  <c r="AJ20" i="6" s="1"/>
  <c r="AJ22" i="6" s="1"/>
  <c r="AK9" i="6"/>
  <c r="AK10" i="6" s="1"/>
  <c r="AK12" i="6" s="1"/>
  <c r="AK20" i="6" s="1"/>
  <c r="AK22" i="6" s="1"/>
  <c r="AL9" i="6"/>
  <c r="AL10" i="6" s="1"/>
  <c r="AL12" i="6" s="1"/>
  <c r="AL20" i="6" s="1"/>
  <c r="AL22" i="6" s="1"/>
  <c r="AM9" i="6"/>
  <c r="AM10" i="6" s="1"/>
  <c r="AM12" i="6" s="1"/>
  <c r="AM20" i="6" s="1"/>
  <c r="AM22" i="6" s="1"/>
  <c r="AN9" i="6"/>
  <c r="AO9" i="6"/>
  <c r="AP9" i="6"/>
  <c r="AQ9" i="6"/>
  <c r="AQ10" i="6" s="1"/>
  <c r="AQ12" i="6" s="1"/>
  <c r="AQ20" i="6" s="1"/>
  <c r="AQ22" i="6" s="1"/>
  <c r="AR9" i="6"/>
  <c r="AR10" i="6" s="1"/>
  <c r="AR12" i="6" s="1"/>
  <c r="AR20" i="6" s="1"/>
  <c r="AR22" i="6" s="1"/>
  <c r="AS9" i="6"/>
  <c r="AS10" i="6" s="1"/>
  <c r="AS12" i="6" s="1"/>
  <c r="AS20" i="6" s="1"/>
  <c r="AS22" i="6" s="1"/>
  <c r="AT9" i="6"/>
  <c r="AT10" i="6" s="1"/>
  <c r="AT12" i="6" s="1"/>
  <c r="AT20" i="6" s="1"/>
  <c r="AT22" i="6" s="1"/>
  <c r="AU9" i="6"/>
  <c r="AU10" i="6" s="1"/>
  <c r="AU12" i="6" s="1"/>
  <c r="AU20" i="6" s="1"/>
  <c r="AU22" i="6" s="1"/>
  <c r="AV9" i="6"/>
  <c r="AW9" i="6"/>
  <c r="H10" i="6"/>
  <c r="H12" i="6" s="1"/>
  <c r="H20" i="6" s="1"/>
  <c r="H22" i="6" s="1"/>
  <c r="I10" i="6"/>
  <c r="I12" i="6" s="1"/>
  <c r="I20" i="6" s="1"/>
  <c r="I22" i="6" s="1"/>
  <c r="J10" i="6"/>
  <c r="J12" i="6" s="1"/>
  <c r="J20" i="6" s="1"/>
  <c r="J22" i="6" s="1"/>
  <c r="Q10" i="6"/>
  <c r="Q12" i="6" s="1"/>
  <c r="Q20" i="6" s="1"/>
  <c r="Q22" i="6" s="1"/>
  <c r="R10" i="6"/>
  <c r="R12" i="6" s="1"/>
  <c r="R20" i="6" s="1"/>
  <c r="R22" i="6" s="1"/>
  <c r="X10" i="6"/>
  <c r="X12" i="6" s="1"/>
  <c r="X20" i="6" s="1"/>
  <c r="X22" i="6" s="1"/>
  <c r="Y10" i="6"/>
  <c r="Y12" i="6" s="1"/>
  <c r="Y20" i="6" s="1"/>
  <c r="Y22" i="6" s="1"/>
  <c r="Z10" i="6"/>
  <c r="Z12" i="6" s="1"/>
  <c r="Z20" i="6" s="1"/>
  <c r="Z22" i="6" s="1"/>
  <c r="AG10" i="6"/>
  <c r="AG12" i="6" s="1"/>
  <c r="AG20" i="6" s="1"/>
  <c r="AG22" i="6" s="1"/>
  <c r="AH10" i="6"/>
  <c r="AH12" i="6" s="1"/>
  <c r="AH20" i="6" s="1"/>
  <c r="AH22" i="6" s="1"/>
  <c r="AN10" i="6"/>
  <c r="AN12" i="6" s="1"/>
  <c r="AN20" i="6" s="1"/>
  <c r="AN22" i="6" s="1"/>
  <c r="AO10" i="6"/>
  <c r="AO12" i="6" s="1"/>
  <c r="AO20" i="6" s="1"/>
  <c r="AO22" i="6" s="1"/>
  <c r="AP10" i="6"/>
  <c r="AP12" i="6" s="1"/>
  <c r="AP20" i="6" s="1"/>
  <c r="AP22" i="6" s="1"/>
  <c r="AV10" i="6"/>
  <c r="AV12" i="6" s="1"/>
  <c r="AV20" i="6" s="1"/>
  <c r="AV22" i="6" s="1"/>
  <c r="AW10" i="6"/>
  <c r="AW12" i="6" s="1"/>
  <c r="AW20" i="6" s="1"/>
  <c r="AW22" i="6" s="1"/>
  <c r="E9" i="5"/>
  <c r="E10" i="5" s="1"/>
  <c r="E12" i="5" s="1"/>
  <c r="E20" i="5" s="1"/>
  <c r="E22" i="5" s="1"/>
  <c r="F9" i="5"/>
  <c r="F10" i="5" s="1"/>
  <c r="F12" i="5" s="1"/>
  <c r="F20" i="5" s="1"/>
  <c r="F22" i="5" s="1"/>
  <c r="G9" i="5"/>
  <c r="G10" i="5" s="1"/>
  <c r="G12" i="5" s="1"/>
  <c r="G20" i="5" s="1"/>
  <c r="G22" i="5" s="1"/>
  <c r="H9" i="5"/>
  <c r="H10" i="5" s="1"/>
  <c r="H12" i="5" s="1"/>
  <c r="H20" i="5" s="1"/>
  <c r="H22" i="5" s="1"/>
  <c r="I9" i="5"/>
  <c r="J9" i="5"/>
  <c r="K9" i="5"/>
  <c r="K10" i="5" s="1"/>
  <c r="K12" i="5" s="1"/>
  <c r="K20" i="5" s="1"/>
  <c r="K22" i="5" s="1"/>
  <c r="L9" i="5"/>
  <c r="L10" i="5" s="1"/>
  <c r="L12" i="5" s="1"/>
  <c r="L20" i="5" s="1"/>
  <c r="M9" i="5"/>
  <c r="M10" i="5" s="1"/>
  <c r="M12" i="5" s="1"/>
  <c r="M20" i="5" s="1"/>
  <c r="M22" i="5" s="1"/>
  <c r="N9" i="5"/>
  <c r="N10" i="5" s="1"/>
  <c r="N12" i="5" s="1"/>
  <c r="N20" i="5" s="1"/>
  <c r="N22" i="5" s="1"/>
  <c r="O9" i="5"/>
  <c r="O10" i="5" s="1"/>
  <c r="O12" i="5" s="1"/>
  <c r="O20" i="5" s="1"/>
  <c r="O22" i="5" s="1"/>
  <c r="P9" i="5"/>
  <c r="P10" i="5" s="1"/>
  <c r="P12" i="5" s="1"/>
  <c r="P20" i="5" s="1"/>
  <c r="P22" i="5" s="1"/>
  <c r="Q9" i="5"/>
  <c r="R9" i="5"/>
  <c r="S9" i="5"/>
  <c r="S10" i="5" s="1"/>
  <c r="S12" i="5" s="1"/>
  <c r="S20" i="5" s="1"/>
  <c r="S22" i="5" s="1"/>
  <c r="T9" i="5"/>
  <c r="T10" i="5" s="1"/>
  <c r="T12" i="5" s="1"/>
  <c r="T20" i="5" s="1"/>
  <c r="T22" i="5" s="1"/>
  <c r="U9" i="5"/>
  <c r="U10" i="5" s="1"/>
  <c r="U12" i="5" s="1"/>
  <c r="U20" i="5" s="1"/>
  <c r="U22" i="5" s="1"/>
  <c r="V9" i="5"/>
  <c r="V10" i="5" s="1"/>
  <c r="V12" i="5" s="1"/>
  <c r="V20" i="5" s="1"/>
  <c r="V22" i="5" s="1"/>
  <c r="W9" i="5"/>
  <c r="W10" i="5" s="1"/>
  <c r="W12" i="5" s="1"/>
  <c r="W20" i="5" s="1"/>
  <c r="W22" i="5" s="1"/>
  <c r="X9" i="5"/>
  <c r="X10" i="5" s="1"/>
  <c r="X12" i="5" s="1"/>
  <c r="X20" i="5" s="1"/>
  <c r="X22" i="5" s="1"/>
  <c r="Y9" i="5"/>
  <c r="Z9" i="5"/>
  <c r="AA9" i="5"/>
  <c r="AA10" i="5" s="1"/>
  <c r="AA12" i="5" s="1"/>
  <c r="AA20" i="5" s="1"/>
  <c r="AA22" i="5" s="1"/>
  <c r="AB9" i="5"/>
  <c r="AB10" i="5" s="1"/>
  <c r="AB12" i="5" s="1"/>
  <c r="AB20" i="5" s="1"/>
  <c r="AB22" i="5" s="1"/>
  <c r="AC9" i="5"/>
  <c r="AC10" i="5" s="1"/>
  <c r="AC12" i="5" s="1"/>
  <c r="AC20" i="5" s="1"/>
  <c r="AC22" i="5" s="1"/>
  <c r="AD9" i="5"/>
  <c r="AD10" i="5" s="1"/>
  <c r="AD12" i="5" s="1"/>
  <c r="AD20" i="5" s="1"/>
  <c r="AD22" i="5" s="1"/>
  <c r="AE9" i="5"/>
  <c r="AE10" i="5" s="1"/>
  <c r="AE12" i="5" s="1"/>
  <c r="AE20" i="5" s="1"/>
  <c r="AE22" i="5" s="1"/>
  <c r="AF9" i="5"/>
  <c r="AF10" i="5" s="1"/>
  <c r="AF12" i="5" s="1"/>
  <c r="AF20" i="5" s="1"/>
  <c r="AF22" i="5" s="1"/>
  <c r="AG9" i="5"/>
  <c r="AH9" i="5"/>
  <c r="AI9" i="5"/>
  <c r="AI10" i="5" s="1"/>
  <c r="AI12" i="5" s="1"/>
  <c r="AI20" i="5" s="1"/>
  <c r="AI22" i="5" s="1"/>
  <c r="AJ9" i="5"/>
  <c r="AJ10" i="5" s="1"/>
  <c r="AJ12" i="5" s="1"/>
  <c r="AJ20" i="5" s="1"/>
  <c r="AJ22" i="5" s="1"/>
  <c r="AK9" i="5"/>
  <c r="AK10" i="5" s="1"/>
  <c r="AK12" i="5" s="1"/>
  <c r="AK20" i="5" s="1"/>
  <c r="AK22" i="5" s="1"/>
  <c r="AL9" i="5"/>
  <c r="AL10" i="5" s="1"/>
  <c r="AL12" i="5" s="1"/>
  <c r="AL20" i="5" s="1"/>
  <c r="AL22" i="5" s="1"/>
  <c r="AM9" i="5"/>
  <c r="AM10" i="5" s="1"/>
  <c r="AM12" i="5" s="1"/>
  <c r="AM20" i="5" s="1"/>
  <c r="AM22" i="5" s="1"/>
  <c r="AN9" i="5"/>
  <c r="AN10" i="5" s="1"/>
  <c r="AN12" i="5" s="1"/>
  <c r="AN20" i="5" s="1"/>
  <c r="AN22" i="5" s="1"/>
  <c r="AO9" i="5"/>
  <c r="AP9" i="5"/>
  <c r="AQ9" i="5"/>
  <c r="AQ10" i="5" s="1"/>
  <c r="AQ12" i="5" s="1"/>
  <c r="AQ20" i="5" s="1"/>
  <c r="AQ22" i="5" s="1"/>
  <c r="AR9" i="5"/>
  <c r="AR10" i="5" s="1"/>
  <c r="AR12" i="5" s="1"/>
  <c r="AR20" i="5" s="1"/>
  <c r="AR22" i="5" s="1"/>
  <c r="AS9" i="5"/>
  <c r="AS10" i="5" s="1"/>
  <c r="AS12" i="5" s="1"/>
  <c r="AS20" i="5" s="1"/>
  <c r="AS22" i="5" s="1"/>
  <c r="AT9" i="5"/>
  <c r="AT10" i="5" s="1"/>
  <c r="AT12" i="5" s="1"/>
  <c r="AT20" i="5" s="1"/>
  <c r="AT22" i="5" s="1"/>
  <c r="AU9" i="5"/>
  <c r="AU10" i="5" s="1"/>
  <c r="AU12" i="5" s="1"/>
  <c r="AU20" i="5" s="1"/>
  <c r="AU22" i="5" s="1"/>
  <c r="AV9" i="5"/>
  <c r="AV10" i="5" s="1"/>
  <c r="AV12" i="5" s="1"/>
  <c r="AV20" i="5" s="1"/>
  <c r="AV22" i="5" s="1"/>
  <c r="AW9" i="5"/>
  <c r="I10" i="5"/>
  <c r="I12" i="5" s="1"/>
  <c r="I20" i="5" s="1"/>
  <c r="I22" i="5" s="1"/>
  <c r="J10" i="5"/>
  <c r="J12" i="5" s="1"/>
  <c r="J20" i="5" s="1"/>
  <c r="J22" i="5" s="1"/>
  <c r="Q10" i="5"/>
  <c r="Q12" i="5" s="1"/>
  <c r="Q20" i="5" s="1"/>
  <c r="Q22" i="5" s="1"/>
  <c r="R10" i="5"/>
  <c r="R12" i="5" s="1"/>
  <c r="R20" i="5" s="1"/>
  <c r="R22" i="5" s="1"/>
  <c r="Y10" i="5"/>
  <c r="Y12" i="5" s="1"/>
  <c r="Y20" i="5" s="1"/>
  <c r="Y22" i="5" s="1"/>
  <c r="Z10" i="5"/>
  <c r="Z12" i="5" s="1"/>
  <c r="Z20" i="5" s="1"/>
  <c r="Z22" i="5" s="1"/>
  <c r="AG10" i="5"/>
  <c r="AG12" i="5" s="1"/>
  <c r="AG20" i="5" s="1"/>
  <c r="AG22" i="5" s="1"/>
  <c r="AH10" i="5"/>
  <c r="AH12" i="5" s="1"/>
  <c r="AH20" i="5" s="1"/>
  <c r="AH22" i="5" s="1"/>
  <c r="AO10" i="5"/>
  <c r="AO12" i="5" s="1"/>
  <c r="AO20" i="5" s="1"/>
  <c r="AO22" i="5" s="1"/>
  <c r="AP10" i="5"/>
  <c r="AP12" i="5" s="1"/>
  <c r="AP20" i="5" s="1"/>
  <c r="AP22" i="5" s="1"/>
  <c r="AW10" i="5"/>
  <c r="AW12" i="5" s="1"/>
  <c r="AW20" i="5"/>
  <c r="AW22" i="5" s="1"/>
  <c r="L22" i="5"/>
  <c r="F58" i="4"/>
  <c r="F57" i="4"/>
  <c r="F56" i="4"/>
  <c r="E58" i="4"/>
  <c r="E57" i="4"/>
  <c r="E56" i="4"/>
  <c r="G55" i="4"/>
  <c r="F55" i="4" s="1"/>
  <c r="C43" i="4"/>
  <c r="D9" i="4" l="1"/>
  <c r="D25" i="4" s="1"/>
  <c r="C9" i="4"/>
  <c r="C25" i="4" s="1"/>
  <c r="F9" i="4"/>
  <c r="F25" i="4" s="1"/>
  <c r="N9" i="4"/>
  <c r="N25" i="4" s="1"/>
  <c r="M9" i="4"/>
  <c r="M25" i="4" s="1"/>
  <c r="O9" i="4"/>
  <c r="O25" i="4" s="1"/>
  <c r="P9" i="4"/>
  <c r="P25" i="4" s="1"/>
  <c r="E9" i="4"/>
  <c r="E25" i="4" s="1"/>
  <c r="F59" i="4"/>
  <c r="E55" i="4"/>
  <c r="E59" i="4" s="1"/>
  <c r="N58" i="4" l="1"/>
  <c r="M58" i="4"/>
  <c r="L58" i="4"/>
  <c r="N57" i="4"/>
  <c r="M57" i="4"/>
  <c r="L57" i="4"/>
  <c r="N56" i="4"/>
  <c r="M56" i="4"/>
  <c r="L56" i="4"/>
  <c r="Q55" i="4"/>
  <c r="M54" i="4"/>
  <c r="N54" i="4" s="1"/>
  <c r="O54" i="4" s="1"/>
  <c r="P54" i="4" s="1"/>
  <c r="C54" i="4"/>
  <c r="L49" i="4"/>
  <c r="L51" i="4" s="1"/>
  <c r="M43" i="4"/>
  <c r="AA10" i="1"/>
  <c r="P15" i="4" l="1"/>
  <c r="O15" i="4"/>
  <c r="N55" i="4"/>
  <c r="N59" i="4" s="1"/>
  <c r="O55" i="4"/>
  <c r="P55" i="4"/>
  <c r="P59" i="4" s="1"/>
  <c r="P60" i="4" s="1"/>
  <c r="L15" i="4"/>
  <c r="D54" i="4"/>
  <c r="E54" i="4" s="1"/>
  <c r="F54" i="4" s="1"/>
  <c r="F15" i="4"/>
  <c r="B15" i="4"/>
  <c r="E15" i="4"/>
  <c r="N15" i="4"/>
  <c r="M15" i="4"/>
  <c r="D15" i="4"/>
  <c r="C15" i="4"/>
  <c r="B51" i="4"/>
  <c r="L55" i="4"/>
  <c r="M55" i="4"/>
  <c r="O59" i="4" l="1"/>
  <c r="O60" i="4" s="1"/>
  <c r="O11" i="4"/>
  <c r="P11" i="4"/>
  <c r="L11" i="4"/>
  <c r="B11" i="4"/>
  <c r="E11" i="4"/>
  <c r="F11" i="4"/>
  <c r="N11" i="4"/>
  <c r="M11" i="4"/>
  <c r="M59" i="4"/>
  <c r="M60" i="4" s="1"/>
  <c r="N60" i="4"/>
  <c r="D11" i="4"/>
  <c r="C11" i="4"/>
  <c r="L61" i="4"/>
  <c r="L20" i="4" s="1"/>
  <c r="L59" i="4"/>
  <c r="L60" i="4" s="1"/>
  <c r="C13" i="4" l="1"/>
  <c r="D43" i="4" s="1"/>
  <c r="C27" i="4"/>
  <c r="C29" i="4" s="1"/>
  <c r="C33" i="4" s="1"/>
  <c r="F13" i="4"/>
  <c r="F17" i="4" s="1"/>
  <c r="F60" i="4" s="1"/>
  <c r="F61" i="4" s="1"/>
  <c r="F27" i="4"/>
  <c r="F29" i="4" s="1"/>
  <c r="F33" i="4" s="1"/>
  <c r="E83" i="4" s="1"/>
  <c r="E13" i="4"/>
  <c r="E17" i="4" s="1"/>
  <c r="E60" i="4" s="1"/>
  <c r="E20" i="4" s="1"/>
  <c r="E27" i="4"/>
  <c r="E29" i="4" s="1"/>
  <c r="E33" i="4" s="1"/>
  <c r="D13" i="4"/>
  <c r="D44" i="4" s="1"/>
  <c r="D27" i="4"/>
  <c r="D29" i="4" s="1"/>
  <c r="D33" i="4" s="1"/>
  <c r="B13" i="4"/>
  <c r="B27" i="4"/>
  <c r="B29" i="4" s="1"/>
  <c r="L13" i="4"/>
  <c r="L27" i="4"/>
  <c r="L29" i="4" s="1"/>
  <c r="P13" i="4"/>
  <c r="P17" i="4" s="1"/>
  <c r="P61" i="4" s="1"/>
  <c r="P27" i="4"/>
  <c r="P29" i="4" s="1"/>
  <c r="P33" i="4" s="1"/>
  <c r="O83" i="4" s="1"/>
  <c r="O13" i="4"/>
  <c r="N45" i="4" s="1"/>
  <c r="O27" i="4"/>
  <c r="O29" i="4" s="1"/>
  <c r="O33" i="4" s="1"/>
  <c r="M13" i="4"/>
  <c r="N43" i="4" s="1"/>
  <c r="M27" i="4"/>
  <c r="M29" i="4" s="1"/>
  <c r="M33" i="4" s="1"/>
  <c r="N13" i="4"/>
  <c r="N44" i="4" s="1"/>
  <c r="N27" i="4"/>
  <c r="N29" i="4" s="1"/>
  <c r="N33" i="4" s="1"/>
  <c r="D47" i="4"/>
  <c r="L62" i="4"/>
  <c r="C17" i="4"/>
  <c r="M17" i="4"/>
  <c r="M61" i="4" s="1"/>
  <c r="M20" i="4" s="1"/>
  <c r="O17" i="4" l="1"/>
  <c r="O61" i="4" s="1"/>
  <c r="N46" i="4"/>
  <c r="N17" i="4"/>
  <c r="N61" i="4" s="1"/>
  <c r="N20" i="4" s="1"/>
  <c r="D17" i="4"/>
  <c r="D46" i="4"/>
  <c r="O62" i="4"/>
  <c r="O20" i="4"/>
  <c r="P20" i="4"/>
  <c r="P62" i="4"/>
  <c r="F20" i="4"/>
  <c r="E61" i="4"/>
  <c r="M62" i="4"/>
  <c r="N62" i="4"/>
  <c r="F14" i="1" l="1"/>
  <c r="E14" i="1"/>
  <c r="D14" i="1"/>
  <c r="C14" i="1"/>
  <c r="B14" i="1"/>
  <c r="R13" i="1"/>
  <c r="Q13" i="1"/>
  <c r="P13" i="1"/>
  <c r="O13" i="1"/>
  <c r="D13" i="1"/>
  <c r="D15" i="1" s="1"/>
  <c r="C13" i="1"/>
  <c r="B13" i="1"/>
  <c r="Y9" i="1"/>
  <c r="Y10" i="1" s="1"/>
  <c r="X9" i="1"/>
  <c r="X10" i="1" s="1"/>
  <c r="W9" i="1"/>
  <c r="W10" i="1" s="1"/>
  <c r="V9" i="1"/>
  <c r="U9" i="1"/>
  <c r="T9" i="1"/>
  <c r="T10" i="1" s="1"/>
  <c r="S9" i="1"/>
  <c r="R9" i="1"/>
  <c r="R10" i="1" s="1"/>
  <c r="Q9" i="1"/>
  <c r="P9" i="1"/>
  <c r="P10" i="1" s="1"/>
  <c r="O9" i="1"/>
  <c r="O10" i="1" s="1"/>
  <c r="N9" i="1"/>
  <c r="N10" i="1" s="1"/>
  <c r="M9" i="1"/>
  <c r="M10" i="1" s="1"/>
  <c r="L9" i="1"/>
  <c r="L10" i="1" s="1"/>
  <c r="K9" i="1"/>
  <c r="K10" i="1" s="1"/>
  <c r="J9" i="1"/>
  <c r="J10" i="1" s="1"/>
  <c r="I9" i="1"/>
  <c r="I10" i="1" s="1"/>
  <c r="H9" i="1"/>
  <c r="G9" i="1"/>
  <c r="V10" i="1"/>
  <c r="U10" i="1"/>
  <c r="S10" i="1"/>
  <c r="Q10" i="1"/>
  <c r="H10" i="1"/>
  <c r="G10" i="1"/>
  <c r="F10" i="1"/>
  <c r="E10" i="1"/>
  <c r="D10" i="1"/>
  <c r="C10" i="1"/>
  <c r="B10" i="1"/>
  <c r="F5" i="1"/>
  <c r="E5" i="1"/>
  <c r="D5" i="1"/>
  <c r="C5" i="1"/>
  <c r="B5" i="1"/>
  <c r="Y4" i="1"/>
  <c r="Y14" i="1" s="1"/>
  <c r="X4" i="1"/>
  <c r="W4" i="1"/>
  <c r="W14" i="1" s="1"/>
  <c r="V4" i="1"/>
  <c r="V14" i="1" s="1"/>
  <c r="U4" i="1"/>
  <c r="U14" i="1" s="1"/>
  <c r="T4" i="1"/>
  <c r="T5" i="1" s="1"/>
  <c r="S4" i="1"/>
  <c r="S5" i="1" s="1"/>
  <c r="R4" i="1"/>
  <c r="Q4" i="1"/>
  <c r="Q14" i="1" s="1"/>
  <c r="P4" i="1"/>
  <c r="P14" i="1" s="1"/>
  <c r="O4" i="1"/>
  <c r="O14" i="1" s="1"/>
  <c r="N4" i="1"/>
  <c r="M4" i="1"/>
  <c r="M14" i="1" s="1"/>
  <c r="L4" i="1"/>
  <c r="K4" i="1"/>
  <c r="K14" i="1" s="1"/>
  <c r="J4" i="1"/>
  <c r="I4" i="1"/>
  <c r="H4" i="1"/>
  <c r="H5" i="1" s="1"/>
  <c r="G4" i="1"/>
  <c r="G14" i="1" s="1"/>
  <c r="X5" i="1"/>
  <c r="V5" i="1"/>
  <c r="U5" i="1"/>
  <c r="N13" i="1"/>
  <c r="J5" i="1"/>
  <c r="R14" i="1" l="1"/>
  <c r="P15" i="1"/>
  <c r="G5" i="1"/>
  <c r="Q15" i="1"/>
  <c r="R15" i="1"/>
  <c r="L14" i="1"/>
  <c r="L5" i="1"/>
  <c r="M5" i="1"/>
  <c r="N14" i="1"/>
  <c r="D16" i="1"/>
  <c r="O15" i="1"/>
  <c r="N5" i="1"/>
  <c r="W5" i="1"/>
  <c r="O5" i="1"/>
  <c r="O16" i="1" s="1"/>
  <c r="K5" i="1"/>
  <c r="P5" i="1"/>
  <c r="P16" i="1" s="1"/>
  <c r="Y5" i="1"/>
  <c r="Q5" i="1"/>
  <c r="Q16" i="1" s="1"/>
  <c r="R5" i="1"/>
  <c r="S14" i="1"/>
  <c r="T14" i="1"/>
  <c r="H14" i="1"/>
  <c r="I14" i="1"/>
  <c r="B15" i="1"/>
  <c r="I5" i="1"/>
  <c r="J14" i="1"/>
  <c r="X14" i="1"/>
  <c r="C15" i="1"/>
  <c r="B16" i="1"/>
  <c r="N15" i="1"/>
  <c r="C16" i="1"/>
  <c r="S13" i="1"/>
  <c r="T13" i="1"/>
  <c r="G13" i="1"/>
  <c r="G15" i="1" s="1"/>
  <c r="G16" i="1" s="1"/>
  <c r="U13" i="1"/>
  <c r="U15" i="1" s="1"/>
  <c r="U16" i="1" s="1"/>
  <c r="H13" i="1"/>
  <c r="V13" i="1"/>
  <c r="V15" i="1" s="1"/>
  <c r="V16" i="1" s="1"/>
  <c r="I13" i="1"/>
  <c r="W13" i="1"/>
  <c r="W15" i="1" s="1"/>
  <c r="E13" i="1"/>
  <c r="E15" i="1" s="1"/>
  <c r="E16" i="1" s="1"/>
  <c r="J13" i="1"/>
  <c r="J15" i="1" s="1"/>
  <c r="J16" i="1" s="1"/>
  <c r="X13" i="1"/>
  <c r="K13" i="1"/>
  <c r="K15" i="1" s="1"/>
  <c r="Y13" i="1"/>
  <c r="Y15" i="1" s="1"/>
  <c r="F13" i="1"/>
  <c r="F15" i="1" s="1"/>
  <c r="F16" i="1" s="1"/>
  <c r="L13" i="1"/>
  <c r="M13" i="1"/>
  <c r="M15" i="1" s="1"/>
  <c r="H15" i="1" l="1"/>
  <c r="H16" i="1" s="1"/>
  <c r="T15" i="1"/>
  <c r="T16" i="1" s="1"/>
  <c r="R16" i="1"/>
  <c r="M16" i="1"/>
  <c r="L15" i="1"/>
  <c r="L16" i="1" s="1"/>
  <c r="N16" i="1"/>
  <c r="Y16" i="1"/>
  <c r="S15" i="1"/>
  <c r="S16" i="1" s="1"/>
  <c r="K16" i="1"/>
  <c r="X15" i="1"/>
  <c r="X16" i="1" s="1"/>
  <c r="W16" i="1"/>
  <c r="I15" i="1"/>
  <c r="I16" i="1" s="1"/>
  <c r="C55" i="4" l="1"/>
  <c r="B55" i="4"/>
  <c r="D55" i="4"/>
  <c r="C57" i="4"/>
  <c r="D58" i="4"/>
  <c r="B56" i="4"/>
  <c r="D57" i="4"/>
  <c r="D56" i="4"/>
  <c r="B58" i="4"/>
  <c r="C58" i="4"/>
  <c r="B57" i="4"/>
  <c r="C56" i="4"/>
  <c r="D59" i="4" l="1"/>
  <c r="C60" i="4"/>
  <c r="C20" i="4" s="1"/>
  <c r="D60" i="4"/>
  <c r="D20" i="4" s="1"/>
  <c r="B60" i="4"/>
  <c r="B20" i="4" s="1"/>
  <c r="B59" i="4"/>
  <c r="C59" i="4"/>
  <c r="C61" i="4" l="1"/>
  <c r="D61" i="4"/>
  <c r="B61" i="4"/>
</calcChain>
</file>

<file path=xl/sharedStrings.xml><?xml version="1.0" encoding="utf-8"?>
<sst xmlns="http://schemas.openxmlformats.org/spreadsheetml/2006/main" count="451" uniqueCount="218">
  <si>
    <t>Jan - 2027</t>
  </si>
  <si>
    <t>Feb - 2027</t>
  </si>
  <si>
    <t>Mar - 2027</t>
  </si>
  <si>
    <t>Apr - 2027</t>
  </si>
  <si>
    <t>May - 2027</t>
  </si>
  <si>
    <t>Jun - 2027</t>
  </si>
  <si>
    <t>Jul - 2027</t>
  </si>
  <si>
    <t>Aug - 2027</t>
  </si>
  <si>
    <t>Sep - 2027</t>
  </si>
  <si>
    <t>Oct - 2027</t>
  </si>
  <si>
    <t>Nov - 2027</t>
  </si>
  <si>
    <t>Dec - 2027</t>
  </si>
  <si>
    <t>Jan - 2028</t>
  </si>
  <si>
    <t>Feb - 2028</t>
  </si>
  <si>
    <t>Mar - 2028</t>
  </si>
  <si>
    <t>Apr - 2028</t>
  </si>
  <si>
    <t>May - 2028</t>
  </si>
  <si>
    <t>Jun - 2028</t>
  </si>
  <si>
    <t>Jul - 2028</t>
  </si>
  <si>
    <t>Aug - 2028</t>
  </si>
  <si>
    <t>Sep - 2028</t>
  </si>
  <si>
    <t>Oct - 2028</t>
  </si>
  <si>
    <t>Nov - 2028</t>
  </si>
  <si>
    <t>Dec - 2028</t>
  </si>
  <si>
    <t>LG&amp;E</t>
  </si>
  <si>
    <t>Jurisdictional GCR Revenue Requirement</t>
  </si>
  <si>
    <t>Depr Adjustment</t>
  </si>
  <si>
    <t>Adjusted Jurisdictional GCR Revenue Requirement</t>
  </si>
  <si>
    <t/>
  </si>
  <si>
    <t>KU</t>
  </si>
  <si>
    <t>Total Utilities</t>
  </si>
  <si>
    <t>Confidential Work Product</t>
  </si>
  <si>
    <t>Attorney Client Privileged and Confidential</t>
  </si>
  <si>
    <t>Kentucky Utilities Company</t>
  </si>
  <si>
    <t>Residential Customer Impact</t>
  </si>
  <si>
    <t>*Based on Stipulated Revenues for Calendar Year 2026</t>
  </si>
  <si>
    <t>2026</t>
  </si>
  <si>
    <t>Multiplied by Group 1 Average % of Total Revenue</t>
  </si>
  <si>
    <t>Residential Service</t>
  </si>
  <si>
    <t>Stipulation Exhibit 1 - Sch M-2.1</t>
  </si>
  <si>
    <t>Rev at Stip Rates</t>
  </si>
  <si>
    <t>Divided by Total Sales to Ultimate Customers</t>
  </si>
  <si>
    <t>Group 1 Average % of Total Revenue</t>
  </si>
  <si>
    <t>Residential Time-of-Day Service</t>
  </si>
  <si>
    <t>Total Group 1 Revenues</t>
  </si>
  <si>
    <t>Lighting Energy Service</t>
  </si>
  <si>
    <t>Traffic Energy Service</t>
  </si>
  <si>
    <t>Lighting/Restricted Lighting Service</t>
  </si>
  <si>
    <t>Group 1 E(m)</t>
  </si>
  <si>
    <t>Estimated Group 1 Billing Factor</t>
  </si>
  <si>
    <t>KU Residential/VFD Bill Impact</t>
  </si>
  <si>
    <t>Customer Charge</t>
  </si>
  <si>
    <t>Energy</t>
  </si>
  <si>
    <t>DSM</t>
  </si>
  <si>
    <t>ECR</t>
  </si>
  <si>
    <t>Bill Dets</t>
  </si>
  <si>
    <t>Rate</t>
  </si>
  <si>
    <t>Stipulation</t>
  </si>
  <si>
    <t>Current Eff Oct</t>
  </si>
  <si>
    <t>FAC/OSS</t>
  </si>
  <si>
    <t xml:space="preserve">Total </t>
  </si>
  <si>
    <t>GCR</t>
  </si>
  <si>
    <t># of Customers</t>
  </si>
  <si>
    <t>Reasonableness check</t>
  </si>
  <si>
    <t>0.00%</t>
  </si>
  <si>
    <t>Monthly bill (1085 kWh per month)</t>
  </si>
  <si>
    <t>Louisville Gas and Electric Company</t>
  </si>
  <si>
    <t>Monthly bill (866 kWh per month)</t>
  </si>
  <si>
    <t>RAR</t>
  </si>
  <si>
    <t>2027</t>
  </si>
  <si>
    <t>2028</t>
  </si>
  <si>
    <t>LG&amp;E Residential/VFD Bill Impact</t>
  </si>
  <si>
    <t>Divided by Group 1 Total Revenue*</t>
  </si>
  <si>
    <t>Annual Jurisdictional E(m)</t>
  </si>
  <si>
    <t>2029</t>
  </si>
  <si>
    <t>2030</t>
  </si>
  <si>
    <t>Brown 12 - 6/2030 - 100%</t>
  </si>
  <si>
    <t>Marion Co Solar - 8/2027 - 37%</t>
  </si>
  <si>
    <t>Mill Creek 5 - 6/2027 - 31%</t>
  </si>
  <si>
    <t>Mercer Co Solar - 5/2027 - 37%</t>
  </si>
  <si>
    <t>Brown BESS - 4/2027 - 100%</t>
  </si>
  <si>
    <t>In Service Dates</t>
  </si>
  <si>
    <t>* CWIP Balance is only capital in CWIP after initial in-service date</t>
  </si>
  <si>
    <t>Total GCR Revenue Requirement</t>
  </si>
  <si>
    <t>PTC - Grossed Up</t>
  </si>
  <si>
    <t>ITC Amortization Basis Adjustment</t>
  </si>
  <si>
    <t>ITC Amortization - Grossed Up</t>
  </si>
  <si>
    <t>Property Tax</t>
  </si>
  <si>
    <t>WACC Amortization Mill Creek 5, Mercer Co Solar, Brown BESS, and Brown 12</t>
  </si>
  <si>
    <t>Depreciation</t>
  </si>
  <si>
    <t>O&amp;M</t>
  </si>
  <si>
    <t>Rate Base</t>
  </si>
  <si>
    <t>Cash Working Capital</t>
  </si>
  <si>
    <t>Unamortized ITC</t>
  </si>
  <si>
    <t>WACC Reg Asset Mill Creek 5, Mercer Co Solar, Brown BESS, and Brown 12</t>
  </si>
  <si>
    <t>Accumulated Deferred Income Tax</t>
  </si>
  <si>
    <t>Accumulated Depreciation</t>
  </si>
  <si>
    <t>CWIP</t>
  </si>
  <si>
    <t>Plant in Service</t>
  </si>
  <si>
    <t>Dec - 2029</t>
  </si>
  <si>
    <t>Nov - 2029</t>
  </si>
  <si>
    <t>Oct - 2029</t>
  </si>
  <si>
    <t>Sep - 2029</t>
  </si>
  <si>
    <t>Aug - 2029</t>
  </si>
  <si>
    <t>Jul - 2029</t>
  </si>
  <si>
    <t>Jun - 2029</t>
  </si>
  <si>
    <t>May - 2029</t>
  </si>
  <si>
    <t>Apr - 2029</t>
  </si>
  <si>
    <t>Mar - 2029</t>
  </si>
  <si>
    <t>Feb - 2029</t>
  </si>
  <si>
    <t>Jan - 2029</t>
  </si>
  <si>
    <t>Marion Co Solar - 8/2027 - 63%</t>
  </si>
  <si>
    <t>Mill Creek 5 - 6/2027 - 69%</t>
  </si>
  <si>
    <t>Mercer Co Solar - 5/2027 - 63%</t>
  </si>
  <si>
    <t>WACC Amortization Mill Creek 5 and Mercer Co Solar</t>
  </si>
  <si>
    <t>WACC Reg Asset Mill Creek 5 and Mercer Co Solar</t>
  </si>
  <si>
    <t>** ROR based on Company's Updated Schedule J filed as an attachment to the supplemental response to PSC 1-54, adjusted to reflect the actual debt rate and issuance amount of the Company's LTD issuance in August 2025</t>
  </si>
  <si>
    <t>TOTAL CAPITAL</t>
  </si>
  <si>
    <t>COMMON EQUITY</t>
  </si>
  <si>
    <t>J-3</t>
  </si>
  <si>
    <t>LONG-TERM DEBT</t>
  </si>
  <si>
    <t>J-2</t>
  </si>
  <si>
    <t>SHORT-TERM DEBT</t>
  </si>
  <si>
    <t>%</t>
  </si>
  <si>
    <t>$</t>
  </si>
  <si>
    <t>(J=HxI)</t>
  </si>
  <si>
    <t>(I)</t>
  </si>
  <si>
    <t>(H)</t>
  </si>
  <si>
    <t>(G=E+F)</t>
  </si>
  <si>
    <t>(F)</t>
  </si>
  <si>
    <t>(E=CxD)</t>
  </si>
  <si>
    <t>(D)</t>
  </si>
  <si>
    <t>(C)</t>
  </si>
  <si>
    <t>(B)</t>
  </si>
  <si>
    <t>(A)</t>
  </si>
  <si>
    <t>13 MONTH AVERAGE WEIGHTED COST</t>
  </si>
  <si>
    <t>COST RATE</t>
  </si>
  <si>
    <t>PERCENT OF TOTAL</t>
  </si>
  <si>
    <t>JURISDICTIONAL ADJUSTED CAPITAL</t>
  </si>
  <si>
    <t>ADJUSTMENT AMOUNT</t>
  </si>
  <si>
    <t>JURISDICTIONAL CAPITAL</t>
  </si>
  <si>
    <t>JURISDICTIONAL RATE BASE PERCENTAGE</t>
  </si>
  <si>
    <t>13 MONTH AVERAGE AMOUNT</t>
  </si>
  <si>
    <t>WORKPAPER REFERENCE</t>
  </si>
  <si>
    <t>CLASS OF CAPITAL</t>
  </si>
  <si>
    <t>LINE NO.</t>
  </si>
  <si>
    <t>SCHEDULE J-1.1/J-1.2</t>
  </si>
  <si>
    <t>ELECTRIC:</t>
  </si>
  <si>
    <t xml:space="preserve">WORKPAPER REFERENCE NO(S).: </t>
  </si>
  <si>
    <t>PAGE 1 OF 4</t>
  </si>
  <si>
    <t>DATE OF CAPITAL STRUCTURE: 13 MO AVG FOR FORECASTED  PERIOD</t>
  </si>
  <si>
    <t>DATA:____BASE  PERIOD__X__FORECASTED  PERIOD</t>
  </si>
  <si>
    <t>THIRTEEN MONTH AVERAGE</t>
  </si>
  <si>
    <t>COST OF CAPITAL SUMMARY</t>
  </si>
  <si>
    <t>WITNESS:   A. M. FACKLER/J. BURGOS</t>
  </si>
  <si>
    <t>TYPE OF FILING: _____ ORIGINAL  _____ UPDATED  __X__ REVISED</t>
  </si>
  <si>
    <t>LOUISVILLE GAS AND ELECTRIC COMPANY</t>
  </si>
  <si>
    <t xml:space="preserve">CASE NO. 2025-00114 </t>
  </si>
  <si>
    <t>FROM JANUARY 1, 2026 TO DECEMBER 31, 2026</t>
  </si>
  <si>
    <t>JURISDICTIONAL ADJUSTMENTS</t>
  </si>
  <si>
    <t>(K)</t>
  </si>
  <si>
    <t>(J)</t>
  </si>
  <si>
    <t>(L=JxK)</t>
  </si>
  <si>
    <t>(I=G+H)</t>
  </si>
  <si>
    <t>(G=ExF)</t>
  </si>
  <si>
    <t>(E=C+D)</t>
  </si>
  <si>
    <t>ADJUSTED CAPITAL</t>
  </si>
  <si>
    <t>PAGE 1 OF 3</t>
  </si>
  <si>
    <t>KENTUCKY UTILITIES COMPANY</t>
  </si>
  <si>
    <t>CASE NO. 2025-00113</t>
  </si>
  <si>
    <t>*** Jurisdictional Allocator based on 12 Month Average ECR Jurisdictional Allocator for October 2024 through September 2025</t>
  </si>
  <si>
    <t>Expense Month</t>
  </si>
  <si>
    <t>Average</t>
  </si>
  <si>
    <t>ECR Filing Jurisdictional Allocation</t>
  </si>
  <si>
    <t>Weighted Cost of Capital Grossed up for Income Tax Effect {ROR + (ROR - DR) x [TR / (1 - TR)]}</t>
  </si>
  <si>
    <t>** ROR based on Company's Updated Schedule J filed as an attachment to the supplemental response to PSC 1-54, adjusted to reflect the actual debt rate of the Company's LTD issuance in August 2025</t>
  </si>
  <si>
    <t>Group 1</t>
  </si>
  <si>
    <t>Group 2</t>
  </si>
  <si>
    <t>Multiplied by Group 2 Average % of Total Revenue</t>
  </si>
  <si>
    <t>Group 2 E(m)</t>
  </si>
  <si>
    <t>Estimated Group 2 Billing Factor</t>
  </si>
  <si>
    <t>General Service</t>
  </si>
  <si>
    <t>General Time-of-Day Service</t>
  </si>
  <si>
    <t>All Electric School Service</t>
  </si>
  <si>
    <t>Power Service Secondary</t>
  </si>
  <si>
    <t>Power Service Primary</t>
  </si>
  <si>
    <t>Time-of-Day Secondary Service</t>
  </si>
  <si>
    <t>Time-of-Day Primary Service</t>
  </si>
  <si>
    <t>Retail Transmission Service</t>
  </si>
  <si>
    <t>Special Contract</t>
  </si>
  <si>
    <t>Extremely High Load Factor Service Rate</t>
  </si>
  <si>
    <t>Fluctuating Load Service</t>
  </si>
  <si>
    <t>Outdoor Sports Lighting Service Secondary</t>
  </si>
  <si>
    <t>Outdoor Sports Lighting Service Primary</t>
  </si>
  <si>
    <t>Electric Vehicle Charging Service</t>
  </si>
  <si>
    <t>Electric Vehicle Fast Charging Service Rate</t>
  </si>
  <si>
    <t>Electric Vehicle Supply Equipment Rate</t>
  </si>
  <si>
    <t>Not used</t>
  </si>
  <si>
    <t>Total Group 2 Revenues</t>
  </si>
  <si>
    <t>Group 2 Average % of Total Revenue</t>
  </si>
  <si>
    <t>Divided by Total Sales to Ultimate Customers (Excl CSR)</t>
  </si>
  <si>
    <t>Divided by Group 2 Total Non-Fuel Revenue*</t>
  </si>
  <si>
    <t>Excluding Fuel</t>
  </si>
  <si>
    <t>Base Fuel Rev</t>
  </si>
  <si>
    <t>FAC/OSS Rev</t>
  </si>
  <si>
    <t>reasonableness check to ECR filing (Sep was 71.5%)</t>
  </si>
  <si>
    <t>reasonableness check to ECR filing (Sep was 138.6%)</t>
  </si>
  <si>
    <t>reasonableness check to ECR filing (Sep was 70.9%)</t>
  </si>
  <si>
    <t>reasonableness check to ECR filing (Sep was 140.8%)</t>
  </si>
  <si>
    <t>Generation Cost Recovery</t>
  </si>
  <si>
    <t>Jurisdictional Allocator***</t>
  </si>
  <si>
    <t>Note:  Revenues held constant through 2030 for this analysis; future economic development and other load changes will impact actual bill results.</t>
  </si>
  <si>
    <t>Supplemental Testimony Exhibit 1</t>
  </si>
  <si>
    <t>Page 1 of 2</t>
  </si>
  <si>
    <t>Page 2 of 2</t>
  </si>
  <si>
    <t>Conroy/Garrett</t>
  </si>
  <si>
    <t>Return on Rate Base</t>
  </si>
  <si>
    <t>Allowed Monthly Rate of Return**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</si>
</sst>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_(&quot;$&quot;* #,##0_);_(&quot;$&quot;* \(#,##0\);_(&quot;$&quot;* &quot;-&quot;??_);_(@_)"/>
    <numFmt numFmtId="166" formatCode="_(* #,##0_);_(* \(#,##0\);_(* &quot;-&quot;??_);_(@_)"/>
    <numFmt numFmtId="167" formatCode="_(&quot;$&quot;* #,##0.00000_);_(&quot;$&quot;* \(#,##0.00000\);_(&quot;$&quot;* &quot;-&quot;??_);_(@_)"/>
    <numFmt numFmtId="168" formatCode="0.000%"/>
    <numFmt numFmtId="169" formatCode="#,##0.00%_);[Red]\(#,##0.00%\);&quot; &quot;"/>
    <numFmt numFmtId="170" formatCode="###0;###0"/>
    <numFmt numFmtId="171" formatCode="_(* #,##0.000000_);_(* \(#,##0.000000\);_(* &quot;-&quot;??_);_(@_)"/>
    <numFmt numFmtId="172" formatCode="[$-409]mmm\-yy;@"/>
  </numFmts>
  <fonts count="2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sz val="11"/>
      <color indexed="8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2"/>
      <name val="Times New Roman"/>
      <family val="1"/>
    </font>
    <font>
      <b/>
      <sz val="16"/>
      <name val="Cambria"/>
      <family val="1"/>
    </font>
    <font>
      <b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u val="singleAccounting"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  <font>
      <sz val="10"/>
      <color rgb="FF000000"/>
      <name val="Times New Roman"/>
      <family val="1"/>
    </font>
    <font>
      <u val="singleAccounting"/>
      <sz val="11"/>
      <color indexed="8"/>
      <name val="Aptos Narrow"/>
      <family val="2"/>
      <scheme val="minor"/>
    </font>
    <font>
      <sz val="10"/>
      <name val="Courier"/>
      <family val="3"/>
    </font>
    <font>
      <sz val="9"/>
      <color indexed="8"/>
      <name val="Calibri"/>
      <family val="2"/>
    </font>
    <font>
      <b/>
      <u/>
      <sz val="9"/>
      <color indexed="8"/>
      <name val="Calibri"/>
      <family val="2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37" fontId="19" fillId="0" borderId="0"/>
  </cellStyleXfs>
  <cellXfs count="10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164" fontId="3" fillId="0" borderId="0" xfId="0" applyNumberFormat="1" applyFont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8" fillId="0" borderId="0" xfId="0" quotePrefix="1" applyFont="1" applyAlignment="1">
      <alignment horizontal="left"/>
    </xf>
    <xf numFmtId="0" fontId="8" fillId="0" borderId="0" xfId="0" applyFont="1"/>
    <xf numFmtId="10" fontId="6" fillId="0" borderId="0" xfId="0" applyNumberFormat="1" applyFont="1"/>
    <xf numFmtId="10" fontId="6" fillId="0" borderId="0" xfId="3" applyNumberFormat="1" applyFont="1"/>
    <xf numFmtId="0" fontId="9" fillId="0" borderId="0" xfId="0" quotePrefix="1" applyFont="1" applyAlignment="1">
      <alignment horizontal="center" vertical="center"/>
    </xf>
    <xf numFmtId="44" fontId="6" fillId="0" borderId="0" xfId="2" applyFont="1"/>
    <xf numFmtId="165" fontId="6" fillId="0" borderId="0" xfId="2" applyNumberFormat="1" applyFont="1"/>
    <xf numFmtId="0" fontId="10" fillId="0" borderId="0" xfId="0" applyFont="1"/>
    <xf numFmtId="0" fontId="11" fillId="0" borderId="0" xfId="0" applyFont="1"/>
    <xf numFmtId="165" fontId="12" fillId="0" borderId="0" xfId="2" applyNumberFormat="1" applyFont="1"/>
    <xf numFmtId="165" fontId="6" fillId="0" borderId="0" xfId="0" applyNumberFormat="1" applyFont="1" applyAlignment="1">
      <alignment horizontal="left"/>
    </xf>
    <xf numFmtId="165" fontId="6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center"/>
    </xf>
    <xf numFmtId="2" fontId="15" fillId="0" borderId="0" xfId="0" applyNumberFormat="1" applyFont="1"/>
    <xf numFmtId="0" fontId="13" fillId="0" borderId="0" xfId="0" applyFont="1" applyAlignment="1">
      <alignment horizontal="right"/>
    </xf>
    <xf numFmtId="166" fontId="15" fillId="0" borderId="0" xfId="1" applyNumberFormat="1" applyFont="1"/>
    <xf numFmtId="44" fontId="0" fillId="0" borderId="0" xfId="2" applyFont="1"/>
    <xf numFmtId="167" fontId="0" fillId="0" borderId="0" xfId="2" applyNumberFormat="1" applyFont="1"/>
    <xf numFmtId="168" fontId="0" fillId="0" borderId="0" xfId="3" applyNumberFormat="1" applyFont="1"/>
    <xf numFmtId="44" fontId="0" fillId="0" borderId="0" xfId="0" applyNumberFormat="1"/>
    <xf numFmtId="166" fontId="6" fillId="0" borderId="0" xfId="1" applyNumberFormat="1" applyFont="1"/>
    <xf numFmtId="49" fontId="6" fillId="0" borderId="0" xfId="0" applyNumberFormat="1" applyFont="1" applyAlignment="1">
      <alignment horizontal="right"/>
    </xf>
    <xf numFmtId="44" fontId="16" fillId="0" borderId="0" xfId="2" applyFont="1"/>
    <xf numFmtId="44" fontId="13" fillId="0" borderId="0" xfId="2" applyFont="1"/>
    <xf numFmtId="44" fontId="16" fillId="0" borderId="0" xfId="2" applyFont="1" applyAlignment="1">
      <alignment horizontal="left"/>
    </xf>
    <xf numFmtId="0" fontId="8" fillId="0" borderId="0" xfId="0" applyFont="1" applyAlignment="1">
      <alignment horizontal="left" indent="2"/>
    </xf>
    <xf numFmtId="44" fontId="6" fillId="0" borderId="0" xfId="2" applyFont="1" applyFill="1"/>
    <xf numFmtId="0" fontId="3" fillId="2" borderId="1" xfId="0" applyFont="1" applyFill="1" applyBorder="1" applyAlignment="1">
      <alignment horizontal="left" vertical="center" wrapText="1"/>
    </xf>
    <xf numFmtId="165" fontId="6" fillId="0" borderId="0" xfId="2" applyNumberFormat="1" applyFont="1" applyFill="1"/>
    <xf numFmtId="10" fontId="0" fillId="0" borderId="0" xfId="3" applyNumberFormat="1" applyFont="1"/>
    <xf numFmtId="0" fontId="13" fillId="0" borderId="0" xfId="4" applyFont="1" applyAlignment="1">
      <alignment horizontal="left" vertical="top"/>
    </xf>
    <xf numFmtId="0" fontId="13" fillId="0" borderId="0" xfId="4" applyFont="1" applyAlignment="1">
      <alignment horizontal="center" wrapText="1"/>
    </xf>
    <xf numFmtId="0" fontId="13" fillId="0" borderId="0" xfId="4" applyFont="1" applyAlignment="1">
      <alignment horizontal="left"/>
    </xf>
    <xf numFmtId="170" fontId="13" fillId="0" borderId="0" xfId="4" applyNumberFormat="1" applyFont="1" applyAlignment="1">
      <alignment horizontal="center" wrapText="1"/>
    </xf>
    <xf numFmtId="171" fontId="13" fillId="0" borderId="0" xfId="5" applyNumberFormat="1" applyFont="1" applyFill="1" applyBorder="1" applyAlignment="1">
      <alignment horizontal="right" wrapText="1"/>
    </xf>
    <xf numFmtId="0" fontId="13" fillId="0" borderId="0" xfId="4" applyFont="1" applyAlignment="1">
      <alignment horizontal="left" wrapText="1"/>
    </xf>
    <xf numFmtId="10" fontId="13" fillId="0" borderId="6" xfId="6" applyNumberFormat="1" applyFont="1" applyFill="1" applyBorder="1" applyAlignment="1">
      <alignment horizontal="right" wrapText="1"/>
    </xf>
    <xf numFmtId="9" fontId="13" fillId="0" borderId="0" xfId="6" applyFont="1" applyFill="1" applyBorder="1" applyAlignment="1">
      <alignment horizontal="right" wrapText="1"/>
    </xf>
    <xf numFmtId="166" fontId="13" fillId="0" borderId="6" xfId="5" applyNumberFormat="1" applyFont="1" applyFill="1" applyBorder="1" applyAlignment="1">
      <alignment horizontal="right" wrapText="1"/>
    </xf>
    <xf numFmtId="10" fontId="13" fillId="0" borderId="0" xfId="6" applyNumberFormat="1" applyFont="1" applyFill="1" applyBorder="1" applyAlignment="1">
      <alignment horizontal="right" wrapText="1"/>
    </xf>
    <xf numFmtId="166" fontId="13" fillId="0" borderId="0" xfId="5" applyNumberFormat="1" applyFont="1" applyFill="1" applyBorder="1" applyAlignment="1">
      <alignment horizontal="right" wrapText="1"/>
    </xf>
    <xf numFmtId="10" fontId="13" fillId="0" borderId="7" xfId="6" applyNumberFormat="1" applyFont="1" applyFill="1" applyBorder="1" applyAlignment="1">
      <alignment horizontal="right" wrapText="1"/>
    </xf>
    <xf numFmtId="166" fontId="13" fillId="0" borderId="7" xfId="5" applyNumberFormat="1" applyFont="1" applyFill="1" applyBorder="1" applyAlignment="1">
      <alignment horizontal="right" wrapText="1"/>
    </xf>
    <xf numFmtId="10" fontId="13" fillId="0" borderId="0" xfId="6" applyNumberFormat="1" applyFont="1" applyFill="1" applyBorder="1" applyAlignment="1">
      <alignment horizontal="right"/>
    </xf>
    <xf numFmtId="166" fontId="13" fillId="0" borderId="7" xfId="7" applyNumberFormat="1" applyFont="1" applyFill="1" applyBorder="1" applyAlignment="1">
      <alignment horizontal="right" wrapText="1"/>
    </xf>
    <xf numFmtId="10" fontId="13" fillId="0" borderId="0" xfId="6" applyNumberFormat="1" applyFont="1" applyFill="1" applyBorder="1" applyAlignment="1">
      <alignment horizontal="left" vertical="top"/>
    </xf>
    <xf numFmtId="9" fontId="13" fillId="0" borderId="0" xfId="6" applyFont="1" applyFill="1" applyBorder="1" applyAlignment="1">
      <alignment horizontal="left" vertical="top"/>
    </xf>
    <xf numFmtId="9" fontId="13" fillId="0" borderId="0" xfId="8" applyFont="1" applyFill="1" applyBorder="1" applyAlignment="1">
      <alignment horizontal="left" vertical="top"/>
    </xf>
    <xf numFmtId="166" fontId="13" fillId="0" borderId="0" xfId="5" applyNumberFormat="1" applyFont="1" applyFill="1" applyBorder="1" applyAlignment="1">
      <alignment horizontal="center" vertical="center" wrapText="1"/>
    </xf>
    <xf numFmtId="0" fontId="13" fillId="0" borderId="0" xfId="4" applyFont="1" applyAlignment="1">
      <alignment horizontal="left" vertical="center" wrapText="1"/>
    </xf>
    <xf numFmtId="0" fontId="13" fillId="0" borderId="0" xfId="4" applyFont="1" applyAlignment="1">
      <alignment horizontal="center" vertical="center" wrapText="1"/>
    </xf>
    <xf numFmtId="0" fontId="13" fillId="0" borderId="3" xfId="4" applyFont="1" applyBorder="1" applyAlignment="1">
      <alignment horizontal="center" wrapText="1"/>
    </xf>
    <xf numFmtId="0" fontId="13" fillId="0" borderId="0" xfId="4" applyFont="1" applyAlignment="1">
      <alignment horizontal="right"/>
    </xf>
    <xf numFmtId="49" fontId="13" fillId="0" borderId="0" xfId="4" applyNumberFormat="1" applyFont="1" applyAlignment="1">
      <alignment horizontal="center"/>
    </xf>
    <xf numFmtId="166" fontId="13" fillId="0" borderId="0" xfId="4" applyNumberFormat="1" applyFont="1" applyAlignment="1">
      <alignment horizontal="left"/>
    </xf>
    <xf numFmtId="0" fontId="13" fillId="0" borderId="0" xfId="4" applyFont="1"/>
    <xf numFmtId="172" fontId="0" fillId="0" borderId="0" xfId="0" applyNumberForma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37" fontId="6" fillId="0" borderId="0" xfId="9" applyFont="1"/>
    <xf numFmtId="10" fontId="6" fillId="0" borderId="0" xfId="6" applyNumberFormat="1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 vertical="center" wrapText="1"/>
    </xf>
    <xf numFmtId="166" fontId="2" fillId="0" borderId="0" xfId="1" applyNumberFormat="1" applyFont="1" applyFill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9" fontId="2" fillId="0" borderId="0" xfId="0" applyNumberFormat="1" applyFont="1" applyAlignment="1">
      <alignment horizontal="right"/>
    </xf>
    <xf numFmtId="166" fontId="2" fillId="0" borderId="0" xfId="1" applyNumberFormat="1" applyFont="1" applyAlignment="1">
      <alignment horizontal="right"/>
    </xf>
    <xf numFmtId="164" fontId="3" fillId="0" borderId="4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/>
    <xf numFmtId="166" fontId="3" fillId="0" borderId="5" xfId="1" applyNumberFormat="1" applyFont="1" applyBorder="1" applyAlignment="1">
      <alignment horizontal="right"/>
    </xf>
    <xf numFmtId="164" fontId="20" fillId="0" borderId="0" xfId="0" applyNumberFormat="1" applyFont="1"/>
    <xf numFmtId="43" fontId="20" fillId="0" borderId="0" xfId="1" applyFont="1"/>
    <xf numFmtId="43" fontId="20" fillId="0" borderId="0" xfId="1" applyFont="1" applyFill="1"/>
    <xf numFmtId="166" fontId="20" fillId="0" borderId="0" xfId="0" applyNumberFormat="1" applyFont="1"/>
    <xf numFmtId="166" fontId="20" fillId="0" borderId="0" xfId="1" applyNumberFormat="1" applyFont="1" applyFill="1"/>
    <xf numFmtId="10" fontId="20" fillId="0" borderId="0" xfId="3" applyNumberFormat="1" applyFont="1" applyFill="1"/>
    <xf numFmtId="43" fontId="20" fillId="0" borderId="0" xfId="0" applyNumberFormat="1" applyFont="1"/>
    <xf numFmtId="9" fontId="6" fillId="0" borderId="0" xfId="3" applyFont="1"/>
    <xf numFmtId="0" fontId="22" fillId="0" borderId="0" xfId="0" applyFont="1"/>
    <xf numFmtId="10" fontId="22" fillId="0" borderId="0" xfId="3" applyNumberFormat="1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13" fillId="0" borderId="0" xfId="4" applyNumberFormat="1" applyFont="1" applyAlignment="1">
      <alignment horizontal="center"/>
    </xf>
    <xf numFmtId="0" fontId="13" fillId="0" borderId="0" xfId="4" applyFont="1" applyAlignment="1">
      <alignment horizontal="center"/>
    </xf>
    <xf numFmtId="0" fontId="18" fillId="0" borderId="0" xfId="0" applyFont="1" applyAlignment="1">
      <alignment horizontal="center" wrapText="1"/>
    </xf>
  </cellXfs>
  <cellStyles count="10">
    <cellStyle name="Comma" xfId="1" builtinId="3"/>
    <cellStyle name="Comma 2" xfId="7" xr:uid="{EC81A135-BE26-4A65-A42F-40D45725CB5D}"/>
    <cellStyle name="Comma 86" xfId="5" xr:uid="{02EF9580-D088-4EAF-A5E9-DEFEBD3DDD7C}"/>
    <cellStyle name="Currency" xfId="2" builtinId="4"/>
    <cellStyle name="Normal" xfId="0" builtinId="0"/>
    <cellStyle name="Normal 48" xfId="4" xr:uid="{EACF98AD-6731-49E4-8708-3F979FFEA010}"/>
    <cellStyle name="Normal_KU Attachment 1 ECR Review (revised) (4)" xfId="9" xr:uid="{671B4647-262E-41DC-99EC-71477ABC734E}"/>
    <cellStyle name="Percent" xfId="3" builtinId="5"/>
    <cellStyle name="Percent 15" xfId="6" xr:uid="{990A78F8-8D55-47A8-BA29-50223065599C}"/>
    <cellStyle name="Percent 2" xfId="8" xr:uid="{86FAD405-9B1B-4984-9732-1F2B740B5F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N2025\CN-00113_00114%20-%20KU%20LGE%20Rate%20Cases\13-Settlement\Sch%20M%20Billing%20Determinants\KU%20Billing%20Determinants%20-%20Settlement%20v3,%20Pole%20Attach%20Rev%20-%20for%20GCR%20bill%20impact.xlsb" TargetMode="External"/><Relationship Id="rId1" Type="http://schemas.openxmlformats.org/officeDocument/2006/relationships/externalLinkPath" Target="https://projects.sp.lgeenergy.int/CN2025/CN-00113_00114%20-%20KU%20LGE%20Rate%20Cases/13-Settlement/Sch%20M%20Billing%20Determinants/KU%20Billing%20Determinants%20-%20Settlement%20v3,%20Pole%20Attach%20Rev%20-%20for%20GCR%20bill%20impact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CN2025\CN-00113_00114%20-%20KU%20LGE%20Rate%20Cases\13-Settlement\Sch%20M%20Billing%20Determinants\LGE%20Electric%20Billing%20Determinants%20-%20Settlement%20v3,%20Pole%20Attach%20Rev%20-%20for%20GCR%20bill%20impact.xlsx" TargetMode="External"/><Relationship Id="rId1" Type="http://schemas.openxmlformats.org/officeDocument/2006/relationships/externalLinkPath" Target="https://projects.sp.lgeenergy.int/CN2025/CN-00113_00114%20-%20KU%20LGE%20Rate%20Cases/13-Settlement/Sch%20M%20Billing%20Determinants/LGE%20Electric%20Billing%20Determinants%20-%20Settlement%20v3,%20Pole%20Attach%20Rev%20-%20for%20GCR%20bill%20impa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 M-1 Schedules==&gt;"/>
      <sheetName val="Index M-1"/>
      <sheetName val="Sch M-1.1"/>
      <sheetName val="Sch M-1.2"/>
      <sheetName val="Sch M-1.3 (1)"/>
      <sheetName val="Sch M-1.3 (2)"/>
      <sheetName val="Sch M-1.3 (3)"/>
      <sheetName val="Rate Summary"/>
      <sheetName val="Sch M-2 Schedules==&gt;"/>
      <sheetName val="Index M-2"/>
      <sheetName val="Sch M-2.1"/>
      <sheetName val="Sch M-2.2"/>
      <sheetName val="Sch M-2.3 (1)"/>
      <sheetName val="Sch M-2.3 (2)"/>
      <sheetName val="Sch M-2.3 (3)"/>
      <sheetName val="Intervenor Position Summary"/>
      <sheetName val="Data==&gt;"/>
      <sheetName val="A216810396964DCDB399904ED81BA8E"/>
      <sheetName val="12MonResults"/>
      <sheetName val="12MonLights"/>
      <sheetName val="12MonPoles"/>
      <sheetName val="6Mon-Forecast"/>
      <sheetName val="6MonLights-Forecast"/>
      <sheetName val="12Mon - Forecast"/>
      <sheetName val="12Mon - Forecast Current ROE"/>
      <sheetName val="12MonLights - Forecast"/>
      <sheetName val="Sources ==&gt;"/>
      <sheetName val="Input Data"/>
      <sheetName val="Rates"/>
      <sheetName val="Rates-Lights"/>
      <sheetName val="MiscData"/>
      <sheetName val="4023"/>
      <sheetName val="1022"/>
      <sheetName val="1055"/>
      <sheetName val="1051"/>
      <sheetName val="Forecast==&gt;"/>
      <sheetName val="Rate Summary - Forecast"/>
      <sheetName val="MiscData -Forecast"/>
      <sheetName val="Rates - Forecast"/>
      <sheetName val="Rates-Lights - Forecast"/>
      <sheetName val="KY Schedule M for Rates"/>
      <sheetName val="KY Schedule M - Current ROE"/>
      <sheetName val="2025BP Customers (2)"/>
      <sheetName val="2025BP Calendar Energy"/>
      <sheetName val="2025BP Billed Demands"/>
      <sheetName val="Lighting Summary for Rates (2)"/>
      <sheetName val="kVA Conversion"/>
      <sheetName val="KU EVC"/>
      <sheetName val="KU EDR"/>
      <sheetName val="ECR in Base Rates"/>
      <sheetName val="MISC Revenue"/>
      <sheetName val="Reconciliation==&gt;"/>
      <sheetName val="Actual Reconciliation"/>
      <sheetName val="Forecast Reconciliation"/>
      <sheetName val="Sep"/>
      <sheetName val="Oct"/>
      <sheetName val="Nov"/>
      <sheetName val="Dec"/>
      <sheetName val="Jan"/>
      <sheetName val="F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2">
          <cell r="D12">
            <v>450064.80000000005</v>
          </cell>
          <cell r="G12">
            <v>-231441.08999999997</v>
          </cell>
        </row>
        <row r="13">
          <cell r="D13">
            <v>61.28</v>
          </cell>
          <cell r="G13">
            <v>-31.78</v>
          </cell>
        </row>
        <row r="18">
          <cell r="D18">
            <v>315512.70999999985</v>
          </cell>
          <cell r="G18">
            <v>-201600.13</v>
          </cell>
        </row>
        <row r="19">
          <cell r="D19">
            <v>16444.34</v>
          </cell>
          <cell r="G19">
            <v>-11676.550000000001</v>
          </cell>
        </row>
        <row r="22">
          <cell r="D22">
            <v>337326.7900000001</v>
          </cell>
          <cell r="G22">
            <v>-257257.63999999998</v>
          </cell>
        </row>
        <row r="23">
          <cell r="D23">
            <v>795117.3</v>
          </cell>
          <cell r="G23">
            <v>-546491.21</v>
          </cell>
        </row>
        <row r="26">
          <cell r="D26">
            <v>409490.44000000006</v>
          </cell>
          <cell r="G26">
            <v>-252861.91999999998</v>
          </cell>
        </row>
        <row r="28">
          <cell r="D28">
            <v>253771.77999999997</v>
          </cell>
          <cell r="G28">
            <v>-149475.68999999997</v>
          </cell>
        </row>
        <row r="32">
          <cell r="D32">
            <v>148188.77999999997</v>
          </cell>
          <cell r="G32">
            <v>-69740.98</v>
          </cell>
        </row>
        <row r="40">
          <cell r="D40">
            <v>89.34</v>
          </cell>
          <cell r="G40">
            <v>-42.739999999999995</v>
          </cell>
        </row>
      </sheetData>
      <sheetData sheetId="13">
        <row r="103">
          <cell r="P103">
            <v>20523560.909497321</v>
          </cell>
        </row>
        <row r="109">
          <cell r="P109">
            <v>29450456.643538695</v>
          </cell>
        </row>
        <row r="178">
          <cell r="P178">
            <v>6850.7377718206071</v>
          </cell>
        </row>
        <row r="275">
          <cell r="P275">
            <v>42508745.16741807</v>
          </cell>
        </row>
        <row r="322">
          <cell r="P322">
            <v>2418630.0833279532</v>
          </cell>
        </row>
        <row r="369">
          <cell r="P369">
            <v>53461411.015776798</v>
          </cell>
        </row>
        <row r="413">
          <cell r="P413">
            <v>115115142.86700937</v>
          </cell>
        </row>
        <row r="457">
          <cell r="P457">
            <v>54078909.308971062</v>
          </cell>
        </row>
        <row r="501">
          <cell r="P501">
            <v>32068335.058314756</v>
          </cell>
        </row>
        <row r="585">
          <cell r="P585">
            <v>15418461.800000004</v>
          </cell>
        </row>
        <row r="726">
          <cell r="P726">
            <v>9677.2875024633722</v>
          </cell>
        </row>
        <row r="803">
          <cell r="P803">
            <v>2555.9914480270381</v>
          </cell>
        </row>
        <row r="836">
          <cell r="P836">
            <v>3546.5143777777771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te Summary"/>
      <sheetName val="LG&amp;E - Rate Summary"/>
      <sheetName val="Sch M-1 Schedules==&gt;"/>
      <sheetName val="Sch M-1 Index"/>
      <sheetName val="Sch M-1.1"/>
      <sheetName val="Sch M-1.2"/>
      <sheetName val="Sch M-1.3 (1)"/>
      <sheetName val="A216810396964DCDB399904ED81BA8E"/>
      <sheetName val="Sch M-1.3 (2)"/>
      <sheetName val="Sch M-1.3 (3)"/>
      <sheetName val="Schedule M-2 Schedules==&gt;"/>
      <sheetName val="Sch M-2 Index"/>
      <sheetName val="Sch M-2.1"/>
      <sheetName val="Sch M-2.2"/>
      <sheetName val="Sch M-2.3 (1)"/>
      <sheetName val="Sch M-2.3 (2)"/>
      <sheetName val="Sch M-2.3 (3) "/>
      <sheetName val="Intervenor Position Summary"/>
      <sheetName val="Sch M-1 - Base Period Data==&gt;"/>
      <sheetName val="12MonActualResults"/>
      <sheetName val="12MonActualLights"/>
      <sheetName val="12MonActualPoles"/>
      <sheetName val="6MonFrcstResults"/>
      <sheetName val="6MonFrcstLights"/>
      <sheetName val="6MonFrcstPoles"/>
      <sheetName val="Actual Reports==&gt;"/>
      <sheetName val="1022"/>
      <sheetName val="1051"/>
      <sheetName val="1055"/>
      <sheetName val="4023"/>
      <sheetName val="4023 - Solar Capacity"/>
      <sheetName val="Sch M-2 - Test Period Data ==&gt;"/>
      <sheetName val="12MonFrcstResults"/>
      <sheetName val="12MonFrcstResults-Curr ROE Mech"/>
      <sheetName val="12MonFrcstLights"/>
      <sheetName val="12MonFrcstLights-Curr ROE Mech"/>
      <sheetName val="12MonFrcstPoles"/>
      <sheetName val="ECR in Base Rates"/>
      <sheetName val="Forecast Reports==&gt;"/>
      <sheetName val="KY Schedule M for Rates - Elect"/>
      <sheetName val="KY Schedule M - Current ROE"/>
      <sheetName val="Lighting Summary for Rates"/>
      <sheetName val="Forecasted Customer Count"/>
      <sheetName val="Forecasted Energy"/>
      <sheetName val="Forecasted Demand"/>
      <sheetName val="Total EVC"/>
      <sheetName val="kVA Conversion"/>
      <sheetName val="Misc Revenue"/>
      <sheetName val="Rates ==&gt;"/>
      <sheetName val="Rates"/>
      <sheetName val="LightingRates"/>
      <sheetName val="PoleRates"/>
      <sheetName val="Input Data"/>
      <sheetName val="Reconciliation==&gt;"/>
      <sheetName val="Actual Reconciliation"/>
      <sheetName val="Forecast Reconciliation"/>
      <sheetName val="Sep24"/>
      <sheetName val="Oct24"/>
      <sheetName val="Nov24"/>
      <sheetName val="Dec24"/>
      <sheetName val="Jan25"/>
      <sheetName val="Feb25"/>
      <sheetName val="Mar25"/>
      <sheetName val="Apr25"/>
      <sheetName val="May25"/>
      <sheetName val="Jun25"/>
      <sheetName val="Jul25"/>
      <sheetName val="Aug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3">
          <cell r="G13">
            <v>8042.48</v>
          </cell>
          <cell r="J13">
            <v>-431191.92</v>
          </cell>
        </row>
        <row r="14">
          <cell r="G14">
            <v>3.34</v>
          </cell>
          <cell r="J14">
            <v>-179.51999999999998</v>
          </cell>
        </row>
        <row r="17">
          <cell r="G17">
            <v>6112.13</v>
          </cell>
          <cell r="J17">
            <v>-461344.29</v>
          </cell>
        </row>
        <row r="18">
          <cell r="G18">
            <v>29.2</v>
          </cell>
          <cell r="J18">
            <v>-22214.68</v>
          </cell>
        </row>
        <row r="21">
          <cell r="G21">
            <v>4794.24</v>
          </cell>
          <cell r="J21">
            <v>-500624.17</v>
          </cell>
        </row>
        <row r="22">
          <cell r="G22">
            <v>6171.71</v>
          </cell>
          <cell r="J22">
            <v>-728974.43</v>
          </cell>
        </row>
        <row r="25">
          <cell r="G25">
            <v>5795.32</v>
          </cell>
          <cell r="J25">
            <v>-395309.04</v>
          </cell>
        </row>
        <row r="39">
          <cell r="G39">
            <v>340.58</v>
          </cell>
          <cell r="J39">
            <v>-24599.439999999999</v>
          </cell>
        </row>
        <row r="45">
          <cell r="G45">
            <v>3.08</v>
          </cell>
          <cell r="J45">
            <v>-16.88</v>
          </cell>
        </row>
        <row r="50">
          <cell r="G50">
            <v>0.01</v>
          </cell>
          <cell r="J50">
            <v>-3.82</v>
          </cell>
        </row>
      </sheetData>
      <sheetData sheetId="15">
        <row r="113">
          <cell r="R113">
            <v>9914533.967170706</v>
          </cell>
        </row>
        <row r="119">
          <cell r="R119">
            <v>23730765.024745107</v>
          </cell>
        </row>
        <row r="165">
          <cell r="R165">
            <v>1094.2265185447141</v>
          </cell>
        </row>
        <row r="169">
          <cell r="R169">
            <v>17.792301114548216</v>
          </cell>
        </row>
        <row r="193">
          <cell r="R193">
            <v>12892.278163401283</v>
          </cell>
        </row>
        <row r="246">
          <cell r="R246">
            <v>35877813.315439336</v>
          </cell>
        </row>
        <row r="294">
          <cell r="R294">
            <v>1682742.7114450021</v>
          </cell>
        </row>
        <row r="342">
          <cell r="R342">
            <v>38530253.461458243</v>
          </cell>
        </row>
        <row r="387">
          <cell r="R387">
            <v>56098257.346201494</v>
          </cell>
        </row>
        <row r="432">
          <cell r="R432">
            <v>30101031.477605935</v>
          </cell>
        </row>
        <row r="604">
          <cell r="R604">
            <v>1843784.7965888865</v>
          </cell>
        </row>
        <row r="711">
          <cell r="R711">
            <v>1416.5292790919675</v>
          </cell>
        </row>
        <row r="794">
          <cell r="R794">
            <v>3773.3168796600303</v>
          </cell>
        </row>
        <row r="826">
          <cell r="R826">
            <v>3491.5769777777773</v>
          </cell>
        </row>
        <row r="882">
          <cell r="R882">
            <v>286.22879999999998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F7965-D721-460E-A4F8-4D9200120A00}">
  <dimension ref="A1:AA21"/>
  <sheetViews>
    <sheetView showGridLines="0" showZeros="0" zoomScale="130" zoomScaleNormal="13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5" x14ac:dyDescent="0.25"/>
  <cols>
    <col min="1" max="1" width="39" customWidth="1"/>
    <col min="2" max="25" width="13.7109375" customWidth="1"/>
    <col min="27" max="27" width="9.5703125" bestFit="1" customWidth="1"/>
  </cols>
  <sheetData>
    <row r="1" spans="1:27" ht="15.75" thickBot="1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</row>
    <row r="2" spans="1:27" x14ac:dyDescent="0.25">
      <c r="A2" s="3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x14ac:dyDescent="0.25">
      <c r="A3" s="5" t="s">
        <v>25</v>
      </c>
      <c r="B3" s="6">
        <v>0</v>
      </c>
      <c r="C3" s="6">
        <v>0</v>
      </c>
      <c r="D3" s="6">
        <v>0</v>
      </c>
      <c r="E3" s="6">
        <v>1945740.7227285476</v>
      </c>
      <c r="F3" s="6">
        <v>3281371.1072716173</v>
      </c>
      <c r="G3" s="6">
        <v>6363703.6774940435</v>
      </c>
      <c r="H3" s="6">
        <v>6717825.7193590999</v>
      </c>
      <c r="I3" s="6">
        <v>7151464.4237784771</v>
      </c>
      <c r="J3" s="6">
        <v>7401675.8960671509</v>
      </c>
      <c r="K3" s="6">
        <v>7548531.5426212382</v>
      </c>
      <c r="L3" s="6">
        <v>7705182.9753334317</v>
      </c>
      <c r="M3" s="6">
        <v>7318504.2813971424</v>
      </c>
      <c r="N3" s="6">
        <v>7530795.4632432954</v>
      </c>
      <c r="O3" s="6">
        <v>7547625.9716120884</v>
      </c>
      <c r="P3" s="6">
        <v>7332779.5040829293</v>
      </c>
      <c r="Q3" s="6">
        <v>7279008.6130353631</v>
      </c>
      <c r="R3" s="6">
        <v>7103474.706317191</v>
      </c>
      <c r="S3" s="6">
        <v>6958958.4776426964</v>
      </c>
      <c r="T3" s="6">
        <v>6919213.5748731541</v>
      </c>
      <c r="U3" s="6">
        <v>7010083.041355608</v>
      </c>
      <c r="V3" s="6">
        <v>7146680.6069384823</v>
      </c>
      <c r="W3" s="6">
        <v>7458790.0364462407</v>
      </c>
      <c r="X3" s="6">
        <v>7442878.510945959</v>
      </c>
      <c r="Y3" s="6">
        <v>7085793.9096261812</v>
      </c>
    </row>
    <row r="4" spans="1:27" x14ac:dyDescent="0.25">
      <c r="A4" s="5" t="s">
        <v>26</v>
      </c>
      <c r="B4" s="6"/>
      <c r="C4" s="6"/>
      <c r="D4" s="6"/>
      <c r="E4" s="6"/>
      <c r="F4" s="6"/>
      <c r="G4" s="6">
        <f>-2000000*0.31/12/2</f>
        <v>-25833.333333333332</v>
      </c>
      <c r="H4" s="6">
        <f>-2000000*0.31/12</f>
        <v>-51666.666666666664</v>
      </c>
      <c r="I4" s="6">
        <f t="shared" ref="I4:Y4" si="0">-2000000*0.31/12</f>
        <v>-51666.666666666664</v>
      </c>
      <c r="J4" s="6">
        <f t="shared" si="0"/>
        <v>-51666.666666666664</v>
      </c>
      <c r="K4" s="6">
        <f t="shared" si="0"/>
        <v>-51666.666666666664</v>
      </c>
      <c r="L4" s="6">
        <f t="shared" si="0"/>
        <v>-51666.666666666664</v>
      </c>
      <c r="M4" s="6">
        <f t="shared" si="0"/>
        <v>-51666.666666666664</v>
      </c>
      <c r="N4" s="6">
        <f t="shared" si="0"/>
        <v>-51666.666666666664</v>
      </c>
      <c r="O4" s="6">
        <f t="shared" si="0"/>
        <v>-51666.666666666664</v>
      </c>
      <c r="P4" s="6">
        <f t="shared" si="0"/>
        <v>-51666.666666666664</v>
      </c>
      <c r="Q4" s="6">
        <f t="shared" si="0"/>
        <v>-51666.666666666664</v>
      </c>
      <c r="R4" s="6">
        <f t="shared" si="0"/>
        <v>-51666.666666666664</v>
      </c>
      <c r="S4" s="6">
        <f t="shared" si="0"/>
        <v>-51666.666666666664</v>
      </c>
      <c r="T4" s="6">
        <f t="shared" si="0"/>
        <v>-51666.666666666664</v>
      </c>
      <c r="U4" s="6">
        <f t="shared" si="0"/>
        <v>-51666.666666666664</v>
      </c>
      <c r="V4" s="6">
        <f t="shared" si="0"/>
        <v>-51666.666666666664</v>
      </c>
      <c r="W4" s="6">
        <f t="shared" si="0"/>
        <v>-51666.666666666664</v>
      </c>
      <c r="X4" s="6">
        <f t="shared" si="0"/>
        <v>-51666.666666666664</v>
      </c>
      <c r="Y4" s="6">
        <f t="shared" si="0"/>
        <v>-51666.666666666664</v>
      </c>
    </row>
    <row r="5" spans="1:27" x14ac:dyDescent="0.25">
      <c r="A5" s="5" t="s">
        <v>27</v>
      </c>
      <c r="B5" s="7">
        <f>SUM(B3:B4)</f>
        <v>0</v>
      </c>
      <c r="C5" s="7">
        <f t="shared" ref="C5:Y5" si="1">SUM(C3:C4)</f>
        <v>0</v>
      </c>
      <c r="D5" s="7">
        <f t="shared" si="1"/>
        <v>0</v>
      </c>
      <c r="E5" s="7">
        <f t="shared" si="1"/>
        <v>1945740.7227285476</v>
      </c>
      <c r="F5" s="7">
        <f t="shared" si="1"/>
        <v>3281371.1072716173</v>
      </c>
      <c r="G5" s="7">
        <f t="shared" si="1"/>
        <v>6337870.3441607105</v>
      </c>
      <c r="H5" s="7">
        <f t="shared" si="1"/>
        <v>6666159.0526924329</v>
      </c>
      <c r="I5" s="7">
        <f t="shared" si="1"/>
        <v>7099797.7571118101</v>
      </c>
      <c r="J5" s="7">
        <f t="shared" si="1"/>
        <v>7350009.2294004839</v>
      </c>
      <c r="K5" s="7">
        <f t="shared" si="1"/>
        <v>7496864.8759545712</v>
      </c>
      <c r="L5" s="7">
        <f t="shared" si="1"/>
        <v>7653516.3086667648</v>
      </c>
      <c r="M5" s="7">
        <f t="shared" si="1"/>
        <v>7266837.6147304755</v>
      </c>
      <c r="N5" s="7">
        <f t="shared" si="1"/>
        <v>7479128.7965766285</v>
      </c>
      <c r="O5" s="7">
        <f t="shared" si="1"/>
        <v>7495959.3049454214</v>
      </c>
      <c r="P5" s="7">
        <f t="shared" si="1"/>
        <v>7281112.8374162624</v>
      </c>
      <c r="Q5" s="7">
        <f t="shared" si="1"/>
        <v>7227341.9463686962</v>
      </c>
      <c r="R5" s="7">
        <f t="shared" si="1"/>
        <v>7051808.039650524</v>
      </c>
      <c r="S5" s="7">
        <f t="shared" si="1"/>
        <v>6907291.8109760294</v>
      </c>
      <c r="T5" s="7">
        <f t="shared" si="1"/>
        <v>6867546.9082064871</v>
      </c>
      <c r="U5" s="7">
        <f t="shared" si="1"/>
        <v>6958416.3746889411</v>
      </c>
      <c r="V5" s="7">
        <f t="shared" si="1"/>
        <v>7095013.9402718153</v>
      </c>
      <c r="W5" s="7">
        <f t="shared" si="1"/>
        <v>7407123.3697795738</v>
      </c>
      <c r="X5" s="7">
        <f t="shared" si="1"/>
        <v>7391211.844279292</v>
      </c>
      <c r="Y5" s="7">
        <f t="shared" si="1"/>
        <v>7034127.2429595143</v>
      </c>
    </row>
    <row r="6" spans="1:27" x14ac:dyDescent="0.25">
      <c r="A6" s="8" t="s">
        <v>28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</row>
    <row r="7" spans="1:27" x14ac:dyDescent="0.25">
      <c r="A7" s="3" t="s">
        <v>29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7" x14ac:dyDescent="0.25">
      <c r="A8" s="5" t="s">
        <v>25</v>
      </c>
      <c r="B8" s="6">
        <v>0</v>
      </c>
      <c r="C8" s="6">
        <v>0</v>
      </c>
      <c r="D8" s="6">
        <v>0</v>
      </c>
      <c r="E8" s="6">
        <v>0</v>
      </c>
      <c r="F8" s="6">
        <v>1435413.3817626704</v>
      </c>
      <c r="G8" s="6">
        <v>7864088.9993227972</v>
      </c>
      <c r="H8" s="6">
        <v>8518362.2043335289</v>
      </c>
      <c r="I8" s="6">
        <v>9307517.3041607458</v>
      </c>
      <c r="J8" s="6">
        <v>9849301.6544808857</v>
      </c>
      <c r="K8" s="6">
        <v>9939631.6595295742</v>
      </c>
      <c r="L8" s="6">
        <v>10095076.212791786</v>
      </c>
      <c r="M8" s="6">
        <v>10187120.1211507</v>
      </c>
      <c r="N8" s="6">
        <v>10344048.752024226</v>
      </c>
      <c r="O8" s="6">
        <v>10324889.996737184</v>
      </c>
      <c r="P8" s="6">
        <v>9802871.5128797963</v>
      </c>
      <c r="Q8" s="6">
        <v>9531142.1128313504</v>
      </c>
      <c r="R8" s="6">
        <v>9316905.3669756036</v>
      </c>
      <c r="S8" s="6">
        <v>8914740.4059231635</v>
      </c>
      <c r="T8" s="6">
        <v>8750923.143290611</v>
      </c>
      <c r="U8" s="6">
        <v>9051278.044058511</v>
      </c>
      <c r="V8" s="6">
        <v>9295535.910837004</v>
      </c>
      <c r="W8" s="6">
        <v>10341221.728107698</v>
      </c>
      <c r="X8" s="6">
        <v>9761551.3957059216</v>
      </c>
      <c r="Y8" s="6">
        <v>9800585.2440048624</v>
      </c>
    </row>
    <row r="9" spans="1:27" x14ac:dyDescent="0.25">
      <c r="A9" s="5" t="s">
        <v>26</v>
      </c>
      <c r="B9" s="6"/>
      <c r="C9" s="6"/>
      <c r="D9" s="6"/>
      <c r="E9" s="6"/>
      <c r="F9" s="6"/>
      <c r="G9" s="6">
        <f>-2000000*0.69/12/2</f>
        <v>-57500</v>
      </c>
      <c r="H9" s="6">
        <f>-2000000*0.69/12</f>
        <v>-115000</v>
      </c>
      <c r="I9" s="6">
        <f t="shared" ref="I9:Y9" si="2">-2000000*0.69/12</f>
        <v>-115000</v>
      </c>
      <c r="J9" s="6">
        <f t="shared" si="2"/>
        <v>-115000</v>
      </c>
      <c r="K9" s="6">
        <f t="shared" si="2"/>
        <v>-115000</v>
      </c>
      <c r="L9" s="6">
        <f t="shared" si="2"/>
        <v>-115000</v>
      </c>
      <c r="M9" s="6">
        <f t="shared" si="2"/>
        <v>-115000</v>
      </c>
      <c r="N9" s="6">
        <f t="shared" si="2"/>
        <v>-115000</v>
      </c>
      <c r="O9" s="6">
        <f t="shared" si="2"/>
        <v>-115000</v>
      </c>
      <c r="P9" s="6">
        <f t="shared" si="2"/>
        <v>-115000</v>
      </c>
      <c r="Q9" s="6">
        <f t="shared" si="2"/>
        <v>-115000</v>
      </c>
      <c r="R9" s="6">
        <f t="shared" si="2"/>
        <v>-115000</v>
      </c>
      <c r="S9" s="6">
        <f t="shared" si="2"/>
        <v>-115000</v>
      </c>
      <c r="T9" s="6">
        <f t="shared" si="2"/>
        <v>-115000</v>
      </c>
      <c r="U9" s="6">
        <f t="shared" si="2"/>
        <v>-115000</v>
      </c>
      <c r="V9" s="6">
        <f t="shared" si="2"/>
        <v>-115000</v>
      </c>
      <c r="W9" s="6">
        <f t="shared" si="2"/>
        <v>-115000</v>
      </c>
      <c r="X9" s="6">
        <f t="shared" si="2"/>
        <v>-115000</v>
      </c>
      <c r="Y9" s="6">
        <f t="shared" si="2"/>
        <v>-115000</v>
      </c>
    </row>
    <row r="10" spans="1:27" x14ac:dyDescent="0.25">
      <c r="A10" s="5" t="s">
        <v>27</v>
      </c>
      <c r="B10" s="7">
        <f>SUM(B8:B9)</f>
        <v>0</v>
      </c>
      <c r="C10" s="7">
        <f t="shared" ref="C10:Y10" si="3">SUM(C8:C9)</f>
        <v>0</v>
      </c>
      <c r="D10" s="7">
        <f t="shared" si="3"/>
        <v>0</v>
      </c>
      <c r="E10" s="7">
        <f t="shared" si="3"/>
        <v>0</v>
      </c>
      <c r="F10" s="7">
        <f t="shared" si="3"/>
        <v>1435413.3817626704</v>
      </c>
      <c r="G10" s="7">
        <f t="shared" si="3"/>
        <v>7806588.9993227972</v>
      </c>
      <c r="H10" s="7">
        <f t="shared" si="3"/>
        <v>8403362.2043335289</v>
      </c>
      <c r="I10" s="7">
        <f t="shared" si="3"/>
        <v>9192517.3041607458</v>
      </c>
      <c r="J10" s="7">
        <f t="shared" si="3"/>
        <v>9734301.6544808857</v>
      </c>
      <c r="K10" s="7">
        <f t="shared" si="3"/>
        <v>9824631.6595295742</v>
      </c>
      <c r="L10" s="7">
        <f t="shared" si="3"/>
        <v>9980076.2127917856</v>
      </c>
      <c r="M10" s="7">
        <f t="shared" si="3"/>
        <v>10072120.1211507</v>
      </c>
      <c r="N10" s="7">
        <f t="shared" si="3"/>
        <v>10229048.752024226</v>
      </c>
      <c r="O10" s="7">
        <f t="shared" si="3"/>
        <v>10209889.996737184</v>
      </c>
      <c r="P10" s="7">
        <f t="shared" si="3"/>
        <v>9687871.5128797963</v>
      </c>
      <c r="Q10" s="7">
        <f t="shared" si="3"/>
        <v>9416142.1128313504</v>
      </c>
      <c r="R10" s="7">
        <f t="shared" si="3"/>
        <v>9201905.3669756036</v>
      </c>
      <c r="S10" s="7">
        <f t="shared" si="3"/>
        <v>8799740.4059231635</v>
      </c>
      <c r="T10" s="7">
        <f t="shared" si="3"/>
        <v>8635923.143290611</v>
      </c>
      <c r="U10" s="7">
        <f t="shared" si="3"/>
        <v>8936278.044058511</v>
      </c>
      <c r="V10" s="7">
        <f t="shared" si="3"/>
        <v>9180535.910837004</v>
      </c>
      <c r="W10" s="7">
        <f t="shared" si="3"/>
        <v>10226221.728107698</v>
      </c>
      <c r="X10" s="7">
        <f t="shared" si="3"/>
        <v>9646551.3957059216</v>
      </c>
      <c r="Y10" s="7">
        <f t="shared" si="3"/>
        <v>9685585.2440048624</v>
      </c>
      <c r="AA10" s="10">
        <f>AVERAGE(G10:Y10)</f>
        <v>9414173.2510076817</v>
      </c>
    </row>
    <row r="11" spans="1:27" x14ac:dyDescent="0.25">
      <c r="A11" s="9" t="s">
        <v>28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</row>
    <row r="12" spans="1:27" x14ac:dyDescent="0.25">
      <c r="A12" s="3" t="s">
        <v>30</v>
      </c>
    </row>
    <row r="13" spans="1:27" x14ac:dyDescent="0.25">
      <c r="A13" s="5" t="s">
        <v>25</v>
      </c>
      <c r="B13" s="6">
        <f>B3+B8</f>
        <v>0</v>
      </c>
      <c r="C13" s="6">
        <f t="shared" ref="C13:Y14" si="4">C3+C8</f>
        <v>0</v>
      </c>
      <c r="D13" s="6">
        <f t="shared" si="4"/>
        <v>0</v>
      </c>
      <c r="E13" s="6">
        <f t="shared" si="4"/>
        <v>1945740.7227285476</v>
      </c>
      <c r="F13" s="6">
        <f t="shared" si="4"/>
        <v>4716784.4890342876</v>
      </c>
      <c r="G13" s="6">
        <f t="shared" si="4"/>
        <v>14227792.67681684</v>
      </c>
      <c r="H13" s="6">
        <f t="shared" si="4"/>
        <v>15236187.923692629</v>
      </c>
      <c r="I13" s="6">
        <f t="shared" si="4"/>
        <v>16458981.727939222</v>
      </c>
      <c r="J13" s="6">
        <f t="shared" si="4"/>
        <v>17250977.550548036</v>
      </c>
      <c r="K13" s="6">
        <f t="shared" si="4"/>
        <v>17488163.202150814</v>
      </c>
      <c r="L13" s="6">
        <f t="shared" si="4"/>
        <v>17800259.188125215</v>
      </c>
      <c r="M13" s="6">
        <f t="shared" si="4"/>
        <v>17505624.402547844</v>
      </c>
      <c r="N13" s="6">
        <f t="shared" si="4"/>
        <v>17874844.21526752</v>
      </c>
      <c r="O13" s="6">
        <f t="shared" si="4"/>
        <v>17872515.968349271</v>
      </c>
      <c r="P13" s="6">
        <f t="shared" si="4"/>
        <v>17135651.016962726</v>
      </c>
      <c r="Q13" s="6">
        <f t="shared" si="4"/>
        <v>16810150.725866713</v>
      </c>
      <c r="R13" s="6">
        <f t="shared" si="4"/>
        <v>16420380.073292796</v>
      </c>
      <c r="S13" s="6">
        <f t="shared" si="4"/>
        <v>15873698.88356586</v>
      </c>
      <c r="T13" s="6">
        <f t="shared" si="4"/>
        <v>15670136.718163766</v>
      </c>
      <c r="U13" s="6">
        <f t="shared" si="4"/>
        <v>16061361.085414119</v>
      </c>
      <c r="V13" s="6">
        <f t="shared" si="4"/>
        <v>16442216.517775487</v>
      </c>
      <c r="W13" s="6">
        <f t="shared" si="4"/>
        <v>17800011.764553938</v>
      </c>
      <c r="X13" s="6">
        <f t="shared" si="4"/>
        <v>17204429.906651881</v>
      </c>
      <c r="Y13" s="6">
        <f t="shared" si="4"/>
        <v>16886379.153631043</v>
      </c>
    </row>
    <row r="14" spans="1:27" x14ac:dyDescent="0.25">
      <c r="A14" s="5" t="s">
        <v>26</v>
      </c>
      <c r="B14" s="6">
        <f>B4+B9</f>
        <v>0</v>
      </c>
      <c r="C14" s="6">
        <f t="shared" si="4"/>
        <v>0</v>
      </c>
      <c r="D14" s="6">
        <f t="shared" si="4"/>
        <v>0</v>
      </c>
      <c r="E14" s="6">
        <f t="shared" si="4"/>
        <v>0</v>
      </c>
      <c r="F14" s="6">
        <f t="shared" si="4"/>
        <v>0</v>
      </c>
      <c r="G14" s="6">
        <f t="shared" si="4"/>
        <v>-83333.333333333328</v>
      </c>
      <c r="H14" s="6">
        <f t="shared" si="4"/>
        <v>-166666.66666666666</v>
      </c>
      <c r="I14" s="6">
        <f t="shared" si="4"/>
        <v>-166666.66666666666</v>
      </c>
      <c r="J14" s="6">
        <f t="shared" si="4"/>
        <v>-166666.66666666666</v>
      </c>
      <c r="K14" s="6">
        <f t="shared" si="4"/>
        <v>-166666.66666666666</v>
      </c>
      <c r="L14" s="6">
        <f t="shared" si="4"/>
        <v>-166666.66666666666</v>
      </c>
      <c r="M14" s="6">
        <f t="shared" si="4"/>
        <v>-166666.66666666666</v>
      </c>
      <c r="N14" s="6">
        <f t="shared" si="4"/>
        <v>-166666.66666666666</v>
      </c>
      <c r="O14" s="6">
        <f t="shared" si="4"/>
        <v>-166666.66666666666</v>
      </c>
      <c r="P14" s="6">
        <f t="shared" si="4"/>
        <v>-166666.66666666666</v>
      </c>
      <c r="Q14" s="6">
        <f t="shared" si="4"/>
        <v>-166666.66666666666</v>
      </c>
      <c r="R14" s="6">
        <f t="shared" si="4"/>
        <v>-166666.66666666666</v>
      </c>
      <c r="S14" s="6">
        <f t="shared" si="4"/>
        <v>-166666.66666666666</v>
      </c>
      <c r="T14" s="6">
        <f t="shared" si="4"/>
        <v>-166666.66666666666</v>
      </c>
      <c r="U14" s="6">
        <f t="shared" si="4"/>
        <v>-166666.66666666666</v>
      </c>
      <c r="V14" s="6">
        <f t="shared" si="4"/>
        <v>-166666.66666666666</v>
      </c>
      <c r="W14" s="6">
        <f t="shared" si="4"/>
        <v>-166666.66666666666</v>
      </c>
      <c r="X14" s="6">
        <f t="shared" si="4"/>
        <v>-166666.66666666666</v>
      </c>
      <c r="Y14" s="6">
        <f t="shared" si="4"/>
        <v>-166666.66666666666</v>
      </c>
    </row>
    <row r="15" spans="1:27" x14ac:dyDescent="0.25">
      <c r="A15" s="5" t="s">
        <v>27</v>
      </c>
      <c r="B15" s="7">
        <f>SUM(B13:B14)</f>
        <v>0</v>
      </c>
      <c r="C15" s="7">
        <f t="shared" ref="C15:Y15" si="5">SUM(C13:C14)</f>
        <v>0</v>
      </c>
      <c r="D15" s="7">
        <f t="shared" si="5"/>
        <v>0</v>
      </c>
      <c r="E15" s="7">
        <f t="shared" si="5"/>
        <v>1945740.7227285476</v>
      </c>
      <c r="F15" s="7">
        <f t="shared" si="5"/>
        <v>4716784.4890342876</v>
      </c>
      <c r="G15" s="7">
        <f t="shared" si="5"/>
        <v>14144459.343483506</v>
      </c>
      <c r="H15" s="7">
        <f t="shared" si="5"/>
        <v>15069521.257025963</v>
      </c>
      <c r="I15" s="7">
        <f t="shared" si="5"/>
        <v>16292315.061272556</v>
      </c>
      <c r="J15" s="7">
        <f t="shared" si="5"/>
        <v>17084310.883881368</v>
      </c>
      <c r="K15" s="7">
        <f t="shared" si="5"/>
        <v>17321496.535484146</v>
      </c>
      <c r="L15" s="7">
        <f t="shared" si="5"/>
        <v>17633592.521458548</v>
      </c>
      <c r="M15" s="7">
        <f t="shared" si="5"/>
        <v>17338957.735881176</v>
      </c>
      <c r="N15" s="7">
        <f t="shared" si="5"/>
        <v>17708177.548600852</v>
      </c>
      <c r="O15" s="7">
        <f t="shared" si="5"/>
        <v>17705849.301682603</v>
      </c>
      <c r="P15" s="7">
        <f t="shared" si="5"/>
        <v>16968984.350296058</v>
      </c>
      <c r="Q15" s="7">
        <f t="shared" si="5"/>
        <v>16643484.059200047</v>
      </c>
      <c r="R15" s="7">
        <f t="shared" si="5"/>
        <v>16253713.40662613</v>
      </c>
      <c r="S15" s="7">
        <f t="shared" si="5"/>
        <v>15707032.216899194</v>
      </c>
      <c r="T15" s="7">
        <f t="shared" si="5"/>
        <v>15503470.0514971</v>
      </c>
      <c r="U15" s="7">
        <f t="shared" si="5"/>
        <v>15894694.418747453</v>
      </c>
      <c r="V15" s="7">
        <f t="shared" si="5"/>
        <v>16275549.851108821</v>
      </c>
      <c r="W15" s="7">
        <f t="shared" si="5"/>
        <v>17633345.09788727</v>
      </c>
      <c r="X15" s="7">
        <f t="shared" si="5"/>
        <v>17037763.239985213</v>
      </c>
      <c r="Y15" s="7">
        <f t="shared" si="5"/>
        <v>16719712.486964377</v>
      </c>
    </row>
    <row r="16" spans="1:27" x14ac:dyDescent="0.25">
      <c r="B16" s="10">
        <f>B5+B10-B15</f>
        <v>0</v>
      </c>
      <c r="C16" s="10">
        <f t="shared" ref="C16:Y16" si="6">C5+C10-C15</f>
        <v>0</v>
      </c>
      <c r="D16" s="10">
        <f t="shared" si="6"/>
        <v>0</v>
      </c>
      <c r="E16" s="10">
        <f t="shared" si="6"/>
        <v>0</v>
      </c>
      <c r="F16" s="10">
        <f t="shared" si="6"/>
        <v>0</v>
      </c>
      <c r="G16" s="10">
        <f t="shared" si="6"/>
        <v>0</v>
      </c>
      <c r="H16" s="10">
        <f t="shared" si="6"/>
        <v>0</v>
      </c>
      <c r="I16" s="10">
        <f t="shared" si="6"/>
        <v>0</v>
      </c>
      <c r="J16" s="10">
        <f t="shared" si="6"/>
        <v>0</v>
      </c>
      <c r="K16" s="10">
        <f t="shared" si="6"/>
        <v>0</v>
      </c>
      <c r="L16" s="10">
        <f t="shared" si="6"/>
        <v>0</v>
      </c>
      <c r="M16" s="10">
        <f t="shared" si="6"/>
        <v>0</v>
      </c>
      <c r="N16" s="10">
        <f t="shared" si="6"/>
        <v>0</v>
      </c>
      <c r="O16" s="10">
        <f t="shared" si="6"/>
        <v>0</v>
      </c>
      <c r="P16" s="10">
        <f t="shared" si="6"/>
        <v>0</v>
      </c>
      <c r="Q16" s="10">
        <f t="shared" si="6"/>
        <v>0</v>
      </c>
      <c r="R16" s="10">
        <f t="shared" si="6"/>
        <v>0</v>
      </c>
      <c r="S16" s="10">
        <f t="shared" si="6"/>
        <v>0</v>
      </c>
      <c r="T16" s="10">
        <f t="shared" si="6"/>
        <v>0</v>
      </c>
      <c r="U16" s="10">
        <f t="shared" si="6"/>
        <v>0</v>
      </c>
      <c r="V16" s="10">
        <f t="shared" si="6"/>
        <v>0</v>
      </c>
      <c r="W16" s="10">
        <f t="shared" si="6"/>
        <v>0</v>
      </c>
      <c r="X16" s="10">
        <f t="shared" si="6"/>
        <v>0</v>
      </c>
      <c r="Y16" s="10">
        <f t="shared" si="6"/>
        <v>0</v>
      </c>
    </row>
    <row r="18" spans="1:1" x14ac:dyDescent="0.25">
      <c r="A18" s="5"/>
    </row>
    <row r="19" spans="1:1" x14ac:dyDescent="0.25">
      <c r="A19" s="5"/>
    </row>
    <row r="20" spans="1:1" x14ac:dyDescent="0.25">
      <c r="A20" s="11" t="s">
        <v>32</v>
      </c>
    </row>
    <row r="21" spans="1:1" x14ac:dyDescent="0.25">
      <c r="A21" s="11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1C5A2-3BFB-40A2-B640-C81F5B8189A5}">
  <sheetPr>
    <tabColor rgb="FF92D050"/>
  </sheetPr>
  <dimension ref="A1:S86"/>
  <sheetViews>
    <sheetView showGridLines="0" showZeros="0" tabSelected="1" zoomScaleNormal="100" workbookViewId="0"/>
  </sheetViews>
  <sheetFormatPr defaultRowHeight="15.75" x14ac:dyDescent="0.25"/>
  <cols>
    <col min="1" max="1" width="50.5703125" style="12" bestFit="1" customWidth="1"/>
    <col min="2" max="2" width="16.140625" style="12" bestFit="1" customWidth="1"/>
    <col min="3" max="6" width="15.5703125" style="12" customWidth="1"/>
    <col min="8" max="8" width="10.85546875" bestFit="1" customWidth="1"/>
    <col min="9" max="9" width="10.28515625" bestFit="1" customWidth="1"/>
    <col min="11" max="11" width="50.5703125" style="12" bestFit="1" customWidth="1"/>
    <col min="12" max="12" width="16.140625" style="12" bestFit="1" customWidth="1"/>
    <col min="13" max="16" width="15.5703125" style="12" customWidth="1"/>
    <col min="18" max="18" width="10.85546875" bestFit="1" customWidth="1"/>
    <col min="19" max="19" width="10.28515625" bestFit="1" customWidth="1"/>
  </cols>
  <sheetData>
    <row r="1" spans="1:18" x14ac:dyDescent="0.25">
      <c r="F1" s="94" t="s">
        <v>212</v>
      </c>
      <c r="K1" s="11"/>
      <c r="P1" s="94" t="s">
        <v>212</v>
      </c>
    </row>
    <row r="2" spans="1:18" x14ac:dyDescent="0.25">
      <c r="A2" s="11"/>
      <c r="B2"/>
      <c r="C2"/>
      <c r="D2"/>
      <c r="E2"/>
      <c r="F2" s="94" t="s">
        <v>213</v>
      </c>
      <c r="K2" s="11"/>
      <c r="L2"/>
      <c r="M2"/>
      <c r="N2"/>
      <c r="O2"/>
      <c r="P2" s="94" t="s">
        <v>214</v>
      </c>
    </row>
    <row r="3" spans="1:18" x14ac:dyDescent="0.25">
      <c r="A3" s="11"/>
      <c r="B3"/>
      <c r="C3"/>
      <c r="D3"/>
      <c r="E3"/>
      <c r="F3" s="94" t="s">
        <v>215</v>
      </c>
      <c r="K3" s="11"/>
      <c r="L3"/>
      <c r="M3"/>
      <c r="N3"/>
      <c r="O3"/>
      <c r="P3" s="94" t="s">
        <v>215</v>
      </c>
    </row>
    <row r="4" spans="1:18" ht="20.25" x14ac:dyDescent="0.3">
      <c r="A4" s="95" t="s">
        <v>33</v>
      </c>
      <c r="B4" s="95"/>
      <c r="C4" s="95"/>
      <c r="D4" s="95"/>
      <c r="E4" s="95"/>
      <c r="F4" s="95"/>
      <c r="K4" s="95" t="s">
        <v>66</v>
      </c>
      <c r="L4" s="95"/>
      <c r="M4" s="95"/>
      <c r="N4" s="95"/>
      <c r="O4" s="95"/>
      <c r="P4" s="95"/>
    </row>
    <row r="5" spans="1:18" x14ac:dyDescent="0.25">
      <c r="A5" s="96" t="s">
        <v>209</v>
      </c>
      <c r="B5" s="96"/>
      <c r="C5" s="96"/>
      <c r="D5" s="96"/>
      <c r="E5" s="96"/>
      <c r="F5" s="96"/>
      <c r="K5" s="96" t="s">
        <v>209</v>
      </c>
      <c r="L5" s="96"/>
      <c r="M5" s="96"/>
      <c r="N5" s="96"/>
      <c r="O5" s="96"/>
      <c r="P5" s="96"/>
    </row>
    <row r="7" spans="1:18" ht="20.25" x14ac:dyDescent="0.25">
      <c r="B7" s="17" t="s">
        <v>36</v>
      </c>
      <c r="C7" s="17" t="s">
        <v>69</v>
      </c>
      <c r="D7" s="17" t="s">
        <v>70</v>
      </c>
      <c r="E7" s="17" t="s">
        <v>74</v>
      </c>
      <c r="F7" s="17" t="s">
        <v>75</v>
      </c>
      <c r="L7" s="17" t="s">
        <v>36</v>
      </c>
      <c r="M7" s="17" t="s">
        <v>69</v>
      </c>
      <c r="N7" s="17" t="s">
        <v>70</v>
      </c>
      <c r="O7" s="17" t="s">
        <v>74</v>
      </c>
      <c r="P7" s="17" t="s">
        <v>75</v>
      </c>
    </row>
    <row r="8" spans="1:18" x14ac:dyDescent="0.25">
      <c r="A8" s="20" t="s">
        <v>176</v>
      </c>
      <c r="K8" s="20" t="s">
        <v>176</v>
      </c>
    </row>
    <row r="9" spans="1:18" x14ac:dyDescent="0.25">
      <c r="A9" s="14" t="s">
        <v>73</v>
      </c>
      <c r="B9" s="19">
        <v>0</v>
      </c>
      <c r="C9" s="19">
        <f>SUM('GCR KU'!B22:M22)</f>
        <v>64192859.39733614</v>
      </c>
      <c r="D9" s="19">
        <f>SUM('GCR KU'!N22:Y22)</f>
        <v>110987081.79196265</v>
      </c>
      <c r="E9" s="42">
        <f>SUM('GCR KU'!Z22:AK22)</f>
        <v>109060452.9988866</v>
      </c>
      <c r="F9" s="42">
        <f>SUM('GCR KU'!AL22:AW22)</f>
        <v>105216703.59401163</v>
      </c>
      <c r="K9" s="14" t="s">
        <v>73</v>
      </c>
      <c r="L9" s="19">
        <v>0</v>
      </c>
      <c r="M9" s="19">
        <f>SUM('GCR LGE'!B22:M22)</f>
        <v>52873139.8365926</v>
      </c>
      <c r="N9" s="19">
        <f>SUM('GCR LGE'!N22:Y22)</f>
        <v>82075148.257147878</v>
      </c>
      <c r="O9" s="19">
        <f>SUM('GCR LGE'!Z22:AK22)</f>
        <v>78693751.261712268</v>
      </c>
      <c r="P9" s="19">
        <f>SUM('GCR LGE'!AL22:AW22)</f>
        <v>180877701.4725647</v>
      </c>
    </row>
    <row r="10" spans="1:18" x14ac:dyDescent="0.25">
      <c r="A10" s="14"/>
      <c r="B10" s="19"/>
      <c r="C10" s="19"/>
      <c r="D10" s="19"/>
      <c r="E10" s="19"/>
      <c r="F10" s="19"/>
      <c r="K10" s="14"/>
      <c r="L10" s="19"/>
      <c r="M10" s="19"/>
      <c r="N10" s="19"/>
      <c r="O10" s="19"/>
      <c r="P10" s="19"/>
    </row>
    <row r="11" spans="1:18" x14ac:dyDescent="0.25">
      <c r="A11" s="14" t="s">
        <v>37</v>
      </c>
      <c r="B11" s="15">
        <f>$B$51</f>
        <v>0.40381656276534023</v>
      </c>
      <c r="C11" s="15">
        <f>$B$51</f>
        <v>0.40381656276534023</v>
      </c>
      <c r="D11" s="15">
        <f>$B$51</f>
        <v>0.40381656276534023</v>
      </c>
      <c r="E11" s="15">
        <f>$B$51</f>
        <v>0.40381656276534023</v>
      </c>
      <c r="F11" s="15">
        <f>$B$51</f>
        <v>0.40381656276534023</v>
      </c>
      <c r="K11" s="14" t="s">
        <v>37</v>
      </c>
      <c r="L11" s="15">
        <f>$L$51</f>
        <v>0.43875043952187559</v>
      </c>
      <c r="M11" s="15">
        <f>$L$51</f>
        <v>0.43875043952187559</v>
      </c>
      <c r="N11" s="15">
        <f>$L$51</f>
        <v>0.43875043952187559</v>
      </c>
      <c r="O11" s="15">
        <f>$L$51</f>
        <v>0.43875043952187559</v>
      </c>
      <c r="P11" s="15">
        <f>$L$51</f>
        <v>0.43875043952187559</v>
      </c>
    </row>
    <row r="13" spans="1:18" x14ac:dyDescent="0.25">
      <c r="A13" s="14" t="s">
        <v>48</v>
      </c>
      <c r="B13" s="23">
        <f>B9*B11</f>
        <v>0</v>
      </c>
      <c r="C13" s="23">
        <f>C9*C11</f>
        <v>25922139.83591105</v>
      </c>
      <c r="D13" s="23">
        <f>D9*D11</f>
        <v>44818421.880586036</v>
      </c>
      <c r="E13" s="23">
        <f>E9*E11</f>
        <v>44040417.263641328</v>
      </c>
      <c r="F13" s="23">
        <f>F9*F11</f>
        <v>42488247.590833396</v>
      </c>
      <c r="K13" s="14" t="s">
        <v>48</v>
      </c>
      <c r="L13" s="23">
        <f>L9*L11</f>
        <v>0</v>
      </c>
      <c r="M13" s="23">
        <f>M9*M11</f>
        <v>23198113.342206594</v>
      </c>
      <c r="N13" s="23">
        <f>N9*N11</f>
        <v>36010507.371646732</v>
      </c>
      <c r="O13" s="23">
        <f>O9*O11</f>
        <v>34526917.953701407</v>
      </c>
      <c r="P13" s="23">
        <f>P9*P11</f>
        <v>79360171.020794362</v>
      </c>
    </row>
    <row r="14" spans="1:18" x14ac:dyDescent="0.25">
      <c r="H14" s="33"/>
      <c r="R14" s="33"/>
    </row>
    <row r="15" spans="1:18" x14ac:dyDescent="0.25">
      <c r="A15" s="14" t="s">
        <v>72</v>
      </c>
      <c r="B15" s="24">
        <f>$B$49</f>
        <v>835664786.23625004</v>
      </c>
      <c r="C15" s="24">
        <f>$B$49</f>
        <v>835664786.23625004</v>
      </c>
      <c r="D15" s="24">
        <f>$B$49</f>
        <v>835664786.23625004</v>
      </c>
      <c r="E15" s="24">
        <f>$B$49</f>
        <v>835664786.23625004</v>
      </c>
      <c r="F15" s="24">
        <f>$B$49</f>
        <v>835664786.23625004</v>
      </c>
      <c r="H15" s="33"/>
      <c r="K15" s="14" t="s">
        <v>72</v>
      </c>
      <c r="L15" s="24">
        <f>$L$49</f>
        <v>567147434</v>
      </c>
      <c r="M15" s="24">
        <f>$L$49</f>
        <v>567147434</v>
      </c>
      <c r="N15" s="24">
        <f>$L$49</f>
        <v>567147434</v>
      </c>
      <c r="O15" s="24">
        <f>$L$49</f>
        <v>567147434</v>
      </c>
      <c r="P15" s="24">
        <f>$L$49</f>
        <v>567147434</v>
      </c>
      <c r="R15" s="33"/>
    </row>
    <row r="17" spans="1:18" x14ac:dyDescent="0.25">
      <c r="A17" s="13" t="s">
        <v>49</v>
      </c>
      <c r="B17" s="35" t="s">
        <v>64</v>
      </c>
      <c r="C17" s="15">
        <f>C13/C15</f>
        <v>3.1019782408998893E-2</v>
      </c>
      <c r="D17" s="15">
        <f>D13/D15</f>
        <v>5.3632057517277579E-2</v>
      </c>
      <c r="E17" s="15">
        <f>E13/E15</f>
        <v>5.2701056678473829E-2</v>
      </c>
      <c r="F17" s="15">
        <f>F13/F15</f>
        <v>5.0843649619599481E-2</v>
      </c>
      <c r="K17" s="13" t="s">
        <v>49</v>
      </c>
      <c r="L17" s="35" t="s">
        <v>64</v>
      </c>
      <c r="M17" s="15">
        <f>M13/M15</f>
        <v>4.0903144317508439E-2</v>
      </c>
      <c r="N17" s="15">
        <f>N13/N15</f>
        <v>6.3494084981872159E-2</v>
      </c>
      <c r="O17" s="15">
        <f>O13/O15</f>
        <v>6.0878205355155333E-2</v>
      </c>
      <c r="P17" s="15">
        <f>P13/P15</f>
        <v>0.1399286433530692</v>
      </c>
    </row>
    <row r="18" spans="1:18" x14ac:dyDescent="0.25">
      <c r="A18" s="13"/>
      <c r="K18" s="13"/>
    </row>
    <row r="19" spans="1:18" x14ac:dyDescent="0.25">
      <c r="A19" s="13" t="s">
        <v>34</v>
      </c>
      <c r="K19" s="13" t="s">
        <v>34</v>
      </c>
    </row>
    <row r="20" spans="1:18" x14ac:dyDescent="0.25">
      <c r="A20" s="39" t="s">
        <v>65</v>
      </c>
      <c r="B20" s="40">
        <f>B60</f>
        <v>0</v>
      </c>
      <c r="C20" s="40">
        <f>C60</f>
        <v>4.324157667814446</v>
      </c>
      <c r="D20" s="40">
        <f>D60</f>
        <v>7.4763088179084951</v>
      </c>
      <c r="E20" s="40">
        <f>E60</f>
        <v>7.3465273009792522</v>
      </c>
      <c r="F20" s="40">
        <f>F60</f>
        <v>7.0876047569721683</v>
      </c>
      <c r="K20" s="39" t="s">
        <v>67</v>
      </c>
      <c r="L20" s="40">
        <f>L61</f>
        <v>0</v>
      </c>
      <c r="M20" s="40">
        <f>M61</f>
        <v>4.6052850187082752</v>
      </c>
      <c r="N20" s="40">
        <f>N61</f>
        <v>7.1487990281089866</v>
      </c>
      <c r="O20" s="40">
        <f>O61</f>
        <v>6.8542771409369392</v>
      </c>
      <c r="P20" s="40">
        <f>P61</f>
        <v>15.754565955122063</v>
      </c>
    </row>
    <row r="21" spans="1:18" x14ac:dyDescent="0.25">
      <c r="B21" s="18"/>
      <c r="C21" s="18"/>
      <c r="D21" s="18"/>
      <c r="E21" s="18"/>
      <c r="F21" s="18"/>
      <c r="L21" s="18"/>
      <c r="M21" s="18"/>
      <c r="N21" s="18"/>
      <c r="O21" s="18"/>
      <c r="P21" s="18"/>
    </row>
    <row r="22" spans="1:18" x14ac:dyDescent="0.25">
      <c r="B22" s="18"/>
      <c r="C22" s="18"/>
      <c r="D22" s="18"/>
      <c r="E22" s="18"/>
      <c r="F22" s="18"/>
      <c r="L22" s="18"/>
      <c r="M22" s="18"/>
      <c r="N22" s="18"/>
      <c r="O22" s="18"/>
      <c r="P22" s="18"/>
    </row>
    <row r="23" spans="1:18" ht="20.25" x14ac:dyDescent="0.25">
      <c r="B23" s="17" t="s">
        <v>36</v>
      </c>
      <c r="C23" s="17" t="s">
        <v>69</v>
      </c>
      <c r="D23" s="17" t="s">
        <v>70</v>
      </c>
      <c r="E23" s="17" t="s">
        <v>74</v>
      </c>
      <c r="F23" s="17" t="s">
        <v>75</v>
      </c>
      <c r="L23" s="17" t="s">
        <v>36</v>
      </c>
      <c r="M23" s="17" t="s">
        <v>69</v>
      </c>
      <c r="N23" s="17" t="s">
        <v>70</v>
      </c>
      <c r="O23" s="17" t="s">
        <v>74</v>
      </c>
      <c r="P23" s="17" t="s">
        <v>75</v>
      </c>
    </row>
    <row r="24" spans="1:18" x14ac:dyDescent="0.25">
      <c r="A24" s="20" t="s">
        <v>177</v>
      </c>
      <c r="K24" s="20" t="s">
        <v>177</v>
      </c>
    </row>
    <row r="25" spans="1:18" x14ac:dyDescent="0.25">
      <c r="A25" s="14" t="s">
        <v>73</v>
      </c>
      <c r="B25" s="19">
        <f>B9</f>
        <v>0</v>
      </c>
      <c r="C25" s="19">
        <f t="shared" ref="C25:F25" si="0">C9</f>
        <v>64192859.39733614</v>
      </c>
      <c r="D25" s="19">
        <f t="shared" si="0"/>
        <v>110987081.79196265</v>
      </c>
      <c r="E25" s="19">
        <f t="shared" si="0"/>
        <v>109060452.9988866</v>
      </c>
      <c r="F25" s="19">
        <f t="shared" si="0"/>
        <v>105216703.59401163</v>
      </c>
      <c r="K25" s="14" t="s">
        <v>73</v>
      </c>
      <c r="L25" s="19">
        <f t="shared" ref="L25:P25" si="1">L9</f>
        <v>0</v>
      </c>
      <c r="M25" s="19">
        <f t="shared" si="1"/>
        <v>52873139.8365926</v>
      </c>
      <c r="N25" s="19">
        <f t="shared" si="1"/>
        <v>82075148.257147878</v>
      </c>
      <c r="O25" s="19">
        <f t="shared" si="1"/>
        <v>78693751.261712268</v>
      </c>
      <c r="P25" s="19">
        <f t="shared" si="1"/>
        <v>180877701.4725647</v>
      </c>
    </row>
    <row r="26" spans="1:18" x14ac:dyDescent="0.25">
      <c r="A26" s="14"/>
      <c r="B26" s="19"/>
      <c r="C26" s="19"/>
      <c r="D26" s="19"/>
      <c r="E26" s="19"/>
      <c r="F26" s="19"/>
      <c r="K26" s="14"/>
      <c r="L26" s="19"/>
      <c r="M26" s="19"/>
      <c r="N26" s="19"/>
      <c r="O26" s="19"/>
      <c r="P26" s="19"/>
    </row>
    <row r="27" spans="1:18" x14ac:dyDescent="0.25">
      <c r="A27" s="14" t="s">
        <v>178</v>
      </c>
      <c r="B27" s="15">
        <f>1-B11</f>
        <v>0.59618343723465972</v>
      </c>
      <c r="C27" s="15">
        <f>1-C11</f>
        <v>0.59618343723465972</v>
      </c>
      <c r="D27" s="15">
        <f>1-D11</f>
        <v>0.59618343723465972</v>
      </c>
      <c r="E27" s="15">
        <f>1-E11</f>
        <v>0.59618343723465972</v>
      </c>
      <c r="F27" s="15">
        <f>1-F11</f>
        <v>0.59618343723465972</v>
      </c>
      <c r="K27" s="14" t="s">
        <v>178</v>
      </c>
      <c r="L27" s="15">
        <f t="shared" ref="L27:P27" si="2">1-L11</f>
        <v>0.56124956047812447</v>
      </c>
      <c r="M27" s="15">
        <f t="shared" si="2"/>
        <v>0.56124956047812447</v>
      </c>
      <c r="N27" s="15">
        <f t="shared" si="2"/>
        <v>0.56124956047812447</v>
      </c>
      <c r="O27" s="15">
        <f t="shared" si="2"/>
        <v>0.56124956047812447</v>
      </c>
      <c r="P27" s="15">
        <f t="shared" si="2"/>
        <v>0.56124956047812447</v>
      </c>
    </row>
    <row r="29" spans="1:18" x14ac:dyDescent="0.25">
      <c r="A29" s="14" t="s">
        <v>179</v>
      </c>
      <c r="B29" s="23">
        <f>B25*B27</f>
        <v>0</v>
      </c>
      <c r="C29" s="23">
        <f>C25*C27</f>
        <v>38270719.56142509</v>
      </c>
      <c r="D29" s="23">
        <f>D25*D27</f>
        <v>66168659.91137661</v>
      </c>
      <c r="E29" s="23">
        <f>E25*E27</f>
        <v>65020035.735245265</v>
      </c>
      <c r="F29" s="23">
        <f>F25*F27</f>
        <v>62728456.003178231</v>
      </c>
      <c r="K29" s="14" t="s">
        <v>179</v>
      </c>
      <c r="L29" s="23">
        <f>L25*L27</f>
        <v>0</v>
      </c>
      <c r="M29" s="23">
        <f>M25*M27</f>
        <v>29675026.49438601</v>
      </c>
      <c r="N29" s="23">
        <f>N25*N27</f>
        <v>46064640.885501146</v>
      </c>
      <c r="O29" s="23">
        <f>O25*O27</f>
        <v>44166833.308010861</v>
      </c>
      <c r="P29" s="23">
        <f>P25*P27</f>
        <v>101517530.45177034</v>
      </c>
    </row>
    <row r="30" spans="1:18" x14ac:dyDescent="0.25">
      <c r="H30" s="33"/>
      <c r="R30" s="33"/>
    </row>
    <row r="31" spans="1:18" x14ac:dyDescent="0.25">
      <c r="A31" s="14" t="s">
        <v>201</v>
      </c>
      <c r="B31" s="24">
        <f>$E$81</f>
        <v>867680299.2734834</v>
      </c>
      <c r="C31" s="24">
        <f t="shared" ref="C31:F31" si="3">$E$81</f>
        <v>867680299.2734834</v>
      </c>
      <c r="D31" s="24">
        <f t="shared" si="3"/>
        <v>867680299.2734834</v>
      </c>
      <c r="E31" s="24">
        <f t="shared" si="3"/>
        <v>867680299.2734834</v>
      </c>
      <c r="F31" s="24">
        <f t="shared" si="3"/>
        <v>867680299.2734834</v>
      </c>
      <c r="H31" s="33"/>
      <c r="K31" s="14" t="s">
        <v>201</v>
      </c>
      <c r="L31" s="24">
        <f>$O$81</f>
        <v>530226008.52042568</v>
      </c>
      <c r="M31" s="24">
        <f>$O$81</f>
        <v>530226008.52042568</v>
      </c>
      <c r="N31" s="24">
        <f>$O$81</f>
        <v>530226008.52042568</v>
      </c>
      <c r="O31" s="24">
        <f>$O$81</f>
        <v>530226008.52042568</v>
      </c>
      <c r="P31" s="24">
        <f>$O$81</f>
        <v>530226008.52042568</v>
      </c>
      <c r="R31" s="33"/>
    </row>
    <row r="33" spans="1:16" x14ac:dyDescent="0.25">
      <c r="A33" s="13" t="s">
        <v>180</v>
      </c>
      <c r="B33" s="35" t="s">
        <v>64</v>
      </c>
      <c r="C33" s="15">
        <f>C29/C31</f>
        <v>4.4106936153177054E-2</v>
      </c>
      <c r="D33" s="15">
        <f>D29/D31</f>
        <v>7.6259262733958846E-2</v>
      </c>
      <c r="E33" s="15">
        <f>E29/E31</f>
        <v>7.4935475416103292E-2</v>
      </c>
      <c r="F33" s="15">
        <f>F29/F31</f>
        <v>7.2294433855074655E-2</v>
      </c>
      <c r="K33" s="13" t="s">
        <v>180</v>
      </c>
      <c r="L33" s="35" t="s">
        <v>64</v>
      </c>
      <c r="M33" s="15">
        <f>M29/M31</f>
        <v>5.5966750060399667E-2</v>
      </c>
      <c r="N33" s="15">
        <f>N29/N31</f>
        <v>8.6877369546700792E-2</v>
      </c>
      <c r="O33" s="15">
        <f>O29/O31</f>
        <v>8.3298126833228403E-2</v>
      </c>
      <c r="P33" s="15">
        <f>P29/P31</f>
        <v>0.19146086540539745</v>
      </c>
    </row>
    <row r="34" spans="1:16" x14ac:dyDescent="0.25">
      <c r="A34" s="13"/>
      <c r="K34" s="13"/>
    </row>
    <row r="37" spans="1:16" x14ac:dyDescent="0.25">
      <c r="A37" s="12" t="s">
        <v>35</v>
      </c>
      <c r="K37" s="12" t="s">
        <v>35</v>
      </c>
    </row>
    <row r="38" spans="1:16" x14ac:dyDescent="0.25">
      <c r="A38" s="12" t="s">
        <v>211</v>
      </c>
      <c r="K38" s="12" t="s">
        <v>211</v>
      </c>
    </row>
    <row r="41" spans="1:16" x14ac:dyDescent="0.25">
      <c r="C41" s="20"/>
      <c r="D41"/>
      <c r="E41"/>
      <c r="F41"/>
      <c r="M41" s="20"/>
      <c r="N41"/>
      <c r="O41"/>
      <c r="P41"/>
    </row>
    <row r="42" spans="1:16" x14ac:dyDescent="0.25">
      <c r="A42" s="20" t="s">
        <v>39</v>
      </c>
      <c r="B42" s="21" t="s">
        <v>40</v>
      </c>
      <c r="C42" s="21" t="s">
        <v>62</v>
      </c>
      <c r="D42" s="21" t="s">
        <v>63</v>
      </c>
      <c r="E42" s="21"/>
      <c r="F42" s="21"/>
      <c r="K42" s="20" t="s">
        <v>39</v>
      </c>
      <c r="L42" s="21" t="s">
        <v>40</v>
      </c>
      <c r="M42" s="21" t="s">
        <v>62</v>
      </c>
      <c r="N42" s="21" t="s">
        <v>63</v>
      </c>
      <c r="O42" s="21"/>
      <c r="P42" s="21"/>
    </row>
    <row r="43" spans="1:16" x14ac:dyDescent="0.25">
      <c r="A43" s="12" t="s">
        <v>38</v>
      </c>
      <c r="B43" s="19">
        <v>785628524</v>
      </c>
      <c r="C43" s="34">
        <f>167656303/365</f>
        <v>459332.33698630135</v>
      </c>
      <c r="D43" s="18">
        <f>C13/C43/12</f>
        <v>4.7028657590978122</v>
      </c>
      <c r="E43" s="18"/>
      <c r="F43" s="18"/>
      <c r="K43" s="12" t="s">
        <v>38</v>
      </c>
      <c r="L43" s="19">
        <v>540155035</v>
      </c>
      <c r="M43" s="34">
        <f>4748657/12</f>
        <v>395721.41666666669</v>
      </c>
      <c r="N43" s="18">
        <f>M13/M43/12</f>
        <v>4.8851945596842627</v>
      </c>
      <c r="O43" s="18"/>
      <c r="P43" s="18"/>
    </row>
    <row r="44" spans="1:16" x14ac:dyDescent="0.25">
      <c r="A44" s="12" t="s">
        <v>43</v>
      </c>
      <c r="B44" s="19">
        <v>193349</v>
      </c>
      <c r="D44" s="18">
        <f>D13/C43/12</f>
        <v>8.1310811134122734</v>
      </c>
      <c r="E44" s="18"/>
      <c r="F44" s="18"/>
      <c r="K44" s="12" t="s">
        <v>43</v>
      </c>
      <c r="L44" s="19">
        <v>271610</v>
      </c>
      <c r="N44" s="18">
        <f>N13/M43/12</f>
        <v>7.5833035259541228</v>
      </c>
      <c r="O44" s="18"/>
      <c r="P44" s="18"/>
    </row>
    <row r="45" spans="1:16" x14ac:dyDescent="0.25">
      <c r="A45" s="12" t="s">
        <v>183</v>
      </c>
      <c r="B45" s="19">
        <v>14405821.23625</v>
      </c>
      <c r="D45" s="18"/>
      <c r="E45" s="18"/>
      <c r="F45" s="18"/>
      <c r="K45" s="12" t="s">
        <v>197</v>
      </c>
      <c r="L45" s="19">
        <v>0</v>
      </c>
      <c r="N45" s="18">
        <f>O13/M43/12</f>
        <v>7.2708805781721866</v>
      </c>
      <c r="O45" s="18"/>
      <c r="P45" s="18"/>
    </row>
    <row r="46" spans="1:16" x14ac:dyDescent="0.25">
      <c r="A46" s="12" t="s">
        <v>45</v>
      </c>
      <c r="B46" s="19">
        <v>416242</v>
      </c>
      <c r="D46" s="18">
        <f>E13/C43/12</f>
        <v>7.9899333803697816</v>
      </c>
      <c r="K46" s="12" t="s">
        <v>45</v>
      </c>
      <c r="L46" s="19">
        <v>389171</v>
      </c>
      <c r="N46" s="18">
        <f>P13/M43/12</f>
        <v>16.712129560167089</v>
      </c>
    </row>
    <row r="47" spans="1:16" x14ac:dyDescent="0.25">
      <c r="A47" s="12" t="s">
        <v>46</v>
      </c>
      <c r="B47" s="19">
        <v>270056</v>
      </c>
      <c r="D47" s="18">
        <f>F13/C43/12</f>
        <v>7.7083344979948798</v>
      </c>
      <c r="K47" s="12" t="s">
        <v>46</v>
      </c>
      <c r="L47" s="19">
        <v>386234</v>
      </c>
    </row>
    <row r="48" spans="1:16" ht="18" x14ac:dyDescent="0.4">
      <c r="A48" s="12" t="s">
        <v>47</v>
      </c>
      <c r="B48" s="22">
        <v>34750794</v>
      </c>
      <c r="D48" s="18"/>
      <c r="K48" s="12" t="s">
        <v>47</v>
      </c>
      <c r="L48" s="22">
        <v>25945384</v>
      </c>
      <c r="N48" s="18"/>
    </row>
    <row r="49" spans="1:19" x14ac:dyDescent="0.25">
      <c r="A49" s="12" t="s">
        <v>44</v>
      </c>
      <c r="B49" s="19">
        <f>SUM(B43:B48)</f>
        <v>835664786.23625004</v>
      </c>
      <c r="K49" s="12" t="s">
        <v>44</v>
      </c>
      <c r="L49" s="19">
        <f>SUM(L43:L48)</f>
        <v>567147434</v>
      </c>
    </row>
    <row r="50" spans="1:19" x14ac:dyDescent="0.25">
      <c r="A50" s="12" t="s">
        <v>200</v>
      </c>
      <c r="B50" s="19">
        <f>2043906536+25510281.66</f>
        <v>2069416817.6600001</v>
      </c>
      <c r="K50" s="12" t="s">
        <v>41</v>
      </c>
      <c r="L50" s="19">
        <f>1289660051+2982378.3</f>
        <v>1292642429.3</v>
      </c>
    </row>
    <row r="51" spans="1:19" x14ac:dyDescent="0.25">
      <c r="A51" s="12" t="s">
        <v>42</v>
      </c>
      <c r="B51" s="16">
        <f>B49/B50</f>
        <v>0.40381656276534023</v>
      </c>
      <c r="K51" s="12" t="s">
        <v>42</v>
      </c>
      <c r="L51" s="16">
        <f>L49/L50</f>
        <v>0.43875043952187559</v>
      </c>
    </row>
    <row r="53" spans="1:19" x14ac:dyDescent="0.25">
      <c r="D53"/>
      <c r="E53"/>
      <c r="F53"/>
      <c r="N53"/>
      <c r="O53"/>
      <c r="P53"/>
    </row>
    <row r="54" spans="1:19" x14ac:dyDescent="0.25">
      <c r="A54" s="20" t="s">
        <v>50</v>
      </c>
      <c r="B54" s="26">
        <v>2026</v>
      </c>
      <c r="C54" s="26">
        <f>B54+1</f>
        <v>2027</v>
      </c>
      <c r="D54" s="26">
        <f>C54+1</f>
        <v>2028</v>
      </c>
      <c r="E54" s="26">
        <f>D54+1</f>
        <v>2029</v>
      </c>
      <c r="F54" s="26">
        <f>E54+1</f>
        <v>2030</v>
      </c>
      <c r="G54" s="25" t="s">
        <v>55</v>
      </c>
      <c r="H54" t="s">
        <v>56</v>
      </c>
      <c r="K54" s="20" t="s">
        <v>71</v>
      </c>
      <c r="L54" s="26">
        <v>2026</v>
      </c>
      <c r="M54" s="26">
        <f>L54+1</f>
        <v>2027</v>
      </c>
      <c r="N54" s="26">
        <f>M54+1</f>
        <v>2028</v>
      </c>
      <c r="O54" s="26">
        <f>N54+1</f>
        <v>2029</v>
      </c>
      <c r="P54" s="26">
        <f>O54+1</f>
        <v>2030</v>
      </c>
      <c r="Q54" s="25" t="s">
        <v>55</v>
      </c>
      <c r="R54" t="s">
        <v>56</v>
      </c>
    </row>
    <row r="55" spans="1:19" ht="15" x14ac:dyDescent="0.25">
      <c r="A55" s="28" t="s">
        <v>51</v>
      </c>
      <c r="B55" s="37">
        <f>ROUND($G55*$H$55,2)</f>
        <v>17.34</v>
      </c>
      <c r="C55" s="37">
        <f>ROUND($G55*$H$55,2)</f>
        <v>17.34</v>
      </c>
      <c r="D55" s="37">
        <f>ROUND($G55*$H$55,2)</f>
        <v>17.34</v>
      </c>
      <c r="E55" s="37">
        <f>ROUND($G55*$H$55,2)</f>
        <v>17.34</v>
      </c>
      <c r="F55" s="37">
        <f>ROUND($G55*$H$55,2)</f>
        <v>17.34</v>
      </c>
      <c r="G55" s="27">
        <f>365/12</f>
        <v>30.416666666666668</v>
      </c>
      <c r="H55" s="30">
        <v>0.56999999999999995</v>
      </c>
      <c r="I55" t="s">
        <v>57</v>
      </c>
      <c r="K55" s="28" t="s">
        <v>51</v>
      </c>
      <c r="L55" s="37">
        <f>ROUND($Q55*$R$55,2)</f>
        <v>14.3</v>
      </c>
      <c r="M55" s="37">
        <f>ROUND($Q55*$R$55,2)</f>
        <v>14.3</v>
      </c>
      <c r="N55" s="37">
        <f>ROUND($Q55*$R$55,2)</f>
        <v>14.3</v>
      </c>
      <c r="O55" s="37">
        <f>ROUND($Q55*$R$55,2)</f>
        <v>14.3</v>
      </c>
      <c r="P55" s="37">
        <f>ROUND($Q55*$R$55,2)</f>
        <v>14.3</v>
      </c>
      <c r="Q55" s="27">
        <f>365/12</f>
        <v>30.416666666666668</v>
      </c>
      <c r="R55" s="30">
        <v>0.47</v>
      </c>
      <c r="S55" t="s">
        <v>57</v>
      </c>
    </row>
    <row r="56" spans="1:19" ht="15" x14ac:dyDescent="0.25">
      <c r="A56" s="28" t="s">
        <v>52</v>
      </c>
      <c r="B56" s="37">
        <f>ROUND($G$56*$H$56,2)</f>
        <v>122.06</v>
      </c>
      <c r="C56" s="37">
        <f>ROUND($G$56*$H$56,2)</f>
        <v>122.06</v>
      </c>
      <c r="D56" s="37">
        <f>ROUND($G$56*$H$56,2)</f>
        <v>122.06</v>
      </c>
      <c r="E56" s="37">
        <f>ROUND($G$56*$H$56,2)</f>
        <v>122.06</v>
      </c>
      <c r="F56" s="37">
        <f>ROUND($G$56*$H$56,2)</f>
        <v>122.06</v>
      </c>
      <c r="G56" s="29">
        <v>1085</v>
      </c>
      <c r="H56" s="31">
        <v>0.1125</v>
      </c>
      <c r="I56" t="s">
        <v>57</v>
      </c>
      <c r="K56" s="28" t="s">
        <v>52</v>
      </c>
      <c r="L56" s="37">
        <f t="shared" ref="L56:P58" si="4">ROUND($Q$56*$R56,2)</f>
        <v>98.29</v>
      </c>
      <c r="M56" s="37">
        <f t="shared" si="4"/>
        <v>98.29</v>
      </c>
      <c r="N56" s="37">
        <f t="shared" si="4"/>
        <v>98.29</v>
      </c>
      <c r="O56" s="37">
        <f t="shared" si="4"/>
        <v>98.29</v>
      </c>
      <c r="P56" s="37">
        <f t="shared" si="4"/>
        <v>98.29</v>
      </c>
      <c r="Q56" s="29">
        <v>866</v>
      </c>
      <c r="R56" s="31">
        <v>0.1135</v>
      </c>
      <c r="S56" t="s">
        <v>57</v>
      </c>
    </row>
    <row r="57" spans="1:19" ht="15" x14ac:dyDescent="0.25">
      <c r="A57" s="28" t="s">
        <v>59</v>
      </c>
      <c r="B57" s="37">
        <f>ROUND($G$56*$H$57,2)</f>
        <v>-2.7</v>
      </c>
      <c r="C57" s="37">
        <f>ROUND($G$56*$H$57,2)</f>
        <v>-2.7</v>
      </c>
      <c r="D57" s="37">
        <f>ROUND($G$56*$H$57,2)</f>
        <v>-2.7</v>
      </c>
      <c r="E57" s="37">
        <f>ROUND($G$56*$H$57,2)</f>
        <v>-2.7</v>
      </c>
      <c r="F57" s="37">
        <f>ROUND($G$56*$H$57,2)</f>
        <v>-2.7</v>
      </c>
      <c r="G57" s="25"/>
      <c r="H57" s="31">
        <v>-2.49E-3</v>
      </c>
      <c r="I57" t="s">
        <v>58</v>
      </c>
      <c r="K57" s="28" t="s">
        <v>59</v>
      </c>
      <c r="L57" s="37">
        <f t="shared" si="4"/>
        <v>0.86</v>
      </c>
      <c r="M57" s="37">
        <f t="shared" si="4"/>
        <v>0.86</v>
      </c>
      <c r="N57" s="37">
        <f t="shared" si="4"/>
        <v>0.86</v>
      </c>
      <c r="O57" s="37">
        <f t="shared" si="4"/>
        <v>0.86</v>
      </c>
      <c r="P57" s="37">
        <f t="shared" si="4"/>
        <v>0.86</v>
      </c>
      <c r="Q57" s="25"/>
      <c r="R57" s="31">
        <v>9.8999999999999999E-4</v>
      </c>
      <c r="S57" t="s">
        <v>58</v>
      </c>
    </row>
    <row r="58" spans="1:19" ht="15" x14ac:dyDescent="0.25">
      <c r="A58" s="28" t="s">
        <v>53</v>
      </c>
      <c r="B58" s="37">
        <f>ROUND($G$56*$H$58,2)</f>
        <v>2.06</v>
      </c>
      <c r="C58" s="37">
        <f>ROUND($G$56*$H$58,2)</f>
        <v>2.06</v>
      </c>
      <c r="D58" s="37">
        <f>ROUND($G$56*$H$58,2)</f>
        <v>2.06</v>
      </c>
      <c r="E58" s="37">
        <f>ROUND($G$56*$H$58,2)</f>
        <v>2.06</v>
      </c>
      <c r="F58" s="37">
        <f>ROUND($G$56*$H$58,2)</f>
        <v>2.06</v>
      </c>
      <c r="G58" s="25"/>
      <c r="H58" s="31">
        <v>1.9E-3</v>
      </c>
      <c r="I58" t="s">
        <v>58</v>
      </c>
      <c r="K58" s="28" t="s">
        <v>53</v>
      </c>
      <c r="L58" s="37">
        <f t="shared" si="4"/>
        <v>1.08</v>
      </c>
      <c r="M58" s="37">
        <f t="shared" si="4"/>
        <v>1.08</v>
      </c>
      <c r="N58" s="37">
        <f t="shared" si="4"/>
        <v>1.08</v>
      </c>
      <c r="O58" s="37">
        <f t="shared" si="4"/>
        <v>1.08</v>
      </c>
      <c r="P58" s="37">
        <f t="shared" si="4"/>
        <v>1.08</v>
      </c>
      <c r="Q58" s="25"/>
      <c r="R58" s="31">
        <v>1.25E-3</v>
      </c>
      <c r="S58" t="s">
        <v>58</v>
      </c>
    </row>
    <row r="59" spans="1:19" ht="15" x14ac:dyDescent="0.25">
      <c r="A59" s="28" t="s">
        <v>54</v>
      </c>
      <c r="B59" s="37">
        <f>SUM(B55:B58)*$H$59</f>
        <v>-1.4847320000000002</v>
      </c>
      <c r="C59" s="37">
        <f>SUM(C55:C58)*$H$59</f>
        <v>-1.4847320000000002</v>
      </c>
      <c r="D59" s="37">
        <f>SUM(D55:D58)*$H$59</f>
        <v>-1.4847320000000002</v>
      </c>
      <c r="E59" s="37">
        <f>SUM(E55:E58)*$H$59</f>
        <v>-1.4847320000000002</v>
      </c>
      <c r="F59" s="37">
        <f>SUM(F55:F58)*$H$59</f>
        <v>-1.4847320000000002</v>
      </c>
      <c r="G59" s="25"/>
      <c r="H59" s="32">
        <v>-1.0699999999999999E-2</v>
      </c>
      <c r="I59" t="s">
        <v>58</v>
      </c>
      <c r="K59" s="28" t="s">
        <v>54</v>
      </c>
      <c r="L59" s="37">
        <f>SUM(L55:L58)*$R$59</f>
        <v>-2.2562409999999997</v>
      </c>
      <c r="M59" s="37">
        <f>SUM(M55:M58)*$R$59</f>
        <v>-2.2562409999999997</v>
      </c>
      <c r="N59" s="37">
        <f>SUM(N55:N58)*$R$59</f>
        <v>-2.2562409999999997</v>
      </c>
      <c r="O59" s="37">
        <f>SUM(O55:O58)*$R$59</f>
        <v>-2.2562409999999997</v>
      </c>
      <c r="P59" s="37">
        <f>SUM(P55:P58)*$R$59</f>
        <v>-2.2562409999999997</v>
      </c>
      <c r="Q59" s="25"/>
      <c r="R59" s="32">
        <v>-1.9699999999999999E-2</v>
      </c>
      <c r="S59" t="s">
        <v>58</v>
      </c>
    </row>
    <row r="60" spans="1:19" ht="15" x14ac:dyDescent="0.25">
      <c r="A60" s="28" t="s">
        <v>61</v>
      </c>
      <c r="B60" s="38">
        <f>SUM(B55:B56)*B17</f>
        <v>0</v>
      </c>
      <c r="C60" s="36">
        <f>SUM(C55:C56)*C17</f>
        <v>4.324157667814446</v>
      </c>
      <c r="D60" s="36">
        <f>SUM(D55:D56)*D17</f>
        <v>7.4763088179084951</v>
      </c>
      <c r="E60" s="36">
        <f>SUM(E55:E56)*E17</f>
        <v>7.3465273009792522</v>
      </c>
      <c r="F60" s="36">
        <f>SUM(F55:F56)*F17</f>
        <v>7.0876047569721683</v>
      </c>
      <c r="G60" s="25"/>
      <c r="H60" s="32"/>
      <c r="K60" s="28" t="s">
        <v>68</v>
      </c>
      <c r="L60" s="37">
        <f>SUM(L55:L59)*$R$60</f>
        <v>-0.224547518</v>
      </c>
      <c r="M60" s="37">
        <f>SUM(M55:M59)*$R$60</f>
        <v>-0.224547518</v>
      </c>
      <c r="N60" s="37">
        <f>SUM(N55:N59)*$R$60</f>
        <v>-0.224547518</v>
      </c>
      <c r="O60" s="37">
        <f>SUM(O55:O59)*$R$60</f>
        <v>-0.224547518</v>
      </c>
      <c r="P60" s="37">
        <f>SUM(P55:P59)*$R$60</f>
        <v>-0.224547518</v>
      </c>
      <c r="Q60" s="25"/>
      <c r="R60" s="32">
        <v>-2E-3</v>
      </c>
      <c r="S60" t="s">
        <v>58</v>
      </c>
    </row>
    <row r="61" spans="1:19" ht="15" x14ac:dyDescent="0.25">
      <c r="A61" s="28" t="s">
        <v>60</v>
      </c>
      <c r="B61" s="37">
        <f>SUM(B55:B60)</f>
        <v>137.27526800000001</v>
      </c>
      <c r="C61" s="37">
        <f>SUM(C55:C60)</f>
        <v>141.59942566781444</v>
      </c>
      <c r="D61" s="37">
        <f>SUM(D55:D60)</f>
        <v>144.7515768179085</v>
      </c>
      <c r="E61" s="37">
        <f>SUM(E55:E60)</f>
        <v>144.62179530097927</v>
      </c>
      <c r="F61" s="37">
        <f>SUM(F55:F60)</f>
        <v>144.36287275697217</v>
      </c>
      <c r="G61" s="25"/>
      <c r="K61" s="28" t="s">
        <v>61</v>
      </c>
      <c r="L61" s="36">
        <f>SUM(L55:L56)*L17</f>
        <v>0</v>
      </c>
      <c r="M61" s="36">
        <f>SUM(M55:M56)*M17</f>
        <v>4.6052850187082752</v>
      </c>
      <c r="N61" s="36">
        <f>SUM(N55:N56)*N17</f>
        <v>7.1487990281089866</v>
      </c>
      <c r="O61" s="36">
        <f>SUM(O55:O56)*O17</f>
        <v>6.8542771409369392</v>
      </c>
      <c r="P61" s="36">
        <f>SUM(P55:P56)*P17</f>
        <v>15.754565955122063</v>
      </c>
      <c r="Q61" s="25"/>
    </row>
    <row r="62" spans="1:19" x14ac:dyDescent="0.25">
      <c r="C62"/>
      <c r="D62"/>
      <c r="E62"/>
      <c r="F62"/>
      <c r="G62" s="12"/>
      <c r="K62" s="28" t="s">
        <v>60</v>
      </c>
      <c r="L62" s="37">
        <f>SUM(L55:L61)</f>
        <v>112.049211482</v>
      </c>
      <c r="M62" s="37">
        <f>SUM(M55:M61)</f>
        <v>116.65449650070828</v>
      </c>
      <c r="N62" s="37">
        <f>SUM(N55:N61)</f>
        <v>119.19801051010899</v>
      </c>
      <c r="O62" s="37">
        <f>SUM(O55:O61)</f>
        <v>118.90348862293695</v>
      </c>
      <c r="P62" s="37">
        <f>SUM(P55:P61)</f>
        <v>127.80377743712206</v>
      </c>
      <c r="Q62" s="12"/>
    </row>
    <row r="64" spans="1:19" x14ac:dyDescent="0.25">
      <c r="E64" s="12" t="s">
        <v>202</v>
      </c>
      <c r="O64" s="12" t="s">
        <v>202</v>
      </c>
    </row>
    <row r="65" spans="1:15" x14ac:dyDescent="0.25">
      <c r="A65" s="20" t="s">
        <v>39</v>
      </c>
      <c r="B65" s="21" t="s">
        <v>40</v>
      </c>
      <c r="C65" s="21" t="s">
        <v>203</v>
      </c>
      <c r="D65" s="21" t="s">
        <v>204</v>
      </c>
      <c r="E65" s="21" t="s">
        <v>40</v>
      </c>
      <c r="K65" s="20" t="s">
        <v>39</v>
      </c>
      <c r="L65" s="21" t="s">
        <v>40</v>
      </c>
      <c r="M65" s="21" t="s">
        <v>203</v>
      </c>
      <c r="N65" s="21" t="s">
        <v>204</v>
      </c>
      <c r="O65" s="21" t="s">
        <v>40</v>
      </c>
    </row>
    <row r="66" spans="1:15" x14ac:dyDescent="0.25">
      <c r="A66" s="12" t="s">
        <v>181</v>
      </c>
      <c r="B66" s="19">
        <v>295077564.01062506</v>
      </c>
      <c r="C66" s="19">
        <f>'[1]Sch M-2.3 (2)'!$P$103+'[1]Sch M-2.3 (2)'!$P$109</f>
        <v>49974017.553036019</v>
      </c>
      <c r="D66" s="19">
        <f>'[1]Sch M-2.3 (1)'!$D$12+'[1]Sch M-2.3 (1)'!$G$12</f>
        <v>218623.71000000008</v>
      </c>
      <c r="E66" s="19">
        <f>B66-C66-D66</f>
        <v>244884922.74758902</v>
      </c>
      <c r="K66" s="12" t="s">
        <v>181</v>
      </c>
      <c r="L66" s="19">
        <v>185476843.33000001</v>
      </c>
      <c r="M66" s="19">
        <f>'[2]Sch M-2.3 (2)'!$R$113+'[2]Sch M-2.3 (2)'!$R$119</f>
        <v>33645298.991915815</v>
      </c>
      <c r="N66" s="19">
        <f>'[2]Sch M-2.3 (1)'!$G$13+'[2]Sch M-2.3 (1)'!$J$13</f>
        <v>-423149.44</v>
      </c>
      <c r="O66" s="19">
        <f>L66-M66-N66</f>
        <v>152254693.77808419</v>
      </c>
    </row>
    <row r="67" spans="1:15" x14ac:dyDescent="0.25">
      <c r="A67" s="12" t="s">
        <v>182</v>
      </c>
      <c r="B67" s="19">
        <v>31076.232499999998</v>
      </c>
      <c r="C67" s="19">
        <f>'[1]Sch M-2.3 (2)'!$P$178</f>
        <v>6850.7377718206071</v>
      </c>
      <c r="D67" s="19">
        <f>'[1]Sch M-2.3 (1)'!$D$13+'[1]Sch M-2.3 (1)'!$G$13</f>
        <v>29.5</v>
      </c>
      <c r="E67" s="19">
        <f t="shared" ref="E67:E80" si="5">B67-C67-D67</f>
        <v>24195.99472817939</v>
      </c>
      <c r="K67" s="12" t="s">
        <v>182</v>
      </c>
      <c r="L67" s="19">
        <v>54963.62</v>
      </c>
      <c r="M67" s="19">
        <f>'[2]Sch M-2.3 (2)'!$R$165+'[2]Sch M-2.3 (2)'!$R$169+'[2]Sch M-2.3 (2)'!$R$193</f>
        <v>14004.296983060545</v>
      </c>
      <c r="N67" s="19">
        <f>'[2]Sch M-2.3 (1)'!$G$14+'[2]Sch M-2.3 (1)'!$J$14</f>
        <v>-176.17999999999998</v>
      </c>
      <c r="O67" s="19">
        <f t="shared" ref="O67:O80" si="6">L67-M67-N67</f>
        <v>41135.503016939459</v>
      </c>
    </row>
    <row r="68" spans="1:15" x14ac:dyDescent="0.25">
      <c r="A68" s="12" t="s">
        <v>184</v>
      </c>
      <c r="B68" s="19">
        <v>195805526.3490625</v>
      </c>
      <c r="C68" s="19">
        <f>'[1]Sch M-2.3 (2)'!$P$275</f>
        <v>42508745.16741807</v>
      </c>
      <c r="D68" s="19">
        <f>'[1]Sch M-2.3 (1)'!$D$18+'[1]Sch M-2.3 (1)'!$G$18</f>
        <v>113912.57999999984</v>
      </c>
      <c r="E68" s="19">
        <f t="shared" si="5"/>
        <v>153182868.60164443</v>
      </c>
      <c r="K68" s="12" t="s">
        <v>184</v>
      </c>
      <c r="L68" s="19">
        <v>160015532.06999999</v>
      </c>
      <c r="M68" s="19">
        <f>'[2]Sch M-2.3 (2)'!$R$246</f>
        <v>35877813.315439336</v>
      </c>
      <c r="N68" s="19">
        <f>'[2]Sch M-2.3 (1)'!$G$17+'[2]Sch M-2.3 (1)'!$J$17</f>
        <v>-455232.16</v>
      </c>
      <c r="O68" s="19">
        <f t="shared" si="6"/>
        <v>124592950.91456065</v>
      </c>
    </row>
    <row r="69" spans="1:15" x14ac:dyDescent="0.25">
      <c r="A69" s="12" t="s">
        <v>185</v>
      </c>
      <c r="B69" s="19">
        <v>11050297.057187501</v>
      </c>
      <c r="C69" s="19">
        <f>'[1]Sch M-2.3 (2)'!$P$322</f>
        <v>2418630.0833279532</v>
      </c>
      <c r="D69" s="19">
        <f>'[1]Sch M-2.3 (1)'!$D$19+'[1]Sch M-2.3 (1)'!$G$19</f>
        <v>4767.7899999999991</v>
      </c>
      <c r="E69" s="19">
        <f t="shared" si="5"/>
        <v>8626899.1838595495</v>
      </c>
      <c r="K69" s="12" t="s">
        <v>185</v>
      </c>
      <c r="L69" s="19">
        <v>6940287.8700000001</v>
      </c>
      <c r="M69" s="19">
        <f>'[2]Sch M-2.3 (2)'!$R$294</f>
        <v>1682742.7114450021</v>
      </c>
      <c r="N69" s="19">
        <f>'[2]Sch M-2.3 (1)'!$G$18+'[2]Sch M-2.3 (1)'!$J$18</f>
        <v>-22185.48</v>
      </c>
      <c r="O69" s="19">
        <f t="shared" si="6"/>
        <v>5279730.6385549987</v>
      </c>
    </row>
    <row r="70" spans="1:15" x14ac:dyDescent="0.25">
      <c r="A70" s="12" t="s">
        <v>186</v>
      </c>
      <c r="B70" s="19">
        <v>178134118.01812503</v>
      </c>
      <c r="C70" s="19">
        <f>'[1]Sch M-2.3 (2)'!$P$369</f>
        <v>53461411.015776798</v>
      </c>
      <c r="D70" s="19">
        <f>'[1]Sch M-2.3 (1)'!$D$22+'[1]Sch M-2.3 (1)'!$G$22</f>
        <v>80069.150000000111</v>
      </c>
      <c r="E70" s="19">
        <f t="shared" si="5"/>
        <v>124592637.85234822</v>
      </c>
      <c r="K70" s="12" t="s">
        <v>186</v>
      </c>
      <c r="L70" s="19">
        <v>139295450.28999999</v>
      </c>
      <c r="M70" s="19">
        <f>'[2]Sch M-2.3 (2)'!$R$342</f>
        <v>38530253.461458243</v>
      </c>
      <c r="N70" s="19">
        <f>'[2]Sch M-2.3 (1)'!$G$21+'[2]Sch M-2.3 (1)'!$J$21</f>
        <v>-495829.93</v>
      </c>
      <c r="O70" s="19">
        <f t="shared" si="6"/>
        <v>101261026.75854176</v>
      </c>
    </row>
    <row r="71" spans="1:15" x14ac:dyDescent="0.25">
      <c r="A71" s="12" t="s">
        <v>187</v>
      </c>
      <c r="B71" s="19">
        <v>323581887.80156249</v>
      </c>
      <c r="C71" s="19">
        <f>'[1]Sch M-2.3 (2)'!$P$413</f>
        <v>115115142.86700937</v>
      </c>
      <c r="D71" s="19">
        <f>'[1]Sch M-2.3 (1)'!$D$23+'[1]Sch M-2.3 (1)'!$G$23</f>
        <v>248626.09000000008</v>
      </c>
      <c r="E71" s="19">
        <f t="shared" si="5"/>
        <v>208218118.84455311</v>
      </c>
      <c r="K71" s="12" t="s">
        <v>187</v>
      </c>
      <c r="L71" s="19">
        <v>157068613.47999999</v>
      </c>
      <c r="M71" s="19">
        <f>'[2]Sch M-2.3 (2)'!$R$387</f>
        <v>56098257.346201494</v>
      </c>
      <c r="N71" s="19">
        <f>'[2]Sch M-2.3 (1)'!$G$22+'[2]Sch M-2.3 (1)'!$J$22</f>
        <v>-722802.72000000009</v>
      </c>
      <c r="O71" s="19">
        <f t="shared" si="6"/>
        <v>101693158.85379849</v>
      </c>
    </row>
    <row r="72" spans="1:15" x14ac:dyDescent="0.25">
      <c r="A72" s="12" t="s">
        <v>188</v>
      </c>
      <c r="B72" s="19">
        <v>132514243.29000001</v>
      </c>
      <c r="C72" s="19">
        <f>'[1]Sch M-2.3 (2)'!$P$457</f>
        <v>54078909.308971062</v>
      </c>
      <c r="D72" s="19">
        <f>'[1]Sch M-2.3 (1)'!$D$26+'[1]Sch M-2.3 (1)'!$G$26</f>
        <v>156628.52000000008</v>
      </c>
      <c r="E72" s="19">
        <f t="shared" si="5"/>
        <v>78278705.461028948</v>
      </c>
      <c r="K72" s="12" t="s">
        <v>188</v>
      </c>
      <c r="L72" s="19">
        <v>71757877.480000004</v>
      </c>
      <c r="M72" s="19">
        <f>'[2]Sch M-2.3 (2)'!$R$432</f>
        <v>30101031.477605935</v>
      </c>
      <c r="N72" s="19">
        <f>'[2]Sch M-2.3 (1)'!$G$25+'[2]Sch M-2.3 (1)'!$J$25</f>
        <v>-389513.72</v>
      </c>
      <c r="O72" s="19">
        <f t="shared" si="6"/>
        <v>42046359.722394064</v>
      </c>
    </row>
    <row r="73" spans="1:15" x14ac:dyDescent="0.25">
      <c r="A73" s="12" t="s">
        <v>189</v>
      </c>
      <c r="B73" s="19">
        <v>59118280.743124999</v>
      </c>
      <c r="C73" s="19">
        <f>'[1]Sch M-2.3 (2)'!$P$501</f>
        <v>32068335.058314756</v>
      </c>
      <c r="D73" s="19">
        <f>'[1]Sch M-2.3 (1)'!$D$28+'[1]Sch M-2.3 (1)'!$G$28</f>
        <v>104296.09</v>
      </c>
      <c r="E73" s="19">
        <f t="shared" si="5"/>
        <v>26945649.594810244</v>
      </c>
      <c r="K73" s="12" t="s">
        <v>189</v>
      </c>
      <c r="L73" s="19">
        <v>4805308.29</v>
      </c>
      <c r="M73" s="19">
        <f>'[2]Sch M-2.3 (2)'!$R$604</f>
        <v>1843784.7965888865</v>
      </c>
      <c r="N73" s="19">
        <f>'[2]Sch M-2.3 (1)'!$G$39+'[2]Sch M-2.3 (1)'!$J$39</f>
        <v>-24258.859999999997</v>
      </c>
      <c r="O73" s="19">
        <f t="shared" si="6"/>
        <v>2985782.3534111134</v>
      </c>
    </row>
    <row r="74" spans="1:15" x14ac:dyDescent="0.25">
      <c r="A74" s="12" t="s">
        <v>190</v>
      </c>
      <c r="B74" s="19">
        <v>0</v>
      </c>
      <c r="C74" s="19">
        <v>0</v>
      </c>
      <c r="D74" s="19">
        <v>0</v>
      </c>
      <c r="E74" s="19">
        <f t="shared" si="5"/>
        <v>0</v>
      </c>
      <c r="K74" s="12" t="s">
        <v>190</v>
      </c>
      <c r="L74" s="19">
        <v>0</v>
      </c>
      <c r="M74" s="19">
        <v>0</v>
      </c>
      <c r="N74" s="19">
        <v>0</v>
      </c>
      <c r="O74" s="19">
        <f t="shared" si="6"/>
        <v>0</v>
      </c>
    </row>
    <row r="75" spans="1:15" x14ac:dyDescent="0.25">
      <c r="A75" s="12" t="s">
        <v>191</v>
      </c>
      <c r="B75" s="19">
        <v>38287513.043124996</v>
      </c>
      <c r="C75" s="19">
        <f>'[1]Sch M-2.3 (2)'!$P$585</f>
        <v>15418461.800000004</v>
      </c>
      <c r="D75" s="19">
        <f>'[1]Sch M-2.3 (1)'!$D$32+'[1]Sch M-2.3 (1)'!$G$32</f>
        <v>78447.799999999974</v>
      </c>
      <c r="E75" s="19">
        <f t="shared" si="5"/>
        <v>22790603.443124991</v>
      </c>
      <c r="K75" s="12" t="s">
        <v>191</v>
      </c>
      <c r="L75" s="19">
        <v>0</v>
      </c>
      <c r="M75" s="19">
        <v>0</v>
      </c>
      <c r="N75" s="19">
        <v>0</v>
      </c>
      <c r="O75" s="19">
        <f t="shared" si="6"/>
        <v>0</v>
      </c>
    </row>
    <row r="76" spans="1:15" x14ac:dyDescent="0.25">
      <c r="A76" s="12" t="s">
        <v>192</v>
      </c>
      <c r="B76" s="19">
        <v>99006.683124999981</v>
      </c>
      <c r="C76" s="19">
        <f>'[1]Sch M-2.3 (2)'!$P$726</f>
        <v>9677.2875024633722</v>
      </c>
      <c r="D76" s="19">
        <f>'[1]Sch M-2.3 (1)'!$D$40+'[1]Sch M-2.3 (1)'!$G$40</f>
        <v>46.600000000000009</v>
      </c>
      <c r="E76" s="19">
        <f t="shared" si="5"/>
        <v>89282.795622536607</v>
      </c>
      <c r="K76" s="12" t="s">
        <v>192</v>
      </c>
      <c r="L76" s="19">
        <v>14801.39</v>
      </c>
      <c r="M76" s="19">
        <f>'[2]Sch M-2.3 (2)'!$R$711</f>
        <v>1416.5292790919675</v>
      </c>
      <c r="N76" s="19">
        <f>'[2]Sch M-2.3 (1)'!$G$45+'[2]Sch M-2.3 (1)'!$J$45</f>
        <v>-13.799999999999999</v>
      </c>
      <c r="O76" s="19">
        <f t="shared" si="6"/>
        <v>13398.660720908032</v>
      </c>
    </row>
    <row r="77" spans="1:15" x14ac:dyDescent="0.25">
      <c r="A77" s="12" t="s">
        <v>193</v>
      </c>
      <c r="B77" s="19">
        <v>0</v>
      </c>
      <c r="C77" s="19">
        <v>0</v>
      </c>
      <c r="D77" s="19">
        <v>0</v>
      </c>
      <c r="E77" s="19">
        <f t="shared" si="5"/>
        <v>0</v>
      </c>
      <c r="K77" s="12" t="s">
        <v>193</v>
      </c>
      <c r="L77" s="19">
        <v>0</v>
      </c>
      <c r="M77" s="19">
        <v>0</v>
      </c>
      <c r="N77" s="19">
        <v>0</v>
      </c>
      <c r="O77" s="19">
        <f t="shared" si="6"/>
        <v>0</v>
      </c>
    </row>
    <row r="78" spans="1:15" x14ac:dyDescent="0.25">
      <c r="A78" s="12" t="s">
        <v>194</v>
      </c>
      <c r="B78" s="19">
        <v>21996.48</v>
      </c>
      <c r="C78" s="19">
        <f>'[1]Sch M-2.3 (2)'!$P$803</f>
        <v>2555.9914480270381</v>
      </c>
      <c r="D78" s="19">
        <v>0</v>
      </c>
      <c r="E78" s="19">
        <f t="shared" si="5"/>
        <v>19440.488551972961</v>
      </c>
      <c r="K78" s="12" t="s">
        <v>194</v>
      </c>
      <c r="L78" s="19">
        <v>32983.54</v>
      </c>
      <c r="M78" s="19">
        <f>'[2]Sch M-2.3 (2)'!$R$794</f>
        <v>3773.3168796600303</v>
      </c>
      <c r="N78" s="19">
        <v>0</v>
      </c>
      <c r="O78" s="19">
        <f t="shared" si="6"/>
        <v>29210.223120339972</v>
      </c>
    </row>
    <row r="79" spans="1:15" x14ac:dyDescent="0.25">
      <c r="A79" s="12" t="s">
        <v>195</v>
      </c>
      <c r="B79" s="19">
        <v>30520.78</v>
      </c>
      <c r="C79" s="19">
        <f>'[1]Sch M-2.3 (2)'!$P$836</f>
        <v>3546.5143777777771</v>
      </c>
      <c r="D79" s="19">
        <v>0</v>
      </c>
      <c r="E79" s="19">
        <f t="shared" si="5"/>
        <v>26974.265622222221</v>
      </c>
      <c r="K79" s="12" t="s">
        <v>195</v>
      </c>
      <c r="L79" s="19">
        <v>30520.78</v>
      </c>
      <c r="M79" s="19">
        <f>'[2]Sch M-2.3 (2)'!$R$826</f>
        <v>3491.5769777777773</v>
      </c>
      <c r="N79" s="19">
        <v>0</v>
      </c>
      <c r="O79" s="19">
        <f t="shared" si="6"/>
        <v>27029.20302222222</v>
      </c>
    </row>
    <row r="80" spans="1:15" ht="18" x14ac:dyDescent="0.4">
      <c r="A80" s="12" t="s">
        <v>196</v>
      </c>
      <c r="B80" s="22">
        <v>0</v>
      </c>
      <c r="C80" s="22">
        <v>0</v>
      </c>
      <c r="D80" s="22">
        <v>0</v>
      </c>
      <c r="E80" s="22">
        <f t="shared" si="5"/>
        <v>0</v>
      </c>
      <c r="K80" s="12" t="s">
        <v>196</v>
      </c>
      <c r="L80" s="22">
        <v>1814.33</v>
      </c>
      <c r="M80" s="22">
        <f>'[2]Sch M-2.3 (2)'!$R$882</f>
        <v>286.22879999999998</v>
      </c>
      <c r="N80" s="22">
        <f>'[2]Sch M-2.3 (1)'!$G$50+'[2]Sch M-2.3 (1)'!$J$50</f>
        <v>-3.81</v>
      </c>
      <c r="O80" s="22">
        <f t="shared" si="6"/>
        <v>1531.9112</v>
      </c>
    </row>
    <row r="81" spans="1:16" x14ac:dyDescent="0.25">
      <c r="A81" s="12" t="s">
        <v>198</v>
      </c>
      <c r="B81" s="19">
        <f>SUM(B66:B80)</f>
        <v>1233752030.4884374</v>
      </c>
      <c r="C81" s="19">
        <f>SUM(C66:C80)</f>
        <v>365066283.38495415</v>
      </c>
      <c r="D81" s="19">
        <f>SUM(D66:D80)</f>
        <v>1005447.83</v>
      </c>
      <c r="E81" s="19">
        <f>SUM(E66:E80)</f>
        <v>867680299.2734834</v>
      </c>
      <c r="K81" s="12" t="s">
        <v>198</v>
      </c>
      <c r="L81" s="19">
        <f>SUM(L66:L80)</f>
        <v>725494996.46999991</v>
      </c>
      <c r="M81" s="19">
        <f t="shared" ref="M81:O81" si="7">SUM(M66:M80)</f>
        <v>197802154.04957432</v>
      </c>
      <c r="N81" s="19">
        <f t="shared" si="7"/>
        <v>-2533166.0999999996</v>
      </c>
      <c r="O81" s="19">
        <f t="shared" si="7"/>
        <v>530226008.52042568</v>
      </c>
    </row>
    <row r="82" spans="1:16" x14ac:dyDescent="0.25">
      <c r="A82" s="12" t="s">
        <v>41</v>
      </c>
      <c r="B82" s="19">
        <f>B50</f>
        <v>2069416817.6600001</v>
      </c>
      <c r="E82" s="93">
        <f>E81/B81</f>
        <v>0.70328581257124434</v>
      </c>
      <c r="F82" s="92" t="s">
        <v>205</v>
      </c>
      <c r="K82" s="12" t="s">
        <v>41</v>
      </c>
      <c r="L82" s="19">
        <f>L50</f>
        <v>1292642429.3</v>
      </c>
      <c r="O82" s="93">
        <f>O81/L81</f>
        <v>0.73084722996067031</v>
      </c>
      <c r="P82" s="92" t="s">
        <v>207</v>
      </c>
    </row>
    <row r="83" spans="1:16" x14ac:dyDescent="0.25">
      <c r="A83" s="12" t="s">
        <v>199</v>
      </c>
      <c r="B83" s="16">
        <f>B81/B82</f>
        <v>0.59618343678269059</v>
      </c>
      <c r="E83" s="93">
        <f>F33/F17</f>
        <v>1.421897019509123</v>
      </c>
      <c r="F83" s="92" t="s">
        <v>206</v>
      </c>
      <c r="K83" s="12" t="s">
        <v>199</v>
      </c>
      <c r="L83" s="16">
        <f>L81/L82</f>
        <v>0.561249561383247</v>
      </c>
      <c r="O83" s="93">
        <f>P33/P17</f>
        <v>1.3682750065853329</v>
      </c>
      <c r="P83" s="92" t="s">
        <v>208</v>
      </c>
    </row>
    <row r="86" spans="1:16" x14ac:dyDescent="0.25">
      <c r="B86" s="91"/>
      <c r="C86" s="16"/>
      <c r="D86" s="16"/>
      <c r="E86" s="16"/>
    </row>
  </sheetData>
  <mergeCells count="4">
    <mergeCell ref="A4:F4"/>
    <mergeCell ref="A5:F5"/>
    <mergeCell ref="K4:P4"/>
    <mergeCell ref="K5:P5"/>
  </mergeCells>
  <pageMargins left="0.7" right="0.7" top="0.75" bottom="0.7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A83C-97A5-49C9-9D09-D3CE74E34D37}">
  <sheetPr>
    <tabColor rgb="FF92D050"/>
    <pageSetUpPr fitToPage="1"/>
  </sheetPr>
  <dimension ref="A1:AW32"/>
  <sheetViews>
    <sheetView showGridLines="0" showZeros="0" workbookViewId="0">
      <pane xSplit="1" ySplit="1" topLeftCell="B2" activePane="bottomRight" state="frozen"/>
      <selection activeCell="A37" sqref="A37"/>
      <selection pane="topRight" activeCell="A37" sqref="A37"/>
      <selection pane="bottomLeft" activeCell="A37" sqref="A37"/>
      <selection pane="bottomRight" activeCell="B2" sqref="B2"/>
    </sheetView>
  </sheetViews>
  <sheetFormatPr defaultColWidth="8.7109375" defaultRowHeight="12" x14ac:dyDescent="0.2"/>
  <cols>
    <col min="1" max="1" width="44.85546875" style="81" bestFit="1" customWidth="1"/>
    <col min="2" max="2" width="13" style="81" bestFit="1" customWidth="1"/>
    <col min="3" max="5" width="12.85546875" style="81" bestFit="1" customWidth="1"/>
    <col min="6" max="8" width="13" style="81" bestFit="1" customWidth="1"/>
    <col min="9" max="49" width="14.42578125" style="81" bestFit="1" customWidth="1"/>
    <col min="50" max="16384" width="8.7109375" style="81"/>
  </cols>
  <sheetData>
    <row r="1" spans="1:49" ht="12.75" thickBot="1" x14ac:dyDescent="0.25">
      <c r="A1" s="41" t="s">
        <v>61</v>
      </c>
      <c r="B1" s="1" t="s">
        <v>0</v>
      </c>
      <c r="C1" s="1" t="s">
        <v>1</v>
      </c>
      <c r="D1" s="1" t="s">
        <v>2</v>
      </c>
      <c r="E1" s="75">
        <v>46478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110</v>
      </c>
      <c r="AA1" s="1" t="s">
        <v>109</v>
      </c>
      <c r="AB1" s="1" t="s">
        <v>108</v>
      </c>
      <c r="AC1" s="1" t="s">
        <v>107</v>
      </c>
      <c r="AD1" s="1" t="s">
        <v>106</v>
      </c>
      <c r="AE1" s="1" t="s">
        <v>105</v>
      </c>
      <c r="AF1" s="1" t="s">
        <v>104</v>
      </c>
      <c r="AG1" s="1" t="s">
        <v>103</v>
      </c>
      <c r="AH1" s="1" t="s">
        <v>102</v>
      </c>
      <c r="AI1" s="1" t="s">
        <v>101</v>
      </c>
      <c r="AJ1" s="1" t="s">
        <v>100</v>
      </c>
      <c r="AK1" s="1" t="s">
        <v>99</v>
      </c>
      <c r="AL1" s="75">
        <v>47484</v>
      </c>
      <c r="AM1" s="75">
        <v>47515</v>
      </c>
      <c r="AN1" s="75">
        <v>47543</v>
      </c>
      <c r="AO1" s="75">
        <v>47574</v>
      </c>
      <c r="AP1" s="75">
        <v>47604</v>
      </c>
      <c r="AQ1" s="75">
        <v>47635</v>
      </c>
      <c r="AR1" s="75">
        <v>47665</v>
      </c>
      <c r="AS1" s="75">
        <v>47696</v>
      </c>
      <c r="AT1" s="75">
        <v>47727</v>
      </c>
      <c r="AU1" s="75">
        <v>47757</v>
      </c>
      <c r="AV1" s="75">
        <v>47788</v>
      </c>
      <c r="AW1" s="75">
        <v>47818</v>
      </c>
    </row>
    <row r="2" spans="1:49" x14ac:dyDescent="0.2">
      <c r="A2" s="3" t="s">
        <v>29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9" x14ac:dyDescent="0.2">
      <c r="A3" s="9" t="s">
        <v>98</v>
      </c>
      <c r="B3" s="76"/>
      <c r="C3" s="76"/>
      <c r="D3" s="76"/>
      <c r="E3" s="76"/>
      <c r="F3" s="76">
        <v>160401503.69999999</v>
      </c>
      <c r="G3" s="76">
        <v>877011538.70000005</v>
      </c>
      <c r="H3" s="76">
        <v>877989513.27999997</v>
      </c>
      <c r="I3" s="76">
        <v>1038074815.1600001</v>
      </c>
      <c r="J3" s="76">
        <v>1039283497.23</v>
      </c>
      <c r="K3" s="76">
        <v>1041538349.3600001</v>
      </c>
      <c r="L3" s="76">
        <v>1042473231.4400001</v>
      </c>
      <c r="M3" s="76">
        <v>1043482573.5</v>
      </c>
      <c r="N3" s="76">
        <v>1043482573.5</v>
      </c>
      <c r="O3" s="76">
        <v>1043482573.5</v>
      </c>
      <c r="P3" s="76">
        <v>1043482573.5</v>
      </c>
      <c r="Q3" s="76">
        <v>1043482573.5</v>
      </c>
      <c r="R3" s="76">
        <v>1043482573.5</v>
      </c>
      <c r="S3" s="76">
        <v>1043482573.5</v>
      </c>
      <c r="T3" s="76">
        <v>1043482573.5</v>
      </c>
      <c r="U3" s="76">
        <v>1043482573.5</v>
      </c>
      <c r="V3" s="76">
        <v>1043482573.5</v>
      </c>
      <c r="W3" s="76">
        <v>1043482573.5</v>
      </c>
      <c r="X3" s="76">
        <v>1043482573.5</v>
      </c>
      <c r="Y3" s="76">
        <v>1045158273.0599999</v>
      </c>
      <c r="Z3" s="76">
        <v>1045302103.9300001</v>
      </c>
      <c r="AA3" s="76">
        <v>1045445934.8099999</v>
      </c>
      <c r="AB3" s="76">
        <v>1045589765.6900001</v>
      </c>
      <c r="AC3" s="76">
        <v>1045733596.5699999</v>
      </c>
      <c r="AD3" s="76">
        <v>1045877427.45</v>
      </c>
      <c r="AE3" s="76">
        <v>1046021258.3299999</v>
      </c>
      <c r="AF3" s="76">
        <v>1046165089.21</v>
      </c>
      <c r="AG3" s="76">
        <v>1046308920.0899999</v>
      </c>
      <c r="AH3" s="76">
        <v>1046452750.97</v>
      </c>
      <c r="AI3" s="76">
        <v>1046596581.8499999</v>
      </c>
      <c r="AJ3" s="76">
        <v>1046740412.73</v>
      </c>
      <c r="AK3" s="76">
        <v>1046884243.6099999</v>
      </c>
      <c r="AL3" s="76">
        <v>1047032389.3599999</v>
      </c>
      <c r="AM3" s="76">
        <v>1047180535.1699998</v>
      </c>
      <c r="AN3" s="76">
        <v>1047328680.9799998</v>
      </c>
      <c r="AO3" s="76">
        <v>1047476826.7899997</v>
      </c>
      <c r="AP3" s="76">
        <v>1047624972.5999997</v>
      </c>
      <c r="AQ3" s="76">
        <v>1047773118.4099996</v>
      </c>
      <c r="AR3" s="76">
        <v>1047921264.2199996</v>
      </c>
      <c r="AS3" s="76">
        <v>1048069410.0299995</v>
      </c>
      <c r="AT3" s="76">
        <v>1048217555.8399994</v>
      </c>
      <c r="AU3" s="76">
        <v>1048365701.6499994</v>
      </c>
      <c r="AV3" s="76">
        <v>1048513847.4599993</v>
      </c>
      <c r="AW3" s="76">
        <v>1048661993.2699993</v>
      </c>
    </row>
    <row r="4" spans="1:49" x14ac:dyDescent="0.2">
      <c r="A4" s="9" t="s">
        <v>97</v>
      </c>
      <c r="B4" s="76"/>
      <c r="C4" s="76"/>
      <c r="D4" s="76"/>
      <c r="E4" s="76"/>
      <c r="F4" s="76">
        <v>0</v>
      </c>
      <c r="G4" s="76">
        <v>0</v>
      </c>
      <c r="H4" s="76">
        <v>0</v>
      </c>
      <c r="I4" s="76">
        <v>0</v>
      </c>
      <c r="J4" s="76">
        <v>0</v>
      </c>
      <c r="K4" s="76">
        <v>0</v>
      </c>
      <c r="L4" s="76">
        <v>0</v>
      </c>
      <c r="M4" s="76">
        <v>0</v>
      </c>
      <c r="N4" s="76">
        <v>139641.63999963284</v>
      </c>
      <c r="O4" s="76">
        <v>279283.26999963284</v>
      </c>
      <c r="P4" s="76">
        <v>418924.89999963285</v>
      </c>
      <c r="Q4" s="76">
        <v>558566.52999963285</v>
      </c>
      <c r="R4" s="76">
        <v>698208.15999963286</v>
      </c>
      <c r="S4" s="76">
        <v>837849.78999963286</v>
      </c>
      <c r="T4" s="76">
        <v>977491.41999963287</v>
      </c>
      <c r="U4" s="76">
        <v>1117133.0499996329</v>
      </c>
      <c r="V4" s="76">
        <v>1256774.6799996328</v>
      </c>
      <c r="W4" s="76">
        <v>1396416.3099996326</v>
      </c>
      <c r="X4" s="76">
        <v>1536057.9399996325</v>
      </c>
      <c r="Y4" s="76">
        <v>9.9996328353881836E-3</v>
      </c>
      <c r="Z4" s="76">
        <v>9.9996328353881836E-3</v>
      </c>
      <c r="AA4" s="76">
        <v>9.9996328353881836E-3</v>
      </c>
      <c r="AB4" s="76">
        <v>9.9996328353881836E-3</v>
      </c>
      <c r="AC4" s="76">
        <v>9.9996328353881836E-3</v>
      </c>
      <c r="AD4" s="76">
        <v>9.9996328353881836E-3</v>
      </c>
      <c r="AE4" s="76">
        <v>9.9996328353881836E-3</v>
      </c>
      <c r="AF4" s="76">
        <v>9.9996328353881836E-3</v>
      </c>
      <c r="AG4" s="76">
        <v>9.9996328353881836E-3</v>
      </c>
      <c r="AH4" s="76">
        <v>9.9996328353881836E-3</v>
      </c>
      <c r="AI4" s="76">
        <v>9.9996328353881836E-3</v>
      </c>
      <c r="AJ4" s="76">
        <v>9.9996328353881836E-3</v>
      </c>
      <c r="AK4" s="76">
        <v>9.9996328353881836E-3</v>
      </c>
      <c r="AL4" s="76">
        <v>9.9996328353881836E-3</v>
      </c>
      <c r="AM4" s="76">
        <v>9.9996328353881836E-3</v>
      </c>
      <c r="AN4" s="76">
        <v>9.9996328353881836E-3</v>
      </c>
      <c r="AO4" s="76">
        <v>9.9996328353881836E-3</v>
      </c>
      <c r="AP4" s="76">
        <v>9.9996328353881836E-3</v>
      </c>
      <c r="AQ4" s="76">
        <v>9.9996328353881836E-3</v>
      </c>
      <c r="AR4" s="76">
        <v>9.9996328353881836E-3</v>
      </c>
      <c r="AS4" s="76">
        <v>9.9996328353881836E-3</v>
      </c>
      <c r="AT4" s="76">
        <v>9.9996328353881836E-3</v>
      </c>
      <c r="AU4" s="76">
        <v>9.9996328353881836E-3</v>
      </c>
      <c r="AV4" s="76">
        <v>9.9996328353881836E-3</v>
      </c>
      <c r="AW4" s="76">
        <v>9.9996328353881836E-3</v>
      </c>
    </row>
    <row r="5" spans="1:49" ht="14.25" customHeight="1" x14ac:dyDescent="0.2">
      <c r="A5" s="9" t="s">
        <v>96</v>
      </c>
      <c r="B5" s="76"/>
      <c r="C5" s="76"/>
      <c r="D5" s="76"/>
      <c r="E5" s="76"/>
      <c r="F5" s="76">
        <v>-284574.67954379413</v>
      </c>
      <c r="G5" s="76">
        <v>-1700595.3174289246</v>
      </c>
      <c r="H5" s="76">
        <v>-3964661.6141435131</v>
      </c>
      <c r="I5" s="76">
        <v>-6513313.9576997738</v>
      </c>
      <c r="J5" s="76">
        <v>-9346806.4192272089</v>
      </c>
      <c r="K5" s="76">
        <v>-12184392.092662053</v>
      </c>
      <c r="L5" s="76">
        <v>-15025747.415359154</v>
      </c>
      <c r="M5" s="76">
        <v>-17869400.508036073</v>
      </c>
      <c r="N5" s="76">
        <v>-20698730.742176544</v>
      </c>
      <c r="O5" s="76">
        <v>-23528060.976317011</v>
      </c>
      <c r="P5" s="76">
        <v>-26357391.210457481</v>
      </c>
      <c r="Q5" s="76">
        <v>-29186721.444597956</v>
      </c>
      <c r="R5" s="76">
        <v>-32016051.67873843</v>
      </c>
      <c r="S5" s="76">
        <v>-34845381.912878908</v>
      </c>
      <c r="T5" s="76">
        <v>-37674712.147019379</v>
      </c>
      <c r="U5" s="76">
        <v>-40504042.381159849</v>
      </c>
      <c r="V5" s="76">
        <v>-43333372.615300328</v>
      </c>
      <c r="W5" s="76">
        <v>-46162702.849440806</v>
      </c>
      <c r="X5" s="76">
        <v>-48992033.083581276</v>
      </c>
      <c r="Y5" s="76">
        <v>-51823343.572659358</v>
      </c>
      <c r="Z5" s="76">
        <v>-54656338.788546667</v>
      </c>
      <c r="AA5" s="76">
        <v>-57489673.978189044</v>
      </c>
      <c r="AB5" s="76">
        <v>-60323349.111598313</v>
      </c>
      <c r="AC5" s="76">
        <v>-63157364.188774467</v>
      </c>
      <c r="AD5" s="76">
        <v>-65991719.209717512</v>
      </c>
      <c r="AE5" s="76">
        <v>-68826414.17442745</v>
      </c>
      <c r="AF5" s="76">
        <v>-71661449.082904264</v>
      </c>
      <c r="AG5" s="76">
        <v>-74496823.935147971</v>
      </c>
      <c r="AH5" s="76">
        <v>-77332538.731158569</v>
      </c>
      <c r="AI5" s="76">
        <v>-80168593.47093606</v>
      </c>
      <c r="AJ5" s="76">
        <v>-83004988.154480428</v>
      </c>
      <c r="AK5" s="76">
        <v>-85841722.781791687</v>
      </c>
      <c r="AL5" s="76">
        <v>-88678323.031959698</v>
      </c>
      <c r="AM5" s="76">
        <v>-91515273.404145196</v>
      </c>
      <c r="AN5" s="76">
        <v>-94352573.918419123</v>
      </c>
      <c r="AO5" s="76">
        <v>-97190224.574781433</v>
      </c>
      <c r="AP5" s="76">
        <v>-100028225.37323216</v>
      </c>
      <c r="AQ5" s="76">
        <v>-102866576.31377126</v>
      </c>
      <c r="AR5" s="76">
        <v>-105705277.3963988</v>
      </c>
      <c r="AS5" s="76">
        <v>-108544328.62111473</v>
      </c>
      <c r="AT5" s="76">
        <v>-111383729.98791906</v>
      </c>
      <c r="AU5" s="76">
        <v>-114223481.49681179</v>
      </c>
      <c r="AV5" s="76">
        <v>-117063583.14779292</v>
      </c>
      <c r="AW5" s="76">
        <v>-119904034.94086246</v>
      </c>
    </row>
    <row r="6" spans="1:49" x14ac:dyDescent="0.2">
      <c r="A6" s="9" t="s">
        <v>95</v>
      </c>
      <c r="B6" s="76"/>
      <c r="C6" s="76"/>
      <c r="D6" s="76"/>
      <c r="E6" s="76"/>
      <c r="F6" s="76">
        <v>-5149041.1932046525</v>
      </c>
      <c r="G6" s="76">
        <v>-27311248.296768822</v>
      </c>
      <c r="H6" s="76">
        <v>-27884929.031655632</v>
      </c>
      <c r="I6" s="76">
        <v>-33679323.146702021</v>
      </c>
      <c r="J6" s="76">
        <v>-34772396.75332386</v>
      </c>
      <c r="K6" s="76">
        <v>-35864449.103574723</v>
      </c>
      <c r="L6" s="76">
        <v>-36955560.926334724</v>
      </c>
      <c r="M6" s="76">
        <v>-38046099.455484681</v>
      </c>
      <c r="N6" s="76">
        <v>-40385873.434085175</v>
      </c>
      <c r="O6" s="76">
        <v>-42725647.4126857</v>
      </c>
      <c r="P6" s="76">
        <v>-45065421.391286194</v>
      </c>
      <c r="Q6" s="76">
        <v>-47405195.369886681</v>
      </c>
      <c r="R6" s="76">
        <v>-49744969.348487206</v>
      </c>
      <c r="S6" s="76">
        <v>-52084743.3270877</v>
      </c>
      <c r="T6" s="76">
        <v>-54424517.305688187</v>
      </c>
      <c r="U6" s="76">
        <v>-56764291.284288704</v>
      </c>
      <c r="V6" s="76">
        <v>-59104065.262889192</v>
      </c>
      <c r="W6" s="76">
        <v>-61443839.241489686</v>
      </c>
      <c r="X6" s="76">
        <v>-63783613.220090203</v>
      </c>
      <c r="Y6" s="76">
        <v>-66122893.125083759</v>
      </c>
      <c r="Z6" s="76">
        <v>-67562770.918802083</v>
      </c>
      <c r="AA6" s="76">
        <v>-69002563.889068529</v>
      </c>
      <c r="AB6" s="76">
        <v>-70442272.043365136</v>
      </c>
      <c r="AC6" s="76">
        <v>-71881895.381691888</v>
      </c>
      <c r="AD6" s="76">
        <v>-73321433.9040488</v>
      </c>
      <c r="AE6" s="76">
        <v>-74760887.610435903</v>
      </c>
      <c r="AF6" s="76">
        <v>-76200256.500853151</v>
      </c>
      <c r="AG6" s="76">
        <v>-77639540.575300545</v>
      </c>
      <c r="AH6" s="76">
        <v>-79078739.833778098</v>
      </c>
      <c r="AI6" s="76">
        <v>-80517854.276285857</v>
      </c>
      <c r="AJ6" s="76">
        <v>-81956883.902823731</v>
      </c>
      <c r="AK6" s="76">
        <v>-83395828.713391781</v>
      </c>
      <c r="AL6" s="76">
        <v>-84272762.15567714</v>
      </c>
      <c r="AM6" s="76">
        <v>-85149608.242519125</v>
      </c>
      <c r="AN6" s="76">
        <v>-86026366.968910068</v>
      </c>
      <c r="AO6" s="76">
        <v>-86903038.334849909</v>
      </c>
      <c r="AP6" s="76">
        <v>-87779622.340338737</v>
      </c>
      <c r="AQ6" s="76">
        <v>-88656118.985376477</v>
      </c>
      <c r="AR6" s="76">
        <v>-89532528.269963175</v>
      </c>
      <c r="AS6" s="76">
        <v>-90408850.194098815</v>
      </c>
      <c r="AT6" s="76">
        <v>-91285084.757783383</v>
      </c>
      <c r="AU6" s="76">
        <v>-92161231.961016938</v>
      </c>
      <c r="AV6" s="76">
        <v>-93037291.803799391</v>
      </c>
      <c r="AW6" s="76">
        <v>-93913264.286130816</v>
      </c>
    </row>
    <row r="7" spans="1:49" x14ac:dyDescent="0.2">
      <c r="A7" s="9" t="s">
        <v>115</v>
      </c>
      <c r="B7" s="76"/>
      <c r="C7" s="76"/>
      <c r="D7" s="76"/>
      <c r="E7" s="76"/>
      <c r="F7" s="76">
        <v>937655.23303188407</v>
      </c>
      <c r="G7" s="76">
        <v>8587848.3880655244</v>
      </c>
      <c r="H7" s="76">
        <v>8566377.5276140757</v>
      </c>
      <c r="I7" s="76">
        <v>8544906.6671626251</v>
      </c>
      <c r="J7" s="76">
        <v>8523435.8067111764</v>
      </c>
      <c r="K7" s="76">
        <v>8501964.9462597258</v>
      </c>
      <c r="L7" s="76">
        <v>8480494.0858082771</v>
      </c>
      <c r="M7" s="76">
        <v>8459023.2253568266</v>
      </c>
      <c r="N7" s="76">
        <v>8437552.3649053778</v>
      </c>
      <c r="O7" s="76">
        <v>8416081.5044539273</v>
      </c>
      <c r="P7" s="76">
        <v>8394610.6440024786</v>
      </c>
      <c r="Q7" s="76">
        <v>8373139.783551028</v>
      </c>
      <c r="R7" s="76">
        <v>8351668.9230995784</v>
      </c>
      <c r="S7" s="76">
        <v>8330198.0626481287</v>
      </c>
      <c r="T7" s="76">
        <v>8308727.2021966791</v>
      </c>
      <c r="U7" s="76">
        <v>8287256.3417452294</v>
      </c>
      <c r="V7" s="76">
        <v>8265785.4812937798</v>
      </c>
      <c r="W7" s="76">
        <v>8244314.6208423302</v>
      </c>
      <c r="X7" s="76">
        <v>8222843.7603908805</v>
      </c>
      <c r="Y7" s="76">
        <v>8201372.8999394309</v>
      </c>
      <c r="Z7" s="76">
        <v>8179902.0394879812</v>
      </c>
      <c r="AA7" s="76">
        <v>8158431.1790365316</v>
      </c>
      <c r="AB7" s="76">
        <v>8136960.318585082</v>
      </c>
      <c r="AC7" s="76">
        <v>8115489.4581336323</v>
      </c>
      <c r="AD7" s="76">
        <v>8094018.5976821827</v>
      </c>
      <c r="AE7" s="76">
        <v>8072547.737230733</v>
      </c>
      <c r="AF7" s="76">
        <v>8051076.8767792834</v>
      </c>
      <c r="AG7" s="76">
        <v>8029606.0163278338</v>
      </c>
      <c r="AH7" s="76">
        <v>8008135.1558763841</v>
      </c>
      <c r="AI7" s="76">
        <v>7986664.2954249345</v>
      </c>
      <c r="AJ7" s="76">
        <v>7965193.4349734848</v>
      </c>
      <c r="AK7" s="76">
        <v>7943722.5745220352</v>
      </c>
      <c r="AL7" s="76">
        <v>7922251.7140705856</v>
      </c>
      <c r="AM7" s="76">
        <v>7900780.8536191359</v>
      </c>
      <c r="AN7" s="76">
        <v>7879309.9931676863</v>
      </c>
      <c r="AO7" s="76">
        <v>7857839.1327162366</v>
      </c>
      <c r="AP7" s="76">
        <v>7836368.272264787</v>
      </c>
      <c r="AQ7" s="76">
        <v>7814897.4118133374</v>
      </c>
      <c r="AR7" s="76">
        <v>7793426.5513618877</v>
      </c>
      <c r="AS7" s="76">
        <v>7771955.6909104381</v>
      </c>
      <c r="AT7" s="76">
        <v>7750484.8304589884</v>
      </c>
      <c r="AU7" s="76">
        <v>7729013.9700075388</v>
      </c>
      <c r="AV7" s="76">
        <v>7707543.1095560892</v>
      </c>
      <c r="AW7" s="76">
        <v>7686072.2491046395</v>
      </c>
    </row>
    <row r="8" spans="1:49" x14ac:dyDescent="0.2">
      <c r="A8" s="9" t="s">
        <v>93</v>
      </c>
      <c r="B8" s="76"/>
      <c r="C8" s="76"/>
      <c r="D8" s="76"/>
      <c r="E8" s="76"/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  <c r="Y8" s="76">
        <v>0</v>
      </c>
      <c r="Z8" s="76">
        <v>0</v>
      </c>
      <c r="AA8" s="76">
        <v>0</v>
      </c>
      <c r="AB8" s="76">
        <v>0</v>
      </c>
      <c r="AC8" s="76">
        <v>0</v>
      </c>
      <c r="AD8" s="76">
        <v>0</v>
      </c>
      <c r="AE8" s="76">
        <v>0</v>
      </c>
      <c r="AF8" s="76">
        <v>0</v>
      </c>
      <c r="AG8" s="76">
        <v>0</v>
      </c>
      <c r="AH8" s="76">
        <v>0</v>
      </c>
      <c r="AI8" s="76">
        <v>0</v>
      </c>
      <c r="AJ8" s="76">
        <v>0</v>
      </c>
      <c r="AK8" s="76">
        <v>0</v>
      </c>
    </row>
    <row r="9" spans="1:49" ht="12.75" thickBot="1" x14ac:dyDescent="0.25">
      <c r="A9" s="9" t="s">
        <v>92</v>
      </c>
      <c r="B9" s="4"/>
      <c r="C9" s="4"/>
      <c r="D9" s="4"/>
      <c r="E9" s="4"/>
      <c r="F9" s="4">
        <f>SUM($E$13:F13)/8</f>
        <v>0</v>
      </c>
      <c r="G9" s="4">
        <f>SUM($E$13:G13)/8</f>
        <v>2735.2787500000004</v>
      </c>
      <c r="H9" s="4">
        <f>SUM($E$13:H13)/8</f>
        <v>101546.40500000001</v>
      </c>
      <c r="I9" s="4">
        <f>SUM($E$13:I13)/8</f>
        <v>203085.60250000004</v>
      </c>
      <c r="J9" s="4">
        <f>SUM($E$13:J13)/8</f>
        <v>317452.76750000007</v>
      </c>
      <c r="K9" s="4">
        <f>SUM($E$13:K13)/8</f>
        <v>428637.0137500001</v>
      </c>
      <c r="L9" s="4">
        <f>SUM($E$13:L13)/8</f>
        <v>538483.90625000012</v>
      </c>
      <c r="M9" s="4">
        <f>SUM($E$13:M13)/8</f>
        <v>646871.81875000009</v>
      </c>
      <c r="N9" s="4">
        <f>SUM($E$13:N13)/8</f>
        <v>761817.10750000004</v>
      </c>
      <c r="O9" s="4">
        <f>SUM($E$13:O13)/8</f>
        <v>878134.06625000003</v>
      </c>
      <c r="P9" s="4">
        <f t="shared" ref="P9:AW9" si="0">SUM(E13:P13)/8</f>
        <v>997772.33875</v>
      </c>
      <c r="Q9" s="4">
        <f t="shared" si="0"/>
        <v>1111106.5037499999</v>
      </c>
      <c r="R9" s="4">
        <f t="shared" si="0"/>
        <v>1228632.63625</v>
      </c>
      <c r="S9" s="4">
        <f t="shared" si="0"/>
        <v>1342844.03125</v>
      </c>
      <c r="T9" s="4">
        <f t="shared" si="0"/>
        <v>1357034.5362500001</v>
      </c>
      <c r="U9" s="4">
        <f t="shared" si="0"/>
        <v>1374642.9337500001</v>
      </c>
      <c r="V9" s="4">
        <f t="shared" si="0"/>
        <v>1374316.1187500001</v>
      </c>
      <c r="W9" s="4">
        <f t="shared" si="0"/>
        <v>1464224.9450000001</v>
      </c>
      <c r="X9" s="4">
        <f t="shared" si="0"/>
        <v>1468310.93875</v>
      </c>
      <c r="Y9" s="4">
        <f t="shared" si="0"/>
        <v>1468323.0412499995</v>
      </c>
      <c r="Z9" s="4">
        <f t="shared" si="0"/>
        <v>1493945.8424999998</v>
      </c>
      <c r="AA9" s="4">
        <f t="shared" si="0"/>
        <v>1511855.6637499998</v>
      </c>
      <c r="AB9" s="4">
        <f t="shared" si="0"/>
        <v>1531368.1512499999</v>
      </c>
      <c r="AC9" s="4">
        <f t="shared" si="0"/>
        <v>1553237.2625</v>
      </c>
      <c r="AD9" s="4">
        <f t="shared" si="0"/>
        <v>1574670.4512500002</v>
      </c>
      <c r="AE9" s="4">
        <f t="shared" si="0"/>
        <v>1592144.9487500002</v>
      </c>
      <c r="AF9" s="4">
        <f t="shared" si="0"/>
        <v>1613765.3212500005</v>
      </c>
      <c r="AG9" s="4">
        <f t="shared" si="0"/>
        <v>1636193.7537500004</v>
      </c>
      <c r="AH9" s="4">
        <f t="shared" si="0"/>
        <v>1655209.3425000003</v>
      </c>
      <c r="AI9" s="4">
        <f t="shared" si="0"/>
        <v>1681365.85</v>
      </c>
      <c r="AJ9" s="4">
        <f t="shared" si="0"/>
        <v>1700145.2462500001</v>
      </c>
      <c r="AK9" s="4">
        <f t="shared" si="0"/>
        <v>1716227.7562500001</v>
      </c>
      <c r="AL9" s="4">
        <f t="shared" si="0"/>
        <v>1720435.7187500002</v>
      </c>
      <c r="AM9" s="4">
        <f t="shared" si="0"/>
        <v>1724424.68875</v>
      </c>
      <c r="AN9" s="4">
        <f t="shared" si="0"/>
        <v>1725377.7687500003</v>
      </c>
      <c r="AO9" s="4">
        <f t="shared" si="0"/>
        <v>1732606.4925000002</v>
      </c>
      <c r="AP9" s="4">
        <f t="shared" si="0"/>
        <v>1736757.7887500003</v>
      </c>
      <c r="AQ9" s="4">
        <f t="shared" si="0"/>
        <v>1738347.5062500001</v>
      </c>
      <c r="AR9" s="4">
        <f t="shared" si="0"/>
        <v>1745554.16875</v>
      </c>
      <c r="AS9" s="4">
        <f t="shared" si="0"/>
        <v>1746591.08</v>
      </c>
      <c r="AT9" s="4">
        <f t="shared" si="0"/>
        <v>1752942.9312499999</v>
      </c>
      <c r="AU9" s="4">
        <f t="shared" si="0"/>
        <v>1759750.3687500004</v>
      </c>
      <c r="AV9" s="4">
        <f t="shared" si="0"/>
        <v>1760476.6724999999</v>
      </c>
      <c r="AW9" s="4">
        <f t="shared" si="0"/>
        <v>1767327.7950000004</v>
      </c>
    </row>
    <row r="10" spans="1:49" x14ac:dyDescent="0.2">
      <c r="A10" s="5" t="s">
        <v>91</v>
      </c>
      <c r="B10" s="77"/>
      <c r="C10" s="77"/>
      <c r="D10" s="77"/>
      <c r="E10" s="77"/>
      <c r="F10" s="77">
        <f t="shared" ref="F10:AW10" si="1">SUM(F3:F9)</f>
        <v>155905543.06028345</v>
      </c>
      <c r="G10" s="77">
        <f t="shared" si="1"/>
        <v>856590278.75261784</v>
      </c>
      <c r="H10" s="77">
        <f t="shared" si="1"/>
        <v>854807846.5668149</v>
      </c>
      <c r="I10" s="77">
        <f t="shared" si="1"/>
        <v>1006630170.3252609</v>
      </c>
      <c r="J10" s="77">
        <f t="shared" si="1"/>
        <v>1004005182.6316601</v>
      </c>
      <c r="K10" s="77">
        <f t="shared" si="1"/>
        <v>1002420110.123773</v>
      </c>
      <c r="L10" s="77">
        <f t="shared" si="1"/>
        <v>999510901.09036446</v>
      </c>
      <c r="M10" s="77">
        <f t="shared" si="1"/>
        <v>996672968.58058619</v>
      </c>
      <c r="N10" s="77">
        <f t="shared" si="1"/>
        <v>991736980.43614328</v>
      </c>
      <c r="O10" s="77">
        <f t="shared" si="1"/>
        <v>986802363.95170069</v>
      </c>
      <c r="P10" s="77">
        <f t="shared" si="1"/>
        <v>981871068.78100836</v>
      </c>
      <c r="Q10" s="77">
        <f t="shared" si="1"/>
        <v>976933469.50281596</v>
      </c>
      <c r="R10" s="77">
        <f t="shared" si="1"/>
        <v>972000062.19212353</v>
      </c>
      <c r="S10" s="77">
        <f t="shared" si="1"/>
        <v>967063340.14393127</v>
      </c>
      <c r="T10" s="77">
        <f t="shared" si="1"/>
        <v>962026597.20573878</v>
      </c>
      <c r="U10" s="77">
        <f t="shared" si="1"/>
        <v>956993272.16004634</v>
      </c>
      <c r="V10" s="77">
        <f t="shared" si="1"/>
        <v>951942011.90185392</v>
      </c>
      <c r="W10" s="77">
        <f t="shared" si="1"/>
        <v>946980987.28491151</v>
      </c>
      <c r="X10" s="77">
        <f t="shared" si="1"/>
        <v>941934139.83546901</v>
      </c>
      <c r="Y10" s="77">
        <f t="shared" si="1"/>
        <v>936881732.31344581</v>
      </c>
      <c r="Z10" s="77">
        <f t="shared" si="1"/>
        <v>932756842.11463892</v>
      </c>
      <c r="AA10" s="77">
        <f t="shared" si="1"/>
        <v>928623983.79552865</v>
      </c>
      <c r="AB10" s="77">
        <f t="shared" si="1"/>
        <v>924492473.01487124</v>
      </c>
      <c r="AC10" s="77">
        <f t="shared" si="1"/>
        <v>920363063.73016679</v>
      </c>
      <c r="AD10" s="77">
        <f t="shared" si="1"/>
        <v>916232963.39516556</v>
      </c>
      <c r="AE10" s="77">
        <f t="shared" si="1"/>
        <v>912098649.241117</v>
      </c>
      <c r="AF10" s="77">
        <f t="shared" si="1"/>
        <v>907968225.83427155</v>
      </c>
      <c r="AG10" s="77">
        <f t="shared" si="1"/>
        <v>903838355.3596288</v>
      </c>
      <c r="AH10" s="77">
        <f t="shared" si="1"/>
        <v>899704816.91343927</v>
      </c>
      <c r="AI10" s="77">
        <f t="shared" si="1"/>
        <v>895578164.25820255</v>
      </c>
      <c r="AJ10" s="77">
        <f t="shared" si="1"/>
        <v>891443879.36391902</v>
      </c>
      <c r="AK10" s="77">
        <f t="shared" si="1"/>
        <v>887306642.4555881</v>
      </c>
      <c r="AL10" s="77">
        <f t="shared" si="1"/>
        <v>883723991.61518335</v>
      </c>
      <c r="AM10" s="77">
        <f t="shared" si="1"/>
        <v>880140859.07570422</v>
      </c>
      <c r="AN10" s="77">
        <f t="shared" si="1"/>
        <v>876554427.86458778</v>
      </c>
      <c r="AO10" s="77">
        <f t="shared" si="1"/>
        <v>872974009.51558411</v>
      </c>
      <c r="AP10" s="77">
        <f t="shared" si="1"/>
        <v>869390250.95744336</v>
      </c>
      <c r="AQ10" s="77">
        <f t="shared" si="1"/>
        <v>865803668.03891492</v>
      </c>
      <c r="AR10" s="77">
        <f t="shared" si="1"/>
        <v>862222439.28374922</v>
      </c>
      <c r="AS10" s="77">
        <f t="shared" si="1"/>
        <v>858634777.99569607</v>
      </c>
      <c r="AT10" s="77">
        <f t="shared" si="1"/>
        <v>855052168.86600554</v>
      </c>
      <c r="AU10" s="77">
        <f t="shared" si="1"/>
        <v>851469752.54092789</v>
      </c>
      <c r="AV10" s="77">
        <f t="shared" si="1"/>
        <v>847880992.30046272</v>
      </c>
      <c r="AW10" s="77">
        <f t="shared" si="1"/>
        <v>844298094.09711027</v>
      </c>
    </row>
    <row r="11" spans="1:49" x14ac:dyDescent="0.2">
      <c r="A11" s="9" t="s">
        <v>217</v>
      </c>
      <c r="B11" s="78"/>
      <c r="C11" s="78"/>
      <c r="D11" s="78"/>
      <c r="E11" s="78"/>
      <c r="F11" s="78">
        <f>'SCH J Stip KU'!$M$24/12</f>
        <v>7.6687331767476595E-3</v>
      </c>
      <c r="G11" s="78">
        <f>'SCH J Stip KU'!$M$24/12</f>
        <v>7.6687331767476595E-3</v>
      </c>
      <c r="H11" s="78">
        <f>'SCH J Stip KU'!$M$24/12</f>
        <v>7.6687331767476595E-3</v>
      </c>
      <c r="I11" s="78">
        <f>'SCH J Stip KU'!$M$24/12</f>
        <v>7.6687331767476595E-3</v>
      </c>
      <c r="J11" s="78">
        <f>'SCH J Stip KU'!$M$24/12</f>
        <v>7.6687331767476595E-3</v>
      </c>
      <c r="K11" s="78">
        <f>'SCH J Stip KU'!$M$24/12</f>
        <v>7.6687331767476595E-3</v>
      </c>
      <c r="L11" s="78">
        <f>'SCH J Stip KU'!$M$24/12</f>
        <v>7.6687331767476595E-3</v>
      </c>
      <c r="M11" s="78">
        <f>'SCH J Stip KU'!$M$24/12</f>
        <v>7.6687331767476595E-3</v>
      </c>
      <c r="N11" s="78">
        <f>'SCH J Stip KU'!$M$24/12</f>
        <v>7.6687331767476595E-3</v>
      </c>
      <c r="O11" s="78">
        <f>'SCH J Stip KU'!$M$24/12</f>
        <v>7.6687331767476595E-3</v>
      </c>
      <c r="P11" s="78">
        <f>'SCH J Stip KU'!$M$24/12</f>
        <v>7.6687331767476595E-3</v>
      </c>
      <c r="Q11" s="78">
        <f>'SCH J Stip KU'!$M$24/12</f>
        <v>7.6687331767476595E-3</v>
      </c>
      <c r="R11" s="78">
        <f>'SCH J Stip KU'!$M$24/12</f>
        <v>7.6687331767476595E-3</v>
      </c>
      <c r="S11" s="78">
        <f>'SCH J Stip KU'!$M$24/12</f>
        <v>7.6687331767476595E-3</v>
      </c>
      <c r="T11" s="78">
        <f>'SCH J Stip KU'!$M$24/12</f>
        <v>7.6687331767476595E-3</v>
      </c>
      <c r="U11" s="78">
        <f>'SCH J Stip KU'!$M$24/12</f>
        <v>7.6687331767476595E-3</v>
      </c>
      <c r="V11" s="78">
        <f>'SCH J Stip KU'!$M$24/12</f>
        <v>7.6687331767476595E-3</v>
      </c>
      <c r="W11" s="78">
        <f>'SCH J Stip KU'!$M$24/12</f>
        <v>7.6687331767476595E-3</v>
      </c>
      <c r="X11" s="78">
        <f>'SCH J Stip KU'!$M$24/12</f>
        <v>7.6687331767476595E-3</v>
      </c>
      <c r="Y11" s="78">
        <f>'SCH J Stip KU'!$M$24/12</f>
        <v>7.6687331767476595E-3</v>
      </c>
      <c r="Z11" s="78">
        <f>'SCH J Stip KU'!$M$24/12</f>
        <v>7.6687331767476595E-3</v>
      </c>
      <c r="AA11" s="78">
        <f>'SCH J Stip KU'!$M$24/12</f>
        <v>7.6687331767476595E-3</v>
      </c>
      <c r="AB11" s="78">
        <f>'SCH J Stip KU'!$M$24/12</f>
        <v>7.6687331767476595E-3</v>
      </c>
      <c r="AC11" s="78">
        <f>'SCH J Stip KU'!$M$24/12</f>
        <v>7.6687331767476595E-3</v>
      </c>
      <c r="AD11" s="78">
        <f>'SCH J Stip KU'!$M$24/12</f>
        <v>7.6687331767476595E-3</v>
      </c>
      <c r="AE11" s="78">
        <f>'SCH J Stip KU'!$M$24/12</f>
        <v>7.6687331767476595E-3</v>
      </c>
      <c r="AF11" s="78">
        <f>'SCH J Stip KU'!$M$24/12</f>
        <v>7.6687331767476595E-3</v>
      </c>
      <c r="AG11" s="78">
        <f>'SCH J Stip KU'!$M$24/12</f>
        <v>7.6687331767476595E-3</v>
      </c>
      <c r="AH11" s="78">
        <f>'SCH J Stip KU'!$M$24/12</f>
        <v>7.6687331767476595E-3</v>
      </c>
      <c r="AI11" s="78">
        <f>'SCH J Stip KU'!$M$24/12</f>
        <v>7.6687331767476595E-3</v>
      </c>
      <c r="AJ11" s="78">
        <f>'SCH J Stip KU'!$M$24/12</f>
        <v>7.6687331767476595E-3</v>
      </c>
      <c r="AK11" s="78">
        <f>'SCH J Stip KU'!$M$24/12</f>
        <v>7.6687331767476595E-3</v>
      </c>
      <c r="AL11" s="78">
        <f>'SCH J Stip KU'!$M$24/12</f>
        <v>7.6687331767476595E-3</v>
      </c>
      <c r="AM11" s="78">
        <f>'SCH J Stip KU'!$M$24/12</f>
        <v>7.6687331767476595E-3</v>
      </c>
      <c r="AN11" s="78">
        <f>'SCH J Stip KU'!$M$24/12</f>
        <v>7.6687331767476595E-3</v>
      </c>
      <c r="AO11" s="78">
        <f>'SCH J Stip KU'!$M$24/12</f>
        <v>7.6687331767476595E-3</v>
      </c>
      <c r="AP11" s="78">
        <f>'SCH J Stip KU'!$M$24/12</f>
        <v>7.6687331767476595E-3</v>
      </c>
      <c r="AQ11" s="78">
        <f>'SCH J Stip KU'!$M$24/12</f>
        <v>7.6687331767476595E-3</v>
      </c>
      <c r="AR11" s="78">
        <f>'SCH J Stip KU'!$M$24/12</f>
        <v>7.6687331767476595E-3</v>
      </c>
      <c r="AS11" s="78">
        <f>'SCH J Stip KU'!$M$24/12</f>
        <v>7.6687331767476595E-3</v>
      </c>
      <c r="AT11" s="78">
        <f>'SCH J Stip KU'!$M$24/12</f>
        <v>7.6687331767476595E-3</v>
      </c>
      <c r="AU11" s="78">
        <f>'SCH J Stip KU'!$M$24/12</f>
        <v>7.6687331767476595E-3</v>
      </c>
      <c r="AV11" s="78">
        <f>'SCH J Stip KU'!$M$24/12</f>
        <v>7.6687331767476595E-3</v>
      </c>
      <c r="AW11" s="78">
        <f>'SCH J Stip KU'!$M$24/12</f>
        <v>7.6687331767476595E-3</v>
      </c>
    </row>
    <row r="12" spans="1:49" x14ac:dyDescent="0.2">
      <c r="A12" s="9" t="s">
        <v>216</v>
      </c>
      <c r="B12" s="4"/>
      <c r="C12" s="4"/>
      <c r="D12" s="4"/>
      <c r="E12" s="4"/>
      <c r="F12" s="4">
        <f t="shared" ref="F12:AW12" si="2">F10*F11</f>
        <v>1195598.0105052565</v>
      </c>
      <c r="G12" s="4">
        <f t="shared" si="2"/>
        <v>6568962.2895497261</v>
      </c>
      <c r="H12" s="4">
        <f t="shared" si="2"/>
        <v>6555293.2927111564</v>
      </c>
      <c r="I12" s="4">
        <f t="shared" si="2"/>
        <v>7719578.1838884754</v>
      </c>
      <c r="J12" s="4">
        <f t="shared" si="2"/>
        <v>7699447.8536740048</v>
      </c>
      <c r="K12" s="4">
        <f t="shared" si="2"/>
        <v>7687292.35554522</v>
      </c>
      <c r="L12" s="4">
        <f t="shared" si="2"/>
        <v>7664982.4077126263</v>
      </c>
      <c r="M12" s="4">
        <f t="shared" si="2"/>
        <v>7643219.0605215188</v>
      </c>
      <c r="N12" s="4">
        <f t="shared" si="2"/>
        <v>7605366.2844781969</v>
      </c>
      <c r="O12" s="4">
        <f t="shared" si="2"/>
        <v>7567524.0273294253</v>
      </c>
      <c r="P12" s="4">
        <f t="shared" si="2"/>
        <v>7529707.2404496018</v>
      </c>
      <c r="Q12" s="4">
        <f t="shared" si="2"/>
        <v>7491842.1090514427</v>
      </c>
      <c r="R12" s="4">
        <f t="shared" si="2"/>
        <v>7454009.1247335263</v>
      </c>
      <c r="S12" s="4">
        <f t="shared" si="2"/>
        <v>7416150.7205781722</v>
      </c>
      <c r="T12" s="4">
        <f t="shared" si="2"/>
        <v>7377525.2829053067</v>
      </c>
      <c r="U12" s="4">
        <f t="shared" si="2"/>
        <v>7338926.0561380498</v>
      </c>
      <c r="V12" s="4">
        <f t="shared" si="2"/>
        <v>7300189.2890116628</v>
      </c>
      <c r="W12" s="4">
        <f t="shared" si="2"/>
        <v>7262144.5149410544</v>
      </c>
      <c r="X12" s="4">
        <f t="shared" si="2"/>
        <v>7223441.58846753</v>
      </c>
      <c r="Y12" s="4">
        <f t="shared" si="2"/>
        <v>7184696.0232809419</v>
      </c>
      <c r="Z12" s="4">
        <f t="shared" si="2"/>
        <v>7153063.3409629101</v>
      </c>
      <c r="AA12" s="4">
        <f t="shared" si="2"/>
        <v>7121369.5532563515</v>
      </c>
      <c r="AB12" s="4">
        <f t="shared" si="2"/>
        <v>7089686.099462633</v>
      </c>
      <c r="AC12" s="4">
        <f t="shared" si="2"/>
        <v>7058018.7614806509</v>
      </c>
      <c r="AD12" s="4">
        <f t="shared" si="2"/>
        <v>7026346.1240183301</v>
      </c>
      <c r="AE12" s="4">
        <f t="shared" si="2"/>
        <v>6994641.1719020801</v>
      </c>
      <c r="AF12" s="4">
        <f t="shared" si="2"/>
        <v>6962966.0568879899</v>
      </c>
      <c r="AG12" s="4">
        <f t="shared" si="2"/>
        <v>6931295.1821634257</v>
      </c>
      <c r="AH12" s="4">
        <f t="shared" si="2"/>
        <v>6899596.1787437703</v>
      </c>
      <c r="AI12" s="4">
        <f t="shared" si="2"/>
        <v>6867949.9806176433</v>
      </c>
      <c r="AJ12" s="4">
        <f t="shared" si="2"/>
        <v>6836245.2528867237</v>
      </c>
      <c r="AK12" s="4">
        <f t="shared" si="2"/>
        <v>6804517.8869477417</v>
      </c>
      <c r="AL12" s="4">
        <f t="shared" si="2"/>
        <v>6777043.4935872275</v>
      </c>
      <c r="AM12" s="4">
        <f t="shared" si="2"/>
        <v>6749565.4062050395</v>
      </c>
      <c r="AN12" s="4">
        <f t="shared" si="2"/>
        <v>6722062.0221902272</v>
      </c>
      <c r="AO12" s="4">
        <f t="shared" si="2"/>
        <v>6694604.7492105868</v>
      </c>
      <c r="AP12" s="4">
        <f t="shared" si="2"/>
        <v>6667121.8610583199</v>
      </c>
      <c r="AQ12" s="4">
        <f t="shared" si="2"/>
        <v>6639617.3136398438</v>
      </c>
      <c r="AR12" s="4">
        <f t="shared" si="2"/>
        <v>6612153.8258715821</v>
      </c>
      <c r="AS12" s="4">
        <f t="shared" si="2"/>
        <v>6584641.0087249558</v>
      </c>
      <c r="AT12" s="4">
        <f t="shared" si="2"/>
        <v>6557166.935232779</v>
      </c>
      <c r="AU12" s="4">
        <f t="shared" si="2"/>
        <v>6529694.340307733</v>
      </c>
      <c r="AV12" s="4">
        <f t="shared" si="2"/>
        <v>6502173.0955882855</v>
      </c>
      <c r="AW12" s="4">
        <f t="shared" si="2"/>
        <v>6474696.8052673265</v>
      </c>
    </row>
    <row r="13" spans="1:49" x14ac:dyDescent="0.2">
      <c r="A13" s="9" t="s">
        <v>90</v>
      </c>
      <c r="B13" s="76"/>
      <c r="C13" s="76"/>
      <c r="D13" s="76"/>
      <c r="E13" s="76"/>
      <c r="F13" s="76">
        <v>0</v>
      </c>
      <c r="G13" s="76">
        <v>21882.230000000003</v>
      </c>
      <c r="H13" s="76">
        <v>790489.01000000013</v>
      </c>
      <c r="I13" s="76">
        <v>812313.58000000019</v>
      </c>
      <c r="J13" s="76">
        <v>914937.32000000007</v>
      </c>
      <c r="K13" s="76">
        <v>889473.9700000002</v>
      </c>
      <c r="L13" s="76">
        <v>878775.14000000013</v>
      </c>
      <c r="M13" s="76">
        <v>867103.30000000016</v>
      </c>
      <c r="N13" s="76">
        <v>919562.30999999982</v>
      </c>
      <c r="O13" s="76">
        <v>930535.66999999981</v>
      </c>
      <c r="P13" s="76">
        <v>957106.17999999993</v>
      </c>
      <c r="Q13" s="76">
        <v>906673.32</v>
      </c>
      <c r="R13" s="76">
        <v>940209.05999999994</v>
      </c>
      <c r="S13" s="76">
        <v>935573.3899999999</v>
      </c>
      <c r="T13" s="76">
        <v>904013.04999999993</v>
      </c>
      <c r="U13" s="76">
        <v>953180.75999999989</v>
      </c>
      <c r="V13" s="76">
        <v>912322.79999999993</v>
      </c>
      <c r="W13" s="76">
        <v>1608744.5799999996</v>
      </c>
      <c r="X13" s="76">
        <v>911463.08999999985</v>
      </c>
      <c r="Y13" s="76">
        <v>867200.11999999976</v>
      </c>
      <c r="Z13" s="76">
        <v>1124544.7200000002</v>
      </c>
      <c r="AA13" s="76">
        <v>1073814.24</v>
      </c>
      <c r="AB13" s="76">
        <v>1113206.08</v>
      </c>
      <c r="AC13" s="76">
        <v>1081626.2100000002</v>
      </c>
      <c r="AD13" s="76">
        <v>1111674.57</v>
      </c>
      <c r="AE13" s="76">
        <v>1075369.3700000003</v>
      </c>
      <c r="AF13" s="76">
        <v>1076976.0300000003</v>
      </c>
      <c r="AG13" s="76">
        <v>1132608.22</v>
      </c>
      <c r="AH13" s="76">
        <v>1064447.5100000002</v>
      </c>
      <c r="AI13" s="76">
        <v>1817996.64</v>
      </c>
      <c r="AJ13" s="76">
        <v>1061698.2600000002</v>
      </c>
      <c r="AK13" s="76">
        <v>995860.20000000019</v>
      </c>
      <c r="AL13" s="76">
        <v>1158208.42</v>
      </c>
      <c r="AM13" s="76">
        <v>1105726</v>
      </c>
      <c r="AN13" s="76">
        <v>1120830.7200000002</v>
      </c>
      <c r="AO13" s="76">
        <v>1139456</v>
      </c>
      <c r="AP13" s="76">
        <v>1144884.94</v>
      </c>
      <c r="AQ13" s="76">
        <v>1088087.1100000003</v>
      </c>
      <c r="AR13" s="76">
        <v>1134629.33</v>
      </c>
      <c r="AS13" s="76">
        <v>1140903.5100000002</v>
      </c>
      <c r="AT13" s="76">
        <v>1115262.3199999998</v>
      </c>
      <c r="AU13" s="76">
        <v>1872456.1399999997</v>
      </c>
      <c r="AV13" s="76">
        <v>1067508.6900000004</v>
      </c>
      <c r="AW13" s="76">
        <v>1050669.1800000002</v>
      </c>
    </row>
    <row r="14" spans="1:49" x14ac:dyDescent="0.2">
      <c r="A14" s="9" t="s">
        <v>89</v>
      </c>
      <c r="B14" s="76"/>
      <c r="C14" s="76"/>
      <c r="D14" s="76"/>
      <c r="E14" s="76"/>
      <c r="F14" s="76">
        <v>284574.67954379413</v>
      </c>
      <c r="G14" s="76">
        <v>1416020.6378851305</v>
      </c>
      <c r="H14" s="76">
        <v>2264066.2967145885</v>
      </c>
      <c r="I14" s="76">
        <v>2548652.3435562607</v>
      </c>
      <c r="J14" s="76">
        <v>2833492.4615274351</v>
      </c>
      <c r="K14" s="76">
        <v>2837585.6734348442</v>
      </c>
      <c r="L14" s="76">
        <v>2841355.3226971002</v>
      </c>
      <c r="M14" s="76">
        <v>2843653.0926769194</v>
      </c>
      <c r="N14" s="76">
        <v>2844845.9741404713</v>
      </c>
      <c r="O14" s="76">
        <v>2844845.9741404713</v>
      </c>
      <c r="P14" s="76">
        <v>2844845.9741404713</v>
      </c>
      <c r="Q14" s="76">
        <v>2844845.9741404713</v>
      </c>
      <c r="R14" s="76">
        <v>2844845.9741404713</v>
      </c>
      <c r="S14" s="76">
        <v>2844845.9741404713</v>
      </c>
      <c r="T14" s="76">
        <v>2844845.9741404713</v>
      </c>
      <c r="U14" s="76">
        <v>2844845.9741404713</v>
      </c>
      <c r="V14" s="76">
        <v>2844845.9741404713</v>
      </c>
      <c r="W14" s="76">
        <v>2844845.9741404713</v>
      </c>
      <c r="X14" s="76">
        <v>2844845.9741404713</v>
      </c>
      <c r="Y14" s="76">
        <v>2846826.2290780763</v>
      </c>
      <c r="Z14" s="76">
        <v>2848976.4558873074</v>
      </c>
      <c r="AA14" s="76">
        <v>2849316.3996423786</v>
      </c>
      <c r="AB14" s="76">
        <v>2849656.3434092673</v>
      </c>
      <c r="AC14" s="76">
        <v>2849996.287176156</v>
      </c>
      <c r="AD14" s="76">
        <v>2850336.2309430446</v>
      </c>
      <c r="AE14" s="76">
        <v>2850676.1747099329</v>
      </c>
      <c r="AF14" s="76">
        <v>2851016.118476822</v>
      </c>
      <c r="AG14" s="76">
        <v>2851356.0622437103</v>
      </c>
      <c r="AH14" s="76">
        <v>2851696.006010599</v>
      </c>
      <c r="AI14" s="76">
        <v>2852035.9497774877</v>
      </c>
      <c r="AJ14" s="76">
        <v>2852375.8935443764</v>
      </c>
      <c r="AK14" s="76">
        <v>2852715.8373112651</v>
      </c>
      <c r="AL14" s="76">
        <v>2853060.8801680068</v>
      </c>
      <c r="AM14" s="76">
        <v>2853411.0221855054</v>
      </c>
      <c r="AN14" s="76">
        <v>2853761.1642739093</v>
      </c>
      <c r="AO14" s="76">
        <v>2854111.3063623128</v>
      </c>
      <c r="AP14" s="76">
        <v>2854461.4484507167</v>
      </c>
      <c r="AQ14" s="76">
        <v>2854811.5905391206</v>
      </c>
      <c r="AR14" s="76">
        <v>2855161.7326275245</v>
      </c>
      <c r="AS14" s="76">
        <v>2855511.874715928</v>
      </c>
      <c r="AT14" s="76">
        <v>2855862.0168043319</v>
      </c>
      <c r="AU14" s="76">
        <v>2856212.1588927354</v>
      </c>
      <c r="AV14" s="76">
        <v>2856562.3009811393</v>
      </c>
      <c r="AW14" s="76">
        <v>2856912.4430695432</v>
      </c>
    </row>
    <row r="15" spans="1:49" x14ac:dyDescent="0.2">
      <c r="A15" s="9" t="s">
        <v>114</v>
      </c>
      <c r="B15" s="76"/>
      <c r="C15" s="4"/>
      <c r="D15" s="4"/>
      <c r="E15" s="4"/>
      <c r="F15" s="4">
        <v>3338.9101795181232</v>
      </c>
      <c r="G15" s="4">
        <v>21470.860451449433</v>
      </c>
      <c r="H15" s="4">
        <v>21470.860451449433</v>
      </c>
      <c r="I15" s="4">
        <v>21470.860451449433</v>
      </c>
      <c r="J15" s="4">
        <v>21470.860451449433</v>
      </c>
      <c r="K15" s="4">
        <v>21470.860451449433</v>
      </c>
      <c r="L15" s="4">
        <v>21470.860451449433</v>
      </c>
      <c r="M15" s="4">
        <v>21470.860451449433</v>
      </c>
      <c r="N15" s="4">
        <v>21470.860451449433</v>
      </c>
      <c r="O15" s="4">
        <v>21470.860451449433</v>
      </c>
      <c r="P15" s="4">
        <v>21470.860451449433</v>
      </c>
      <c r="Q15" s="4">
        <v>21470.860451449433</v>
      </c>
      <c r="R15" s="4">
        <v>21470.860451449433</v>
      </c>
      <c r="S15" s="4">
        <v>21470.860451449433</v>
      </c>
      <c r="T15" s="4">
        <v>21470.860451449433</v>
      </c>
      <c r="U15" s="4">
        <v>21470.860451449433</v>
      </c>
      <c r="V15" s="4">
        <v>21470.860451449433</v>
      </c>
      <c r="W15" s="4">
        <v>21470.860451449433</v>
      </c>
      <c r="X15" s="4">
        <v>21470.860451449433</v>
      </c>
      <c r="Y15" s="4">
        <v>21470.860451449433</v>
      </c>
      <c r="Z15" s="4">
        <v>21470.860451449433</v>
      </c>
      <c r="AA15" s="4">
        <v>21470.860451449433</v>
      </c>
      <c r="AB15" s="4">
        <v>21470.860451449433</v>
      </c>
      <c r="AC15" s="4">
        <v>21470.860451449433</v>
      </c>
      <c r="AD15" s="4">
        <v>21470.860451449433</v>
      </c>
      <c r="AE15" s="4">
        <v>21470.860451449433</v>
      </c>
      <c r="AF15" s="4">
        <v>21470.860451449433</v>
      </c>
      <c r="AG15" s="4">
        <v>21470.860451449433</v>
      </c>
      <c r="AH15" s="4">
        <v>21470.860451449433</v>
      </c>
      <c r="AI15" s="4">
        <v>21470.860451449433</v>
      </c>
      <c r="AJ15" s="4">
        <v>21470.860451449433</v>
      </c>
      <c r="AK15" s="4">
        <v>21470.860451449433</v>
      </c>
      <c r="AL15" s="4">
        <v>21470.860451449433</v>
      </c>
      <c r="AM15" s="4">
        <v>21470.860451449433</v>
      </c>
      <c r="AN15" s="4">
        <v>21470.860451449433</v>
      </c>
      <c r="AO15" s="4">
        <v>21470.860451449433</v>
      </c>
      <c r="AP15" s="4">
        <v>21470.860451449433</v>
      </c>
      <c r="AQ15" s="4">
        <v>21470.860451449433</v>
      </c>
      <c r="AR15" s="4">
        <v>21470.860451449433</v>
      </c>
      <c r="AS15" s="4">
        <v>21470.860451449433</v>
      </c>
      <c r="AT15" s="4">
        <v>21470.860451449433</v>
      </c>
      <c r="AU15" s="4">
        <v>21470.860451449433</v>
      </c>
      <c r="AV15" s="4">
        <v>21470.860451449433</v>
      </c>
      <c r="AW15" s="4">
        <v>21470.860451449433</v>
      </c>
    </row>
    <row r="16" spans="1:49" x14ac:dyDescent="0.2">
      <c r="A16" s="9" t="s">
        <v>87</v>
      </c>
      <c r="B16" s="76"/>
      <c r="C16" s="76"/>
      <c r="D16" s="76"/>
      <c r="E16" s="76"/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128201.6466239955</v>
      </c>
      <c r="O16" s="76">
        <v>128201.6466239955</v>
      </c>
      <c r="P16" s="76">
        <v>128201.6466239955</v>
      </c>
      <c r="Q16" s="76">
        <v>128201.6466239955</v>
      </c>
      <c r="R16" s="76">
        <v>128201.6466239955</v>
      </c>
      <c r="S16" s="76">
        <v>128201.6466239955</v>
      </c>
      <c r="T16" s="76">
        <v>128201.6466239955</v>
      </c>
      <c r="U16" s="76">
        <v>128201.6466239955</v>
      </c>
      <c r="V16" s="76">
        <v>128201.6466239955</v>
      </c>
      <c r="W16" s="76">
        <v>128201.6466239955</v>
      </c>
      <c r="X16" s="76">
        <v>128201.6466239955</v>
      </c>
      <c r="Y16" s="76">
        <v>128201.6466239955</v>
      </c>
      <c r="Z16" s="76">
        <v>124166.86618591759</v>
      </c>
      <c r="AA16" s="76">
        <v>124166.86618591759</v>
      </c>
      <c r="AB16" s="76">
        <v>124166.86618591759</v>
      </c>
      <c r="AC16" s="76">
        <v>124166.86618591759</v>
      </c>
      <c r="AD16" s="76">
        <v>124166.86618591759</v>
      </c>
      <c r="AE16" s="76">
        <v>124166.86618591759</v>
      </c>
      <c r="AF16" s="76">
        <v>124166.86618591759</v>
      </c>
      <c r="AG16" s="76">
        <v>124166.86618591759</v>
      </c>
      <c r="AH16" s="76">
        <v>124166.86618591759</v>
      </c>
      <c r="AI16" s="76">
        <v>124166.86618591759</v>
      </c>
      <c r="AJ16" s="76">
        <v>124166.86618591759</v>
      </c>
      <c r="AK16" s="76">
        <v>124166.86618591759</v>
      </c>
      <c r="AL16" s="76">
        <v>120130.31510352605</v>
      </c>
      <c r="AM16" s="76">
        <v>120130.31510352605</v>
      </c>
      <c r="AN16" s="76">
        <v>120130.31510352605</v>
      </c>
      <c r="AO16" s="76">
        <v>120130.31510352605</v>
      </c>
      <c r="AP16" s="76">
        <v>120130.31510352605</v>
      </c>
      <c r="AQ16" s="76">
        <v>120130.31510352605</v>
      </c>
      <c r="AR16" s="76">
        <v>120130.31510352605</v>
      </c>
      <c r="AS16" s="76">
        <v>120130.31510352605</v>
      </c>
      <c r="AT16" s="76">
        <v>120130.31510352605</v>
      </c>
      <c r="AU16" s="76">
        <v>120130.31510352605</v>
      </c>
      <c r="AV16" s="76">
        <v>120130.31510352605</v>
      </c>
      <c r="AW16" s="76">
        <v>120130.31510352605</v>
      </c>
    </row>
    <row r="17" spans="1:49" x14ac:dyDescent="0.2">
      <c r="A17" s="9" t="s">
        <v>86</v>
      </c>
      <c r="B17" s="76"/>
      <c r="C17" s="76"/>
      <c r="D17" s="76"/>
      <c r="E17" s="76"/>
      <c r="F17" s="76">
        <v>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6">
        <v>0</v>
      </c>
      <c r="V17" s="76">
        <v>0</v>
      </c>
      <c r="W17" s="76">
        <v>0</v>
      </c>
      <c r="X17" s="76">
        <v>0</v>
      </c>
      <c r="Y17" s="76">
        <v>0</v>
      </c>
      <c r="Z17" s="76">
        <v>0</v>
      </c>
      <c r="AA17" s="76">
        <v>0</v>
      </c>
      <c r="AB17" s="76">
        <v>0</v>
      </c>
      <c r="AC17" s="76">
        <v>0</v>
      </c>
      <c r="AD17" s="76">
        <v>0</v>
      </c>
      <c r="AE17" s="76">
        <v>0</v>
      </c>
      <c r="AF17" s="76">
        <v>0</v>
      </c>
      <c r="AG17" s="76">
        <v>0</v>
      </c>
      <c r="AH17" s="76">
        <v>0</v>
      </c>
      <c r="AI17" s="76">
        <v>0</v>
      </c>
      <c r="AJ17" s="76">
        <v>0</v>
      </c>
      <c r="AK17" s="76">
        <v>0</v>
      </c>
    </row>
    <row r="18" spans="1:49" x14ac:dyDescent="0.2">
      <c r="A18" s="9" t="s">
        <v>85</v>
      </c>
      <c r="B18" s="76"/>
      <c r="C18" s="76"/>
      <c r="D18" s="76"/>
      <c r="E18" s="76"/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6">
        <v>0</v>
      </c>
      <c r="Y18" s="76">
        <v>0</v>
      </c>
      <c r="Z18" s="76">
        <v>0</v>
      </c>
      <c r="AA18" s="76">
        <v>0</v>
      </c>
      <c r="AB18" s="76">
        <v>0</v>
      </c>
      <c r="AC18" s="76">
        <v>0</v>
      </c>
      <c r="AD18" s="76">
        <v>0</v>
      </c>
      <c r="AE18" s="76">
        <v>0</v>
      </c>
      <c r="AF18" s="76">
        <v>0</v>
      </c>
      <c r="AG18" s="76">
        <v>0</v>
      </c>
      <c r="AH18" s="76">
        <v>0</v>
      </c>
      <c r="AI18" s="76">
        <v>0</v>
      </c>
      <c r="AJ18" s="76">
        <v>0</v>
      </c>
      <c r="AK18" s="76">
        <v>0</v>
      </c>
    </row>
    <row r="19" spans="1:49" ht="12.75" thickBot="1" x14ac:dyDescent="0.25">
      <c r="A19" s="9" t="s">
        <v>84</v>
      </c>
      <c r="B19" s="4"/>
      <c r="C19" s="4"/>
      <c r="D19" s="4"/>
      <c r="E19" s="4"/>
      <c r="F19" s="79">
        <v>0</v>
      </c>
      <c r="G19" s="79">
        <v>-27773.556295802799</v>
      </c>
      <c r="H19" s="79">
        <v>-870861.38174550293</v>
      </c>
      <c r="I19" s="79">
        <v>-1563632.3824117256</v>
      </c>
      <c r="J19" s="79">
        <v>-1389702.7714856763</v>
      </c>
      <c r="K19" s="79">
        <v>-1006615.5109926716</v>
      </c>
      <c r="L19" s="79">
        <v>-838929.82544970035</v>
      </c>
      <c r="M19" s="79">
        <v>-576748.67288474354</v>
      </c>
      <c r="N19" s="79">
        <v>-630924.09793471021</v>
      </c>
      <c r="O19" s="79">
        <v>-750916.05529646913</v>
      </c>
      <c r="P19" s="79">
        <v>-1336603.0892738176</v>
      </c>
      <c r="Q19" s="79">
        <v>-1523211.2298467688</v>
      </c>
      <c r="R19" s="79">
        <v>-1785183.4666888742</v>
      </c>
      <c r="S19" s="79">
        <v>-2055093.3467688209</v>
      </c>
      <c r="T19" s="79">
        <v>-2013568.518987342</v>
      </c>
      <c r="U19" s="79">
        <v>-1794855.6875416392</v>
      </c>
      <c r="V19" s="79">
        <v>-1484924.4803464359</v>
      </c>
      <c r="W19" s="79">
        <v>-1176433.7528314458</v>
      </c>
      <c r="X19" s="79">
        <v>-776625.61658894073</v>
      </c>
      <c r="Y19" s="79">
        <v>-669654.99533644249</v>
      </c>
      <c r="Z19" s="79">
        <v>-759330.85742838122</v>
      </c>
      <c r="AA19" s="79">
        <v>-608788.72684876749</v>
      </c>
      <c r="AB19" s="79">
        <v>-1138501.1212524984</v>
      </c>
      <c r="AC19" s="79">
        <v>-1746950.7351765491</v>
      </c>
      <c r="AD19" s="79">
        <v>-1961567.2025316455</v>
      </c>
      <c r="AE19" s="79">
        <v>-1934936.3344437045</v>
      </c>
      <c r="AF19" s="79">
        <v>-1949515.1892071955</v>
      </c>
      <c r="AG19" s="79">
        <v>-1667412.2488341108</v>
      </c>
      <c r="AH19" s="79">
        <v>-1121266.3820786143</v>
      </c>
      <c r="AI19" s="79">
        <v>-1121053.3111259162</v>
      </c>
      <c r="AJ19" s="79">
        <v>-579444.95536309131</v>
      </c>
      <c r="AK19" s="79">
        <v>-498901.1342438375</v>
      </c>
      <c r="AL19" s="79">
        <v>-779110.44403730845</v>
      </c>
      <c r="AM19" s="79">
        <v>-649152.16788807465</v>
      </c>
      <c r="AN19" s="79">
        <v>-1209723.8384410394</v>
      </c>
      <c r="AO19" s="79">
        <v>-1468647.059960027</v>
      </c>
      <c r="AP19" s="79">
        <v>-1586853.4227181878</v>
      </c>
      <c r="AQ19" s="79">
        <v>-1752760.6698867425</v>
      </c>
      <c r="AR19" s="79">
        <v>-2091966.6255829448</v>
      </c>
      <c r="AS19" s="79">
        <v>-1826993.3894070622</v>
      </c>
      <c r="AT19" s="79">
        <v>-1585623.0129913392</v>
      </c>
      <c r="AU19" s="79">
        <v>-1186928.2475016657</v>
      </c>
      <c r="AV19" s="79">
        <v>-795877.02731512336</v>
      </c>
      <c r="AW19" s="79">
        <v>-499924.47501665558</v>
      </c>
    </row>
    <row r="20" spans="1:49" x14ac:dyDescent="0.2">
      <c r="A20" s="5" t="s">
        <v>83</v>
      </c>
      <c r="B20" s="77"/>
      <c r="C20" s="77"/>
      <c r="D20" s="77"/>
      <c r="E20" s="77"/>
      <c r="F20" s="77">
        <f t="shared" ref="F20:AW20" si="3">SUM(F12:F19)</f>
        <v>1483511.6002285688</v>
      </c>
      <c r="G20" s="77">
        <f t="shared" si="3"/>
        <v>8000562.4615905033</v>
      </c>
      <c r="H20" s="77">
        <f t="shared" si="3"/>
        <v>8760458.0781316906</v>
      </c>
      <c r="I20" s="77">
        <f t="shared" si="3"/>
        <v>9538382.58548446</v>
      </c>
      <c r="J20" s="77">
        <f t="shared" si="3"/>
        <v>10079645.724167211</v>
      </c>
      <c r="K20" s="77">
        <f t="shared" si="3"/>
        <v>10429207.34843884</v>
      </c>
      <c r="L20" s="77">
        <f t="shared" si="3"/>
        <v>10567653.905411476</v>
      </c>
      <c r="M20" s="77">
        <f t="shared" si="3"/>
        <v>10798697.640765144</v>
      </c>
      <c r="N20" s="77">
        <f t="shared" si="3"/>
        <v>10888522.977759402</v>
      </c>
      <c r="O20" s="77">
        <f t="shared" si="3"/>
        <v>10741662.12324887</v>
      </c>
      <c r="P20" s="77">
        <f t="shared" si="3"/>
        <v>10144728.812391698</v>
      </c>
      <c r="Q20" s="77">
        <f t="shared" si="3"/>
        <v>9869822.6804205887</v>
      </c>
      <c r="R20" s="77">
        <f t="shared" si="3"/>
        <v>9603553.1992605664</v>
      </c>
      <c r="S20" s="77">
        <f t="shared" si="3"/>
        <v>9291149.245025266</v>
      </c>
      <c r="T20" s="77">
        <f t="shared" si="3"/>
        <v>9262488.2951338794</v>
      </c>
      <c r="U20" s="77">
        <f t="shared" si="3"/>
        <v>9491769.6098123249</v>
      </c>
      <c r="V20" s="77">
        <f t="shared" si="3"/>
        <v>9722106.0898811426</v>
      </c>
      <c r="W20" s="77">
        <f t="shared" si="3"/>
        <v>10688973.823325522</v>
      </c>
      <c r="X20" s="77">
        <f t="shared" si="3"/>
        <v>10352797.543094505</v>
      </c>
      <c r="Y20" s="77">
        <f t="shared" si="3"/>
        <v>10378739.884098019</v>
      </c>
      <c r="Z20" s="77">
        <f t="shared" si="3"/>
        <v>10512891.386059204</v>
      </c>
      <c r="AA20" s="77">
        <f t="shared" si="3"/>
        <v>10581349.192687329</v>
      </c>
      <c r="AB20" s="77">
        <f t="shared" si="3"/>
        <v>10059685.12825677</v>
      </c>
      <c r="AC20" s="77">
        <f t="shared" si="3"/>
        <v>9388328.250117626</v>
      </c>
      <c r="AD20" s="77">
        <f t="shared" si="3"/>
        <v>9172427.4490670972</v>
      </c>
      <c r="AE20" s="77">
        <f t="shared" si="3"/>
        <v>9131388.1088056751</v>
      </c>
      <c r="AF20" s="77">
        <f t="shared" si="3"/>
        <v>9087080.7427949831</v>
      </c>
      <c r="AG20" s="77">
        <f t="shared" si="3"/>
        <v>9393484.9422103912</v>
      </c>
      <c r="AH20" s="77">
        <f t="shared" si="3"/>
        <v>9840111.0393131226</v>
      </c>
      <c r="AI20" s="77">
        <f t="shared" si="3"/>
        <v>10562566.985906582</v>
      </c>
      <c r="AJ20" s="77">
        <f t="shared" si="3"/>
        <v>10316512.177705375</v>
      </c>
      <c r="AK20" s="77">
        <f t="shared" si="3"/>
        <v>10299830.516652538</v>
      </c>
      <c r="AL20" s="77">
        <f t="shared" si="3"/>
        <v>10150803.525272898</v>
      </c>
      <c r="AM20" s="77">
        <f t="shared" si="3"/>
        <v>10201151.436057443</v>
      </c>
      <c r="AN20" s="77">
        <f t="shared" si="3"/>
        <v>9628531.2435780726</v>
      </c>
      <c r="AO20" s="77">
        <f t="shared" si="3"/>
        <v>9361126.1711678468</v>
      </c>
      <c r="AP20" s="77">
        <f t="shared" si="3"/>
        <v>9221216.0023458228</v>
      </c>
      <c r="AQ20" s="77">
        <f t="shared" si="3"/>
        <v>8971356.5198471975</v>
      </c>
      <c r="AR20" s="77">
        <f t="shared" si="3"/>
        <v>8651579.4384711366</v>
      </c>
      <c r="AS20" s="77">
        <f t="shared" si="3"/>
        <v>8895664.1795887947</v>
      </c>
      <c r="AT20" s="77">
        <f t="shared" si="3"/>
        <v>9084269.4346007463</v>
      </c>
      <c r="AU20" s="77">
        <f t="shared" si="3"/>
        <v>10213035.567253776</v>
      </c>
      <c r="AV20" s="77">
        <f t="shared" si="3"/>
        <v>9771968.2348092757</v>
      </c>
      <c r="AW20" s="77">
        <f t="shared" si="3"/>
        <v>10023955.128875189</v>
      </c>
    </row>
    <row r="21" spans="1:49" ht="12.75" thickBot="1" x14ac:dyDescent="0.25">
      <c r="A21" s="9" t="s">
        <v>210</v>
      </c>
      <c r="B21" s="78"/>
      <c r="C21" s="78"/>
      <c r="D21" s="78"/>
      <c r="E21" s="78"/>
      <c r="F21" s="78">
        <f>'Juris Alloc'!$B$16</f>
        <v>0.92154166666666681</v>
      </c>
      <c r="G21" s="78">
        <f>'Juris Alloc'!$B$16</f>
        <v>0.92154166666666681</v>
      </c>
      <c r="H21" s="78">
        <f>'Juris Alloc'!$B$16</f>
        <v>0.92154166666666681</v>
      </c>
      <c r="I21" s="78">
        <f>'Juris Alloc'!$B$16</f>
        <v>0.92154166666666681</v>
      </c>
      <c r="J21" s="78">
        <f>'Juris Alloc'!$B$16</f>
        <v>0.92154166666666681</v>
      </c>
      <c r="K21" s="78">
        <f>'Juris Alloc'!$B$16</f>
        <v>0.92154166666666681</v>
      </c>
      <c r="L21" s="78">
        <f>'Juris Alloc'!$B$16</f>
        <v>0.92154166666666681</v>
      </c>
      <c r="M21" s="78">
        <f>'Juris Alloc'!$B$16</f>
        <v>0.92154166666666681</v>
      </c>
      <c r="N21" s="78">
        <f>'Juris Alloc'!$B$16</f>
        <v>0.92154166666666681</v>
      </c>
      <c r="O21" s="78">
        <f>'Juris Alloc'!$B$16</f>
        <v>0.92154166666666681</v>
      </c>
      <c r="P21" s="78">
        <f>'Juris Alloc'!$B$16</f>
        <v>0.92154166666666681</v>
      </c>
      <c r="Q21" s="78">
        <f>'Juris Alloc'!$B$16</f>
        <v>0.92154166666666681</v>
      </c>
      <c r="R21" s="78">
        <f>'Juris Alloc'!$B$16</f>
        <v>0.92154166666666681</v>
      </c>
      <c r="S21" s="78">
        <f>'Juris Alloc'!$B$16</f>
        <v>0.92154166666666681</v>
      </c>
      <c r="T21" s="78">
        <f>'Juris Alloc'!$B$16</f>
        <v>0.92154166666666681</v>
      </c>
      <c r="U21" s="78">
        <f>'Juris Alloc'!$B$16</f>
        <v>0.92154166666666681</v>
      </c>
      <c r="V21" s="78">
        <f>'Juris Alloc'!$B$16</f>
        <v>0.92154166666666681</v>
      </c>
      <c r="W21" s="78">
        <f>'Juris Alloc'!$B$16</f>
        <v>0.92154166666666681</v>
      </c>
      <c r="X21" s="78">
        <f>'Juris Alloc'!$B$16</f>
        <v>0.92154166666666681</v>
      </c>
      <c r="Y21" s="78">
        <f>'Juris Alloc'!$B$16</f>
        <v>0.92154166666666681</v>
      </c>
      <c r="Z21" s="78">
        <f>'Juris Alloc'!$B$16</f>
        <v>0.92154166666666681</v>
      </c>
      <c r="AA21" s="78">
        <f>'Juris Alloc'!$B$16</f>
        <v>0.92154166666666681</v>
      </c>
      <c r="AB21" s="78">
        <f>'Juris Alloc'!$B$16</f>
        <v>0.92154166666666681</v>
      </c>
      <c r="AC21" s="78">
        <f>'Juris Alloc'!$B$16</f>
        <v>0.92154166666666681</v>
      </c>
      <c r="AD21" s="78">
        <f>'Juris Alloc'!$B$16</f>
        <v>0.92154166666666681</v>
      </c>
      <c r="AE21" s="78">
        <f>'Juris Alloc'!$B$16</f>
        <v>0.92154166666666681</v>
      </c>
      <c r="AF21" s="78">
        <f>'Juris Alloc'!$B$16</f>
        <v>0.92154166666666681</v>
      </c>
      <c r="AG21" s="78">
        <f>'Juris Alloc'!$B$16</f>
        <v>0.92154166666666681</v>
      </c>
      <c r="AH21" s="78">
        <f>'Juris Alloc'!$B$16</f>
        <v>0.92154166666666681</v>
      </c>
      <c r="AI21" s="78">
        <f>'Juris Alloc'!$B$16</f>
        <v>0.92154166666666681</v>
      </c>
      <c r="AJ21" s="78">
        <f>'Juris Alloc'!$B$16</f>
        <v>0.92154166666666681</v>
      </c>
      <c r="AK21" s="78">
        <f>'Juris Alloc'!$B$16</f>
        <v>0.92154166666666681</v>
      </c>
      <c r="AL21" s="78">
        <f>'Juris Alloc'!$B$16</f>
        <v>0.92154166666666681</v>
      </c>
      <c r="AM21" s="78">
        <f>'Juris Alloc'!$B$16</f>
        <v>0.92154166666666681</v>
      </c>
      <c r="AN21" s="78">
        <f>'Juris Alloc'!$B$16</f>
        <v>0.92154166666666681</v>
      </c>
      <c r="AO21" s="78">
        <f>'Juris Alloc'!$B$16</f>
        <v>0.92154166666666681</v>
      </c>
      <c r="AP21" s="78">
        <f>'Juris Alloc'!$B$16</f>
        <v>0.92154166666666681</v>
      </c>
      <c r="AQ21" s="78">
        <f>'Juris Alloc'!$B$16</f>
        <v>0.92154166666666681</v>
      </c>
      <c r="AR21" s="78">
        <f>'Juris Alloc'!$B$16</f>
        <v>0.92154166666666681</v>
      </c>
      <c r="AS21" s="78">
        <f>'Juris Alloc'!$B$16</f>
        <v>0.92154166666666681</v>
      </c>
      <c r="AT21" s="78">
        <f>'Juris Alloc'!$B$16</f>
        <v>0.92154166666666681</v>
      </c>
      <c r="AU21" s="78">
        <f>'Juris Alloc'!$B$16</f>
        <v>0.92154166666666681</v>
      </c>
      <c r="AV21" s="78">
        <f>'Juris Alloc'!$B$16</f>
        <v>0.92154166666666681</v>
      </c>
      <c r="AW21" s="78">
        <f>'Juris Alloc'!$B$16</f>
        <v>0.92154166666666681</v>
      </c>
    </row>
    <row r="22" spans="1:49" ht="12.75" thickBot="1" x14ac:dyDescent="0.25">
      <c r="A22" s="5" t="s">
        <v>25</v>
      </c>
      <c r="B22" s="80">
        <v>0</v>
      </c>
      <c r="C22" s="80">
        <v>0</v>
      </c>
      <c r="D22" s="80">
        <v>0</v>
      </c>
      <c r="E22" s="80">
        <v>0</v>
      </c>
      <c r="F22" s="80">
        <f t="shared" ref="F22:AW22" si="4">F20*F21</f>
        <v>1367117.7525939692</v>
      </c>
      <c r="G22" s="80">
        <f t="shared" si="4"/>
        <v>7372851.6651248829</v>
      </c>
      <c r="H22" s="80">
        <f t="shared" si="4"/>
        <v>8073127.1380849434</v>
      </c>
      <c r="I22" s="80">
        <f t="shared" si="4"/>
        <v>8790016.9851316605</v>
      </c>
      <c r="J22" s="80">
        <f t="shared" si="4"/>
        <v>9288813.5200585928</v>
      </c>
      <c r="K22" s="80">
        <f t="shared" si="4"/>
        <v>9610949.121892577</v>
      </c>
      <c r="L22" s="80">
        <f t="shared" si="4"/>
        <v>9738533.3927494027</v>
      </c>
      <c r="M22" s="80">
        <f t="shared" si="4"/>
        <v>9951449.8217001129</v>
      </c>
      <c r="N22" s="80">
        <f t="shared" si="4"/>
        <v>10034227.612462698</v>
      </c>
      <c r="O22" s="80">
        <f t="shared" si="4"/>
        <v>9898889.2158289701</v>
      </c>
      <c r="P22" s="80">
        <f t="shared" si="4"/>
        <v>9348790.2976528015</v>
      </c>
      <c r="Q22" s="80">
        <f t="shared" si="4"/>
        <v>9095452.8426192589</v>
      </c>
      <c r="R22" s="80">
        <f t="shared" si="4"/>
        <v>8850074.4211685825</v>
      </c>
      <c r="S22" s="80">
        <f t="shared" si="4"/>
        <v>8562181.1605093274</v>
      </c>
      <c r="T22" s="80">
        <f t="shared" si="4"/>
        <v>8535768.9009781685</v>
      </c>
      <c r="U22" s="80">
        <f t="shared" si="4"/>
        <v>8747061.1858424675</v>
      </c>
      <c r="V22" s="80">
        <f t="shared" si="4"/>
        <v>8959325.8495792188</v>
      </c>
      <c r="W22" s="80">
        <f t="shared" si="4"/>
        <v>9850334.7521037757</v>
      </c>
      <c r="X22" s="80">
        <f t="shared" si="4"/>
        <v>9540534.3025258835</v>
      </c>
      <c r="Y22" s="80">
        <f t="shared" si="4"/>
        <v>9564441.2506914977</v>
      </c>
      <c r="Z22" s="80">
        <f t="shared" si="4"/>
        <v>9688067.4493946433</v>
      </c>
      <c r="AA22" s="80">
        <f t="shared" si="4"/>
        <v>9751154.1706110705</v>
      </c>
      <c r="AB22" s="80">
        <f t="shared" si="4"/>
        <v>9270418.9992356263</v>
      </c>
      <c r="AC22" s="80">
        <f t="shared" si="4"/>
        <v>8651735.662827149</v>
      </c>
      <c r="AD22" s="80">
        <f t="shared" si="4"/>
        <v>8452774.0787923764</v>
      </c>
      <c r="AE22" s="80">
        <f t="shared" si="4"/>
        <v>8414954.6167689636</v>
      </c>
      <c r="AF22" s="80">
        <f t="shared" si="4"/>
        <v>8374123.5328498613</v>
      </c>
      <c r="AG22" s="80">
        <f t="shared" si="4"/>
        <v>8656487.7694528028</v>
      </c>
      <c r="AH22" s="80">
        <f t="shared" si="4"/>
        <v>9068072.3273536824</v>
      </c>
      <c r="AI22" s="80">
        <f t="shared" si="4"/>
        <v>9733845.5844706632</v>
      </c>
      <c r="AJ22" s="80">
        <f t="shared" si="4"/>
        <v>9507095.8264295757</v>
      </c>
      <c r="AK22" s="80">
        <f t="shared" si="4"/>
        <v>9491722.9807001762</v>
      </c>
      <c r="AL22" s="80">
        <f t="shared" si="4"/>
        <v>9354388.3986858632</v>
      </c>
      <c r="AM22" s="80">
        <f t="shared" si="4"/>
        <v>9400786.0963034369</v>
      </c>
      <c r="AN22" s="80">
        <f t="shared" si="4"/>
        <v>8873092.7297590114</v>
      </c>
      <c r="AO22" s="80">
        <f t="shared" si="4"/>
        <v>8626667.8136549704</v>
      </c>
      <c r="AP22" s="80">
        <f t="shared" si="4"/>
        <v>8497734.7634951081</v>
      </c>
      <c r="AQ22" s="80">
        <f t="shared" si="4"/>
        <v>8267478.8395608542</v>
      </c>
      <c r="AR22" s="80">
        <f t="shared" si="4"/>
        <v>7972790.9350277567</v>
      </c>
      <c r="AS22" s="80">
        <f t="shared" si="4"/>
        <v>8197725.1941652251</v>
      </c>
      <c r="AT22" s="80">
        <f t="shared" si="4"/>
        <v>8371532.7952110311</v>
      </c>
      <c r="AU22" s="80">
        <f t="shared" si="4"/>
        <v>9411737.8183729909</v>
      </c>
      <c r="AV22" s="80">
        <f t="shared" si="4"/>
        <v>9005275.8937198669</v>
      </c>
      <c r="AW22" s="80">
        <f t="shared" si="4"/>
        <v>9237492.3160555251</v>
      </c>
    </row>
    <row r="23" spans="1:49" ht="12.75" thickTop="1" x14ac:dyDescent="0.2"/>
    <row r="25" spans="1:49" x14ac:dyDescent="0.2">
      <c r="A25" s="81" t="s">
        <v>82</v>
      </c>
    </row>
    <row r="26" spans="1:49" x14ac:dyDescent="0.2">
      <c r="A26" s="81" t="s">
        <v>175</v>
      </c>
    </row>
    <row r="27" spans="1:49" x14ac:dyDescent="0.2">
      <c r="A27" s="81" t="s">
        <v>170</v>
      </c>
    </row>
    <row r="29" spans="1:49" x14ac:dyDescent="0.2">
      <c r="A29" s="82" t="s">
        <v>81</v>
      </c>
    </row>
    <row r="30" spans="1:49" x14ac:dyDescent="0.2">
      <c r="A30" s="81" t="s">
        <v>113</v>
      </c>
    </row>
    <row r="31" spans="1:49" x14ac:dyDescent="0.2">
      <c r="A31" s="81" t="s">
        <v>112</v>
      </c>
    </row>
    <row r="32" spans="1:49" x14ac:dyDescent="0.2">
      <c r="A32" s="81" t="s">
        <v>111</v>
      </c>
    </row>
  </sheetData>
  <pageMargins left="0.7" right="0.7" top="0.75" bottom="0.75" header="0.3" footer="0.3"/>
  <pageSetup scale="81" fitToWidth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C9C88-ADD3-4DAE-AE22-6212C42064BC}">
  <sheetPr>
    <tabColor rgb="FF92D050"/>
    <pageSetUpPr fitToPage="1"/>
  </sheetPr>
  <dimension ref="A1:AW34"/>
  <sheetViews>
    <sheetView showGridLines="0" showZeros="0" zoomScaleNormal="100" workbookViewId="0">
      <pane xSplit="1" ySplit="1" topLeftCell="B2" activePane="bottomRight" state="frozen"/>
      <selection activeCell="A37" sqref="A37"/>
      <selection pane="topRight" activeCell="A37" sqref="A37"/>
      <selection pane="bottomLeft" activeCell="A37" sqref="A37"/>
      <selection pane="bottomRight" activeCell="B2" sqref="B2"/>
    </sheetView>
  </sheetViews>
  <sheetFormatPr defaultColWidth="8.7109375" defaultRowHeight="12" x14ac:dyDescent="0.2"/>
  <cols>
    <col min="1" max="1" width="63.5703125" style="81" bestFit="1" customWidth="1"/>
    <col min="2" max="37" width="13.7109375" style="81" customWidth="1"/>
    <col min="38" max="42" width="13.5703125" style="81" bestFit="1" customWidth="1"/>
    <col min="43" max="49" width="14.28515625" style="81" bestFit="1" customWidth="1"/>
    <col min="50" max="16384" width="8.7109375" style="81"/>
  </cols>
  <sheetData>
    <row r="1" spans="1:49" ht="12.75" thickBot="1" x14ac:dyDescent="0.25">
      <c r="A1" s="41" t="s">
        <v>61</v>
      </c>
      <c r="B1" s="1" t="s">
        <v>0</v>
      </c>
      <c r="C1" s="1" t="s">
        <v>1</v>
      </c>
      <c r="D1" s="1" t="s">
        <v>2</v>
      </c>
      <c r="E1" s="75">
        <v>46478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110</v>
      </c>
      <c r="AA1" s="1" t="s">
        <v>109</v>
      </c>
      <c r="AB1" s="1" t="s">
        <v>108</v>
      </c>
      <c r="AC1" s="1" t="s">
        <v>107</v>
      </c>
      <c r="AD1" s="1" t="s">
        <v>106</v>
      </c>
      <c r="AE1" s="1" t="s">
        <v>105</v>
      </c>
      <c r="AF1" s="1" t="s">
        <v>104</v>
      </c>
      <c r="AG1" s="1" t="s">
        <v>103</v>
      </c>
      <c r="AH1" s="1" t="s">
        <v>102</v>
      </c>
      <c r="AI1" s="1" t="s">
        <v>101</v>
      </c>
      <c r="AJ1" s="1" t="s">
        <v>100</v>
      </c>
      <c r="AK1" s="1" t="s">
        <v>99</v>
      </c>
      <c r="AL1" s="75">
        <v>47484</v>
      </c>
      <c r="AM1" s="75">
        <v>47515</v>
      </c>
      <c r="AN1" s="75">
        <v>47543</v>
      </c>
      <c r="AO1" s="75">
        <v>47574</v>
      </c>
      <c r="AP1" s="75">
        <v>47604</v>
      </c>
      <c r="AQ1" s="75">
        <v>47635</v>
      </c>
      <c r="AR1" s="75">
        <v>47665</v>
      </c>
      <c r="AS1" s="75">
        <v>47696</v>
      </c>
      <c r="AT1" s="75">
        <v>47727</v>
      </c>
      <c r="AU1" s="75">
        <v>47757</v>
      </c>
      <c r="AV1" s="75">
        <v>47788</v>
      </c>
      <c r="AW1" s="75">
        <v>47818</v>
      </c>
    </row>
    <row r="2" spans="1:49" x14ac:dyDescent="0.2">
      <c r="A2" s="3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9" x14ac:dyDescent="0.2">
      <c r="A3" s="9" t="s">
        <v>98</v>
      </c>
      <c r="B3" s="76"/>
      <c r="C3" s="76"/>
      <c r="D3" s="76"/>
      <c r="E3" s="76">
        <v>290077531.80000001</v>
      </c>
      <c r="F3" s="76">
        <v>384685268.16000003</v>
      </c>
      <c r="G3" s="76">
        <v>707894848.55999994</v>
      </c>
      <c r="H3" s="76">
        <v>708646547.14999998</v>
      </c>
      <c r="I3" s="76">
        <v>802598061.94999993</v>
      </c>
      <c r="J3" s="76">
        <v>803114321.51999998</v>
      </c>
      <c r="K3" s="76">
        <v>804127411.08999991</v>
      </c>
      <c r="L3" s="76">
        <v>804622359.67999983</v>
      </c>
      <c r="M3" s="76">
        <v>805151848.25999987</v>
      </c>
      <c r="N3" s="76">
        <v>805215837.41999984</v>
      </c>
      <c r="O3" s="76">
        <v>805279826.57999992</v>
      </c>
      <c r="P3" s="76">
        <v>805343815.74000001</v>
      </c>
      <c r="Q3" s="76">
        <v>805407804.89999998</v>
      </c>
      <c r="R3" s="76">
        <v>805471794.05999994</v>
      </c>
      <c r="S3" s="76">
        <v>805535783.22000003</v>
      </c>
      <c r="T3" s="76">
        <v>805599772.38000011</v>
      </c>
      <c r="U3" s="76">
        <v>805663761.54000008</v>
      </c>
      <c r="V3" s="76">
        <v>805727750.70000005</v>
      </c>
      <c r="W3" s="76">
        <v>805791739.86000013</v>
      </c>
      <c r="X3" s="76">
        <v>805855729.02000022</v>
      </c>
      <c r="Y3" s="76">
        <v>805919718.18000019</v>
      </c>
      <c r="Z3" s="76">
        <v>805985626.97000027</v>
      </c>
      <c r="AA3" s="76">
        <v>806051535.81000018</v>
      </c>
      <c r="AB3" s="76">
        <v>806117444.6500001</v>
      </c>
      <c r="AC3" s="76">
        <v>806183353.49000013</v>
      </c>
      <c r="AD3" s="76">
        <v>806249262.33000016</v>
      </c>
      <c r="AE3" s="76">
        <v>806315171.17000008</v>
      </c>
      <c r="AF3" s="76">
        <v>806381080.00999999</v>
      </c>
      <c r="AG3" s="76">
        <v>806446988.85000002</v>
      </c>
      <c r="AH3" s="76">
        <v>806512897.69000006</v>
      </c>
      <c r="AI3" s="76">
        <v>806578806.52999997</v>
      </c>
      <c r="AJ3" s="76">
        <v>806644715.36999989</v>
      </c>
      <c r="AK3" s="76">
        <v>806710624.20999992</v>
      </c>
      <c r="AL3" s="76">
        <v>806778510.25</v>
      </c>
      <c r="AM3" s="76">
        <v>806846396.33999991</v>
      </c>
      <c r="AN3" s="76">
        <v>806914282.42999983</v>
      </c>
      <c r="AO3" s="76">
        <v>806982168.51999986</v>
      </c>
      <c r="AP3" s="76">
        <v>807050054.6099999</v>
      </c>
      <c r="AQ3" s="76">
        <v>2370763865.5199995</v>
      </c>
      <c r="AR3" s="76">
        <v>2371831757.7799997</v>
      </c>
      <c r="AS3" s="76">
        <v>2372899649.7299995</v>
      </c>
      <c r="AT3" s="76">
        <v>2373967541.5799999</v>
      </c>
      <c r="AU3" s="76">
        <v>2374961433.8399997</v>
      </c>
      <c r="AV3" s="76">
        <v>2375869325.4999995</v>
      </c>
      <c r="AW3" s="76">
        <v>2376827217.4899998</v>
      </c>
    </row>
    <row r="4" spans="1:49" x14ac:dyDescent="0.2">
      <c r="A4" s="9" t="s">
        <v>97</v>
      </c>
      <c r="B4" s="76"/>
      <c r="C4" s="76"/>
      <c r="D4" s="76"/>
      <c r="E4" s="76">
        <v>0</v>
      </c>
      <c r="F4" s="76">
        <v>0</v>
      </c>
      <c r="G4" s="76">
        <v>0</v>
      </c>
      <c r="H4" s="76">
        <v>0</v>
      </c>
      <c r="I4" s="76">
        <v>0</v>
      </c>
      <c r="J4" s="76">
        <v>0</v>
      </c>
      <c r="K4" s="76">
        <v>0</v>
      </c>
      <c r="L4" s="76">
        <v>0</v>
      </c>
      <c r="M4" s="76">
        <v>0</v>
      </c>
      <c r="N4" s="76">
        <v>63989.159999999996</v>
      </c>
      <c r="O4" s="76">
        <v>127978.31999999999</v>
      </c>
      <c r="P4" s="76">
        <v>191967.48</v>
      </c>
      <c r="Q4" s="76">
        <v>255956.63999999998</v>
      </c>
      <c r="R4" s="76">
        <v>319945.80000000005</v>
      </c>
      <c r="S4" s="76">
        <v>383934.96</v>
      </c>
      <c r="T4" s="76">
        <v>447924.11999999994</v>
      </c>
      <c r="U4" s="76">
        <v>511913.27999999991</v>
      </c>
      <c r="V4" s="76">
        <v>575902.44000000006</v>
      </c>
      <c r="W4" s="76">
        <v>639891.60000000009</v>
      </c>
      <c r="X4" s="76">
        <v>703880.76000000013</v>
      </c>
      <c r="Y4" s="76">
        <v>0</v>
      </c>
      <c r="Z4" s="76">
        <v>0</v>
      </c>
      <c r="AA4" s="76">
        <v>0</v>
      </c>
      <c r="AB4" s="76">
        <v>0</v>
      </c>
      <c r="AC4" s="76">
        <v>0</v>
      </c>
      <c r="AD4" s="76">
        <v>0</v>
      </c>
      <c r="AE4" s="76">
        <v>0</v>
      </c>
      <c r="AF4" s="76">
        <v>0</v>
      </c>
      <c r="AG4" s="76">
        <v>0</v>
      </c>
      <c r="AH4" s="76">
        <v>0</v>
      </c>
      <c r="AI4" s="76">
        <v>0</v>
      </c>
      <c r="AJ4" s="76">
        <v>0</v>
      </c>
      <c r="AK4" s="76">
        <v>0</v>
      </c>
      <c r="AL4" s="76">
        <v>0</v>
      </c>
      <c r="AM4" s="76">
        <v>0</v>
      </c>
      <c r="AN4" s="76">
        <v>0</v>
      </c>
      <c r="AO4" s="76">
        <v>0</v>
      </c>
      <c r="AP4" s="76">
        <v>0</v>
      </c>
      <c r="AQ4" s="76">
        <v>0</v>
      </c>
      <c r="AR4" s="76">
        <v>0</v>
      </c>
      <c r="AS4" s="76">
        <v>0</v>
      </c>
      <c r="AT4" s="76">
        <v>0</v>
      </c>
      <c r="AU4" s="76">
        <v>0</v>
      </c>
      <c r="AV4" s="76">
        <v>0</v>
      </c>
      <c r="AW4" s="76">
        <v>0</v>
      </c>
    </row>
    <row r="5" spans="1:49" ht="14.25" customHeight="1" x14ac:dyDescent="0.2">
      <c r="A5" s="9" t="s">
        <v>96</v>
      </c>
      <c r="B5" s="76"/>
      <c r="C5" s="76"/>
      <c r="D5" s="76"/>
      <c r="E5" s="76">
        <v>-846059.46775000019</v>
      </c>
      <c r="F5" s="76">
        <v>-2706082.8728948808</v>
      </c>
      <c r="G5" s="76">
        <v>-5116027.8290358791</v>
      </c>
      <c r="H5" s="76">
        <v>-7908889.1442264784</v>
      </c>
      <c r="I5" s="76">
        <v>-10869022.498591047</v>
      </c>
      <c r="J5" s="76">
        <v>-13996138.7690039</v>
      </c>
      <c r="K5" s="76">
        <v>-17125062.476519972</v>
      </c>
      <c r="L5" s="76">
        <v>-20255768.371171571</v>
      </c>
      <c r="M5" s="76">
        <v>-23387684.892604113</v>
      </c>
      <c r="N5" s="76">
        <v>-26513192.845287226</v>
      </c>
      <c r="O5" s="76">
        <v>-29638852.03611955</v>
      </c>
      <c r="P5" s="76">
        <v>-32764662.465101086</v>
      </c>
      <c r="Q5" s="76">
        <v>-35890624.132231832</v>
      </c>
      <c r="R5" s="76">
        <v>-39016737.037511788</v>
      </c>
      <c r="S5" s="76">
        <v>-42143001.180940956</v>
      </c>
      <c r="T5" s="76">
        <v>-45269416.562519327</v>
      </c>
      <c r="U5" s="76">
        <v>-48395983.182246909</v>
      </c>
      <c r="V5" s="76">
        <v>-51522701.040123709</v>
      </c>
      <c r="W5" s="76">
        <v>-54649570.136149719</v>
      </c>
      <c r="X5" s="76">
        <v>-57776590.470324934</v>
      </c>
      <c r="Y5" s="76">
        <v>-60903762.042649359</v>
      </c>
      <c r="Z5" s="76">
        <v>-64030873.881642289</v>
      </c>
      <c r="AA5" s="76">
        <v>-67158141.435882121</v>
      </c>
      <c r="AB5" s="76">
        <v>-70285564.765427917</v>
      </c>
      <c r="AC5" s="76">
        <v>-73413143.8702797</v>
      </c>
      <c r="AD5" s="76">
        <v>-76540878.750437438</v>
      </c>
      <c r="AE5" s="76">
        <v>-79668769.405901164</v>
      </c>
      <c r="AF5" s="76">
        <v>-82796815.836670876</v>
      </c>
      <c r="AG5" s="76">
        <v>-85925018.042746559</v>
      </c>
      <c r="AH5" s="76">
        <v>-89053376.024128228</v>
      </c>
      <c r="AI5" s="76">
        <v>-92181889.780815855</v>
      </c>
      <c r="AJ5" s="76">
        <v>-95310559.312809467</v>
      </c>
      <c r="AK5" s="76">
        <v>-98439384.620109051</v>
      </c>
      <c r="AL5" s="76">
        <v>-101568148.30926716</v>
      </c>
      <c r="AM5" s="76">
        <v>-104697072.4968954</v>
      </c>
      <c r="AN5" s="76">
        <v>-107826157.13305287</v>
      </c>
      <c r="AO5" s="76">
        <v>-110955402.21773958</v>
      </c>
      <c r="AP5" s="76">
        <v>-114084807.75095552</v>
      </c>
      <c r="AQ5" s="76">
        <v>-119062209.48870592</v>
      </c>
      <c r="AR5" s="76">
        <v>-125888789.18648151</v>
      </c>
      <c r="AS5" s="76">
        <v>-132717892.84340137</v>
      </c>
      <c r="AT5" s="76">
        <v>-139549520.45898098</v>
      </c>
      <c r="AU5" s="76">
        <v>-146383584.5842199</v>
      </c>
      <c r="AV5" s="76">
        <v>-153219896.13918179</v>
      </c>
      <c r="AW5" s="76">
        <v>-160058412.58061233</v>
      </c>
    </row>
    <row r="6" spans="1:49" x14ac:dyDescent="0.2">
      <c r="A6" s="9" t="s">
        <v>95</v>
      </c>
      <c r="B6" s="76"/>
      <c r="C6" s="76"/>
      <c r="D6" s="76"/>
      <c r="E6" s="76">
        <v>-9274822.4249090366</v>
      </c>
      <c r="F6" s="76">
        <v>-13087009.498585217</v>
      </c>
      <c r="G6" s="76">
        <v>-24395671.701423027</v>
      </c>
      <c r="H6" s="76">
        <v>-25420650.402147535</v>
      </c>
      <c r="I6" s="76">
        <v>-29511927.480217479</v>
      </c>
      <c r="J6" s="76">
        <v>-30842013.66350399</v>
      </c>
      <c r="K6" s="76">
        <v>-32171648.891233213</v>
      </c>
      <c r="L6" s="76">
        <v>-33500839.463272139</v>
      </c>
      <c r="M6" s="76">
        <v>-34829727.983929195</v>
      </c>
      <c r="N6" s="76">
        <v>-37500667.702843048</v>
      </c>
      <c r="O6" s="76">
        <v>-40171569.687838681</v>
      </c>
      <c r="P6" s="76">
        <v>-42842433.938916072</v>
      </c>
      <c r="Q6" s="76">
        <v>-45513260.456075266</v>
      </c>
      <c r="R6" s="76">
        <v>-48184049.239316218</v>
      </c>
      <c r="S6" s="76">
        <v>-50854800.288638912</v>
      </c>
      <c r="T6" s="76">
        <v>-53525513.604043417</v>
      </c>
      <c r="U6" s="76">
        <v>-56196189.185529679</v>
      </c>
      <c r="V6" s="76">
        <v>-58866827.033097729</v>
      </c>
      <c r="W6" s="76">
        <v>-61537427.146747522</v>
      </c>
      <c r="X6" s="76">
        <v>-64207989.526479073</v>
      </c>
      <c r="Y6" s="76">
        <v>-66878514.172292426</v>
      </c>
      <c r="Z6" s="76">
        <v>-68311922.840740323</v>
      </c>
      <c r="AA6" s="76">
        <v>-69745292.658234119</v>
      </c>
      <c r="AB6" s="76">
        <v>-71178623.609789088</v>
      </c>
      <c r="AC6" s="76">
        <v>-72611915.695405185</v>
      </c>
      <c r="AD6" s="76">
        <v>-74045168.915082455</v>
      </c>
      <c r="AE6" s="76">
        <v>-75478383.268820897</v>
      </c>
      <c r="AF6" s="76">
        <v>-76911558.756620482</v>
      </c>
      <c r="AG6" s="76">
        <v>-78344695.378481209</v>
      </c>
      <c r="AH6" s="76">
        <v>-79777793.13440311</v>
      </c>
      <c r="AI6" s="76">
        <v>-81210852.024386197</v>
      </c>
      <c r="AJ6" s="76">
        <v>-82643872.048430413</v>
      </c>
      <c r="AK6" s="76">
        <v>-84076853.206535786</v>
      </c>
      <c r="AL6" s="76">
        <v>-84757423.625857443</v>
      </c>
      <c r="AM6" s="76">
        <v>-85437954.000810802</v>
      </c>
      <c r="AN6" s="76">
        <v>-86118444.343856096</v>
      </c>
      <c r="AO6" s="76">
        <v>-86798894.654993355</v>
      </c>
      <c r="AP6" s="76">
        <v>-87479304.934222579</v>
      </c>
      <c r="AQ6" s="76">
        <v>-140944593.45530558</v>
      </c>
      <c r="AR6" s="76">
        <v>-141779931.02820802</v>
      </c>
      <c r="AS6" s="76">
        <v>-142614638.87330404</v>
      </c>
      <c r="AT6" s="76">
        <v>-143448716.99071434</v>
      </c>
      <c r="AU6" s="76">
        <v>-144282187.19896472</v>
      </c>
      <c r="AV6" s="76">
        <v>-145115096.67349914</v>
      </c>
      <c r="AW6" s="76">
        <v>-145947456.0288597</v>
      </c>
    </row>
    <row r="7" spans="1:49" x14ac:dyDescent="0.2">
      <c r="A7" s="9" t="s">
        <v>94</v>
      </c>
      <c r="B7" s="76"/>
      <c r="C7" s="76"/>
      <c r="D7" s="76"/>
      <c r="E7" s="76">
        <v>1933564.7689948804</v>
      </c>
      <c r="F7" s="76">
        <v>2444816.234217729</v>
      </c>
      <c r="G7" s="76">
        <v>5747702.3883662168</v>
      </c>
      <c r="H7" s="76">
        <v>5726640.0167433219</v>
      </c>
      <c r="I7" s="76">
        <v>5705577.6451204261</v>
      </c>
      <c r="J7" s="76">
        <v>5684515.2734975303</v>
      </c>
      <c r="K7" s="76">
        <v>5663452.9018746354</v>
      </c>
      <c r="L7" s="76">
        <v>5642390.5302517395</v>
      </c>
      <c r="M7" s="76">
        <v>5621328.1586288437</v>
      </c>
      <c r="N7" s="76">
        <v>5600265.7870059479</v>
      </c>
      <c r="O7" s="76">
        <v>5579203.4153830521</v>
      </c>
      <c r="P7" s="76">
        <v>5558141.0437601563</v>
      </c>
      <c r="Q7" s="76">
        <v>5537078.6721372604</v>
      </c>
      <c r="R7" s="76">
        <v>5516016.3005143646</v>
      </c>
      <c r="S7" s="76">
        <v>5494953.9288914688</v>
      </c>
      <c r="T7" s="76">
        <v>5473891.557268573</v>
      </c>
      <c r="U7" s="76">
        <v>5452829.1856456771</v>
      </c>
      <c r="V7" s="76">
        <v>5431766.8140227813</v>
      </c>
      <c r="W7" s="76">
        <v>5410704.4423998855</v>
      </c>
      <c r="X7" s="76">
        <v>5389642.0707769906</v>
      </c>
      <c r="Y7" s="76">
        <v>5368579.6991540948</v>
      </c>
      <c r="Z7" s="76">
        <v>5347517.327531199</v>
      </c>
      <c r="AA7" s="76">
        <v>5326454.9559083041</v>
      </c>
      <c r="AB7" s="76">
        <v>5305392.5842854083</v>
      </c>
      <c r="AC7" s="76">
        <v>5284330.2126625124</v>
      </c>
      <c r="AD7" s="76">
        <v>5263267.8410396166</v>
      </c>
      <c r="AE7" s="76">
        <v>5242205.4694167208</v>
      </c>
      <c r="AF7" s="76">
        <v>5221143.097793825</v>
      </c>
      <c r="AG7" s="76">
        <v>5200080.7261709291</v>
      </c>
      <c r="AH7" s="76">
        <v>5179018.3545480333</v>
      </c>
      <c r="AI7" s="76">
        <v>5157955.9829251375</v>
      </c>
      <c r="AJ7" s="76">
        <v>5136893.6113022417</v>
      </c>
      <c r="AK7" s="76">
        <v>5115831.2396793459</v>
      </c>
      <c r="AL7" s="76">
        <v>5094768.86805645</v>
      </c>
      <c r="AM7" s="76">
        <v>5073706.4964335551</v>
      </c>
      <c r="AN7" s="76">
        <v>5052644.1248106593</v>
      </c>
      <c r="AO7" s="76">
        <v>5031581.7531877635</v>
      </c>
      <c r="AP7" s="76">
        <v>5010519.3815648677</v>
      </c>
      <c r="AQ7" s="76">
        <v>24368776.842591457</v>
      </c>
      <c r="AR7" s="76">
        <v>24301803.006756298</v>
      </c>
      <c r="AS7" s="76">
        <v>24234829.170921136</v>
      </c>
      <c r="AT7" s="76">
        <v>24167855.335085973</v>
      </c>
      <c r="AU7" s="76">
        <v>24100881.499250814</v>
      </c>
      <c r="AV7" s="76">
        <v>24033907.663415655</v>
      </c>
      <c r="AW7" s="76">
        <v>23966933.827580493</v>
      </c>
    </row>
    <row r="8" spans="1:49" x14ac:dyDescent="0.2">
      <c r="A8" s="9" t="s">
        <v>93</v>
      </c>
      <c r="B8" s="4"/>
      <c r="C8" s="4"/>
      <c r="D8" s="4"/>
      <c r="E8" s="79">
        <v>-107712021.815825</v>
      </c>
      <c r="F8" s="79">
        <v>-107101805.39414167</v>
      </c>
      <c r="G8" s="79">
        <v>-106483894.47245835</v>
      </c>
      <c r="H8" s="79">
        <v>-105853547.38410835</v>
      </c>
      <c r="I8" s="79">
        <v>-105223200.29575835</v>
      </c>
      <c r="J8" s="79">
        <v>-104592853.20740835</v>
      </c>
      <c r="K8" s="79">
        <v>-103962506.11905836</v>
      </c>
      <c r="L8" s="79">
        <v>-103332159.03070836</v>
      </c>
      <c r="M8" s="79">
        <v>-102701811.94235836</v>
      </c>
      <c r="N8" s="79">
        <v>-102071464.85400836</v>
      </c>
      <c r="O8" s="79">
        <v>-101441117.76565836</v>
      </c>
      <c r="P8" s="79">
        <v>-100810770.67730837</v>
      </c>
      <c r="Q8" s="79">
        <v>-100180423.58895837</v>
      </c>
      <c r="R8" s="79">
        <v>-99550076.50060837</v>
      </c>
      <c r="S8" s="79">
        <v>-98919729.412258372</v>
      </c>
      <c r="T8" s="79">
        <v>-98289382.323908374</v>
      </c>
      <c r="U8" s="79">
        <v>-97659035.235558376</v>
      </c>
      <c r="V8" s="79">
        <v>-97028688.147208378</v>
      </c>
      <c r="W8" s="79">
        <v>-96398341.05885838</v>
      </c>
      <c r="X8" s="79">
        <v>-95767993.970508382</v>
      </c>
      <c r="Y8" s="79">
        <v>-95137646.882158384</v>
      </c>
      <c r="Z8" s="79">
        <v>-94507299.793808386</v>
      </c>
      <c r="AA8" s="79">
        <v>-93876952.705458388</v>
      </c>
      <c r="AB8" s="79">
        <v>-93246605.61710839</v>
      </c>
      <c r="AC8" s="79">
        <v>-92616258.528758392</v>
      </c>
      <c r="AD8" s="79">
        <v>-91985911.440408394</v>
      </c>
      <c r="AE8" s="79">
        <v>-91355564.352058396</v>
      </c>
      <c r="AF8" s="79">
        <v>-90725217.263708398</v>
      </c>
      <c r="AG8" s="79">
        <v>-90094870.1753584</v>
      </c>
      <c r="AH8" s="79">
        <v>-89464523.087008402</v>
      </c>
      <c r="AI8" s="79">
        <v>-88834175.998658404</v>
      </c>
      <c r="AJ8" s="79">
        <v>-88203828.910308406</v>
      </c>
      <c r="AK8" s="79">
        <v>-87573481.821958408</v>
      </c>
      <c r="AL8" s="79">
        <v>-86943134.73360841</v>
      </c>
      <c r="AM8" s="79">
        <v>-86312787.645258412</v>
      </c>
      <c r="AN8" s="79">
        <v>-85682440.556908414</v>
      </c>
      <c r="AO8" s="79">
        <v>-85052093.468558416</v>
      </c>
      <c r="AP8" s="79">
        <v>-84421746.380208418</v>
      </c>
      <c r="AQ8" s="79">
        <v>-83791399.29185842</v>
      </c>
      <c r="AR8" s="79">
        <v>-83161052.203508422</v>
      </c>
      <c r="AS8" s="79">
        <v>-82530705.115158424</v>
      </c>
      <c r="AT8" s="79">
        <v>-81900358.026808426</v>
      </c>
      <c r="AU8" s="79">
        <v>-81270010.938458428</v>
      </c>
      <c r="AV8" s="79">
        <v>-80639663.85010843</v>
      </c>
      <c r="AW8" s="79">
        <v>-80009316.761758432</v>
      </c>
    </row>
    <row r="9" spans="1:49" ht="12.75" thickBot="1" x14ac:dyDescent="0.25">
      <c r="A9" s="9" t="s">
        <v>92</v>
      </c>
      <c r="B9" s="4"/>
      <c r="C9" s="4"/>
      <c r="D9" s="4"/>
      <c r="E9" s="79">
        <f>SUM($E$13)/8</f>
        <v>18200.473750000005</v>
      </c>
      <c r="F9" s="79">
        <f>SUM($E$13:F13)/8</f>
        <v>36400.947500000002</v>
      </c>
      <c r="G9" s="79">
        <f>SUM($E$13:G13)/8</f>
        <v>55830.313750000001</v>
      </c>
      <c r="H9" s="79">
        <f>SUM($E$13:H13)/8</f>
        <v>120087.23374999998</v>
      </c>
      <c r="I9" s="79">
        <f>SUM($E$13:I13)/8</f>
        <v>185569.80749999997</v>
      </c>
      <c r="J9" s="79">
        <f>SUM($E$13:J13)/8</f>
        <v>258536.6762499999</v>
      </c>
      <c r="K9" s="79">
        <f>SUM($E$13:K13)/8</f>
        <v>330073.54374999984</v>
      </c>
      <c r="L9" s="79">
        <f>SUM($E$13:L13)/8</f>
        <v>401009.56749999983</v>
      </c>
      <c r="M9" s="79">
        <f>SUM($E$13:M13)/8</f>
        <v>471290.11624999985</v>
      </c>
      <c r="N9" s="79">
        <f>SUM($E$13:N13)/8</f>
        <v>544471.37749999983</v>
      </c>
      <c r="O9" s="79">
        <f>SUM($E$13:O13)/8</f>
        <v>618693.8587499999</v>
      </c>
      <c r="P9" s="79">
        <f t="shared" ref="P9:AW9" si="0">SUM(E13:P13)/8</f>
        <v>694408.5199999999</v>
      </c>
      <c r="Q9" s="79">
        <f t="shared" si="0"/>
        <v>749090.42749999987</v>
      </c>
      <c r="R9" s="79">
        <f t="shared" si="0"/>
        <v>805655.68249999988</v>
      </c>
      <c r="S9" s="79">
        <f t="shared" si="0"/>
        <v>860731.71</v>
      </c>
      <c r="T9" s="79">
        <f t="shared" si="0"/>
        <v>869207.77500000002</v>
      </c>
      <c r="U9" s="79">
        <f t="shared" si="0"/>
        <v>879219.41375000007</v>
      </c>
      <c r="V9" s="79">
        <f t="shared" si="0"/>
        <v>879452.19500000007</v>
      </c>
      <c r="W9" s="79">
        <f t="shared" si="0"/>
        <v>920225.6262500002</v>
      </c>
      <c r="X9" s="79">
        <f t="shared" si="0"/>
        <v>922440.97250000027</v>
      </c>
      <c r="Y9" s="79">
        <f t="shared" si="0"/>
        <v>922826.01500000036</v>
      </c>
      <c r="Z9" s="79">
        <f t="shared" si="0"/>
        <v>935149.87000000023</v>
      </c>
      <c r="AA9" s="79">
        <f t="shared" si="0"/>
        <v>943583.51500000013</v>
      </c>
      <c r="AB9" s="79">
        <f t="shared" si="0"/>
        <v>952737.20250000013</v>
      </c>
      <c r="AC9" s="79">
        <f t="shared" si="0"/>
        <v>962949.66000000015</v>
      </c>
      <c r="AD9" s="79">
        <f t="shared" si="0"/>
        <v>972966.26749999996</v>
      </c>
      <c r="AE9" s="79">
        <f t="shared" si="0"/>
        <v>981204.32874999999</v>
      </c>
      <c r="AF9" s="79">
        <f t="shared" si="0"/>
        <v>991305.03</v>
      </c>
      <c r="AG9" s="79">
        <f t="shared" si="0"/>
        <v>1001768.7749999999</v>
      </c>
      <c r="AH9" s="79">
        <f t="shared" si="0"/>
        <v>1010699.22375</v>
      </c>
      <c r="AI9" s="79">
        <f t="shared" si="0"/>
        <v>1022837.8962499999</v>
      </c>
      <c r="AJ9" s="79">
        <f t="shared" si="0"/>
        <v>1031662.2224999998</v>
      </c>
      <c r="AK9" s="79">
        <f t="shared" si="0"/>
        <v>1039274.9037500001</v>
      </c>
      <c r="AL9" s="79">
        <f t="shared" si="0"/>
        <v>1041560.39125</v>
      </c>
      <c r="AM9" s="79">
        <f t="shared" si="0"/>
        <v>1043747.4862500001</v>
      </c>
      <c r="AN9" s="79">
        <f t="shared" si="0"/>
        <v>1044570.6375</v>
      </c>
      <c r="AO9" s="79">
        <f t="shared" si="0"/>
        <v>1048213.275</v>
      </c>
      <c r="AP9" s="79">
        <f t="shared" si="0"/>
        <v>1050473.3025</v>
      </c>
      <c r="AQ9" s="79">
        <f t="shared" si="0"/>
        <v>1051582.4712500002</v>
      </c>
      <c r="AR9" s="79">
        <f t="shared" si="0"/>
        <v>1133136.2312500002</v>
      </c>
      <c r="AS9" s="79">
        <f t="shared" si="0"/>
        <v>1211918.0737500002</v>
      </c>
      <c r="AT9" s="79">
        <f t="shared" si="0"/>
        <v>1293087.7800000003</v>
      </c>
      <c r="AU9" s="79">
        <f t="shared" si="0"/>
        <v>1374462.1800000004</v>
      </c>
      <c r="AV9" s="79">
        <f t="shared" si="0"/>
        <v>1453104.4762500003</v>
      </c>
      <c r="AW9" s="79">
        <f t="shared" si="0"/>
        <v>1534498.4937500004</v>
      </c>
    </row>
    <row r="10" spans="1:49" x14ac:dyDescent="0.2">
      <c r="A10" s="5" t="s">
        <v>91</v>
      </c>
      <c r="B10" s="77"/>
      <c r="C10" s="77"/>
      <c r="D10" s="77"/>
      <c r="E10" s="83">
        <f t="shared" ref="E10:AW10" si="1">SUM(E3:E9)</f>
        <v>174196393.33426082</v>
      </c>
      <c r="F10" s="83">
        <f t="shared" si="1"/>
        <v>264271587.57609594</v>
      </c>
      <c r="G10" s="83">
        <f t="shared" si="1"/>
        <v>577702787.2591989</v>
      </c>
      <c r="H10" s="83">
        <f t="shared" si="1"/>
        <v>575310187.470011</v>
      </c>
      <c r="I10" s="83">
        <f t="shared" si="1"/>
        <v>662885059.12805343</v>
      </c>
      <c r="J10" s="83">
        <f t="shared" si="1"/>
        <v>659626367.82983136</v>
      </c>
      <c r="K10" s="83">
        <f t="shared" si="1"/>
        <v>656861720.0488131</v>
      </c>
      <c r="L10" s="83">
        <f t="shared" si="1"/>
        <v>653576992.91259956</v>
      </c>
      <c r="M10" s="83">
        <f t="shared" si="1"/>
        <v>650325241.71598709</v>
      </c>
      <c r="N10" s="83">
        <f t="shared" si="1"/>
        <v>645339238.34236717</v>
      </c>
      <c r="O10" s="83">
        <f t="shared" si="1"/>
        <v>640354162.68451643</v>
      </c>
      <c r="P10" s="83">
        <f t="shared" si="1"/>
        <v>635370465.70243466</v>
      </c>
      <c r="Q10" s="83">
        <f t="shared" si="1"/>
        <v>630365622.46237171</v>
      </c>
      <c r="R10" s="83">
        <f t="shared" si="1"/>
        <v>625362549.06557786</v>
      </c>
      <c r="S10" s="83">
        <f t="shared" si="1"/>
        <v>620357872.9370532</v>
      </c>
      <c r="T10" s="83">
        <f t="shared" si="1"/>
        <v>615306483.34179771</v>
      </c>
      <c r="U10" s="83">
        <f t="shared" si="1"/>
        <v>610256515.81606078</v>
      </c>
      <c r="V10" s="83">
        <f t="shared" si="1"/>
        <v>605196655.92859316</v>
      </c>
      <c r="W10" s="83">
        <f t="shared" si="1"/>
        <v>600177223.18689442</v>
      </c>
      <c r="X10" s="83">
        <f t="shared" si="1"/>
        <v>595119118.85596466</v>
      </c>
      <c r="Y10" s="83">
        <f t="shared" si="1"/>
        <v>589291200.79705405</v>
      </c>
      <c r="Z10" s="83">
        <f t="shared" si="1"/>
        <v>585418197.65134048</v>
      </c>
      <c r="AA10" s="83">
        <f t="shared" si="1"/>
        <v>581541187.48133385</v>
      </c>
      <c r="AB10" s="83">
        <f t="shared" si="1"/>
        <v>577664780.44446003</v>
      </c>
      <c r="AC10" s="83">
        <f t="shared" si="1"/>
        <v>573789315.26821923</v>
      </c>
      <c r="AD10" s="83">
        <f t="shared" si="1"/>
        <v>569913537.33261156</v>
      </c>
      <c r="AE10" s="83">
        <f t="shared" si="1"/>
        <v>566035863.94138634</v>
      </c>
      <c r="AF10" s="83">
        <f t="shared" si="1"/>
        <v>562159936.28079402</v>
      </c>
      <c r="AG10" s="83">
        <f t="shared" si="1"/>
        <v>558284254.75458467</v>
      </c>
      <c r="AH10" s="83">
        <f t="shared" si="1"/>
        <v>554406923.02275836</v>
      </c>
      <c r="AI10" s="83">
        <f t="shared" si="1"/>
        <v>550532682.60531473</v>
      </c>
      <c r="AJ10" s="83">
        <f t="shared" si="1"/>
        <v>546655010.93225384</v>
      </c>
      <c r="AK10" s="83">
        <f t="shared" si="1"/>
        <v>542776010.70482588</v>
      </c>
      <c r="AL10" s="83">
        <f t="shared" si="1"/>
        <v>539646132.84057343</v>
      </c>
      <c r="AM10" s="83">
        <f t="shared" si="1"/>
        <v>536516036.17971879</v>
      </c>
      <c r="AN10" s="83">
        <f t="shared" si="1"/>
        <v>533384455.15849316</v>
      </c>
      <c r="AO10" s="83">
        <f t="shared" si="1"/>
        <v>530255573.20689619</v>
      </c>
      <c r="AP10" s="83">
        <f t="shared" si="1"/>
        <v>527125188.22867817</v>
      </c>
      <c r="AQ10" s="83">
        <f t="shared" si="1"/>
        <v>2052386022.597971</v>
      </c>
      <c r="AR10" s="83">
        <f t="shared" si="1"/>
        <v>2046436924.5998082</v>
      </c>
      <c r="AS10" s="83">
        <f t="shared" si="1"/>
        <v>2040483160.1428068</v>
      </c>
      <c r="AT10" s="83">
        <f t="shared" si="1"/>
        <v>2034529889.2185819</v>
      </c>
      <c r="AU10" s="83">
        <f t="shared" si="1"/>
        <v>2028500994.7976077</v>
      </c>
      <c r="AV10" s="83">
        <f t="shared" si="1"/>
        <v>2022381680.976876</v>
      </c>
      <c r="AW10" s="83">
        <f t="shared" si="1"/>
        <v>2016313464.4401002</v>
      </c>
    </row>
    <row r="11" spans="1:49" x14ac:dyDescent="0.2">
      <c r="A11" s="9" t="s">
        <v>217</v>
      </c>
      <c r="B11" s="78"/>
      <c r="C11" s="78"/>
      <c r="D11" s="78"/>
      <c r="E11" s="78">
        <f>'Sch J Stip LGE-E'!$K$24/12</f>
        <v>7.6781279262874104E-3</v>
      </c>
      <c r="F11" s="78">
        <f>'Sch J Stip LGE-E'!$K$24/12</f>
        <v>7.6781279262874104E-3</v>
      </c>
      <c r="G11" s="78">
        <f>'Sch J Stip LGE-E'!$K$24/12</f>
        <v>7.6781279262874104E-3</v>
      </c>
      <c r="H11" s="78">
        <f>'Sch J Stip LGE-E'!$K$24/12</f>
        <v>7.6781279262874104E-3</v>
      </c>
      <c r="I11" s="78">
        <f>'Sch J Stip LGE-E'!$K$24/12</f>
        <v>7.6781279262874104E-3</v>
      </c>
      <c r="J11" s="78">
        <f>'Sch J Stip LGE-E'!$K$24/12</f>
        <v>7.6781279262874104E-3</v>
      </c>
      <c r="K11" s="78">
        <f>'Sch J Stip LGE-E'!$K$24/12</f>
        <v>7.6781279262874104E-3</v>
      </c>
      <c r="L11" s="78">
        <f>'Sch J Stip LGE-E'!$K$24/12</f>
        <v>7.6781279262874104E-3</v>
      </c>
      <c r="M11" s="78">
        <f>'Sch J Stip LGE-E'!$K$24/12</f>
        <v>7.6781279262874104E-3</v>
      </c>
      <c r="N11" s="78">
        <f>'Sch J Stip LGE-E'!$K$24/12</f>
        <v>7.6781279262874104E-3</v>
      </c>
      <c r="O11" s="78">
        <f>'Sch J Stip LGE-E'!$K$24/12</f>
        <v>7.6781279262874104E-3</v>
      </c>
      <c r="P11" s="78">
        <f>'Sch J Stip LGE-E'!$K$24/12</f>
        <v>7.6781279262874104E-3</v>
      </c>
      <c r="Q11" s="78">
        <f>'Sch J Stip LGE-E'!$K$24/12</f>
        <v>7.6781279262874104E-3</v>
      </c>
      <c r="R11" s="78">
        <f>'Sch J Stip LGE-E'!$K$24/12</f>
        <v>7.6781279262874104E-3</v>
      </c>
      <c r="S11" s="78">
        <f>'Sch J Stip LGE-E'!$K$24/12</f>
        <v>7.6781279262874104E-3</v>
      </c>
      <c r="T11" s="78">
        <f>'Sch J Stip LGE-E'!$K$24/12</f>
        <v>7.6781279262874104E-3</v>
      </c>
      <c r="U11" s="78">
        <f>'Sch J Stip LGE-E'!$K$24/12</f>
        <v>7.6781279262874104E-3</v>
      </c>
      <c r="V11" s="78">
        <f>'Sch J Stip LGE-E'!$K$24/12</f>
        <v>7.6781279262874104E-3</v>
      </c>
      <c r="W11" s="78">
        <f>'Sch J Stip LGE-E'!$K$24/12</f>
        <v>7.6781279262874104E-3</v>
      </c>
      <c r="X11" s="78">
        <f>'Sch J Stip LGE-E'!$K$24/12</f>
        <v>7.6781279262874104E-3</v>
      </c>
      <c r="Y11" s="78">
        <f>'Sch J Stip LGE-E'!$K$24/12</f>
        <v>7.6781279262874104E-3</v>
      </c>
      <c r="Z11" s="78">
        <f>'Sch J Stip LGE-E'!$K$24/12</f>
        <v>7.6781279262874104E-3</v>
      </c>
      <c r="AA11" s="78">
        <f>'Sch J Stip LGE-E'!$K$24/12</f>
        <v>7.6781279262874104E-3</v>
      </c>
      <c r="AB11" s="78">
        <f>'Sch J Stip LGE-E'!$K$24/12</f>
        <v>7.6781279262874104E-3</v>
      </c>
      <c r="AC11" s="78">
        <f>'Sch J Stip LGE-E'!$K$24/12</f>
        <v>7.6781279262874104E-3</v>
      </c>
      <c r="AD11" s="78">
        <f>'Sch J Stip LGE-E'!$K$24/12</f>
        <v>7.6781279262874104E-3</v>
      </c>
      <c r="AE11" s="78">
        <f>'Sch J Stip LGE-E'!$K$24/12</f>
        <v>7.6781279262874104E-3</v>
      </c>
      <c r="AF11" s="78">
        <f>'Sch J Stip LGE-E'!$K$24/12</f>
        <v>7.6781279262874104E-3</v>
      </c>
      <c r="AG11" s="78">
        <f>'Sch J Stip LGE-E'!$K$24/12</f>
        <v>7.6781279262874104E-3</v>
      </c>
      <c r="AH11" s="78">
        <f>'Sch J Stip LGE-E'!$K$24/12</f>
        <v>7.6781279262874104E-3</v>
      </c>
      <c r="AI11" s="78">
        <f>'Sch J Stip LGE-E'!$K$24/12</f>
        <v>7.6781279262874104E-3</v>
      </c>
      <c r="AJ11" s="78">
        <f>'Sch J Stip LGE-E'!$K$24/12</f>
        <v>7.6781279262874104E-3</v>
      </c>
      <c r="AK11" s="78">
        <f>'Sch J Stip LGE-E'!$K$24/12</f>
        <v>7.6781279262874104E-3</v>
      </c>
      <c r="AL11" s="78">
        <f>'Sch J Stip LGE-E'!$K$24/12</f>
        <v>7.6781279262874104E-3</v>
      </c>
      <c r="AM11" s="78">
        <f>'Sch J Stip LGE-E'!$K$24/12</f>
        <v>7.6781279262874104E-3</v>
      </c>
      <c r="AN11" s="78">
        <f>'Sch J Stip LGE-E'!$K$24/12</f>
        <v>7.6781279262874104E-3</v>
      </c>
      <c r="AO11" s="78">
        <f>'Sch J Stip LGE-E'!$K$24/12</f>
        <v>7.6781279262874104E-3</v>
      </c>
      <c r="AP11" s="78">
        <f>'Sch J Stip LGE-E'!$K$24/12</f>
        <v>7.6781279262874104E-3</v>
      </c>
      <c r="AQ11" s="78">
        <f>'Sch J Stip LGE-E'!$K$24/12</f>
        <v>7.6781279262874104E-3</v>
      </c>
      <c r="AR11" s="78">
        <f>'Sch J Stip LGE-E'!$K$24/12</f>
        <v>7.6781279262874104E-3</v>
      </c>
      <c r="AS11" s="78">
        <f>'Sch J Stip LGE-E'!$K$24/12</f>
        <v>7.6781279262874104E-3</v>
      </c>
      <c r="AT11" s="78">
        <f>'Sch J Stip LGE-E'!$K$24/12</f>
        <v>7.6781279262874104E-3</v>
      </c>
      <c r="AU11" s="78">
        <f>'Sch J Stip LGE-E'!$K$24/12</f>
        <v>7.6781279262874104E-3</v>
      </c>
      <c r="AV11" s="78">
        <f>'Sch J Stip LGE-E'!$K$24/12</f>
        <v>7.6781279262874104E-3</v>
      </c>
      <c r="AW11" s="78">
        <f>'Sch J Stip LGE-E'!$K$24/12</f>
        <v>7.6781279262874104E-3</v>
      </c>
    </row>
    <row r="12" spans="1:49" x14ac:dyDescent="0.2">
      <c r="A12" s="9" t="s">
        <v>216</v>
      </c>
      <c r="B12" s="4"/>
      <c r="C12" s="4"/>
      <c r="D12" s="4"/>
      <c r="E12" s="79">
        <f t="shared" ref="E12:AW12" si="2">E10*E11</f>
        <v>1337502.192318334</v>
      </c>
      <c r="F12" s="79">
        <f t="shared" si="2"/>
        <v>2029111.0566923313</v>
      </c>
      <c r="G12" s="79">
        <f t="shared" si="2"/>
        <v>4435675.9039489301</v>
      </c>
      <c r="H12" s="79">
        <f t="shared" si="2"/>
        <v>4417305.2166911364</v>
      </c>
      <c r="I12" s="79">
        <f t="shared" si="2"/>
        <v>5089716.2844097884</v>
      </c>
      <c r="J12" s="79">
        <f t="shared" si="2"/>
        <v>5064695.6357497601</v>
      </c>
      <c r="K12" s="79">
        <f t="shared" si="2"/>
        <v>5043468.3164159749</v>
      </c>
      <c r="L12" s="79">
        <f t="shared" si="2"/>
        <v>5018247.76126118</v>
      </c>
      <c r="M12" s="79">
        <f t="shared" si="2"/>
        <v>4993280.3995891307</v>
      </c>
      <c r="N12" s="79">
        <f t="shared" si="2"/>
        <v>4954997.2278455766</v>
      </c>
      <c r="O12" s="79">
        <f t="shared" si="2"/>
        <v>4916721.179222377</v>
      </c>
      <c r="P12" s="79">
        <f t="shared" si="2"/>
        <v>4878455.7162481006</v>
      </c>
      <c r="Q12" s="79">
        <f t="shared" si="2"/>
        <v>4840027.889599883</v>
      </c>
      <c r="R12" s="79">
        <f t="shared" si="2"/>
        <v>4801613.6520346943</v>
      </c>
      <c r="S12" s="79">
        <f t="shared" si="2"/>
        <v>4763187.1084902454</v>
      </c>
      <c r="T12" s="79">
        <f t="shared" si="2"/>
        <v>4724401.8929723566</v>
      </c>
      <c r="U12" s="79">
        <f t="shared" si="2"/>
        <v>4685627.5962861506</v>
      </c>
      <c r="V12" s="79">
        <f t="shared" si="2"/>
        <v>4646777.344781084</v>
      </c>
      <c r="W12" s="79">
        <f t="shared" si="2"/>
        <v>4608237.498072926</v>
      </c>
      <c r="X12" s="79">
        <f t="shared" si="2"/>
        <v>4569400.7259555385</v>
      </c>
      <c r="Y12" s="79">
        <f t="shared" si="2"/>
        <v>4524653.2255553026</v>
      </c>
      <c r="Z12" s="79">
        <f t="shared" si="2"/>
        <v>4494915.8119436</v>
      </c>
      <c r="AA12" s="79">
        <f t="shared" si="2"/>
        <v>4465147.6318867719</v>
      </c>
      <c r="AB12" s="79">
        <f t="shared" si="2"/>
        <v>4435384.0827632938</v>
      </c>
      <c r="AC12" s="79">
        <f t="shared" si="2"/>
        <v>4405627.7653662451</v>
      </c>
      <c r="AD12" s="79">
        <f t="shared" si="2"/>
        <v>4375869.0465627676</v>
      </c>
      <c r="AE12" s="79">
        <f t="shared" si="2"/>
        <v>4346095.7742085792</v>
      </c>
      <c r="AF12" s="79">
        <f t="shared" si="2"/>
        <v>4316335.905797516</v>
      </c>
      <c r="AG12" s="79">
        <f t="shared" si="2"/>
        <v>4286577.9272377314</v>
      </c>
      <c r="AH12" s="79">
        <f t="shared" si="2"/>
        <v>4256807.2781881159</v>
      </c>
      <c r="AI12" s="79">
        <f t="shared" si="2"/>
        <v>4227060.3646457903</v>
      </c>
      <c r="AJ12" s="79">
        <f t="shared" si="2"/>
        <v>4197287.1054838877</v>
      </c>
      <c r="AK12" s="79">
        <f t="shared" si="2"/>
        <v>4167503.6455115979</v>
      </c>
      <c r="AL12" s="79">
        <f t="shared" si="2"/>
        <v>4143472.0428762124</v>
      </c>
      <c r="AM12" s="79">
        <f t="shared" si="2"/>
        <v>4119438.7602925254</v>
      </c>
      <c r="AN12" s="79">
        <f t="shared" si="2"/>
        <v>4095394.0806000214</v>
      </c>
      <c r="AO12" s="79">
        <f t="shared" si="2"/>
        <v>4071370.1247094078</v>
      </c>
      <c r="AP12" s="79">
        <f t="shared" si="2"/>
        <v>4047334.6283881217</v>
      </c>
      <c r="AQ12" s="79">
        <f t="shared" si="2"/>
        <v>15758482.435631424</v>
      </c>
      <c r="AR12" s="79">
        <f t="shared" si="2"/>
        <v>15712804.50015551</v>
      </c>
      <c r="AS12" s="79">
        <f t="shared" si="2"/>
        <v>15667090.735011671</v>
      </c>
      <c r="AT12" s="79">
        <f t="shared" si="2"/>
        <v>15621380.759275625</v>
      </c>
      <c r="AU12" s="79">
        <f t="shared" si="2"/>
        <v>15575090.136657305</v>
      </c>
      <c r="AV12" s="79">
        <f t="shared" si="2"/>
        <v>15528105.262320628</v>
      </c>
      <c r="AW12" s="79">
        <f t="shared" si="2"/>
        <v>15481512.71946685</v>
      </c>
    </row>
    <row r="13" spans="1:49" x14ac:dyDescent="0.2">
      <c r="A13" s="9" t="s">
        <v>90</v>
      </c>
      <c r="B13" s="4"/>
      <c r="C13" s="4"/>
      <c r="D13" s="4"/>
      <c r="E13" s="79">
        <v>145603.79000000004</v>
      </c>
      <c r="F13" s="79">
        <v>145603.78999999998</v>
      </c>
      <c r="G13" s="79">
        <v>155434.93</v>
      </c>
      <c r="H13" s="79">
        <v>514055.35999999981</v>
      </c>
      <c r="I13" s="79">
        <v>523860.58999999991</v>
      </c>
      <c r="J13" s="79">
        <v>583734.94999999949</v>
      </c>
      <c r="K13" s="79">
        <v>572294.93999999959</v>
      </c>
      <c r="L13" s="79">
        <v>567488.18999999983</v>
      </c>
      <c r="M13" s="79">
        <v>562244.3899999999</v>
      </c>
      <c r="N13" s="79">
        <v>585450.0900000002</v>
      </c>
      <c r="O13" s="79">
        <v>593779.85000000056</v>
      </c>
      <c r="P13" s="79">
        <v>605717.29000000027</v>
      </c>
      <c r="Q13" s="79">
        <v>583059.05000000005</v>
      </c>
      <c r="R13" s="79">
        <v>598125.83000000007</v>
      </c>
      <c r="S13" s="79">
        <v>596043.15000000014</v>
      </c>
      <c r="T13" s="79">
        <v>581863.88000000012</v>
      </c>
      <c r="U13" s="79">
        <v>603953.69999999995</v>
      </c>
      <c r="V13" s="79">
        <v>585597.19999999995</v>
      </c>
      <c r="W13" s="79">
        <v>898482.39000000036</v>
      </c>
      <c r="X13" s="79">
        <v>585210.9600000002</v>
      </c>
      <c r="Y13" s="79">
        <v>565324.73000000033</v>
      </c>
      <c r="Z13" s="79">
        <v>684040.92999999993</v>
      </c>
      <c r="AA13" s="79">
        <v>661249.00999999954</v>
      </c>
      <c r="AB13" s="79">
        <v>678946.78999999992</v>
      </c>
      <c r="AC13" s="79">
        <v>664758.71</v>
      </c>
      <c r="AD13" s="79">
        <v>678258.68999999983</v>
      </c>
      <c r="AE13" s="79">
        <v>661947.6399999999</v>
      </c>
      <c r="AF13" s="79">
        <v>662669.48999999976</v>
      </c>
      <c r="AG13" s="79">
        <v>687663.6599999998</v>
      </c>
      <c r="AH13" s="79">
        <v>657040.7899999998</v>
      </c>
      <c r="AI13" s="79">
        <v>995591.7699999992</v>
      </c>
      <c r="AJ13" s="79">
        <v>655805.57000000018</v>
      </c>
      <c r="AK13" s="79">
        <v>626226.18000000017</v>
      </c>
      <c r="AL13" s="79">
        <v>702324.83000000066</v>
      </c>
      <c r="AM13" s="79">
        <v>678745.7700000006</v>
      </c>
      <c r="AN13" s="79">
        <v>685532.00000000012</v>
      </c>
      <c r="AO13" s="79">
        <v>693899.80999999994</v>
      </c>
      <c r="AP13" s="79">
        <v>696338.91000000061</v>
      </c>
      <c r="AQ13" s="79">
        <v>670820.98999999976</v>
      </c>
      <c r="AR13" s="79">
        <v>1315099.5700000003</v>
      </c>
      <c r="AS13" s="79">
        <v>1317918.3999999997</v>
      </c>
      <c r="AT13" s="79">
        <v>1306398.44</v>
      </c>
      <c r="AU13" s="79">
        <v>1646586.9700000002</v>
      </c>
      <c r="AV13" s="79">
        <v>1284943.9400000002</v>
      </c>
      <c r="AW13" s="79">
        <v>1277378.3199999994</v>
      </c>
    </row>
    <row r="14" spans="1:49" x14ac:dyDescent="0.2">
      <c r="A14" s="9" t="s">
        <v>89</v>
      </c>
      <c r="B14" s="76"/>
      <c r="C14" s="76"/>
      <c r="D14" s="76"/>
      <c r="E14" s="76">
        <v>846059.46775000019</v>
      </c>
      <c r="F14" s="76">
        <v>1860023.4051448808</v>
      </c>
      <c r="G14" s="76">
        <v>2409944.9561409983</v>
      </c>
      <c r="H14" s="76">
        <v>2792861.3151905993</v>
      </c>
      <c r="I14" s="76">
        <v>2960133.3543645684</v>
      </c>
      <c r="J14" s="76">
        <v>3127116.2704128544</v>
      </c>
      <c r="K14" s="76">
        <v>3128923.7075160751</v>
      </c>
      <c r="L14" s="76">
        <v>3130705.8946515964</v>
      </c>
      <c r="M14" s="76">
        <v>3131916.5214325441</v>
      </c>
      <c r="N14" s="76">
        <v>3132617.8626831155</v>
      </c>
      <c r="O14" s="76">
        <v>3132769.1008323259</v>
      </c>
      <c r="P14" s="76">
        <v>3132920.3389815362</v>
      </c>
      <c r="Q14" s="76">
        <v>3133071.5771307461</v>
      </c>
      <c r="R14" s="76">
        <v>3133222.815279956</v>
      </c>
      <c r="S14" s="76">
        <v>3133374.0534291659</v>
      </c>
      <c r="T14" s="76">
        <v>3133525.2915783757</v>
      </c>
      <c r="U14" s="76">
        <v>3133676.5297275856</v>
      </c>
      <c r="V14" s="76">
        <v>3133827.767876796</v>
      </c>
      <c r="W14" s="76">
        <v>3133979.0060260063</v>
      </c>
      <c r="X14" s="76">
        <v>3134130.2441752162</v>
      </c>
      <c r="Y14" s="76">
        <v>3134281.4823244261</v>
      </c>
      <c r="Z14" s="76">
        <v>3134434.9889929323</v>
      </c>
      <c r="AA14" s="76">
        <v>3134590.7642398211</v>
      </c>
      <c r="AB14" s="76">
        <v>3134746.5395457977</v>
      </c>
      <c r="AC14" s="76">
        <v>3134902.3148517739</v>
      </c>
      <c r="AD14" s="76">
        <v>3135058.0901577501</v>
      </c>
      <c r="AE14" s="76">
        <v>3135213.8654637267</v>
      </c>
      <c r="AF14" s="76">
        <v>3135369.6407697033</v>
      </c>
      <c r="AG14" s="76">
        <v>3135525.4160756795</v>
      </c>
      <c r="AH14" s="76">
        <v>3135681.1913816556</v>
      </c>
      <c r="AI14" s="76">
        <v>3135836.9666876318</v>
      </c>
      <c r="AJ14" s="76">
        <v>3135992.7419936089</v>
      </c>
      <c r="AK14" s="76">
        <v>3136148.517299585</v>
      </c>
      <c r="AL14" s="76">
        <v>3136306.629158101</v>
      </c>
      <c r="AM14" s="76">
        <v>3136467.0776282446</v>
      </c>
      <c r="AN14" s="76">
        <v>3136627.5261574751</v>
      </c>
      <c r="AO14" s="76">
        <v>3136787.9746867055</v>
      </c>
      <c r="AP14" s="76">
        <v>3136948.4232159359</v>
      </c>
      <c r="AQ14" s="76">
        <v>4984944.6277504135</v>
      </c>
      <c r="AR14" s="76">
        <v>6834122.5877755815</v>
      </c>
      <c r="AS14" s="76">
        <v>6836646.5469198506</v>
      </c>
      <c r="AT14" s="76">
        <v>6839170.5055796038</v>
      </c>
      <c r="AU14" s="76">
        <v>6841607.01523895</v>
      </c>
      <c r="AV14" s="76">
        <v>6843854.4449618757</v>
      </c>
      <c r="AW14" s="76">
        <v>6846059.3314305544</v>
      </c>
    </row>
    <row r="15" spans="1:49" x14ac:dyDescent="0.2">
      <c r="A15" s="9" t="s">
        <v>88</v>
      </c>
      <c r="B15" s="4"/>
      <c r="C15" s="4"/>
      <c r="D15" s="4"/>
      <c r="E15" s="79">
        <v>11345.308787061329</v>
      </c>
      <c r="F15" s="79">
        <v>13206.23125307575</v>
      </c>
      <c r="G15" s="79">
        <v>21062.371622895531</v>
      </c>
      <c r="H15" s="79">
        <v>21062.371622895531</v>
      </c>
      <c r="I15" s="79">
        <v>21062.371622895531</v>
      </c>
      <c r="J15" s="79">
        <v>21062.371622895531</v>
      </c>
      <c r="K15" s="79">
        <v>21062.371622895531</v>
      </c>
      <c r="L15" s="79">
        <v>21062.371622895531</v>
      </c>
      <c r="M15" s="79">
        <v>21062.371622895531</v>
      </c>
      <c r="N15" s="79">
        <v>21062.371622895531</v>
      </c>
      <c r="O15" s="79">
        <v>21062.371622895531</v>
      </c>
      <c r="P15" s="79">
        <v>21062.371622895531</v>
      </c>
      <c r="Q15" s="79">
        <v>21062.371622895531</v>
      </c>
      <c r="R15" s="79">
        <v>21062.371622895531</v>
      </c>
      <c r="S15" s="79">
        <v>21062.371622895531</v>
      </c>
      <c r="T15" s="79">
        <v>21062.371622895531</v>
      </c>
      <c r="U15" s="79">
        <v>21062.371622895531</v>
      </c>
      <c r="V15" s="79">
        <v>21062.371622895531</v>
      </c>
      <c r="W15" s="79">
        <v>21062.371622895531</v>
      </c>
      <c r="X15" s="79">
        <v>21062.371622895531</v>
      </c>
      <c r="Y15" s="79">
        <v>21062.371622895531</v>
      </c>
      <c r="Z15" s="79">
        <v>21062.371622895531</v>
      </c>
      <c r="AA15" s="79">
        <v>21062.371622895531</v>
      </c>
      <c r="AB15" s="79">
        <v>21062.371622895531</v>
      </c>
      <c r="AC15" s="79">
        <v>21062.371622895531</v>
      </c>
      <c r="AD15" s="79">
        <v>21062.371622895531</v>
      </c>
      <c r="AE15" s="79">
        <v>21062.371622895531</v>
      </c>
      <c r="AF15" s="79">
        <v>21062.371622895531</v>
      </c>
      <c r="AG15" s="79">
        <v>21062.371622895531</v>
      </c>
      <c r="AH15" s="79">
        <v>21062.371622895531</v>
      </c>
      <c r="AI15" s="79">
        <v>21062.371622895531</v>
      </c>
      <c r="AJ15" s="79">
        <v>21062.371622895531</v>
      </c>
      <c r="AK15" s="79">
        <v>21062.371622895531</v>
      </c>
      <c r="AL15" s="79">
        <v>21062.371622895531</v>
      </c>
      <c r="AM15" s="79">
        <v>21062.371622895531</v>
      </c>
      <c r="AN15" s="79">
        <v>21062.371622895531</v>
      </c>
      <c r="AO15" s="79">
        <v>21062.371622895531</v>
      </c>
      <c r="AP15" s="79">
        <v>21062.371622895531</v>
      </c>
      <c r="AQ15" s="79">
        <v>66973.835835160018</v>
      </c>
      <c r="AR15" s="79">
        <v>66973.835835160018</v>
      </c>
      <c r="AS15" s="79">
        <v>66973.835835160018</v>
      </c>
      <c r="AT15" s="79">
        <v>66973.835835160018</v>
      </c>
      <c r="AU15" s="79">
        <v>66973.835835160018</v>
      </c>
      <c r="AV15" s="79">
        <v>66973.835835160018</v>
      </c>
      <c r="AW15" s="79">
        <v>66973.835835160018</v>
      </c>
    </row>
    <row r="16" spans="1:49" x14ac:dyDescent="0.2">
      <c r="A16" s="9" t="s">
        <v>87</v>
      </c>
      <c r="B16" s="76"/>
      <c r="C16" s="76"/>
      <c r="D16" s="76"/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97720.520420924469</v>
      </c>
      <c r="O16" s="76">
        <v>97720.520420924469</v>
      </c>
      <c r="P16" s="76">
        <v>97720.520420924469</v>
      </c>
      <c r="Q16" s="76">
        <v>97720.520420924469</v>
      </c>
      <c r="R16" s="76">
        <v>97720.520420924469</v>
      </c>
      <c r="S16" s="76">
        <v>97720.520420924469</v>
      </c>
      <c r="T16" s="76">
        <v>97720.520420924469</v>
      </c>
      <c r="U16" s="76">
        <v>97720.520420924469</v>
      </c>
      <c r="V16" s="76">
        <v>97720.520420924469</v>
      </c>
      <c r="W16" s="76">
        <v>97720.520420924469</v>
      </c>
      <c r="X16" s="76">
        <v>97720.520420924469</v>
      </c>
      <c r="Y16" s="76">
        <v>97720.520420924469</v>
      </c>
      <c r="Z16" s="76">
        <v>93126.99451716886</v>
      </c>
      <c r="AA16" s="76">
        <v>93126.99451716886</v>
      </c>
      <c r="AB16" s="76">
        <v>93126.99451716886</v>
      </c>
      <c r="AC16" s="76">
        <v>93126.99451716886</v>
      </c>
      <c r="AD16" s="76">
        <v>93126.99451716886</v>
      </c>
      <c r="AE16" s="76">
        <v>93126.99451716886</v>
      </c>
      <c r="AF16" s="76">
        <v>93126.99451716886</v>
      </c>
      <c r="AG16" s="76">
        <v>93126.99451716886</v>
      </c>
      <c r="AH16" s="76">
        <v>93126.99451716886</v>
      </c>
      <c r="AI16" s="76">
        <v>93126.99451716886</v>
      </c>
      <c r="AJ16" s="76">
        <v>93126.99451716886</v>
      </c>
      <c r="AK16" s="76">
        <v>93126.99451716886</v>
      </c>
      <c r="AL16" s="76">
        <v>88533.904948736352</v>
      </c>
      <c r="AM16" s="76">
        <v>88533.904948736352</v>
      </c>
      <c r="AN16" s="76">
        <v>88533.904948736352</v>
      </c>
      <c r="AO16" s="76">
        <v>88533.904948736352</v>
      </c>
      <c r="AP16" s="76">
        <v>88533.904948736352</v>
      </c>
      <c r="AQ16" s="76">
        <v>88533.904948736352</v>
      </c>
      <c r="AR16" s="76">
        <v>88533.904948736352</v>
      </c>
      <c r="AS16" s="76">
        <v>88533.904948736352</v>
      </c>
      <c r="AT16" s="76">
        <v>88533.904948736352</v>
      </c>
      <c r="AU16" s="76">
        <v>88533.904948736352</v>
      </c>
      <c r="AV16" s="76">
        <v>88533.904948736352</v>
      </c>
      <c r="AW16" s="76">
        <v>88533.904948736352</v>
      </c>
    </row>
    <row r="17" spans="1:49" x14ac:dyDescent="0.2">
      <c r="A17" s="9" t="s">
        <v>86</v>
      </c>
      <c r="B17" s="4"/>
      <c r="C17" s="4"/>
      <c r="D17" s="4"/>
      <c r="E17" s="79">
        <v>-419825.50856095809</v>
      </c>
      <c r="F17" s="79">
        <v>-839728.74308238912</v>
      </c>
      <c r="G17" s="79">
        <v>-839854.6591383518</v>
      </c>
      <c r="H17" s="79">
        <v>-839902.84923384408</v>
      </c>
      <c r="I17" s="79">
        <v>-839902.84923384408</v>
      </c>
      <c r="J17" s="79">
        <v>-839902.84923384408</v>
      </c>
      <c r="K17" s="79">
        <v>-839902.84923384408</v>
      </c>
      <c r="L17" s="79">
        <v>-839902.84923384408</v>
      </c>
      <c r="M17" s="79">
        <v>-839902.84923384408</v>
      </c>
      <c r="N17" s="79">
        <v>-839902.84923384408</v>
      </c>
      <c r="O17" s="79">
        <v>-839902.84923384408</v>
      </c>
      <c r="P17" s="79">
        <v>-839902.84923384408</v>
      </c>
      <c r="Q17" s="79">
        <v>-839902.84923384408</v>
      </c>
      <c r="R17" s="79">
        <v>-839902.84923384408</v>
      </c>
      <c r="S17" s="79">
        <v>-839902.84923384408</v>
      </c>
      <c r="T17" s="79">
        <v>-839902.84923384408</v>
      </c>
      <c r="U17" s="79">
        <v>-839902.84923384408</v>
      </c>
      <c r="V17" s="79">
        <v>-839902.84923384408</v>
      </c>
      <c r="W17" s="79">
        <v>-839902.84923384408</v>
      </c>
      <c r="X17" s="79">
        <v>-839902.84923384408</v>
      </c>
      <c r="Y17" s="79">
        <v>-839902.84923384408</v>
      </c>
      <c r="Z17" s="79">
        <v>-839902.84923384408</v>
      </c>
      <c r="AA17" s="79">
        <v>-839902.84923384408</v>
      </c>
      <c r="AB17" s="79">
        <v>-839902.84923384408</v>
      </c>
      <c r="AC17" s="79">
        <v>-839902.84923384408</v>
      </c>
      <c r="AD17" s="79">
        <v>-839902.84923384408</v>
      </c>
      <c r="AE17" s="79">
        <v>-839902.84923384408</v>
      </c>
      <c r="AF17" s="79">
        <v>-839902.84923384408</v>
      </c>
      <c r="AG17" s="79">
        <v>-839902.84923384408</v>
      </c>
      <c r="AH17" s="79">
        <v>-839902.84923384408</v>
      </c>
      <c r="AI17" s="79">
        <v>-839902.84923384408</v>
      </c>
      <c r="AJ17" s="79">
        <v>-839902.84923384408</v>
      </c>
      <c r="AK17" s="79">
        <v>-839902.84923384408</v>
      </c>
      <c r="AL17" s="79">
        <v>-839902.84923384408</v>
      </c>
      <c r="AM17" s="79">
        <v>-839902.84923384408</v>
      </c>
      <c r="AN17" s="79">
        <v>-839902.84923384408</v>
      </c>
      <c r="AO17" s="79">
        <v>-839902.84923384408</v>
      </c>
      <c r="AP17" s="79">
        <v>-839902.84923384408</v>
      </c>
      <c r="AQ17" s="79">
        <v>-839902.84923384408</v>
      </c>
      <c r="AR17" s="79">
        <v>-839902.84923384408</v>
      </c>
      <c r="AS17" s="79">
        <v>-839902.84923384408</v>
      </c>
      <c r="AT17" s="79">
        <v>-839902.84923384408</v>
      </c>
      <c r="AU17" s="79">
        <v>-839902.84923384408</v>
      </c>
      <c r="AV17" s="79">
        <v>-839902.84923384408</v>
      </c>
      <c r="AW17" s="79">
        <v>-839902.84923384408</v>
      </c>
    </row>
    <row r="18" spans="1:49" x14ac:dyDescent="0.2">
      <c r="A18" s="9" t="s">
        <v>85</v>
      </c>
      <c r="B18" s="4"/>
      <c r="C18" s="4"/>
      <c r="D18" s="4"/>
      <c r="E18" s="79">
        <v>52373.232192979522</v>
      </c>
      <c r="F18" s="79">
        <v>104756.16069952805</v>
      </c>
      <c r="G18" s="79">
        <v>104771.86872750938</v>
      </c>
      <c r="H18" s="79">
        <v>104777.88044192205</v>
      </c>
      <c r="I18" s="79">
        <v>104777.88044192205</v>
      </c>
      <c r="J18" s="79">
        <v>104777.88044192205</v>
      </c>
      <c r="K18" s="79">
        <v>104777.88044192205</v>
      </c>
      <c r="L18" s="79">
        <v>104777.88044192205</v>
      </c>
      <c r="M18" s="79">
        <v>104777.88044192205</v>
      </c>
      <c r="N18" s="79">
        <v>104777.88044192205</v>
      </c>
      <c r="O18" s="79">
        <v>104777.88044192205</v>
      </c>
      <c r="P18" s="79">
        <v>104777.88044192205</v>
      </c>
      <c r="Q18" s="79">
        <v>104777.88044192205</v>
      </c>
      <c r="R18" s="79">
        <v>104777.88044192205</v>
      </c>
      <c r="S18" s="79">
        <v>104777.88044192205</v>
      </c>
      <c r="T18" s="79">
        <v>104777.88044192205</v>
      </c>
      <c r="U18" s="79">
        <v>104777.88044192205</v>
      </c>
      <c r="V18" s="79">
        <v>104777.88044192205</v>
      </c>
      <c r="W18" s="79">
        <v>104777.88044192205</v>
      </c>
      <c r="X18" s="79">
        <v>104777.88044192205</v>
      </c>
      <c r="Y18" s="79">
        <v>104777.88044192205</v>
      </c>
      <c r="Z18" s="79">
        <v>104777.88044192205</v>
      </c>
      <c r="AA18" s="79">
        <v>104777.88044192205</v>
      </c>
      <c r="AB18" s="79">
        <v>104777.88044192205</v>
      </c>
      <c r="AC18" s="79">
        <v>104777.88044192205</v>
      </c>
      <c r="AD18" s="79">
        <v>104777.88044192205</v>
      </c>
      <c r="AE18" s="79">
        <v>104777.88044192205</v>
      </c>
      <c r="AF18" s="79">
        <v>104777.88044192205</v>
      </c>
      <c r="AG18" s="79">
        <v>104777.88044192205</v>
      </c>
      <c r="AH18" s="79">
        <v>104777.88044192205</v>
      </c>
      <c r="AI18" s="79">
        <v>104777.88044192205</v>
      </c>
      <c r="AJ18" s="79">
        <v>104777.88044192205</v>
      </c>
      <c r="AK18" s="79">
        <v>104777.88044192205</v>
      </c>
      <c r="AL18" s="79">
        <v>104777.88044192205</v>
      </c>
      <c r="AM18" s="79">
        <v>104777.88044192205</v>
      </c>
      <c r="AN18" s="79">
        <v>104777.88044192205</v>
      </c>
      <c r="AO18" s="79">
        <v>104777.88044192205</v>
      </c>
      <c r="AP18" s="79">
        <v>104777.88044192205</v>
      </c>
      <c r="AQ18" s="79">
        <v>104777.88044192205</v>
      </c>
      <c r="AR18" s="79">
        <v>104777.88044192205</v>
      </c>
      <c r="AS18" s="79">
        <v>104777.88044192205</v>
      </c>
      <c r="AT18" s="79">
        <v>104777.88044192205</v>
      </c>
      <c r="AU18" s="79">
        <v>104777.88044192205</v>
      </c>
      <c r="AV18" s="79">
        <v>104777.88044192205</v>
      </c>
      <c r="AW18" s="79">
        <v>104777.88044192205</v>
      </c>
    </row>
    <row r="19" spans="1:49" ht="12.75" thickBot="1" x14ac:dyDescent="0.25">
      <c r="A19" s="9" t="s">
        <v>84</v>
      </c>
      <c r="B19" s="4"/>
      <c r="C19" s="4"/>
      <c r="D19" s="4"/>
      <c r="E19" s="79">
        <v>0</v>
      </c>
      <c r="F19" s="79">
        <v>0</v>
      </c>
      <c r="G19" s="79">
        <v>-16311.453697534977</v>
      </c>
      <c r="H19" s="79">
        <v>-511458.27181878756</v>
      </c>
      <c r="I19" s="79">
        <v>-918323.78014656901</v>
      </c>
      <c r="J19" s="79">
        <v>-816174.6435709527</v>
      </c>
      <c r="K19" s="79">
        <v>-591186.88740839448</v>
      </c>
      <c r="L19" s="79">
        <v>-492704.81812125258</v>
      </c>
      <c r="M19" s="79">
        <v>-338725.41105929384</v>
      </c>
      <c r="N19" s="79">
        <v>-370542.72418387741</v>
      </c>
      <c r="O19" s="79">
        <v>-441014.19120586279</v>
      </c>
      <c r="P19" s="79">
        <v>-784989.11592271819</v>
      </c>
      <c r="Q19" s="79">
        <v>-894584.37308461033</v>
      </c>
      <c r="R19" s="79">
        <v>-1048441.0836109261</v>
      </c>
      <c r="S19" s="79">
        <v>-1206959.5846102599</v>
      </c>
      <c r="T19" s="79">
        <v>-1182571.9873417723</v>
      </c>
      <c r="U19" s="79">
        <v>-1054121.5942704864</v>
      </c>
      <c r="V19" s="79">
        <v>-872098.50433044648</v>
      </c>
      <c r="W19" s="79">
        <v>-690921.41039307136</v>
      </c>
      <c r="X19" s="79">
        <v>-456113.45736175886</v>
      </c>
      <c r="Y19" s="79">
        <v>-393289.44170552969</v>
      </c>
      <c r="Z19" s="79">
        <v>-445956.21785476356</v>
      </c>
      <c r="AA19" s="79">
        <v>-357542.5856095936</v>
      </c>
      <c r="AB19" s="79">
        <v>-668643.51565622922</v>
      </c>
      <c r="AC19" s="79">
        <v>-1025986.9397068622</v>
      </c>
      <c r="AD19" s="79">
        <v>-1152031.5316455697</v>
      </c>
      <c r="AE19" s="79">
        <v>-1136391.1805463026</v>
      </c>
      <c r="AF19" s="79">
        <v>-1144953.3650899401</v>
      </c>
      <c r="AG19" s="79">
        <v>-979273.86042638251</v>
      </c>
      <c r="AH19" s="79">
        <v>-658521.52598267829</v>
      </c>
      <c r="AI19" s="79">
        <v>-658396.3890739507</v>
      </c>
      <c r="AJ19" s="79">
        <v>-340308.94203864096</v>
      </c>
      <c r="AK19" s="79">
        <v>-293005.42804796807</v>
      </c>
      <c r="AL19" s="79">
        <v>-457572.80046635581</v>
      </c>
      <c r="AM19" s="79">
        <v>-381248.09860093269</v>
      </c>
      <c r="AN19" s="79">
        <v>-710472.73051299143</v>
      </c>
      <c r="AO19" s="79">
        <v>-862538.7495003331</v>
      </c>
      <c r="AP19" s="79">
        <v>-931961.53397734847</v>
      </c>
      <c r="AQ19" s="79">
        <v>-1029399.1235842773</v>
      </c>
      <c r="AR19" s="79">
        <v>-1228615.3197868089</v>
      </c>
      <c r="AS19" s="79">
        <v>-1072996.1175882746</v>
      </c>
      <c r="AT19" s="79">
        <v>-931238.91239173885</v>
      </c>
      <c r="AU19" s="79">
        <v>-697084.84377081948</v>
      </c>
      <c r="AV19" s="79">
        <v>-467419.84143904067</v>
      </c>
      <c r="AW19" s="79">
        <v>-293606.43770819454</v>
      </c>
    </row>
    <row r="20" spans="1:49" x14ac:dyDescent="0.2">
      <c r="A20" s="5" t="s">
        <v>83</v>
      </c>
      <c r="B20" s="77"/>
      <c r="C20" s="77"/>
      <c r="D20" s="77"/>
      <c r="E20" s="83">
        <f t="shared" ref="E20:AW20" si="3">SUM(E12:E19)</f>
        <v>1973058.4824874168</v>
      </c>
      <c r="F20" s="83">
        <f t="shared" si="3"/>
        <v>3312971.9007074265</v>
      </c>
      <c r="G20" s="83">
        <f t="shared" si="3"/>
        <v>6270723.9176044455</v>
      </c>
      <c r="H20" s="83">
        <f t="shared" si="3"/>
        <v>6498701.0228939205</v>
      </c>
      <c r="I20" s="83">
        <f t="shared" si="3"/>
        <v>6941323.8514587618</v>
      </c>
      <c r="J20" s="83">
        <f t="shared" si="3"/>
        <v>7245309.6154226335</v>
      </c>
      <c r="K20" s="83">
        <f t="shared" si="3"/>
        <v>7439437.4793546274</v>
      </c>
      <c r="L20" s="83">
        <f t="shared" si="3"/>
        <v>7509674.4306224976</v>
      </c>
      <c r="M20" s="83">
        <f t="shared" si="3"/>
        <v>7634653.3027933538</v>
      </c>
      <c r="N20" s="83">
        <f t="shared" si="3"/>
        <v>7686180.379596713</v>
      </c>
      <c r="O20" s="83">
        <f t="shared" si="3"/>
        <v>7585913.8621007372</v>
      </c>
      <c r="P20" s="83">
        <f t="shared" si="3"/>
        <v>7215762.1525588157</v>
      </c>
      <c r="Q20" s="83">
        <f t="shared" si="3"/>
        <v>7045232.0668979157</v>
      </c>
      <c r="R20" s="83">
        <f t="shared" si="3"/>
        <v>6868179.1369556226</v>
      </c>
      <c r="S20" s="83">
        <f t="shared" si="3"/>
        <v>6669302.6505610486</v>
      </c>
      <c r="T20" s="83">
        <f t="shared" si="3"/>
        <v>6640877.0004608557</v>
      </c>
      <c r="U20" s="83">
        <f t="shared" si="3"/>
        <v>6752794.1549951471</v>
      </c>
      <c r="V20" s="83">
        <f t="shared" si="3"/>
        <v>6877761.7315793298</v>
      </c>
      <c r="W20" s="83">
        <f t="shared" si="3"/>
        <v>7333435.4069577595</v>
      </c>
      <c r="X20" s="83">
        <f t="shared" si="3"/>
        <v>7216286.3960208939</v>
      </c>
      <c r="Y20" s="83">
        <f t="shared" si="3"/>
        <v>7214627.9194260975</v>
      </c>
      <c r="Z20" s="83">
        <f t="shared" si="3"/>
        <v>7246499.9104299108</v>
      </c>
      <c r="AA20" s="83">
        <f t="shared" si="3"/>
        <v>7282509.2178651411</v>
      </c>
      <c r="AB20" s="83">
        <f t="shared" si="3"/>
        <v>6959498.2940010047</v>
      </c>
      <c r="AC20" s="83">
        <f t="shared" si="3"/>
        <v>6558366.2478592992</v>
      </c>
      <c r="AD20" s="83">
        <f t="shared" si="3"/>
        <v>6416218.6924230894</v>
      </c>
      <c r="AE20" s="83">
        <f t="shared" si="3"/>
        <v>6385930.4964741459</v>
      </c>
      <c r="AF20" s="83">
        <f t="shared" si="3"/>
        <v>6348486.0688254209</v>
      </c>
      <c r="AG20" s="83">
        <f t="shared" si="3"/>
        <v>6509557.5402351711</v>
      </c>
      <c r="AH20" s="83">
        <f t="shared" si="3"/>
        <v>6770072.1309352359</v>
      </c>
      <c r="AI20" s="83">
        <f t="shared" si="3"/>
        <v>7079157.1096076127</v>
      </c>
      <c r="AJ20" s="83">
        <f t="shared" si="3"/>
        <v>7027840.8727869978</v>
      </c>
      <c r="AK20" s="83">
        <f t="shared" si="3"/>
        <v>7015937.3121113572</v>
      </c>
      <c r="AL20" s="83">
        <f t="shared" si="3"/>
        <v>6899002.0093476679</v>
      </c>
      <c r="AM20" s="83">
        <f t="shared" si="3"/>
        <v>6927874.8170995479</v>
      </c>
      <c r="AN20" s="83">
        <f t="shared" si="3"/>
        <v>6581552.1840242147</v>
      </c>
      <c r="AO20" s="83">
        <f t="shared" si="3"/>
        <v>6413990.4676754894</v>
      </c>
      <c r="AP20" s="83">
        <f t="shared" si="3"/>
        <v>6323131.7354064193</v>
      </c>
      <c r="AQ20" s="83">
        <f t="shared" si="3"/>
        <v>19805231.701789536</v>
      </c>
      <c r="AR20" s="83">
        <f t="shared" si="3"/>
        <v>22053794.110136256</v>
      </c>
      <c r="AS20" s="83">
        <f t="shared" si="3"/>
        <v>22169042.336335219</v>
      </c>
      <c r="AT20" s="83">
        <f t="shared" si="3"/>
        <v>22256093.564455464</v>
      </c>
      <c r="AU20" s="83">
        <f t="shared" si="3"/>
        <v>22786582.050117407</v>
      </c>
      <c r="AV20" s="83">
        <f t="shared" si="3"/>
        <v>22609866.577835437</v>
      </c>
      <c r="AW20" s="83">
        <f t="shared" si="3"/>
        <v>22731726.705181185</v>
      </c>
    </row>
    <row r="21" spans="1:49" ht="12.75" thickBot="1" x14ac:dyDescent="0.25">
      <c r="A21" s="9" t="s">
        <v>210</v>
      </c>
      <c r="B21" s="78"/>
      <c r="C21" s="78"/>
      <c r="D21" s="78"/>
      <c r="E21" s="78">
        <f>'Juris Alloc'!$C$16</f>
        <v>0.96438333333333315</v>
      </c>
      <c r="F21" s="78">
        <f>'Juris Alloc'!$C$16</f>
        <v>0.96438333333333315</v>
      </c>
      <c r="G21" s="78">
        <f>'Juris Alloc'!$C$16</f>
        <v>0.96438333333333315</v>
      </c>
      <c r="H21" s="78">
        <f>'Juris Alloc'!$C$16</f>
        <v>0.96438333333333315</v>
      </c>
      <c r="I21" s="78">
        <f>'Juris Alloc'!$C$16</f>
        <v>0.96438333333333315</v>
      </c>
      <c r="J21" s="78">
        <f>'Juris Alloc'!$C$16</f>
        <v>0.96438333333333315</v>
      </c>
      <c r="K21" s="78">
        <f>'Juris Alloc'!$C$16</f>
        <v>0.96438333333333315</v>
      </c>
      <c r="L21" s="78">
        <f>'Juris Alloc'!$C$16</f>
        <v>0.96438333333333315</v>
      </c>
      <c r="M21" s="78">
        <f>'Juris Alloc'!$C$16</f>
        <v>0.96438333333333315</v>
      </c>
      <c r="N21" s="78">
        <f>'Juris Alloc'!$C$16</f>
        <v>0.96438333333333315</v>
      </c>
      <c r="O21" s="78">
        <f>'Juris Alloc'!$C$16</f>
        <v>0.96438333333333315</v>
      </c>
      <c r="P21" s="78">
        <f>'Juris Alloc'!$C$16</f>
        <v>0.96438333333333315</v>
      </c>
      <c r="Q21" s="78">
        <f>'Juris Alloc'!$C$16</f>
        <v>0.96438333333333315</v>
      </c>
      <c r="R21" s="78">
        <f>'Juris Alloc'!$C$16</f>
        <v>0.96438333333333315</v>
      </c>
      <c r="S21" s="78">
        <f>'Juris Alloc'!$C$16</f>
        <v>0.96438333333333315</v>
      </c>
      <c r="T21" s="78">
        <f>'Juris Alloc'!$C$16</f>
        <v>0.96438333333333315</v>
      </c>
      <c r="U21" s="78">
        <f>'Juris Alloc'!$C$16</f>
        <v>0.96438333333333315</v>
      </c>
      <c r="V21" s="78">
        <f>'Juris Alloc'!$C$16</f>
        <v>0.96438333333333315</v>
      </c>
      <c r="W21" s="78">
        <f>'Juris Alloc'!$C$16</f>
        <v>0.96438333333333315</v>
      </c>
      <c r="X21" s="78">
        <f>'Juris Alloc'!$C$16</f>
        <v>0.96438333333333315</v>
      </c>
      <c r="Y21" s="78">
        <f>'Juris Alloc'!$C$16</f>
        <v>0.96438333333333315</v>
      </c>
      <c r="Z21" s="78">
        <f>'Juris Alloc'!$C$16</f>
        <v>0.96438333333333315</v>
      </c>
      <c r="AA21" s="78">
        <f>'Juris Alloc'!$C$16</f>
        <v>0.96438333333333315</v>
      </c>
      <c r="AB21" s="78">
        <f>'Juris Alloc'!$C$16</f>
        <v>0.96438333333333315</v>
      </c>
      <c r="AC21" s="78">
        <f>'Juris Alloc'!$C$16</f>
        <v>0.96438333333333315</v>
      </c>
      <c r="AD21" s="78">
        <f>'Juris Alloc'!$C$16</f>
        <v>0.96438333333333315</v>
      </c>
      <c r="AE21" s="78">
        <f>'Juris Alloc'!$C$16</f>
        <v>0.96438333333333315</v>
      </c>
      <c r="AF21" s="78">
        <f>'Juris Alloc'!$C$16</f>
        <v>0.96438333333333315</v>
      </c>
      <c r="AG21" s="78">
        <f>'Juris Alloc'!$C$16</f>
        <v>0.96438333333333315</v>
      </c>
      <c r="AH21" s="78">
        <f>'Juris Alloc'!$C$16</f>
        <v>0.96438333333333315</v>
      </c>
      <c r="AI21" s="78">
        <f>'Juris Alloc'!$C$16</f>
        <v>0.96438333333333315</v>
      </c>
      <c r="AJ21" s="78">
        <f>'Juris Alloc'!$C$16</f>
        <v>0.96438333333333315</v>
      </c>
      <c r="AK21" s="78">
        <f>'Juris Alloc'!$C$16</f>
        <v>0.96438333333333315</v>
      </c>
      <c r="AL21" s="78">
        <f>'Juris Alloc'!$C$16</f>
        <v>0.96438333333333315</v>
      </c>
      <c r="AM21" s="78">
        <f>'Juris Alloc'!$C$16</f>
        <v>0.96438333333333315</v>
      </c>
      <c r="AN21" s="78">
        <f>'Juris Alloc'!$C$16</f>
        <v>0.96438333333333315</v>
      </c>
      <c r="AO21" s="78">
        <f>'Juris Alloc'!$C$16</f>
        <v>0.96438333333333315</v>
      </c>
      <c r="AP21" s="78">
        <f>'Juris Alloc'!$C$16</f>
        <v>0.96438333333333315</v>
      </c>
      <c r="AQ21" s="78">
        <f>'Juris Alloc'!$C$16</f>
        <v>0.96438333333333315</v>
      </c>
      <c r="AR21" s="78">
        <f>'Juris Alloc'!$C$16</f>
        <v>0.96438333333333315</v>
      </c>
      <c r="AS21" s="78">
        <f>'Juris Alloc'!$C$16</f>
        <v>0.96438333333333315</v>
      </c>
      <c r="AT21" s="78">
        <f>'Juris Alloc'!$C$16</f>
        <v>0.96438333333333315</v>
      </c>
      <c r="AU21" s="78">
        <f>'Juris Alloc'!$C$16</f>
        <v>0.96438333333333315</v>
      </c>
      <c r="AV21" s="78">
        <f>'Juris Alloc'!$C$16</f>
        <v>0.96438333333333315</v>
      </c>
      <c r="AW21" s="78">
        <f>'Juris Alloc'!$C$16</f>
        <v>0.96438333333333315</v>
      </c>
    </row>
    <row r="22" spans="1:49" ht="12.75" thickBot="1" x14ac:dyDescent="0.25">
      <c r="A22" s="5" t="s">
        <v>25</v>
      </c>
      <c r="B22" s="80">
        <v>0</v>
      </c>
      <c r="C22" s="80">
        <v>0</v>
      </c>
      <c r="D22" s="80">
        <v>0</v>
      </c>
      <c r="E22" s="80">
        <f t="shared" ref="E22:AW22" si="4">E20*E21</f>
        <v>1902784.716202823</v>
      </c>
      <c r="F22" s="80">
        <f t="shared" si="4"/>
        <v>3194974.8848438961</v>
      </c>
      <c r="G22" s="80">
        <f t="shared" si="4"/>
        <v>6047381.6340724323</v>
      </c>
      <c r="H22" s="80">
        <f t="shared" si="4"/>
        <v>6267238.9547951808</v>
      </c>
      <c r="I22" s="80">
        <f t="shared" si="4"/>
        <v>6694097.033615971</v>
      </c>
      <c r="J22" s="80">
        <f t="shared" si="4"/>
        <v>6987255.8379533291</v>
      </c>
      <c r="K22" s="80">
        <f t="shared" si="4"/>
        <v>7174469.5144649455</v>
      </c>
      <c r="L22" s="80">
        <f t="shared" si="4"/>
        <v>7242204.8596518245</v>
      </c>
      <c r="M22" s="80">
        <f t="shared" si="4"/>
        <v>7362732.4009921961</v>
      </c>
      <c r="N22" s="80">
        <f t="shared" si="4"/>
        <v>7412424.2550767418</v>
      </c>
      <c r="O22" s="80">
        <f t="shared" si="4"/>
        <v>7315728.8967122482</v>
      </c>
      <c r="P22" s="80">
        <f t="shared" si="4"/>
        <v>6958760.7572251782</v>
      </c>
      <c r="Q22" s="80">
        <f t="shared" si="4"/>
        <v>6794304.3847818999</v>
      </c>
      <c r="R22" s="80">
        <f t="shared" si="4"/>
        <v>6623557.4900277182</v>
      </c>
      <c r="S22" s="80">
        <f t="shared" si="4"/>
        <v>6431764.3211568985</v>
      </c>
      <c r="T22" s="80">
        <f t="shared" si="4"/>
        <v>6404351.0979611073</v>
      </c>
      <c r="U22" s="80">
        <f t="shared" si="4"/>
        <v>6512282.136508069</v>
      </c>
      <c r="V22" s="80">
        <f t="shared" si="4"/>
        <v>6632798.7845729114</v>
      </c>
      <c r="W22" s="80">
        <f t="shared" si="4"/>
        <v>7072242.882546613</v>
      </c>
      <c r="X22" s="80">
        <f t="shared" si="4"/>
        <v>6959266.3288826151</v>
      </c>
      <c r="Y22" s="80">
        <f t="shared" si="4"/>
        <v>6957666.9216958703</v>
      </c>
      <c r="Z22" s="80">
        <f t="shared" si="4"/>
        <v>6988403.7386200977</v>
      </c>
      <c r="AA22" s="80">
        <f t="shared" si="4"/>
        <v>7023130.5145555092</v>
      </c>
      <c r="AB22" s="80">
        <f t="shared" si="4"/>
        <v>6711624.1630963339</v>
      </c>
      <c r="AC22" s="80">
        <f t="shared" si="4"/>
        <v>6324779.1033313759</v>
      </c>
      <c r="AD22" s="80">
        <f t="shared" si="4"/>
        <v>6187694.3699946189</v>
      </c>
      <c r="AE22" s="80">
        <f t="shared" si="4"/>
        <v>6158484.9386247238</v>
      </c>
      <c r="AF22" s="80">
        <f t="shared" si="4"/>
        <v>6122374.156674088</v>
      </c>
      <c r="AG22" s="80">
        <f t="shared" si="4"/>
        <v>6277708.799177127</v>
      </c>
      <c r="AH22" s="80">
        <f t="shared" si="4"/>
        <v>6528944.7285384247</v>
      </c>
      <c r="AI22" s="80">
        <f t="shared" si="4"/>
        <v>6827021.130553754</v>
      </c>
      <c r="AJ22" s="80">
        <f t="shared" si="4"/>
        <v>6777532.6070345659</v>
      </c>
      <c r="AK22" s="80">
        <f t="shared" si="4"/>
        <v>6766053.0115116565</v>
      </c>
      <c r="AL22" s="80">
        <f t="shared" si="4"/>
        <v>6653282.5544480672</v>
      </c>
      <c r="AM22" s="80">
        <f t="shared" si="4"/>
        <v>6681127.0090305181</v>
      </c>
      <c r="AN22" s="80">
        <f t="shared" si="4"/>
        <v>6347139.2337365514</v>
      </c>
      <c r="AO22" s="80">
        <f t="shared" si="4"/>
        <v>6185545.5071851127</v>
      </c>
      <c r="AP22" s="80">
        <f t="shared" si="4"/>
        <v>6097922.8600970265</v>
      </c>
      <c r="AQ22" s="80">
        <f t="shared" si="4"/>
        <v>19099835.366010796</v>
      </c>
      <c r="AR22" s="80">
        <f t="shared" si="4"/>
        <v>21268311.476580232</v>
      </c>
      <c r="AS22" s="80">
        <f t="shared" si="4"/>
        <v>21379454.945122741</v>
      </c>
      <c r="AT22" s="80">
        <f t="shared" si="4"/>
        <v>21463405.698668104</v>
      </c>
      <c r="AU22" s="80">
        <f t="shared" si="4"/>
        <v>21974999.952765722</v>
      </c>
      <c r="AV22" s="80">
        <f t="shared" si="4"/>
        <v>21804578.496554859</v>
      </c>
      <c r="AW22" s="80">
        <f t="shared" si="4"/>
        <v>21922098.372364979</v>
      </c>
    </row>
    <row r="23" spans="1:49" ht="12.75" thickTop="1" x14ac:dyDescent="0.2">
      <c r="E23" s="84"/>
      <c r="F23" s="84"/>
      <c r="G23" s="84"/>
      <c r="H23" s="84"/>
      <c r="I23" s="84"/>
      <c r="J23" s="84"/>
      <c r="K23" s="84"/>
      <c r="L23" s="84"/>
      <c r="M23" s="84"/>
    </row>
    <row r="24" spans="1:49" x14ac:dyDescent="0.2"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6"/>
      <c r="Z24" s="86"/>
      <c r="AA24" s="86"/>
      <c r="AB24" s="86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</row>
    <row r="25" spans="1:49" x14ac:dyDescent="0.2">
      <c r="A25" s="81" t="s">
        <v>82</v>
      </c>
      <c r="E25" s="84"/>
      <c r="J25" s="87"/>
    </row>
    <row r="26" spans="1:49" x14ac:dyDescent="0.2">
      <c r="A26" s="81" t="s">
        <v>116</v>
      </c>
      <c r="Y26" s="88"/>
    </row>
    <row r="27" spans="1:49" x14ac:dyDescent="0.2">
      <c r="A27" s="81" t="s">
        <v>170</v>
      </c>
      <c r="Y27" s="88"/>
    </row>
    <row r="28" spans="1:49" x14ac:dyDescent="0.2">
      <c r="Y28" s="88"/>
    </row>
    <row r="29" spans="1:49" x14ac:dyDescent="0.2">
      <c r="A29" s="82" t="s">
        <v>81</v>
      </c>
      <c r="Y29" s="87"/>
      <c r="AA29" s="89"/>
      <c r="AB29" s="90"/>
    </row>
    <row r="30" spans="1:49" x14ac:dyDescent="0.2">
      <c r="A30" s="81" t="s">
        <v>80</v>
      </c>
      <c r="Y30" s="87"/>
      <c r="AA30" s="89"/>
      <c r="AB30" s="90"/>
    </row>
    <row r="31" spans="1:49" x14ac:dyDescent="0.2">
      <c r="A31" s="81" t="s">
        <v>79</v>
      </c>
      <c r="Y31" s="87"/>
      <c r="AB31" s="87"/>
    </row>
    <row r="32" spans="1:49" x14ac:dyDescent="0.2">
      <c r="A32" s="81" t="s">
        <v>78</v>
      </c>
    </row>
    <row r="33" spans="1:1" x14ac:dyDescent="0.2">
      <c r="A33" s="81" t="s">
        <v>77</v>
      </c>
    </row>
    <row r="34" spans="1:1" x14ac:dyDescent="0.2">
      <c r="A34" s="81" t="s">
        <v>76</v>
      </c>
    </row>
  </sheetData>
  <pageMargins left="0.7" right="0.7" top="0.75" bottom="0.75" header="0.3" footer="0.3"/>
  <pageSetup scale="80" fitToWidth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D8B93-3FC0-4ED2-B525-2AA853C23561}">
  <sheetPr>
    <pageSetUpPr fitToPage="1"/>
  </sheetPr>
  <dimension ref="A1:T142"/>
  <sheetViews>
    <sheetView zoomScale="80" zoomScaleNormal="80" workbookViewId="0">
      <selection activeCell="A37" sqref="A37"/>
    </sheetView>
  </sheetViews>
  <sheetFormatPr defaultColWidth="9.140625" defaultRowHeight="12.75" x14ac:dyDescent="0.25"/>
  <cols>
    <col min="1" max="1" width="6.85546875" style="44" customWidth="1"/>
    <col min="2" max="2" width="18.28515625" style="44" bestFit="1" customWidth="1"/>
    <col min="3" max="3" width="15.5703125" style="44" customWidth="1"/>
    <col min="4" max="4" width="17.85546875" style="44" bestFit="1" customWidth="1"/>
    <col min="5" max="5" width="15.5703125" style="44" customWidth="1"/>
    <col min="6" max="6" width="16.85546875" style="44" bestFit="1" customWidth="1"/>
    <col min="7" max="11" width="15.5703125" style="44" customWidth="1"/>
    <col min="12" max="12" width="12.5703125" style="44" customWidth="1"/>
    <col min="13" max="13" width="16.140625" style="44" customWidth="1"/>
    <col min="14" max="15" width="18" style="44" hidden="1" customWidth="1"/>
    <col min="16" max="16" width="15.5703125" style="44" customWidth="1"/>
    <col min="17" max="17" width="14" style="44" customWidth="1"/>
    <col min="18" max="18" width="1.85546875" style="44" customWidth="1"/>
    <col min="19" max="19" width="11.5703125" style="44" bestFit="1" customWidth="1"/>
    <col min="20" max="20" width="12.140625" style="44" customWidth="1"/>
    <col min="21" max="16384" width="9.140625" style="44"/>
  </cols>
  <sheetData>
    <row r="1" spans="1:20" s="46" customFormat="1" ht="20.100000000000001" customHeight="1" x14ac:dyDescent="0.2">
      <c r="A1" s="97" t="s">
        <v>168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69"/>
    </row>
    <row r="2" spans="1:20" s="46" customFormat="1" ht="20.100000000000001" customHeight="1" x14ac:dyDescent="0.2">
      <c r="A2" s="97" t="s">
        <v>169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69"/>
    </row>
    <row r="3" spans="1:20" s="46" customFormat="1" ht="20.100000000000001" customHeight="1" x14ac:dyDescent="0.2">
      <c r="A3" s="98" t="s">
        <v>153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69"/>
    </row>
    <row r="4" spans="1:20" s="46" customFormat="1" ht="20.100000000000001" customHeight="1" x14ac:dyDescent="0.2">
      <c r="A4" s="98" t="s">
        <v>152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69"/>
    </row>
    <row r="5" spans="1:20" s="46" customFormat="1" ht="20.100000000000001" customHeight="1" x14ac:dyDescent="0.2">
      <c r="A5" s="98" t="s">
        <v>158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69"/>
    </row>
    <row r="6" spans="1:20" s="46" customFormat="1" ht="20.100000000000001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</row>
    <row r="7" spans="1:20" s="46" customFormat="1" ht="14.45" customHeight="1" x14ac:dyDescent="0.2">
      <c r="A7" s="46" t="s">
        <v>151</v>
      </c>
      <c r="P7" s="66"/>
    </row>
    <row r="8" spans="1:20" s="46" customFormat="1" ht="14.45" customHeight="1" x14ac:dyDescent="0.2">
      <c r="A8" s="46" t="s">
        <v>150</v>
      </c>
      <c r="M8" s="66" t="s">
        <v>146</v>
      </c>
    </row>
    <row r="9" spans="1:20" s="46" customFormat="1" ht="14.45" customHeight="1" x14ac:dyDescent="0.2">
      <c r="A9" s="46" t="s">
        <v>155</v>
      </c>
      <c r="M9" s="66" t="s">
        <v>167</v>
      </c>
    </row>
    <row r="10" spans="1:20" s="46" customFormat="1" ht="14.45" customHeight="1" x14ac:dyDescent="0.2">
      <c r="A10" s="46" t="s">
        <v>148</v>
      </c>
      <c r="M10" s="66" t="s">
        <v>154</v>
      </c>
    </row>
    <row r="11" spans="1:20" s="46" customFormat="1" ht="20.100000000000001" customHeight="1" x14ac:dyDescent="0.2"/>
    <row r="12" spans="1:20" ht="66" customHeight="1" x14ac:dyDescent="0.2">
      <c r="A12" s="65" t="s">
        <v>145</v>
      </c>
      <c r="B12" s="65" t="s">
        <v>144</v>
      </c>
      <c r="C12" s="65" t="s">
        <v>143</v>
      </c>
      <c r="D12" s="65" t="s">
        <v>142</v>
      </c>
      <c r="E12" s="65" t="s">
        <v>139</v>
      </c>
      <c r="F12" s="65" t="s">
        <v>166</v>
      </c>
      <c r="G12" s="65" t="s">
        <v>141</v>
      </c>
      <c r="H12" s="65" t="s">
        <v>140</v>
      </c>
      <c r="I12" s="65" t="s">
        <v>159</v>
      </c>
      <c r="J12" s="65" t="s">
        <v>138</v>
      </c>
      <c r="K12" s="65" t="s">
        <v>137</v>
      </c>
      <c r="L12" s="65" t="s">
        <v>136</v>
      </c>
      <c r="M12" s="65" t="s">
        <v>135</v>
      </c>
      <c r="N12" s="45"/>
      <c r="O12" s="45"/>
      <c r="Q12" s="45"/>
    </row>
    <row r="13" spans="1:20" ht="18.95" customHeight="1" x14ac:dyDescent="0.2">
      <c r="A13" s="45"/>
      <c r="B13" s="64" t="s">
        <v>134</v>
      </c>
      <c r="C13" s="64" t="s">
        <v>133</v>
      </c>
      <c r="D13" s="64" t="s">
        <v>132</v>
      </c>
      <c r="E13" s="64" t="s">
        <v>131</v>
      </c>
      <c r="F13" s="64" t="s">
        <v>165</v>
      </c>
      <c r="G13" s="64" t="s">
        <v>129</v>
      </c>
      <c r="H13" s="64" t="s">
        <v>164</v>
      </c>
      <c r="I13" s="64" t="s">
        <v>127</v>
      </c>
      <c r="J13" s="64" t="s">
        <v>163</v>
      </c>
      <c r="K13" s="64" t="s">
        <v>161</v>
      </c>
      <c r="L13" s="64" t="s">
        <v>160</v>
      </c>
      <c r="M13" s="64" t="s">
        <v>162</v>
      </c>
      <c r="N13" s="64"/>
      <c r="O13" s="64"/>
      <c r="Q13" s="64"/>
    </row>
    <row r="14" spans="1:20" ht="18.95" customHeight="1" x14ac:dyDescent="0.2">
      <c r="A14" s="45"/>
      <c r="B14" s="63"/>
      <c r="C14" s="63"/>
      <c r="D14" s="62" t="s">
        <v>124</v>
      </c>
      <c r="E14" s="62"/>
      <c r="F14" s="62" t="s">
        <v>124</v>
      </c>
      <c r="G14" s="62"/>
      <c r="H14" s="62" t="s">
        <v>124</v>
      </c>
      <c r="I14" s="62" t="s">
        <v>124</v>
      </c>
      <c r="J14" s="62" t="s">
        <v>124</v>
      </c>
      <c r="K14" s="62" t="s">
        <v>124</v>
      </c>
      <c r="L14" s="62" t="s">
        <v>123</v>
      </c>
      <c r="M14" s="62" t="s">
        <v>123</v>
      </c>
      <c r="N14" s="62"/>
      <c r="O14" s="62"/>
      <c r="Q14" s="62"/>
    </row>
    <row r="15" spans="1:20" ht="18.95" customHeight="1" x14ac:dyDescent="0.2">
      <c r="A15" s="47"/>
      <c r="B15" s="49"/>
      <c r="C15" s="45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Q15" s="54"/>
      <c r="T15" s="46"/>
    </row>
    <row r="16" spans="1:20" ht="18.95" customHeight="1" x14ac:dyDescent="0.2">
      <c r="A16" s="47">
        <v>1</v>
      </c>
      <c r="B16" s="49" t="s">
        <v>122</v>
      </c>
      <c r="C16" s="45" t="s">
        <v>121</v>
      </c>
      <c r="D16" s="54">
        <v>232249902.50018799</v>
      </c>
      <c r="E16" s="54">
        <v>-114484.37642358735</v>
      </c>
      <c r="F16" s="54">
        <f>SUM(D16:E16)</f>
        <v>232135418.1237644</v>
      </c>
      <c r="G16" s="53">
        <v>0.93259999999999998</v>
      </c>
      <c r="H16" s="54">
        <f>F16*G16</f>
        <v>216489490.94222268</v>
      </c>
      <c r="I16" s="54">
        <v>-39028251.370717362</v>
      </c>
      <c r="J16" s="54">
        <f>SUM(H16:I16)</f>
        <v>177461239.57150531</v>
      </c>
      <c r="K16" s="53">
        <f>H16/H$22</f>
        <v>2.8686862588027509E-2</v>
      </c>
      <c r="L16" s="53">
        <v>4.459013782220677E-2</v>
      </c>
      <c r="M16" s="53">
        <f>K16*L16</f>
        <v>1.2791511564868537E-3</v>
      </c>
      <c r="N16" s="53"/>
      <c r="O16" s="53"/>
      <c r="Q16" s="54"/>
      <c r="S16" s="53"/>
      <c r="T16" s="54"/>
    </row>
    <row r="17" spans="1:20" ht="18.95" customHeight="1" x14ac:dyDescent="0.2">
      <c r="A17" s="47"/>
      <c r="B17" s="49"/>
      <c r="C17" s="45"/>
      <c r="D17" s="54"/>
      <c r="E17" s="54"/>
      <c r="F17" s="54"/>
      <c r="G17" s="53"/>
      <c r="H17" s="54"/>
      <c r="I17" s="54"/>
      <c r="J17" s="54"/>
      <c r="K17" s="53"/>
      <c r="L17" s="51"/>
      <c r="M17" s="51"/>
      <c r="N17" s="51"/>
      <c r="O17" s="51"/>
      <c r="Q17" s="54"/>
      <c r="S17" s="53"/>
      <c r="T17" s="54"/>
    </row>
    <row r="18" spans="1:20" ht="18.95" customHeight="1" x14ac:dyDescent="0.2">
      <c r="A18" s="47">
        <v>2</v>
      </c>
      <c r="B18" s="49" t="s">
        <v>120</v>
      </c>
      <c r="C18" s="45" t="s">
        <v>119</v>
      </c>
      <c r="D18" s="54">
        <v>3588812215.4391251</v>
      </c>
      <c r="E18" s="54">
        <v>-1769055.3329105002</v>
      </c>
      <c r="F18" s="54">
        <f>SUM(D18:E18)</f>
        <v>3587043160.1062145</v>
      </c>
      <c r="G18" s="53">
        <f>G$16</f>
        <v>0.93259999999999998</v>
      </c>
      <c r="H18" s="54">
        <f>F18*G18</f>
        <v>3345276451.1150556</v>
      </c>
      <c r="I18" s="54">
        <v>-603079113.31134307</v>
      </c>
      <c r="J18" s="54">
        <f>SUM(H18:I18)</f>
        <v>2742197337.8037124</v>
      </c>
      <c r="K18" s="53">
        <f>H18/H$22</f>
        <v>0.443280112371429</v>
      </c>
      <c r="L18" s="57">
        <v>4.7581028382262802E-2</v>
      </c>
      <c r="M18" s="53">
        <f>K18*L18</f>
        <v>2.1091723608037606E-2</v>
      </c>
      <c r="N18" s="57"/>
      <c r="O18" s="57"/>
      <c r="S18" s="53"/>
      <c r="T18" s="54"/>
    </row>
    <row r="19" spans="1:20" ht="18.95" customHeight="1" x14ac:dyDescent="0.2">
      <c r="A19" s="47"/>
      <c r="B19" s="49"/>
      <c r="C19" s="45"/>
      <c r="D19" s="61"/>
      <c r="E19" s="61"/>
      <c r="F19" s="61"/>
      <c r="G19" s="59"/>
      <c r="H19" s="61"/>
      <c r="I19" s="61"/>
      <c r="J19" s="61"/>
      <c r="K19" s="59"/>
      <c r="L19" s="60"/>
      <c r="M19" s="59"/>
      <c r="N19" s="60"/>
      <c r="O19" s="60"/>
      <c r="Q19" s="61"/>
      <c r="S19" s="59"/>
      <c r="T19" s="61"/>
    </row>
    <row r="20" spans="1:20" ht="18.95" customHeight="1" x14ac:dyDescent="0.2">
      <c r="A20" s="47">
        <v>3</v>
      </c>
      <c r="B20" s="49" t="s">
        <v>118</v>
      </c>
      <c r="C20" s="45"/>
      <c r="D20" s="56">
        <v>4275298398.4610119</v>
      </c>
      <c r="E20" s="56">
        <v>-2430751.2997781327</v>
      </c>
      <c r="F20" s="56">
        <f>SUM(D20:E20)</f>
        <v>4272867647.1612339</v>
      </c>
      <c r="G20" s="53">
        <f>G$16</f>
        <v>0.93259999999999998</v>
      </c>
      <c r="H20" s="56">
        <f>F20*G20</f>
        <v>3984876367.7425666</v>
      </c>
      <c r="I20" s="56">
        <v>-718384785.72151291</v>
      </c>
      <c r="J20" s="56">
        <f>SUM(H20:I20)</f>
        <v>3266491582.0210538</v>
      </c>
      <c r="K20" s="55">
        <f>H20/H$22</f>
        <v>0.5280330250405435</v>
      </c>
      <c r="L20" s="53">
        <v>9.9000000000000005E-2</v>
      </c>
      <c r="M20" s="55">
        <f>K20*L20</f>
        <v>5.2275269479013807E-2</v>
      </c>
      <c r="N20" s="53"/>
      <c r="O20" s="53"/>
      <c r="Q20" s="54"/>
      <c r="S20" s="53"/>
      <c r="T20" s="54"/>
    </row>
    <row r="21" spans="1:20" ht="18.95" customHeight="1" x14ac:dyDescent="0.2">
      <c r="A21" s="47"/>
      <c r="B21" s="49"/>
      <c r="C21" s="45"/>
      <c r="D21" s="54"/>
      <c r="E21" s="54"/>
      <c r="F21" s="54"/>
      <c r="G21" s="51"/>
      <c r="H21" s="54"/>
      <c r="I21" s="54"/>
      <c r="J21" s="54"/>
      <c r="K21" s="51"/>
      <c r="L21" s="51"/>
      <c r="M21" s="53"/>
      <c r="N21" s="51"/>
      <c r="O21" s="51"/>
      <c r="Q21" s="54"/>
      <c r="S21" s="51"/>
      <c r="T21" s="54"/>
    </row>
    <row r="22" spans="1:20" ht="18.95" customHeight="1" thickBot="1" x14ac:dyDescent="0.25">
      <c r="A22" s="47">
        <v>4</v>
      </c>
      <c r="B22" s="49" t="s">
        <v>117</v>
      </c>
      <c r="C22" s="45"/>
      <c r="D22" s="52">
        <f>SUM(D16:D20)</f>
        <v>8096360516.4003248</v>
      </c>
      <c r="E22" s="52">
        <f>SUM(E16:E20)</f>
        <v>-4314291.0091122203</v>
      </c>
      <c r="F22" s="52">
        <f>SUM(F16:F20)</f>
        <v>8092046225.3912125</v>
      </c>
      <c r="G22" s="53"/>
      <c r="H22" s="52">
        <f>SUM(H16:H20)</f>
        <v>7546642309.7998447</v>
      </c>
      <c r="I22" s="52">
        <f>SUM(I16:I20)</f>
        <v>-1360492150.4035735</v>
      </c>
      <c r="J22" s="52">
        <f>SUM(J16:J20)</f>
        <v>6186150159.3962708</v>
      </c>
      <c r="K22" s="50">
        <f>SUM(K16:K20)</f>
        <v>1</v>
      </c>
      <c r="L22" s="51"/>
      <c r="M22" s="50">
        <f>SUM(M16:M20)</f>
        <v>7.464614424353827E-2</v>
      </c>
      <c r="N22" s="51"/>
      <c r="O22" s="51"/>
      <c r="Q22" s="54"/>
      <c r="S22" s="53"/>
      <c r="T22" s="54"/>
    </row>
    <row r="23" spans="1:20" ht="18.95" customHeight="1" thickTop="1" x14ac:dyDescent="0.2">
      <c r="A23" s="47"/>
      <c r="B23" s="49"/>
      <c r="C23" s="45"/>
      <c r="D23" s="48"/>
      <c r="E23" s="48"/>
      <c r="F23" s="48"/>
      <c r="G23" s="48"/>
      <c r="H23" s="54"/>
      <c r="I23" s="54"/>
      <c r="J23" s="54"/>
      <c r="K23" s="48"/>
      <c r="L23" s="48"/>
      <c r="M23" s="48"/>
      <c r="N23" s="48"/>
      <c r="O23" s="48"/>
      <c r="P23" s="48"/>
      <c r="Q23" s="48"/>
      <c r="T23" s="68"/>
    </row>
    <row r="24" spans="1:20" ht="18.95" customHeight="1" thickBot="1" x14ac:dyDescent="0.3">
      <c r="A24" s="47"/>
      <c r="B24" s="46" t="s">
        <v>174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50">
        <f>(M22+(M22-M18-M16)*(24.95%/(1-24.95%)))</f>
        <v>9.2024798120971918E-2</v>
      </c>
      <c r="N24" s="73"/>
      <c r="O24" s="73"/>
      <c r="P24" s="73"/>
      <c r="Q24" s="73"/>
      <c r="R24" s="74"/>
      <c r="S24" s="73"/>
    </row>
    <row r="25" spans="1:20" ht="18.95" customHeight="1" thickTop="1" x14ac:dyDescent="0.25"/>
    <row r="26" spans="1:20" ht="18.95" customHeight="1" x14ac:dyDescent="0.25"/>
    <row r="27" spans="1:20" ht="18.95" customHeight="1" x14ac:dyDescent="0.25"/>
    <row r="28" spans="1:20" ht="18.95" customHeight="1" x14ac:dyDescent="0.25"/>
    <row r="29" spans="1:20" ht="18.95" customHeight="1" x14ac:dyDescent="0.25"/>
    <row r="30" spans="1:20" ht="18.95" customHeight="1" x14ac:dyDescent="0.25"/>
    <row r="31" spans="1:20" ht="18.95" customHeight="1" x14ac:dyDescent="0.25"/>
    <row r="32" spans="1:20" ht="18.95" customHeight="1" x14ac:dyDescent="0.25"/>
    <row r="33" ht="18.95" customHeight="1" x14ac:dyDescent="0.25"/>
    <row r="34" ht="18.95" customHeight="1" x14ac:dyDescent="0.25"/>
    <row r="35" ht="18.95" customHeight="1" x14ac:dyDescent="0.25"/>
    <row r="36" ht="18.95" customHeight="1" x14ac:dyDescent="0.25"/>
    <row r="37" ht="18.95" customHeight="1" x14ac:dyDescent="0.25"/>
    <row r="38" ht="18.95" customHeight="1" x14ac:dyDescent="0.25"/>
    <row r="39" ht="18.95" customHeight="1" x14ac:dyDescent="0.25"/>
    <row r="40" ht="18.95" customHeight="1" x14ac:dyDescent="0.25"/>
    <row r="41" ht="18.95" customHeight="1" x14ac:dyDescent="0.25"/>
    <row r="42" ht="18.95" customHeight="1" x14ac:dyDescent="0.25"/>
    <row r="43" ht="18.95" customHeight="1" x14ac:dyDescent="0.25"/>
    <row r="44" ht="18.95" customHeight="1" x14ac:dyDescent="0.25"/>
    <row r="45" ht="18.95" customHeight="1" x14ac:dyDescent="0.25"/>
    <row r="46" ht="18.95" customHeight="1" x14ac:dyDescent="0.25"/>
    <row r="47" ht="18.95" customHeight="1" x14ac:dyDescent="0.25"/>
    <row r="48" ht="18.95" customHeight="1" x14ac:dyDescent="0.25"/>
    <row r="49" ht="18.95" customHeight="1" x14ac:dyDescent="0.25"/>
    <row r="50" ht="18.95" customHeight="1" x14ac:dyDescent="0.25"/>
    <row r="51" ht="18.95" customHeight="1" x14ac:dyDescent="0.25"/>
    <row r="52" ht="18.95" customHeight="1" x14ac:dyDescent="0.25"/>
    <row r="53" ht="18.95" customHeight="1" x14ac:dyDescent="0.25"/>
    <row r="54" ht="18.95" customHeight="1" x14ac:dyDescent="0.25"/>
    <row r="55" ht="18.95" customHeight="1" x14ac:dyDescent="0.25"/>
    <row r="56" ht="18.95" customHeight="1" x14ac:dyDescent="0.25"/>
    <row r="57" ht="18.95" customHeight="1" x14ac:dyDescent="0.25"/>
    <row r="58" ht="18.95" customHeight="1" x14ac:dyDescent="0.25"/>
    <row r="59" ht="18.95" customHeight="1" x14ac:dyDescent="0.25"/>
    <row r="60" ht="18.95" customHeight="1" x14ac:dyDescent="0.25"/>
    <row r="61" ht="18.95" customHeight="1" x14ac:dyDescent="0.25"/>
    <row r="62" ht="18.95" customHeight="1" x14ac:dyDescent="0.25"/>
    <row r="63" ht="18.95" customHeight="1" x14ac:dyDescent="0.25"/>
    <row r="64" ht="18.95" customHeight="1" x14ac:dyDescent="0.25"/>
    <row r="65" ht="18.95" customHeight="1" x14ac:dyDescent="0.25"/>
    <row r="66" ht="18.95" customHeight="1" x14ac:dyDescent="0.25"/>
    <row r="67" ht="18.95" customHeight="1" x14ac:dyDescent="0.25"/>
    <row r="68" ht="18.95" customHeight="1" x14ac:dyDescent="0.25"/>
    <row r="69" ht="18.95" customHeight="1" x14ac:dyDescent="0.25"/>
    <row r="70" ht="18.95" customHeight="1" x14ac:dyDescent="0.25"/>
    <row r="71" ht="18.95" customHeight="1" x14ac:dyDescent="0.25"/>
    <row r="72" ht="18.95" customHeight="1" x14ac:dyDescent="0.25"/>
    <row r="73" ht="18.95" customHeight="1" x14ac:dyDescent="0.25"/>
    <row r="74" ht="18.95" customHeight="1" x14ac:dyDescent="0.25"/>
    <row r="75" ht="18.95" customHeight="1" x14ac:dyDescent="0.25"/>
    <row r="76" ht="18.95" customHeight="1" x14ac:dyDescent="0.25"/>
    <row r="77" ht="18.95" customHeight="1" x14ac:dyDescent="0.25"/>
    <row r="78" ht="18.95" customHeight="1" x14ac:dyDescent="0.25"/>
    <row r="79" ht="18.95" customHeight="1" x14ac:dyDescent="0.25"/>
    <row r="80" ht="18.95" customHeight="1" x14ac:dyDescent="0.25"/>
    <row r="81" ht="18.95" customHeight="1" x14ac:dyDescent="0.25"/>
    <row r="82" ht="18.95" customHeight="1" x14ac:dyDescent="0.25"/>
    <row r="83" ht="18.95" customHeight="1" x14ac:dyDescent="0.25"/>
    <row r="84" ht="18.95" customHeight="1" x14ac:dyDescent="0.25"/>
    <row r="85" ht="18.95" customHeight="1" x14ac:dyDescent="0.25"/>
    <row r="86" ht="18.95" customHeight="1" x14ac:dyDescent="0.25"/>
    <row r="87" ht="18.95" customHeight="1" x14ac:dyDescent="0.25"/>
    <row r="88" ht="18.95" customHeight="1" x14ac:dyDescent="0.25"/>
    <row r="89" ht="18.95" customHeight="1" x14ac:dyDescent="0.25"/>
    <row r="90" ht="18.95" customHeight="1" x14ac:dyDescent="0.25"/>
    <row r="91" ht="18.95" customHeight="1" x14ac:dyDescent="0.25"/>
    <row r="92" ht="18.95" customHeight="1" x14ac:dyDescent="0.25"/>
    <row r="93" ht="18.95" customHeight="1" x14ac:dyDescent="0.25"/>
    <row r="94" ht="18.95" customHeight="1" x14ac:dyDescent="0.25"/>
    <row r="95" ht="18.95" customHeight="1" x14ac:dyDescent="0.25"/>
    <row r="96" ht="18.95" customHeight="1" x14ac:dyDescent="0.25"/>
    <row r="97" ht="18.95" customHeight="1" x14ac:dyDescent="0.25"/>
    <row r="98" ht="18.95" customHeight="1" x14ac:dyDescent="0.25"/>
    <row r="99" ht="18.95" customHeight="1" x14ac:dyDescent="0.25"/>
    <row r="100" ht="18.95" customHeight="1" x14ac:dyDescent="0.25"/>
    <row r="101" ht="18.95" customHeight="1" x14ac:dyDescent="0.25"/>
    <row r="102" ht="18.95" customHeight="1" x14ac:dyDescent="0.25"/>
    <row r="103" ht="18.95" customHeight="1" x14ac:dyDescent="0.25"/>
    <row r="104" ht="18.95" customHeight="1" x14ac:dyDescent="0.25"/>
    <row r="105" ht="18.95" customHeight="1" x14ac:dyDescent="0.25"/>
    <row r="106" ht="18.95" customHeight="1" x14ac:dyDescent="0.25"/>
    <row r="107" ht="18.95" customHeight="1" x14ac:dyDescent="0.25"/>
    <row r="108" ht="18.95" customHeight="1" x14ac:dyDescent="0.25"/>
    <row r="109" ht="18.95" customHeight="1" x14ac:dyDescent="0.25"/>
    <row r="110" ht="18.95" customHeight="1" x14ac:dyDescent="0.25"/>
    <row r="111" ht="18.95" customHeight="1" x14ac:dyDescent="0.25"/>
    <row r="112" ht="18.95" customHeight="1" x14ac:dyDescent="0.25"/>
    <row r="113" ht="18.95" customHeight="1" x14ac:dyDescent="0.25"/>
    <row r="114" ht="18.95" customHeight="1" x14ac:dyDescent="0.25"/>
    <row r="115" ht="18.95" customHeight="1" x14ac:dyDescent="0.25"/>
    <row r="116" ht="18.95" customHeight="1" x14ac:dyDescent="0.25"/>
    <row r="117" ht="18.95" customHeight="1" x14ac:dyDescent="0.25"/>
    <row r="118" ht="18.95" customHeight="1" x14ac:dyDescent="0.25"/>
    <row r="119" ht="18.95" customHeight="1" x14ac:dyDescent="0.25"/>
    <row r="120" ht="18.95" customHeight="1" x14ac:dyDescent="0.25"/>
    <row r="121" ht="18.95" customHeight="1" x14ac:dyDescent="0.25"/>
    <row r="122" ht="18.95" customHeight="1" x14ac:dyDescent="0.25"/>
    <row r="123" ht="18.95" customHeight="1" x14ac:dyDescent="0.25"/>
    <row r="124" ht="18.95" customHeight="1" x14ac:dyDescent="0.25"/>
    <row r="125" ht="18.95" customHeight="1" x14ac:dyDescent="0.25"/>
    <row r="126" ht="18.95" customHeight="1" x14ac:dyDescent="0.25"/>
    <row r="127" ht="18.95" customHeight="1" x14ac:dyDescent="0.25"/>
    <row r="128" ht="18.95" customHeight="1" x14ac:dyDescent="0.25"/>
    <row r="129" ht="18.95" customHeight="1" x14ac:dyDescent="0.25"/>
    <row r="130" ht="18.95" customHeight="1" x14ac:dyDescent="0.25"/>
    <row r="131" ht="18.95" customHeight="1" x14ac:dyDescent="0.25"/>
    <row r="132" ht="18.95" customHeight="1" x14ac:dyDescent="0.25"/>
    <row r="133" ht="18.95" customHeight="1" x14ac:dyDescent="0.25"/>
    <row r="134" ht="18.95" customHeight="1" x14ac:dyDescent="0.25"/>
    <row r="135" ht="18.95" customHeight="1" x14ac:dyDescent="0.25"/>
    <row r="136" ht="18.95" customHeight="1" x14ac:dyDescent="0.25"/>
    <row r="137" ht="18.95" customHeight="1" x14ac:dyDescent="0.25"/>
    <row r="138" ht="18.95" customHeight="1" x14ac:dyDescent="0.25"/>
    <row r="139" ht="18.95" customHeight="1" x14ac:dyDescent="0.25"/>
    <row r="140" ht="18.95" customHeight="1" x14ac:dyDescent="0.25"/>
    <row r="141" ht="18.95" customHeight="1" x14ac:dyDescent="0.25"/>
    <row r="142" ht="18.95" customHeight="1" x14ac:dyDescent="0.25"/>
  </sheetData>
  <mergeCells count="5">
    <mergeCell ref="A1:P1"/>
    <mergeCell ref="A2:P2"/>
    <mergeCell ref="A3:P3"/>
    <mergeCell ref="A4:P4"/>
    <mergeCell ref="A5:P5"/>
  </mergeCells>
  <pageMargins left="0.7" right="0.7" top="1" bottom="0.75" header="0.3" footer="0.3"/>
  <pageSetup scale="57" fitToHeight="0" orientation="landscape" blackAndWhite="1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03B08-613C-4203-B7BB-35CDC8BA8F17}">
  <sheetPr>
    <pageSetUpPr fitToPage="1"/>
  </sheetPr>
  <dimension ref="A1:L144"/>
  <sheetViews>
    <sheetView zoomScale="90" zoomScaleNormal="90" workbookViewId="0">
      <selection activeCell="A37" sqref="A37"/>
    </sheetView>
  </sheetViews>
  <sheetFormatPr defaultColWidth="9.140625" defaultRowHeight="12.75" x14ac:dyDescent="0.25"/>
  <cols>
    <col min="1" max="1" width="6.85546875" style="44" customWidth="1"/>
    <col min="2" max="2" width="18.85546875" style="44" bestFit="1" customWidth="1"/>
    <col min="3" max="4" width="15.5703125" style="44" customWidth="1"/>
    <col min="5" max="6" width="16.85546875" style="44" customWidth="1"/>
    <col min="7" max="7" width="15.5703125" style="44" customWidth="1"/>
    <col min="8" max="8" width="16.7109375" style="44" customWidth="1"/>
    <col min="9" max="11" width="12.5703125" style="44" customWidth="1"/>
    <col min="12" max="16384" width="9.140625" style="44"/>
  </cols>
  <sheetData>
    <row r="1" spans="1:11" s="46" customFormat="1" ht="20.100000000000001" customHeight="1" x14ac:dyDescent="0.2">
      <c r="A1" s="98" t="s">
        <v>156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s="46" customFormat="1" ht="20.100000000000001" customHeight="1" x14ac:dyDescent="0.2">
      <c r="A2" s="98" t="s">
        <v>157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s="46" customFormat="1" ht="20.100000000000001" customHeight="1" x14ac:dyDescent="0.2">
      <c r="A3" s="98" t="s">
        <v>153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s="46" customFormat="1" ht="20.100000000000001" customHeight="1" x14ac:dyDescent="0.2">
      <c r="A4" s="98" t="s">
        <v>152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s="46" customFormat="1" ht="20.100000000000001" customHeight="1" x14ac:dyDescent="0.2">
      <c r="A5" s="97" t="s">
        <v>158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1" s="46" customFormat="1" ht="20.100000000000001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s="46" customFormat="1" ht="14.45" customHeight="1" x14ac:dyDescent="0.2">
      <c r="A7" s="46" t="s">
        <v>151</v>
      </c>
      <c r="K7" s="66"/>
    </row>
    <row r="8" spans="1:11" s="46" customFormat="1" ht="14.45" customHeight="1" x14ac:dyDescent="0.2">
      <c r="A8" s="46" t="s">
        <v>150</v>
      </c>
      <c r="K8" s="66" t="s">
        <v>146</v>
      </c>
    </row>
    <row r="9" spans="1:11" s="46" customFormat="1" ht="14.45" customHeight="1" x14ac:dyDescent="0.2">
      <c r="A9" s="46" t="s">
        <v>155</v>
      </c>
      <c r="K9" s="66" t="s">
        <v>149</v>
      </c>
    </row>
    <row r="10" spans="1:11" s="46" customFormat="1" ht="14.45" customHeight="1" x14ac:dyDescent="0.2">
      <c r="A10" s="46" t="s">
        <v>148</v>
      </c>
      <c r="K10" s="66" t="s">
        <v>154</v>
      </c>
    </row>
    <row r="11" spans="1:11" s="46" customFormat="1" ht="20.100000000000001" customHeight="1" x14ac:dyDescent="0.2"/>
    <row r="12" spans="1:11" ht="66" customHeight="1" x14ac:dyDescent="0.2">
      <c r="A12" s="65" t="s">
        <v>145</v>
      </c>
      <c r="B12" s="65" t="s">
        <v>144</v>
      </c>
      <c r="C12" s="65" t="s">
        <v>143</v>
      </c>
      <c r="D12" s="65" t="s">
        <v>142</v>
      </c>
      <c r="E12" s="65" t="s">
        <v>141</v>
      </c>
      <c r="F12" s="65" t="s">
        <v>140</v>
      </c>
      <c r="G12" s="65" t="s">
        <v>139</v>
      </c>
      <c r="H12" s="65" t="s">
        <v>138</v>
      </c>
      <c r="I12" s="65" t="s">
        <v>137</v>
      </c>
      <c r="J12" s="65" t="s">
        <v>136</v>
      </c>
      <c r="K12" s="65" t="s">
        <v>135</v>
      </c>
    </row>
    <row r="13" spans="1:11" ht="18.95" customHeight="1" x14ac:dyDescent="0.2">
      <c r="A13" s="45"/>
      <c r="B13" s="64" t="s">
        <v>134</v>
      </c>
      <c r="C13" s="64" t="s">
        <v>133</v>
      </c>
      <c r="D13" s="64" t="s">
        <v>132</v>
      </c>
      <c r="E13" s="64" t="s">
        <v>131</v>
      </c>
      <c r="F13" s="64" t="s">
        <v>130</v>
      </c>
      <c r="G13" s="64" t="s">
        <v>129</v>
      </c>
      <c r="H13" s="64" t="s">
        <v>128</v>
      </c>
      <c r="I13" s="64" t="s">
        <v>127</v>
      </c>
      <c r="J13" s="64" t="s">
        <v>126</v>
      </c>
      <c r="K13" s="64" t="s">
        <v>125</v>
      </c>
    </row>
    <row r="14" spans="1:11" ht="18.95" customHeight="1" x14ac:dyDescent="0.2">
      <c r="A14" s="45"/>
      <c r="B14" s="63"/>
      <c r="C14" s="63"/>
      <c r="D14" s="62" t="s">
        <v>124</v>
      </c>
      <c r="E14" s="62" t="s">
        <v>123</v>
      </c>
      <c r="F14" s="62" t="s">
        <v>124</v>
      </c>
      <c r="G14" s="62" t="s">
        <v>124</v>
      </c>
      <c r="H14" s="62" t="s">
        <v>124</v>
      </c>
      <c r="I14" s="62"/>
      <c r="J14" s="62" t="s">
        <v>123</v>
      </c>
      <c r="K14" s="62" t="s">
        <v>123</v>
      </c>
    </row>
    <row r="15" spans="1:11" ht="18.95" customHeight="1" x14ac:dyDescent="0.2">
      <c r="A15" s="47"/>
      <c r="B15" s="49" t="s">
        <v>147</v>
      </c>
      <c r="C15" s="45"/>
      <c r="D15" s="54"/>
      <c r="E15" s="54"/>
      <c r="F15" s="54"/>
      <c r="G15" s="54"/>
      <c r="H15" s="54"/>
      <c r="I15" s="54"/>
      <c r="J15" s="54"/>
      <c r="K15" s="54"/>
    </row>
    <row r="16" spans="1:11" ht="18.95" customHeight="1" x14ac:dyDescent="0.2">
      <c r="A16" s="47">
        <v>1</v>
      </c>
      <c r="B16" s="49" t="s">
        <v>122</v>
      </c>
      <c r="C16" s="45" t="s">
        <v>121</v>
      </c>
      <c r="D16" s="54">
        <v>85050622.996770963</v>
      </c>
      <c r="E16" s="53">
        <v>0.7651</v>
      </c>
      <c r="F16" s="54">
        <f>D16*E16</f>
        <v>65072231.654829465</v>
      </c>
      <c r="G16" s="54">
        <v>-15690023.977957597</v>
      </c>
      <c r="H16" s="54">
        <f>SUM(F16:G16)</f>
        <v>49382207.676871866</v>
      </c>
      <c r="I16" s="53">
        <f>H16/H$22</f>
        <v>1.320754033860082E-2</v>
      </c>
      <c r="J16" s="53">
        <v>4.4645425972429327E-2</v>
      </c>
      <c r="K16" s="53">
        <f>I16*J16</f>
        <v>5.8965626446487701E-4</v>
      </c>
    </row>
    <row r="17" spans="1:12" ht="18.95" customHeight="1" x14ac:dyDescent="0.2">
      <c r="A17" s="47"/>
      <c r="B17" s="49"/>
      <c r="C17" s="45"/>
      <c r="D17" s="54"/>
      <c r="E17" s="51"/>
      <c r="F17" s="54"/>
      <c r="G17" s="54"/>
      <c r="H17" s="54"/>
      <c r="I17" s="53"/>
      <c r="J17" s="51"/>
      <c r="K17" s="53"/>
    </row>
    <row r="18" spans="1:12" ht="18.95" customHeight="1" x14ac:dyDescent="0.2">
      <c r="A18" s="47">
        <v>2</v>
      </c>
      <c r="B18" s="49" t="s">
        <v>120</v>
      </c>
      <c r="C18" s="45" t="s">
        <v>119</v>
      </c>
      <c r="D18" s="54">
        <v>2941658774.4014602</v>
      </c>
      <c r="E18" s="57">
        <f>E$16</f>
        <v>0.7651</v>
      </c>
      <c r="F18" s="54">
        <f>D18*E18</f>
        <v>2250663128.2945571</v>
      </c>
      <c r="G18" s="54">
        <v>-542673234.82251954</v>
      </c>
      <c r="H18" s="54">
        <f>SUM(F18:G18)</f>
        <v>1707989893.4720376</v>
      </c>
      <c r="I18" s="53">
        <f>H18/H$22</f>
        <v>0.45681119733574899</v>
      </c>
      <c r="J18" s="57">
        <v>4.7365212651870096E-2</v>
      </c>
      <c r="K18" s="53">
        <f>I18*J18</f>
        <v>2.1636959503563147E-2</v>
      </c>
    </row>
    <row r="19" spans="1:12" ht="18.95" customHeight="1" x14ac:dyDescent="0.2">
      <c r="A19" s="47"/>
      <c r="B19" s="49"/>
      <c r="C19" s="45"/>
      <c r="D19" s="61"/>
      <c r="E19" s="60"/>
      <c r="F19" s="61"/>
      <c r="G19" s="61"/>
      <c r="H19" s="61"/>
      <c r="I19" s="59"/>
      <c r="J19" s="60"/>
      <c r="K19" s="59"/>
    </row>
    <row r="20" spans="1:12" ht="18.95" customHeight="1" x14ac:dyDescent="0.2">
      <c r="A20" s="47">
        <v>3</v>
      </c>
      <c r="B20" s="49" t="s">
        <v>118</v>
      </c>
      <c r="C20" s="45"/>
      <c r="D20" s="58">
        <v>3412841103.023035</v>
      </c>
      <c r="E20" s="57">
        <f>E$16</f>
        <v>0.7651</v>
      </c>
      <c r="F20" s="56">
        <f>D20*E20</f>
        <v>2611164727.922924</v>
      </c>
      <c r="G20" s="56">
        <v>-629596313.967314</v>
      </c>
      <c r="H20" s="56">
        <f>SUM(F20:G20)</f>
        <v>1981568413.95561</v>
      </c>
      <c r="I20" s="55">
        <f>H20/H$22</f>
        <v>0.52998126232565024</v>
      </c>
      <c r="J20" s="53">
        <v>9.9000000000000005E-2</v>
      </c>
      <c r="K20" s="55">
        <f>I20*J20</f>
        <v>5.2468144970239376E-2</v>
      </c>
    </row>
    <row r="21" spans="1:12" ht="18.95" customHeight="1" x14ac:dyDescent="0.2">
      <c r="A21" s="47"/>
      <c r="B21" s="49"/>
      <c r="C21" s="45"/>
      <c r="D21" s="54"/>
      <c r="E21" s="51"/>
      <c r="F21" s="54"/>
      <c r="G21" s="54"/>
      <c r="H21" s="54"/>
      <c r="I21" s="53"/>
      <c r="J21" s="51"/>
      <c r="K21" s="53"/>
    </row>
    <row r="22" spans="1:12" ht="18.95" customHeight="1" thickBot="1" x14ac:dyDescent="0.25">
      <c r="A22" s="47">
        <v>4</v>
      </c>
      <c r="B22" s="49" t="s">
        <v>117</v>
      </c>
      <c r="C22" s="45"/>
      <c r="D22" s="52">
        <f>SUM(D16:D20)</f>
        <v>6439550500.4212666</v>
      </c>
      <c r="E22" s="51"/>
      <c r="F22" s="52">
        <f>SUM(F16:F20)</f>
        <v>4926900087.8723106</v>
      </c>
      <c r="G22" s="52">
        <f>SUM(G16:G20)</f>
        <v>-1187959572.7677913</v>
      </c>
      <c r="H22" s="52">
        <f>SUM(H16:H20)</f>
        <v>3738940515.1045194</v>
      </c>
      <c r="I22" s="50">
        <f>SUM(I16:I20)</f>
        <v>1</v>
      </c>
      <c r="J22" s="51"/>
      <c r="K22" s="50">
        <f>SUM(K16:K20)</f>
        <v>7.4694760738267404E-2</v>
      </c>
    </row>
    <row r="23" spans="1:12" ht="18.95" customHeight="1" thickTop="1" x14ac:dyDescent="0.2">
      <c r="A23" s="47"/>
      <c r="B23" s="49"/>
      <c r="C23" s="45"/>
      <c r="D23" s="48"/>
      <c r="E23" s="48"/>
      <c r="F23" s="48"/>
      <c r="G23" s="48"/>
      <c r="H23" s="48"/>
      <c r="I23" s="48"/>
      <c r="J23" s="48"/>
      <c r="K23" s="48"/>
    </row>
    <row r="24" spans="1:12" ht="18.95" customHeight="1" thickBot="1" x14ac:dyDescent="0.3">
      <c r="A24" s="47"/>
      <c r="B24" s="46" t="s">
        <v>174</v>
      </c>
      <c r="C24" s="73"/>
      <c r="D24" s="73"/>
      <c r="E24" s="73"/>
      <c r="F24" s="73"/>
      <c r="G24" s="73"/>
      <c r="H24" s="73"/>
      <c r="I24" s="73"/>
      <c r="J24" s="73"/>
      <c r="K24" s="50">
        <f>K22+(K22-K18-K16)*(24.95%/(1-24.95%))</f>
        <v>9.2137535115448921E-2</v>
      </c>
      <c r="L24" s="73"/>
    </row>
    <row r="25" spans="1:12" ht="18.95" customHeight="1" thickTop="1" x14ac:dyDescent="0.25"/>
    <row r="26" spans="1:12" ht="18.95" customHeight="1" x14ac:dyDescent="0.25"/>
    <row r="27" spans="1:12" ht="18.95" customHeight="1" x14ac:dyDescent="0.25"/>
    <row r="28" spans="1:12" ht="18.95" customHeight="1" x14ac:dyDescent="0.25"/>
    <row r="29" spans="1:12" ht="18.95" customHeight="1" x14ac:dyDescent="0.25"/>
    <row r="30" spans="1:12" ht="18.95" customHeight="1" x14ac:dyDescent="0.25"/>
    <row r="31" spans="1:12" ht="18.95" customHeight="1" x14ac:dyDescent="0.25"/>
    <row r="32" spans="1:12" ht="18.95" customHeight="1" x14ac:dyDescent="0.25"/>
    <row r="33" ht="18.95" customHeight="1" x14ac:dyDescent="0.25"/>
    <row r="34" ht="18.95" customHeight="1" x14ac:dyDescent="0.25"/>
    <row r="35" ht="18.95" customHeight="1" x14ac:dyDescent="0.25"/>
    <row r="36" ht="18.95" customHeight="1" x14ac:dyDescent="0.25"/>
    <row r="37" ht="18.95" customHeight="1" x14ac:dyDescent="0.25"/>
    <row r="38" ht="18.95" customHeight="1" x14ac:dyDescent="0.25"/>
    <row r="39" ht="18.95" customHeight="1" x14ac:dyDescent="0.25"/>
    <row r="40" ht="18.95" customHeight="1" x14ac:dyDescent="0.25"/>
    <row r="41" ht="18.95" customHeight="1" x14ac:dyDescent="0.25"/>
    <row r="42" ht="18.95" customHeight="1" x14ac:dyDescent="0.25"/>
    <row r="43" ht="18.95" customHeight="1" x14ac:dyDescent="0.25"/>
    <row r="44" ht="18.95" customHeight="1" x14ac:dyDescent="0.25"/>
    <row r="45" ht="18.95" customHeight="1" x14ac:dyDescent="0.25"/>
    <row r="46" ht="18.95" customHeight="1" x14ac:dyDescent="0.25"/>
    <row r="47" ht="18.95" customHeight="1" x14ac:dyDescent="0.25"/>
    <row r="48" ht="18.95" customHeight="1" x14ac:dyDescent="0.25"/>
    <row r="49" ht="18.95" customHeight="1" x14ac:dyDescent="0.25"/>
    <row r="50" ht="18.95" customHeight="1" x14ac:dyDescent="0.25"/>
    <row r="51" ht="18.95" customHeight="1" x14ac:dyDescent="0.25"/>
    <row r="52" ht="18.95" customHeight="1" x14ac:dyDescent="0.25"/>
    <row r="53" ht="18.95" customHeight="1" x14ac:dyDescent="0.25"/>
    <row r="54" ht="18.95" customHeight="1" x14ac:dyDescent="0.25"/>
    <row r="55" ht="18.95" customHeight="1" x14ac:dyDescent="0.25"/>
    <row r="56" ht="18.95" customHeight="1" x14ac:dyDescent="0.25"/>
    <row r="57" ht="18.95" customHeight="1" x14ac:dyDescent="0.25"/>
    <row r="58" ht="18.95" customHeight="1" x14ac:dyDescent="0.25"/>
    <row r="59" ht="18.95" customHeight="1" x14ac:dyDescent="0.25"/>
    <row r="60" ht="18.95" customHeight="1" x14ac:dyDescent="0.25"/>
    <row r="61" ht="18.95" customHeight="1" x14ac:dyDescent="0.25"/>
    <row r="62" ht="18.95" customHeight="1" x14ac:dyDescent="0.25"/>
    <row r="63" ht="18.95" customHeight="1" x14ac:dyDescent="0.25"/>
    <row r="64" ht="18.95" customHeight="1" x14ac:dyDescent="0.25"/>
    <row r="65" ht="18.95" customHeight="1" x14ac:dyDescent="0.25"/>
    <row r="66" ht="18.95" customHeight="1" x14ac:dyDescent="0.25"/>
    <row r="67" ht="18.95" customHeight="1" x14ac:dyDescent="0.25"/>
    <row r="68" ht="18.95" customHeight="1" x14ac:dyDescent="0.25"/>
    <row r="69" ht="18.95" customHeight="1" x14ac:dyDescent="0.25"/>
    <row r="70" ht="18.95" customHeight="1" x14ac:dyDescent="0.25"/>
    <row r="71" ht="18.95" customHeight="1" x14ac:dyDescent="0.25"/>
    <row r="72" ht="18.95" customHeight="1" x14ac:dyDescent="0.25"/>
    <row r="73" ht="18.95" customHeight="1" x14ac:dyDescent="0.25"/>
    <row r="74" ht="18.95" customHeight="1" x14ac:dyDescent="0.25"/>
    <row r="75" ht="18.95" customHeight="1" x14ac:dyDescent="0.25"/>
    <row r="76" ht="18.95" customHeight="1" x14ac:dyDescent="0.25"/>
    <row r="77" ht="18.95" customHeight="1" x14ac:dyDescent="0.25"/>
    <row r="78" ht="18.95" customHeight="1" x14ac:dyDescent="0.25"/>
    <row r="79" ht="18.95" customHeight="1" x14ac:dyDescent="0.25"/>
    <row r="80" ht="18.95" customHeight="1" x14ac:dyDescent="0.25"/>
    <row r="81" ht="18.95" customHeight="1" x14ac:dyDescent="0.25"/>
    <row r="82" ht="18.95" customHeight="1" x14ac:dyDescent="0.25"/>
    <row r="83" ht="18.95" customHeight="1" x14ac:dyDescent="0.25"/>
    <row r="84" ht="18.95" customHeight="1" x14ac:dyDescent="0.25"/>
    <row r="85" ht="18.95" customHeight="1" x14ac:dyDescent="0.25"/>
    <row r="86" ht="18.95" customHeight="1" x14ac:dyDescent="0.25"/>
    <row r="87" ht="18.95" customHeight="1" x14ac:dyDescent="0.25"/>
    <row r="88" ht="18.95" customHeight="1" x14ac:dyDescent="0.25"/>
    <row r="89" ht="18.95" customHeight="1" x14ac:dyDescent="0.25"/>
    <row r="90" ht="18.95" customHeight="1" x14ac:dyDescent="0.25"/>
    <row r="91" ht="18.95" customHeight="1" x14ac:dyDescent="0.25"/>
    <row r="92" ht="18.95" customHeight="1" x14ac:dyDescent="0.25"/>
    <row r="93" ht="18.95" customHeight="1" x14ac:dyDescent="0.25"/>
    <row r="94" ht="18.95" customHeight="1" x14ac:dyDescent="0.25"/>
    <row r="95" ht="18.95" customHeight="1" x14ac:dyDescent="0.25"/>
    <row r="96" ht="18.95" customHeight="1" x14ac:dyDescent="0.25"/>
    <row r="97" ht="18.95" customHeight="1" x14ac:dyDescent="0.25"/>
    <row r="98" ht="18.95" customHeight="1" x14ac:dyDescent="0.25"/>
    <row r="99" ht="18.95" customHeight="1" x14ac:dyDescent="0.25"/>
    <row r="100" ht="18.95" customHeight="1" x14ac:dyDescent="0.25"/>
    <row r="101" ht="18.95" customHeight="1" x14ac:dyDescent="0.25"/>
    <row r="102" ht="18.95" customHeight="1" x14ac:dyDescent="0.25"/>
    <row r="103" ht="18.95" customHeight="1" x14ac:dyDescent="0.25"/>
    <row r="104" ht="18.95" customHeight="1" x14ac:dyDescent="0.25"/>
    <row r="105" ht="18.95" customHeight="1" x14ac:dyDescent="0.25"/>
    <row r="106" ht="18.95" customHeight="1" x14ac:dyDescent="0.25"/>
    <row r="107" ht="18.95" customHeight="1" x14ac:dyDescent="0.25"/>
    <row r="108" ht="18.95" customHeight="1" x14ac:dyDescent="0.25"/>
    <row r="109" ht="18.95" customHeight="1" x14ac:dyDescent="0.25"/>
    <row r="110" ht="18.95" customHeight="1" x14ac:dyDescent="0.25"/>
    <row r="111" ht="18.95" customHeight="1" x14ac:dyDescent="0.25"/>
    <row r="112" ht="18.95" customHeight="1" x14ac:dyDescent="0.25"/>
    <row r="113" ht="18.95" customHeight="1" x14ac:dyDescent="0.25"/>
    <row r="114" ht="18.95" customHeight="1" x14ac:dyDescent="0.25"/>
    <row r="115" ht="18.95" customHeight="1" x14ac:dyDescent="0.25"/>
    <row r="116" ht="18.95" customHeight="1" x14ac:dyDescent="0.25"/>
    <row r="117" ht="18.95" customHeight="1" x14ac:dyDescent="0.25"/>
    <row r="118" ht="18.95" customHeight="1" x14ac:dyDescent="0.25"/>
    <row r="119" ht="18.95" customHeight="1" x14ac:dyDescent="0.25"/>
    <row r="120" ht="18.95" customHeight="1" x14ac:dyDescent="0.25"/>
    <row r="121" ht="18.95" customHeight="1" x14ac:dyDescent="0.25"/>
    <row r="122" ht="18.95" customHeight="1" x14ac:dyDescent="0.25"/>
    <row r="123" ht="18.95" customHeight="1" x14ac:dyDescent="0.25"/>
    <row r="124" ht="18.95" customHeight="1" x14ac:dyDescent="0.25"/>
    <row r="125" ht="18.95" customHeight="1" x14ac:dyDescent="0.25"/>
    <row r="126" ht="18.95" customHeight="1" x14ac:dyDescent="0.25"/>
    <row r="127" ht="18.95" customHeight="1" x14ac:dyDescent="0.25"/>
    <row r="128" ht="18.95" customHeight="1" x14ac:dyDescent="0.25"/>
    <row r="129" ht="18.95" customHeight="1" x14ac:dyDescent="0.25"/>
    <row r="130" ht="18.95" customHeight="1" x14ac:dyDescent="0.25"/>
    <row r="131" ht="18.95" customHeight="1" x14ac:dyDescent="0.25"/>
    <row r="132" ht="18.95" customHeight="1" x14ac:dyDescent="0.25"/>
    <row r="133" ht="18.95" customHeight="1" x14ac:dyDescent="0.25"/>
    <row r="134" ht="18.95" customHeight="1" x14ac:dyDescent="0.25"/>
    <row r="135" ht="18.95" customHeight="1" x14ac:dyDescent="0.25"/>
    <row r="136" ht="18.95" customHeight="1" x14ac:dyDescent="0.25"/>
    <row r="137" ht="18.95" customHeight="1" x14ac:dyDescent="0.25"/>
    <row r="138" ht="18.95" customHeight="1" x14ac:dyDescent="0.25"/>
    <row r="139" ht="18.95" customHeight="1" x14ac:dyDescent="0.25"/>
    <row r="140" ht="18.95" customHeight="1" x14ac:dyDescent="0.25"/>
    <row r="141" ht="18.95" customHeight="1" x14ac:dyDescent="0.25"/>
    <row r="142" ht="18.95" customHeight="1" x14ac:dyDescent="0.25"/>
    <row r="143" ht="18.95" customHeight="1" x14ac:dyDescent="0.25"/>
    <row r="144" ht="18.95" customHeight="1" x14ac:dyDescent="0.25"/>
  </sheetData>
  <mergeCells count="5">
    <mergeCell ref="A1:K1"/>
    <mergeCell ref="A2:K2"/>
    <mergeCell ref="A3:K3"/>
    <mergeCell ref="A4:K4"/>
    <mergeCell ref="A5:K5"/>
  </mergeCells>
  <pageMargins left="0.7" right="0.7" top="1" bottom="0.75" header="0.3" footer="0.3"/>
  <pageSetup scale="76" fitToHeight="0" orientation="landscape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0EEC0-C557-4935-9478-58E002F6441C}">
  <dimension ref="A1:C16"/>
  <sheetViews>
    <sheetView workbookViewId="0">
      <selection activeCell="A37" sqref="A37"/>
    </sheetView>
  </sheetViews>
  <sheetFormatPr defaultRowHeight="15" x14ac:dyDescent="0.25"/>
  <cols>
    <col min="1" max="1" width="13.5703125" bestFit="1" customWidth="1"/>
    <col min="2" max="3" width="10.5703125" customWidth="1"/>
  </cols>
  <sheetData>
    <row r="1" spans="1:3" ht="33" customHeight="1" x14ac:dyDescent="0.4">
      <c r="B1" s="99" t="s">
        <v>173</v>
      </c>
      <c r="C1" s="99"/>
    </row>
    <row r="2" spans="1:3" ht="17.25" x14ac:dyDescent="0.4">
      <c r="A2" s="71" t="s">
        <v>171</v>
      </c>
      <c r="B2" s="71" t="s">
        <v>29</v>
      </c>
      <c r="C2" s="71" t="s">
        <v>24</v>
      </c>
    </row>
    <row r="3" spans="1:3" x14ac:dyDescent="0.25">
      <c r="A3" s="70">
        <v>45566</v>
      </c>
      <c r="B3" s="43">
        <v>0.94640000000000002</v>
      </c>
      <c r="C3" s="43">
        <v>0.96319999999999995</v>
      </c>
    </row>
    <row r="4" spans="1:3" x14ac:dyDescent="0.25">
      <c r="A4" s="70">
        <v>45597</v>
      </c>
      <c r="B4" s="43">
        <v>0.94389999999999996</v>
      </c>
      <c r="C4" s="43">
        <v>0.9425</v>
      </c>
    </row>
    <row r="5" spans="1:3" x14ac:dyDescent="0.25">
      <c r="A5" s="70">
        <v>45627</v>
      </c>
      <c r="B5" s="43">
        <v>0.93330000000000002</v>
      </c>
      <c r="C5" s="43">
        <v>0.96350000000000002</v>
      </c>
    </row>
    <row r="6" spans="1:3" x14ac:dyDescent="0.25">
      <c r="A6" s="70">
        <v>45658</v>
      </c>
      <c r="B6" s="43">
        <v>0.89680000000000004</v>
      </c>
      <c r="C6" s="43">
        <v>0.91639999999999999</v>
      </c>
    </row>
    <row r="7" spans="1:3" x14ac:dyDescent="0.25">
      <c r="A7" s="70">
        <v>45689</v>
      </c>
      <c r="B7" s="43">
        <v>0.90839999999999999</v>
      </c>
      <c r="C7" s="43">
        <v>0.95450000000000002</v>
      </c>
    </row>
    <row r="8" spans="1:3" x14ac:dyDescent="0.25">
      <c r="A8" s="70">
        <v>45717</v>
      </c>
      <c r="B8" s="43">
        <v>0.91539999999999999</v>
      </c>
      <c r="C8" s="43">
        <v>0.98260000000000003</v>
      </c>
    </row>
    <row r="9" spans="1:3" x14ac:dyDescent="0.25">
      <c r="A9" s="70">
        <v>45748</v>
      </c>
      <c r="B9" s="43">
        <v>0.89870000000000005</v>
      </c>
      <c r="C9" s="43">
        <v>0.97919999999999996</v>
      </c>
    </row>
    <row r="10" spans="1:3" x14ac:dyDescent="0.25">
      <c r="A10" s="70">
        <v>45778</v>
      </c>
      <c r="B10" s="43">
        <v>0.93130000000000002</v>
      </c>
      <c r="C10" s="43">
        <v>0.97550000000000003</v>
      </c>
    </row>
    <row r="11" spans="1:3" x14ac:dyDescent="0.25">
      <c r="A11" s="70">
        <v>45809</v>
      </c>
      <c r="B11" s="43">
        <v>0.90890000000000004</v>
      </c>
      <c r="C11" s="43">
        <v>0.97099999999999997</v>
      </c>
    </row>
    <row r="12" spans="1:3" x14ac:dyDescent="0.25">
      <c r="A12" s="70">
        <v>45839</v>
      </c>
      <c r="B12" s="43">
        <v>0.90939999999999999</v>
      </c>
      <c r="C12" s="43">
        <v>0.97570000000000001</v>
      </c>
    </row>
    <row r="13" spans="1:3" x14ac:dyDescent="0.25">
      <c r="A13" s="70">
        <v>45870</v>
      </c>
      <c r="B13" s="43">
        <v>0.92800000000000005</v>
      </c>
      <c r="C13" s="43">
        <v>0.98360000000000003</v>
      </c>
    </row>
    <row r="14" spans="1:3" x14ac:dyDescent="0.25">
      <c r="A14" s="70">
        <v>45901</v>
      </c>
      <c r="B14" s="43">
        <v>0.93799999999999994</v>
      </c>
      <c r="C14" s="43">
        <v>0.96489999999999998</v>
      </c>
    </row>
    <row r="15" spans="1:3" x14ac:dyDescent="0.25">
      <c r="B15" s="43"/>
      <c r="C15" s="43"/>
    </row>
    <row r="16" spans="1:3" x14ac:dyDescent="0.25">
      <c r="A16" s="72" t="s">
        <v>172</v>
      </c>
      <c r="B16" s="43">
        <f>AVERAGE(B3:B14)</f>
        <v>0.92154166666666681</v>
      </c>
      <c r="C16" s="43">
        <f>AVERAGE(C3:C14)</f>
        <v>0.96438333333333315</v>
      </c>
    </row>
  </sheetData>
  <mergeCells count="1">
    <mergeCell ref="B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any xmlns="54fcda00-7b58-44a7-b108-8bd10a8a08ba">
      <Value>KU</Value>
      <Value>LGE</Value>
    </Company>
    <Tariff_x0020_Dev_x0020_Doc_x0020_Type xmlns="54fcda00-7b58-44a7-b108-8bd10a8a08ba" xsi:nil="true"/>
    <Filing_x0020_Requirement xmlns="54fcda00-7b58-44a7-b108-8bd10a8a08ba" xsi:nil="true"/>
    <Round xmlns="54fcda00-7b58-44a7-b108-8bd10a8a08ba" xsi:nil="true"/>
    <FormData xmlns="http://schemas.microsoft.com/sharepoint/v3">&lt;?xml version="1.0" encoding="utf-8"?&gt;&lt;FormVariables&gt;&lt;Version /&gt;&lt;/FormVariables&gt;</FormData>
    <Data_x0020_Request_x0020_Question_x0020_No_x002e_ xmlns="54fcda00-7b58-44a7-b108-8bd10a8a08ba" xsi:nil="true"/>
    <Year xmlns="54fcda00-7b58-44a7-b108-8bd10a8a08ba">2025</Year>
    <Document_x0020_Type xmlns="54fcda00-7b58-44a7-b108-8bd10a8a08ba">Supplemental Testimony</Document_x0020_Type>
    <Witness_x0020_Testimony xmlns="54fcda00-7b58-44a7-b108-8bd10a8a08ba">Conroy, Robert M.</Witness_x0020_Testimony>
    <Intervemprs xmlns="54fcda00-7b58-44a7-b108-8bd10a8a08ba" xsi:nil="true"/>
    <Filed_x0020_Documents xmlns="54fcda00-7b58-44a7-b108-8bd10a8a08ba" xsi:nil="true"/>
    <Department xmlns="54fcda00-7b58-44a7-b108-8bd10a8a08b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103853DF7894DB347713A7250CD66" ma:contentTypeVersion="71" ma:contentTypeDescription="Create a new document." ma:contentTypeScope="" ma:versionID="9e9e9aecc9497b4a3a259a1f9668c82b">
  <xsd:schema xmlns:xsd="http://www.w3.org/2001/XMLSchema" xmlns:xs="http://www.w3.org/2001/XMLSchema" xmlns:p="http://schemas.microsoft.com/office/2006/metadata/properties" xmlns:ns1="http://schemas.microsoft.com/sharepoint/v3" xmlns:ns2="54fcda00-7b58-44a7-b108-8bd10a8a08ba" targetNamespace="http://schemas.microsoft.com/office/2006/metadata/properties" ma:root="true" ma:fieldsID="3f131de501d1b4714f7781a87fcdd089" ns1:_="" ns2:_="">
    <xsd:import namespace="http://schemas.microsoft.com/sharepoint/v3"/>
    <xsd:import namespace="54fcda00-7b58-44a7-b108-8bd10a8a08ba"/>
    <xsd:element name="properties">
      <xsd:complexType>
        <xsd:sequence>
          <xsd:element name="documentManagement">
            <xsd:complexType>
              <xsd:all>
                <xsd:element ref="ns2:Company" minOccurs="0"/>
                <xsd:element ref="ns2:Year"/>
                <xsd:element ref="ns2:Document_x0020_Type"/>
                <xsd:element ref="ns2:Filing_x0020_Requirement" minOccurs="0"/>
                <xsd:element ref="ns2:Witness_x0020_Testimony" minOccurs="0"/>
                <xsd:element ref="ns2:Intervemprs" minOccurs="0"/>
                <xsd:element ref="ns2:Round" minOccurs="0"/>
                <xsd:element ref="ns2:Data_x0020_Request_x0020_Question_x0020_No_x002e_" minOccurs="0"/>
                <xsd:element ref="ns2:Tariff_x0020_Dev_x0020_Doc_x0020_Type" minOccurs="0"/>
                <xsd:element ref="ns2:Filed_x0020_Documents" minOccurs="0"/>
                <xsd:element ref="ns2:Department" minOccurs="0"/>
                <xsd:element ref="ns1:Form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19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cda00-7b58-44a7-b108-8bd10a8a08ba" elementFormDefault="qualified">
    <xsd:import namespace="http://schemas.microsoft.com/office/2006/documentManagement/types"/>
    <xsd:import namespace="http://schemas.microsoft.com/office/infopath/2007/PartnerControls"/>
    <xsd:element name="Company" ma:index="2" nillable="true" ma:displayName="Company" ma:internalName="Company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U"/>
                    <xsd:enumeration value="LGE"/>
                    <xsd:enumeration value="ODP"/>
                  </xsd:restriction>
                </xsd:simpleType>
              </xsd:element>
            </xsd:sequence>
          </xsd:extension>
        </xsd:complexContent>
      </xsd:complexType>
    </xsd:element>
    <xsd:element name="Year" ma:index="3" ma:displayName="Year" ma:default="2025" ma:format="Dropdown" ma:indexed="true" ma:internalName="Year" ma:readOnly="false">
      <xsd:simpleType>
        <xsd:restriction base="dms:Choice">
          <xsd:enumeration value="2025"/>
          <xsd:enumeration value="2024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</xsd:restriction>
      </xsd:simpleType>
    </xsd:element>
    <xsd:element name="Document_x0020_Type" ma:index="4" ma:displayName="Document Type" ma:format="Dropdown" ma:indexed="true" ma:internalName="Document_x0020_Type" ma:readOnly="false">
      <xsd:simpleType>
        <xsd:restriction base="dms:Choice">
          <xsd:enumeration value="General Information"/>
          <xsd:enumeration value="Application"/>
          <xsd:enumeration value="Development"/>
          <xsd:enumeration value="Orders"/>
          <xsd:enumeration value="Direct Testimony"/>
          <xsd:enumeration value="Rebuttal Testimony"/>
          <xsd:enumeration value="Stipulation Testimony"/>
          <xsd:enumeration value="Supplemental Testimony"/>
          <xsd:enumeration value="Supplemental Rebuttal Testimony"/>
          <xsd:enumeration value="Sur-Rebuttal Testimony"/>
          <xsd:enumeration value="Superseded Testimony"/>
          <xsd:enumeration value="Intervenor Direct Testimony"/>
          <xsd:enumeration value="Intervenor Supplemental Testimony"/>
          <xsd:enumeration value="Intervenor Data Requests Issued"/>
          <xsd:enumeration value="Intervenor Data Requests Responses"/>
          <xsd:enumeration value="Data Requests"/>
          <xsd:enumeration value="Notices"/>
          <xsd:enumeration value="eFile/Filed Docs"/>
          <xsd:enumeration value="Filing Requirements"/>
          <xsd:enumeration value="Tariff Development"/>
          <xsd:enumeration value="Witness Prep"/>
          <xsd:enumeration value="Public Hearings"/>
          <xsd:enumeration value="Superseded"/>
          <xsd:enumeration value="Rate Case NMS/QF Tariffs"/>
          <xsd:enumeration value="Pre-Pay Program"/>
          <xsd:enumeration value="Grandfathering"/>
          <xsd:enumeration value="Net Metering"/>
          <xsd:enumeration value="Pre-Pay – Research"/>
          <xsd:enumeration value="Data Centers"/>
          <xsd:enumeration value="Settlement"/>
          <xsd:enumeration value="Guidance Sheets"/>
        </xsd:restriction>
      </xsd:simpleType>
    </xsd:element>
    <xsd:element name="Filing_x0020_Requirement" ma:index="5" nillable="true" ma:displayName="Filing Requirement" ma:format="Dropdown" ma:internalName="Filing_x0020_Requirement" ma:readOnly="false">
      <xsd:simpleType>
        <xsd:restriction base="dms:Choice">
          <xsd:enumeration value="Filing Requirements - Draft Responses"/>
          <xsd:enumeration value="Tab 01-Sec 14(2) Attachment Only"/>
          <xsd:enumeration value="Tab 03-Sec 16(1)(b)(2) Attachment Only"/>
          <xsd:enumeration value="Tab 04-Sec 16(1)(b)(3) Attachment Only"/>
          <xsd:enumeration value="Tab 05-Sec 16(1)(b)(4) Attachment Only"/>
          <xsd:enumeration value="Tab 06-Sec 16(1)(b)(5) Attachment Only"/>
          <xsd:enumeration value="Tab 07-Sec 16(2) Attachment Only"/>
          <xsd:enumeration value="Tab 13-Sec 16(6)(f) Attachment Only"/>
          <xsd:enumeration value="Tab 15-Sec 16(7)(b) Attachment Only"/>
          <xsd:enumeration value="Tab 16-Sec 16(7)(c) Attachment Only"/>
          <xsd:enumeration value="Tab 17-Sec 16(7)(d) Attachment Only"/>
          <xsd:enumeration value="Tab 18-Sec 16(7)(e) Attachment Only"/>
          <xsd:enumeration value="Tab 19-Sec 16(7)(f) Attachment Only"/>
          <xsd:enumeration value="Tab 20-Sec 16(7)(g) Attachment Only"/>
          <xsd:enumeration value="Tab 22-Sec 16(7)(h)(1) Attachment Only"/>
          <xsd:enumeration value="Tab 23-Sec 16(7)(h)(2) Attachment Only"/>
          <xsd:enumeration value="Tab 24-Sec 16(7)(h)(3) Attachment Only"/>
          <xsd:enumeration value="Tab 25-Sec 16(7)(h)(4) Attachment Only"/>
          <xsd:enumeration value="Tab 28-Sec 16(7)(h)(7) Attachment Only"/>
          <xsd:enumeration value="Tab 29-Sec 16(7)(h)(8) Attachment Only"/>
          <xsd:enumeration value="Tab 30-Sec 16(7)(h)(9) Attachment Only"/>
          <xsd:enumeration value="Tab 31-Sec 16(7)(h)(10) Attachment Only"/>
          <xsd:enumeration value="Tab 32-Sec 16(7)(h)(11) Attachment Only"/>
          <xsd:enumeration value="Tab 33-Sec 16(7)(h)(12) Attachment Only"/>
          <xsd:enumeration value="Tab 39-Sec 16(7)(i) Attachment Only"/>
          <xsd:enumeration value="Tab 40-Sec 16(7)(j) Attachment Only"/>
          <xsd:enumeration value="Tab 41-Sec 16(7)(k) Attachment Only"/>
          <xsd:enumeration value="Tab 43-Sec 16(7)(m) Attachment Only"/>
          <xsd:enumeration value="Tab 44-Sec 16(7)(n) Attachment Only"/>
          <xsd:enumeration value="Tab 45-Sec 16(7)(o) Attachment Only"/>
          <xsd:enumeration value="Tab 46-Sec 16(7)(p) Attachment Only"/>
          <xsd:enumeration value="Tab 50-Sec 16(7)(t) Attachment Only"/>
          <xsd:enumeration value="Tab 51-Sec 16(7)(u) Attachment Only"/>
          <xsd:enumeration value="Tab 54-Sec 16(8)(a) Attachment Only"/>
          <xsd:enumeration value="Tab 55-Sec 16(8)(b Attachment Only"/>
          <xsd:enumeration value="Tab 56-Sec 16(8)(c) Attachment Only"/>
          <xsd:enumeration value="Tab 57-Sec 16(8)(d) Attachment Only"/>
          <xsd:enumeration value="Tab 58-Sec 16(8)(e) Attachment Only"/>
          <xsd:enumeration value="Tab 59-Sec 16(8)(f) Attachment Only"/>
          <xsd:enumeration value="Tab 60-Sec 16(8)(g) Attachment Only"/>
          <xsd:enumeration value="Tab 61-Sec 16(8)(h) Attachment Only"/>
          <xsd:enumeration value="Tab 62-Sec 16(8)(i) Attachment Only"/>
          <xsd:enumeration value="Tab 63-Sec 16(8)(j) Attachment Only"/>
          <xsd:enumeration value="Tab 64-Sec 16(8)(k) Attachment Only"/>
          <xsd:enumeration value="Tab 66-Sec 16(8)(m) Attachment Only"/>
          <xsd:enumeration value="Tab 67-Sec 16(8)(n) Attachment Only"/>
          <xsd:enumeration value="Filing Requirements - Guidance Sheets"/>
          <xsd:enumeration value="Filing Requirements - Witness/Preparer Assignments"/>
          <xsd:enumeration value="Filing Requirements - eFiled"/>
          <xsd:enumeration value="Exempt Schedules 10_13_20_23_33_44-48"/>
          <xsd:enumeration value="Schedule 01-5_8-29_40-Revenue Requirements"/>
          <xsd:enumeration value="Schedule 08-14,16-28-Revenue Requirements"/>
          <xsd:enumeration value="Schedule 01-5-Financial Data"/>
          <xsd:enumeration value="Schedule 06-Annual Reports"/>
          <xsd:enumeration value="Schedule 07-Comparative Financial Statements"/>
          <xsd:enumeration value="Schedule 15-Regulatory Assets"/>
          <xsd:enumeration value="Schedule 17-Lead/Lag Cash Working Capital Calc - ET"/>
          <xsd:enumeration value="Schedule 27-Lead/Lag Cash Working Capital Calc - Adj."/>
          <xsd:enumeration value="Schedule 29-Workpapers for Adjustments"/>
          <xsd:enumeration value="Schedule 30-Revenue and Expense Analysis"/>
          <xsd:enumeration value="Schedule 31-Advertising"/>
          <xsd:enumeration value="Schedule 32-Storm Damage"/>
          <xsd:enumeration value="Schedule 34-Misc Expenses"/>
          <xsd:enumeration value="Schedule 35-Affiliate Services"/>
          <xsd:enumeration value="Schedule 36-Income Taxes"/>
          <xsd:enumeration value="Schedule 37-Organization"/>
          <xsd:enumeration value="Schedule 38-Changes in Acctg Procedures"/>
          <xsd:enumeration value="Schedule 39-Out of Period"/>
          <xsd:enumeration value="Schedule 40-Cost of Service"/>
          <xsd:enumeration value="Schedule 41-Present and Proposed Tariffs"/>
          <xsd:enumeration value="Schedule 42-Present and Proposed Revenues"/>
          <xsd:enumeration value="Schedule 43-Sample Bills"/>
          <xsd:enumeration value="Schedule 49-Other"/>
          <xsd:enumeration value="Schedule 50-Other"/>
        </xsd:restriction>
      </xsd:simpleType>
    </xsd:element>
    <xsd:element name="Witness_x0020_Testimony" ma:index="6" nillable="true" ma:displayName="Witness" ma:format="Dropdown" ma:internalName="Witness_x0020_Testimony" ma:readOnly="false">
      <xsd:simpleType>
        <xsd:restriction base="dms:Choice">
          <xsd:enumeration value="Baryenbruch, Patrick L. (Baryenbruch &amp; Company, LLC)"/>
          <xsd:enumeration value="Bellar, Lonnie E."/>
          <xsd:enumeration value="Bevington, John"/>
          <xsd:enumeration value="Burgos, Julissa"/>
          <xsd:enumeration value="Clements, Chad E."/>
          <xsd:enumeration value="Conroy, Robert M."/>
          <xsd:enumeration value="Crockett, John R."/>
          <xsd:enumeration value="Dylan W. D'Ascendis (ScottMadden, Inc.)"/>
          <xsd:enumeration value="Fackler, Andrea M."/>
          <xsd:enumeration value="Garrett, Christopher M."/>
          <xsd:enumeration value="Hornung, Michael E."/>
          <xsd:enumeration value="Johnson, Daniel"/>
          <xsd:enumeration value="Lovekamp, Rick E."/>
          <xsd:enumeration value="McCombs, Drew T."/>
          <xsd:enumeration value="McFarland, Elizabeth J."/>
          <xsd:enumeration value="McKenzie, Adrien M. (FINCAP, Inc.)"/>
          <xsd:enumeration value="Metts, Heather D."/>
          <xsd:enumeration value="Montgomery, Shannon L."/>
          <xsd:enumeration value="Poplaski, Vincent"/>
          <xsd:enumeration value="Rahn, Derek"/>
          <xsd:enumeration value="Rieth, Tom C."/>
          <xsd:enumeration value="Saunders, Eileen L."/>
          <xsd:enumeration value="Schram, Charles R."/>
          <xsd:enumeration value="Sinclair, David S."/>
          <xsd:enumeration value="Spanos, John J. (Gannett Fleming)"/>
          <xsd:enumeration value="Waldrab, Peter W."/>
          <xsd:enumeration value="Wilson, Stuart"/>
          <xsd:enumeration value="z - eFiled/Filed"/>
          <xsd:enumeration value="Arbough, Daniel K."/>
          <xsd:enumeration value="Blake, Kent W."/>
          <xsd:enumeration value="Leichty, Douglas A."/>
          <xsd:enumeration value="Meiman, Greg J."/>
          <xsd:enumeration value="Murphy, J. Clay"/>
          <xsd:enumeration value="Seelye, Steve (The Prime Group)"/>
          <xsd:enumeration value="Straight, Scott"/>
          <xsd:enumeration value="Thompson, Paul W."/>
          <xsd:enumeration value="Wolfe, John K."/>
          <xsd:enumeration value="Lyons, Tim S. (ScottMadden Inc)"/>
        </xsd:restriction>
      </xsd:simpleType>
    </xsd:element>
    <xsd:element name="Intervemprs" ma:index="7" nillable="true" ma:displayName="Data Request Party" ma:format="Dropdown" ma:internalName="Intervemprs" ma:readOnly="false">
      <xsd:simpleType>
        <xsd:restriction base="dms:Choice">
          <xsd:enumeration value="0-Data Response Tracking Sheet"/>
          <xsd:enumeration value="KY Public Service Commission - PSC"/>
          <xsd:enumeration value="VA State Corporation Commission - VASCC"/>
          <xsd:enumeration value="Appalachian Voices"/>
          <xsd:enumeration value="Association of Community Ministries - ACM"/>
          <xsd:enumeration value="Attorney General/KY Industrial Utility Customers - AG/KIUC"/>
          <xsd:enumeration value="Attorney General - AG"/>
          <xsd:enumeration value="AT&amp;T"/>
          <xsd:enumeration value="Charter Communications - Charter"/>
          <xsd:enumeration value="Community Action Council - CAC"/>
          <xsd:enumeration value="East Kentucky Power Cooperative - EKPC"/>
          <xsd:enumeration value="JBS Swift &amp; Co - JBS"/>
          <xsd:enumeration value="KY Broadband and Cable Association - KBCA"/>
          <xsd:enumeration value="KY Cable Telecomm. Assn - KCTA"/>
          <xsd:enumeration value="KY Industrial Utility Customers - KIUC"/>
          <xsd:enumeration value="Kentucky League of Cities - KLC"/>
          <xsd:enumeration value="Kroger"/>
          <xsd:enumeration value="Kroger/Wal-Mart"/>
          <xsd:enumeration value="KY School Boards Assn - KSBA"/>
          <xsd:enumeration value="KY Solar Industries Assn - KSIA"/>
          <xsd:enumeration value="Lexington-Fayette Urban County Govt - LFUCG"/>
          <xsd:enumeration value="Louisville Metro Government - METRO"/>
          <xsd:enumeration value="Metro. Housing Coalition - MHC"/>
          <xsd:enumeration value="Metro Housing Coalition/Kentuckians for the Commonwealth/Kentucky Solar Energy Society - MHC/KFTC/KSES"/>
          <xsd:enumeration value="Mountain Association/Kentuckians for the Commonwealth/Kentucky Solar Energy Society - MA/KFTC/KSES"/>
          <xsd:enumeration value="Sierra Club - SC"/>
          <xsd:enumeration value="U.S. Dept. of Defense/Federal Executive Agencies - DOD/FEA"/>
          <xsd:enumeration value="U.S. Dept. of Defense -  US DOD"/>
          <xsd:enumeration value="Wal-Mart"/>
        </xsd:restriction>
      </xsd:simpleType>
    </xsd:element>
    <xsd:element name="Round" ma:index="8" nillable="true" ma:displayName="Data Request Round" ma:format="Dropdown" ma:internalName="Round" ma:readOnly="false">
      <xsd:simpleType>
        <xsd:restriction base="dms:Choice">
          <xsd:enumeration value="On-Site Requests"/>
          <xsd:enumeration value="DR01"/>
          <xsd:enumeration value="DR01 Attachments"/>
          <xsd:enumeration value="DR01 eFiled/Filed"/>
          <xsd:enumeration value="DR02"/>
          <xsd:enumeration value="DR02 Attachments"/>
          <xsd:enumeration value="DR02 eFiled/Filed"/>
          <xsd:enumeration value="DR03"/>
          <xsd:enumeration value="DR03 Attachments"/>
          <xsd:enumeration value="DR03 eFiled/Filed"/>
          <xsd:enumeration value="DR04"/>
          <xsd:enumeration value="DR04 Attachments"/>
          <xsd:enumeration value="DR04 eFiled/Filed"/>
          <xsd:enumeration value="DR05"/>
          <xsd:enumeration value="DR05 Attachments"/>
          <xsd:enumeration value="DR05 eFiled/Filed"/>
          <xsd:enumeration value="DR06"/>
          <xsd:enumeration value="DR06 Attachments"/>
          <xsd:enumeration value="DR06 eFiled/Filed"/>
          <xsd:enumeration value="DR07"/>
          <xsd:enumeration value="DR07 Attachments"/>
          <xsd:enumeration value="DR07 eFiled/Filed"/>
          <xsd:enumeration value="DR08"/>
          <xsd:enumeration value="DR08 Attachments"/>
          <xsd:enumeration value="DR08 eFiled/Filed"/>
          <xsd:enumeration value="DR09"/>
          <xsd:enumeration value="DR09 Attachments"/>
          <xsd:enumeration value="DR09 eFiled/Filed"/>
          <xsd:enumeration value="DR10"/>
          <xsd:enumeration value="DR10 Attachments"/>
          <xsd:enumeration value="DR10 eFiled/Filed"/>
          <xsd:enumeration value="DR11"/>
          <xsd:enumeration value="DR11 Attachments"/>
          <xsd:enumeration value="DR11 eFiled/Filed"/>
          <xsd:enumeration value="DR12"/>
          <xsd:enumeration value="DR12 Attachments"/>
          <xsd:enumeration value="DR12 eFiled/Filed"/>
          <xsd:enumeration value="DR13"/>
          <xsd:enumeration value="DR13 Attachments"/>
          <xsd:enumeration value="DR13 eFiled/Filed"/>
          <xsd:enumeration value="DR14"/>
          <xsd:enumeration value="DR14 Attachments"/>
          <xsd:enumeration value="DR14 eFiled/Filed"/>
          <xsd:enumeration value="Post Hearing DR01"/>
          <xsd:enumeration value="Post Hearing DR01 Attachments"/>
          <xsd:enumeration value="Post Hearing DR01 eFiled/Filed"/>
          <xsd:enumeration value="Post Hearing DR02"/>
          <xsd:enumeration value="Post Hearing DR02 Attachments"/>
          <xsd:enumeration value="Post Hearing DR02 eFiled/Filed"/>
          <xsd:enumeration value="PSC DR02/Intervenors DR01"/>
          <xsd:enumeration value="PSC DR03/Intervenors DR02"/>
          <xsd:enumeration value="PSC DR04"/>
          <xsd:enumeration value="PSC DR05/Intervenors DR03"/>
          <xsd:enumeration value="PSC DR06"/>
        </xsd:restriction>
      </xsd:simpleType>
    </xsd:element>
    <xsd:element name="Data_x0020_Request_x0020_Question_x0020_No_x002e_" ma:index="9" nillable="true" ma:displayName="Data Request Question No." ma:format="Dropdown" ma:internalName="Data_x0020_Request_x0020_Question_x0020_No_x002e_" ma:readOnly="false">
      <xsd:simpleType>
        <xsd:restriction base="dms:Choice">
          <xsd:enumeration value="001"/>
          <xsd:enumeration value="002"/>
          <xsd:enumeration value="003"/>
          <xsd:enumeration value="004"/>
          <xsd:enumeration value="005"/>
          <xsd:enumeration value="006"/>
          <xsd:enumeration value="007"/>
          <xsd:enumeration value="008"/>
          <xsd:enumeration value="009"/>
          <xsd:enumeration value="010"/>
          <xsd:enumeration value="011"/>
          <xsd:enumeration value="012"/>
          <xsd:enumeration value="013"/>
          <xsd:enumeration value="014"/>
          <xsd:enumeration value="015"/>
          <xsd:enumeration value="016"/>
          <xsd:enumeration value="017"/>
          <xsd:enumeration value="018"/>
          <xsd:enumeration value="019"/>
          <xsd:enumeration value="020"/>
          <xsd:enumeration value="021"/>
          <xsd:enumeration value="022"/>
          <xsd:enumeration value="023"/>
          <xsd:enumeration value="024"/>
          <xsd:enumeration value="025"/>
          <xsd:enumeration value="026"/>
          <xsd:enumeration value="027"/>
          <xsd:enumeration value="028"/>
          <xsd:enumeration value="029"/>
          <xsd:enumeration value="030"/>
          <xsd:enumeration value="031"/>
          <xsd:enumeration value="032"/>
          <xsd:enumeration value="033"/>
          <xsd:enumeration value="034"/>
          <xsd:enumeration value="035"/>
          <xsd:enumeration value="036"/>
          <xsd:enumeration value="037"/>
          <xsd:enumeration value="038"/>
          <xsd:enumeration value="039"/>
          <xsd:enumeration value="040"/>
          <xsd:enumeration value="041"/>
          <xsd:enumeration value="042"/>
          <xsd:enumeration value="043"/>
          <xsd:enumeration value="044"/>
          <xsd:enumeration value="045"/>
          <xsd:enumeration value="046"/>
          <xsd:enumeration value="047"/>
          <xsd:enumeration value="048"/>
          <xsd:enumeration value="049"/>
          <xsd:enumeration value="050"/>
          <xsd:enumeration value="051"/>
          <xsd:enumeration value="052"/>
          <xsd:enumeration value="053"/>
          <xsd:enumeration value="054"/>
          <xsd:enumeration value="055"/>
          <xsd:enumeration value="056"/>
          <xsd:enumeration value="057"/>
          <xsd:enumeration value="058"/>
          <xsd:enumeration value="059"/>
          <xsd:enumeration value="060"/>
          <xsd:enumeration value="061"/>
          <xsd:enumeration value="062"/>
          <xsd:enumeration value="063"/>
          <xsd:enumeration value="064"/>
          <xsd:enumeration value="065"/>
          <xsd:enumeration value="066"/>
          <xsd:enumeration value="067"/>
          <xsd:enumeration value="068"/>
          <xsd:enumeration value="069"/>
          <xsd:enumeration value="070"/>
          <xsd:enumeration value="071"/>
          <xsd:enumeration value="072"/>
          <xsd:enumeration value="073"/>
          <xsd:enumeration value="074"/>
          <xsd:enumeration value="075"/>
          <xsd:enumeration value="076"/>
          <xsd:enumeration value="077"/>
          <xsd:enumeration value="078"/>
          <xsd:enumeration value="079"/>
          <xsd:enumeration value="080"/>
          <xsd:enumeration value="081"/>
          <xsd:enumeration value="082"/>
          <xsd:enumeration value="083"/>
          <xsd:enumeration value="084"/>
          <xsd:enumeration value="085"/>
          <xsd:enumeration value="086"/>
          <xsd:enumeration value="087"/>
          <xsd:enumeration value="088"/>
          <xsd:enumeration value="089"/>
          <xsd:enumeration value="090"/>
          <xsd:enumeration value="091"/>
          <xsd:enumeration value="092"/>
          <xsd:enumeration value="093"/>
          <xsd:enumeration value="094"/>
          <xsd:enumeration value="095"/>
          <xsd:enumeration value="096"/>
          <xsd:enumeration value="097"/>
          <xsd:enumeration value="098"/>
          <xsd:enumeration value="099"/>
          <xsd:enumeration value="100"/>
          <xsd:enumeration value="101"/>
          <xsd:enumeration value="102"/>
          <xsd:enumeration value="103"/>
          <xsd:enumeration value="104"/>
          <xsd:enumeration value="105"/>
          <xsd:enumeration value="106"/>
          <xsd:enumeration value="107"/>
          <xsd:enumeration value="108"/>
          <xsd:enumeration value="109"/>
          <xsd:enumeration value="110"/>
          <xsd:enumeration value="111"/>
          <xsd:enumeration value="112"/>
          <xsd:enumeration value="113"/>
          <xsd:enumeration value="114"/>
          <xsd:enumeration value="115"/>
          <xsd:enumeration value="116"/>
          <xsd:enumeration value="117"/>
          <xsd:enumeration value="118"/>
          <xsd:enumeration value="119"/>
          <xsd:enumeration value="120"/>
          <xsd:enumeration value="121"/>
          <xsd:enumeration value="122"/>
          <xsd:enumeration value="123"/>
          <xsd:enumeration value="124"/>
          <xsd:enumeration value="125"/>
          <xsd:enumeration value="126"/>
          <xsd:enumeration value="127"/>
          <xsd:enumeration value="128"/>
          <xsd:enumeration value="129"/>
          <xsd:enumeration value="130"/>
          <xsd:enumeration value="131"/>
          <xsd:enumeration value="132"/>
          <xsd:enumeration value="133"/>
          <xsd:enumeration value="134"/>
          <xsd:enumeration value="135"/>
          <xsd:enumeration value="136"/>
          <xsd:enumeration value="137"/>
          <xsd:enumeration value="138"/>
          <xsd:enumeration value="139"/>
          <xsd:enumeration value="140"/>
          <xsd:enumeration value="141"/>
          <xsd:enumeration value="142"/>
          <xsd:enumeration value="143"/>
          <xsd:enumeration value="144"/>
          <xsd:enumeration value="145"/>
          <xsd:enumeration value="146"/>
          <xsd:enumeration value="147"/>
          <xsd:enumeration value="148"/>
          <xsd:enumeration value="149"/>
          <xsd:enumeration value="150"/>
          <xsd:enumeration value="151"/>
          <xsd:enumeration value="152"/>
          <xsd:enumeration value="153"/>
          <xsd:enumeration value="154"/>
          <xsd:enumeration value="155"/>
          <xsd:enumeration value="156"/>
          <xsd:enumeration value="157"/>
          <xsd:enumeration value="158"/>
          <xsd:enumeration value="159"/>
          <xsd:enumeration value="160"/>
          <xsd:enumeration value="161"/>
          <xsd:enumeration value="162"/>
          <xsd:enumeration value="163"/>
          <xsd:enumeration value="164"/>
          <xsd:enumeration value="165"/>
          <xsd:enumeration value="166"/>
          <xsd:enumeration value="167"/>
          <xsd:enumeration value="168"/>
          <xsd:enumeration value="169"/>
          <xsd:enumeration value="170"/>
          <xsd:enumeration value="171"/>
          <xsd:enumeration value="172"/>
          <xsd:enumeration value="173"/>
          <xsd:enumeration value="174"/>
          <xsd:enumeration value="175"/>
          <xsd:enumeration value="176"/>
          <xsd:enumeration value="177"/>
          <xsd:enumeration value="178"/>
          <xsd:enumeration value="179"/>
          <xsd:enumeration value="180"/>
          <xsd:enumeration value="181"/>
          <xsd:enumeration value="182"/>
          <xsd:enumeration value="183"/>
          <xsd:enumeration value="184"/>
          <xsd:enumeration value="185"/>
          <xsd:enumeration value="186"/>
          <xsd:enumeration value="187"/>
          <xsd:enumeration value="188"/>
          <xsd:enumeration value="189"/>
          <xsd:enumeration value="190"/>
          <xsd:enumeration value="191"/>
          <xsd:enumeration value="192"/>
          <xsd:enumeration value="193"/>
          <xsd:enumeration value="194"/>
          <xsd:enumeration value="195"/>
          <xsd:enumeration value="196"/>
          <xsd:enumeration value="197"/>
          <xsd:enumeration value="198"/>
          <xsd:enumeration value="199"/>
          <xsd:enumeration value="200"/>
          <xsd:enumeration value="201"/>
          <xsd:enumeration value="202"/>
          <xsd:enumeration value="203"/>
          <xsd:enumeration value="204"/>
          <xsd:enumeration value="205"/>
          <xsd:enumeration value="206"/>
          <xsd:enumeration value="207"/>
          <xsd:enumeration value="208"/>
          <xsd:enumeration value="209"/>
          <xsd:enumeration value="210"/>
          <xsd:enumeration value="211"/>
          <xsd:enumeration value="212"/>
          <xsd:enumeration value="213"/>
          <xsd:enumeration value="214"/>
          <xsd:enumeration value="215"/>
          <xsd:enumeration value="216"/>
          <xsd:enumeration value="217"/>
          <xsd:enumeration value="218"/>
          <xsd:enumeration value="219"/>
          <xsd:enumeration value="220"/>
          <xsd:enumeration value="221"/>
          <xsd:enumeration value="222"/>
          <xsd:enumeration value="223"/>
          <xsd:enumeration value="224"/>
          <xsd:enumeration value="225"/>
          <xsd:enumeration value="226"/>
          <xsd:enumeration value="227"/>
          <xsd:enumeration value="228"/>
          <xsd:enumeration value="229"/>
          <xsd:enumeration value="230"/>
          <xsd:enumeration value="231"/>
          <xsd:enumeration value="232"/>
          <xsd:enumeration value="233"/>
          <xsd:enumeration value="234"/>
          <xsd:enumeration value="235"/>
          <xsd:enumeration value="236"/>
          <xsd:enumeration value="237"/>
          <xsd:enumeration value="238"/>
          <xsd:enumeration value="239"/>
          <xsd:enumeration value="240"/>
          <xsd:enumeration value="241"/>
          <xsd:enumeration value="242"/>
          <xsd:enumeration value="243"/>
          <xsd:enumeration value="244"/>
          <xsd:enumeration value="245"/>
          <xsd:enumeration value="246"/>
          <xsd:enumeration value="247"/>
          <xsd:enumeration value="248"/>
          <xsd:enumeration value="249"/>
          <xsd:enumeration value="250"/>
          <xsd:enumeration value="251"/>
          <xsd:enumeration value="252"/>
          <xsd:enumeration value="253"/>
          <xsd:enumeration value="254"/>
          <xsd:enumeration value="255"/>
          <xsd:enumeration value="256"/>
          <xsd:enumeration value="257"/>
          <xsd:enumeration value="258"/>
          <xsd:enumeration value="259"/>
          <xsd:enumeration value="260"/>
          <xsd:enumeration value="261"/>
          <xsd:enumeration value="262"/>
          <xsd:enumeration value="263"/>
          <xsd:enumeration value="264"/>
          <xsd:enumeration value="265"/>
          <xsd:enumeration value="266"/>
          <xsd:enumeration value="267"/>
          <xsd:enumeration value="268"/>
          <xsd:enumeration value="269"/>
          <xsd:enumeration value="270"/>
          <xsd:enumeration value="271"/>
          <xsd:enumeration value="272"/>
          <xsd:enumeration value="273"/>
          <xsd:enumeration value="274"/>
          <xsd:enumeration value="275"/>
          <xsd:enumeration value="276"/>
          <xsd:enumeration value="277"/>
          <xsd:enumeration value="278"/>
          <xsd:enumeration value="279"/>
          <xsd:enumeration value="280"/>
          <xsd:enumeration value="281"/>
          <xsd:enumeration value="282"/>
          <xsd:enumeration value="283"/>
          <xsd:enumeration value="284"/>
          <xsd:enumeration value="285"/>
          <xsd:enumeration value="286"/>
          <xsd:enumeration value="287"/>
          <xsd:enumeration value="288"/>
          <xsd:enumeration value="289"/>
          <xsd:enumeration value="290"/>
          <xsd:enumeration value="291"/>
          <xsd:enumeration value="292"/>
          <xsd:enumeration value="293"/>
          <xsd:enumeration value="294"/>
          <xsd:enumeration value="295"/>
          <xsd:enumeration value="296"/>
          <xsd:enumeration value="297"/>
          <xsd:enumeration value="298"/>
          <xsd:enumeration value="299"/>
          <xsd:enumeration value="300"/>
          <xsd:enumeration value="301"/>
          <xsd:enumeration value="302"/>
          <xsd:enumeration value="303"/>
          <xsd:enumeration value="304"/>
          <xsd:enumeration value="305"/>
          <xsd:enumeration value="306"/>
          <xsd:enumeration value="307"/>
          <xsd:enumeration value="308"/>
          <xsd:enumeration value="309"/>
          <xsd:enumeration value="310"/>
          <xsd:enumeration value="311"/>
          <xsd:enumeration value="312"/>
          <xsd:enumeration value="313"/>
          <xsd:enumeration value="314"/>
          <xsd:enumeration value="315"/>
          <xsd:enumeration value="316"/>
          <xsd:enumeration value="317"/>
          <xsd:enumeration value="318"/>
          <xsd:enumeration value="319"/>
          <xsd:enumeration value="320"/>
          <xsd:enumeration value="321"/>
          <xsd:enumeration value="322"/>
          <xsd:enumeration value="323"/>
          <xsd:enumeration value="324"/>
          <xsd:enumeration value="325"/>
          <xsd:enumeration value="326"/>
          <xsd:enumeration value="327"/>
          <xsd:enumeration value="328"/>
          <xsd:enumeration value="329"/>
          <xsd:enumeration value="330"/>
          <xsd:enumeration value="331"/>
          <xsd:enumeration value="332"/>
          <xsd:enumeration value="333"/>
          <xsd:enumeration value="334"/>
          <xsd:enumeration value="335"/>
          <xsd:enumeration value="336"/>
          <xsd:enumeration value="337"/>
          <xsd:enumeration value="338"/>
          <xsd:enumeration value="339"/>
          <xsd:enumeration value="340"/>
          <xsd:enumeration value="341"/>
          <xsd:enumeration value="342"/>
          <xsd:enumeration value="343"/>
          <xsd:enumeration value="344"/>
          <xsd:enumeration value="345"/>
          <xsd:enumeration value="346"/>
          <xsd:enumeration value="347"/>
          <xsd:enumeration value="348"/>
          <xsd:enumeration value="349"/>
          <xsd:enumeration value="350"/>
          <xsd:enumeration value="351"/>
          <xsd:enumeration value="352"/>
          <xsd:enumeration value="353"/>
          <xsd:enumeration value="354"/>
          <xsd:enumeration value="355"/>
          <xsd:enumeration value="356"/>
          <xsd:enumeration value="357"/>
          <xsd:enumeration value="358"/>
          <xsd:enumeration value="359"/>
          <xsd:enumeration value="360"/>
          <xsd:enumeration value="361"/>
          <xsd:enumeration value="362"/>
          <xsd:enumeration value="363"/>
          <xsd:enumeration value="364"/>
          <xsd:enumeration value="365"/>
          <xsd:enumeration value="366"/>
          <xsd:enumeration value="367"/>
          <xsd:enumeration value="368"/>
          <xsd:enumeration value="369"/>
          <xsd:enumeration value="370"/>
          <xsd:enumeration value="371"/>
          <xsd:enumeration value="372"/>
          <xsd:enumeration value="373"/>
          <xsd:enumeration value="374"/>
          <xsd:enumeration value="375"/>
          <xsd:enumeration value="376"/>
          <xsd:enumeration value="377"/>
          <xsd:enumeration value="378"/>
          <xsd:enumeration value="379"/>
          <xsd:enumeration value="380"/>
          <xsd:enumeration value="381"/>
          <xsd:enumeration value="382"/>
          <xsd:enumeration value="383"/>
          <xsd:enumeration value="384"/>
          <xsd:enumeration value="385"/>
          <xsd:enumeration value="386"/>
          <xsd:enumeration value="387"/>
          <xsd:enumeration value="388"/>
          <xsd:enumeration value="389"/>
          <xsd:enumeration value="390"/>
          <xsd:enumeration value="391"/>
          <xsd:enumeration value="392"/>
          <xsd:enumeration value="393"/>
          <xsd:enumeration value="394"/>
          <xsd:enumeration value="395"/>
          <xsd:enumeration value="396"/>
          <xsd:enumeration value="397"/>
          <xsd:enumeration value="398"/>
          <xsd:enumeration value="399"/>
          <xsd:enumeration value="400"/>
          <xsd:enumeration value="401"/>
          <xsd:enumeration value="402"/>
          <xsd:enumeration value="403"/>
          <xsd:enumeration value="404"/>
          <xsd:enumeration value="405"/>
          <xsd:enumeration value="406"/>
          <xsd:enumeration value="407"/>
          <xsd:enumeration value="408"/>
          <xsd:enumeration value="409"/>
          <xsd:enumeration value="410"/>
          <xsd:enumeration value="411"/>
          <xsd:enumeration value="412"/>
          <xsd:enumeration value="413"/>
          <xsd:enumeration value="414"/>
          <xsd:enumeration value="415"/>
          <xsd:enumeration value="416"/>
          <xsd:enumeration value="417"/>
          <xsd:enumeration value="418"/>
          <xsd:enumeration value="419"/>
          <xsd:enumeration value="420"/>
          <xsd:enumeration value="421"/>
          <xsd:enumeration value="422"/>
          <xsd:enumeration value="423"/>
          <xsd:enumeration value="424"/>
          <xsd:enumeration value="425"/>
          <xsd:enumeration value="426"/>
          <xsd:enumeration value="427"/>
          <xsd:enumeration value="428"/>
          <xsd:enumeration value="429"/>
          <xsd:enumeration value="430"/>
          <xsd:enumeration value="431"/>
          <xsd:enumeration value="432"/>
          <xsd:enumeration value="433"/>
          <xsd:enumeration value="434"/>
          <xsd:enumeration value="435"/>
          <xsd:enumeration value="436"/>
          <xsd:enumeration value="437"/>
          <xsd:enumeration value="438"/>
          <xsd:enumeration value="439"/>
          <xsd:enumeration value="440"/>
          <xsd:enumeration value="441"/>
        </xsd:restriction>
      </xsd:simpleType>
    </xsd:element>
    <xsd:element name="Tariff_x0020_Dev_x0020_Doc_x0020_Type" ma:index="10" nillable="true" ma:displayName="Tariff Dev Doc Type" ma:format="Dropdown" ma:internalName="Tariff_x0020_Dev_x0020_Doc_x0020_Type">
      <xsd:simpleType>
        <xsd:restriction base="dms:Choice">
          <xsd:enumeration value="Rate Case Documents"/>
          <xsd:enumeration value="Pre-Pay Program"/>
          <xsd:enumeration value="Support"/>
        </xsd:restriction>
      </xsd:simpleType>
    </xsd:element>
    <xsd:element name="Filed_x0020_Documents" ma:index="11" nillable="true" ma:displayName="Filed Documents (Internal Use Only)" ma:format="Dropdown" ma:internalName="Filed_x0020_Documents" ma:readOnly="false">
      <xsd:simpleType>
        <xsd:restriction base="dms:Choice">
          <xsd:enumeration value="Application/Filing Requirements/Testimony"/>
          <xsd:enumeration value="PSC DR 01"/>
          <xsd:enumeration value="PSC DR 02/Intervenor DR 01"/>
          <xsd:enumeration value="PSC DR 03/Intervenor DR 02"/>
          <xsd:enumeration value="PSC DR 04"/>
          <xsd:enumeration value="PSC DR 05"/>
          <xsd:enumeration value="PSC DR 06"/>
          <xsd:enumeration value="PSC Post Hearing DR01"/>
          <xsd:enumeration value="PSC Post Hearing DR02"/>
          <xsd:enumeration value="VSCC DR01"/>
          <xsd:enumeration value="VSCC DR02"/>
          <xsd:enumeration value="VSCC DR03"/>
          <xsd:enumeration value="VSCC DR04"/>
          <xsd:enumeration value="VSCC DR05"/>
          <xsd:enumeration value="VSCC DR06"/>
          <xsd:enumeration value="VSCC DR07"/>
          <xsd:enumeration value="VSCC DR08"/>
          <xsd:enumeration value="VSCC DR09"/>
          <xsd:enumeration value="VSCC DR10"/>
          <xsd:enumeration value="VSCC DR11"/>
          <xsd:enumeration value="VSCC DR12"/>
          <xsd:enumeration value="VSCC DR13"/>
          <xsd:enumeration value="VSCC DR14"/>
          <xsd:enumeration value="Supplemental Testimony"/>
          <xsd:enumeration value="Rebuttal Testimony"/>
          <xsd:enumeration value="Settlement Agreement"/>
          <xsd:enumeration value="Stipulation Testimony"/>
          <xsd:enumeration value="Post Hearing Briefs"/>
        </xsd:restriction>
      </xsd:simpleType>
    </xsd:element>
    <xsd:element name="Department" ma:index="18" nillable="true" ma:displayName="Department/Purpose" ma:format="Dropdown" ma:internalName="Department" ma:readOnly="false">
      <xsd:simpleType>
        <xsd:restriction base="dms:Choice">
          <xsd:enumeration value="Billing Determinants"/>
          <xsd:enumeration value="Cost of Service"/>
          <xsd:enumeration value="Jurisdictional Separation Study"/>
          <xsd:enumeration value="Lead-Lag Study"/>
          <xsd:enumeration value="Revenue Requirement"/>
          <xsd:enumeration value="Testimony"/>
          <xsd:enumeration value="Errata"/>
          <xsd:enumeration value="Base Period Update - Jurisdictional Separation Study"/>
          <xsd:enumeration value="Base Period Update - Revenue Requirement"/>
          <xsd:enumeration value="Financial Planning &amp; Analysis"/>
          <xsd:enumeration value="Financial Planning &amp; Analysis - TEST FILES"/>
          <xsd:enumeration value="Financial Reporting"/>
          <xsd:enumeration value="Sales Analysis &amp; Forecasting"/>
          <xsd:enumeration value="State Regulation &amp; Rates"/>
          <xsd:enumeration value="Tax Accounting &amp; Complianc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5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Props1.xml><?xml version="1.0" encoding="utf-8"?>
<ds:datastoreItem xmlns:ds="http://schemas.openxmlformats.org/officeDocument/2006/customXml" ds:itemID="{42FC2945-8159-45C8-AFF5-C9BA5496B387}">
  <ds:schemaRefs>
    <ds:schemaRef ds:uri="http://schemas.microsoft.com/sharepoint/v3/contenttype/forms/url"/>
  </ds:schemaRefs>
</ds:datastoreItem>
</file>

<file path=customXml/itemProps2.xml><?xml version="1.0" encoding="utf-8"?>
<ds:datastoreItem xmlns:ds="http://schemas.openxmlformats.org/officeDocument/2006/customXml" ds:itemID="{9C3250CE-C498-41B1-9EB0-F3A85EB40155}">
  <ds:schemaRefs>
    <ds:schemaRef ds:uri="http://schemas.microsoft.com/sharepoint/v3"/>
    <ds:schemaRef ds:uri="54fcda00-7b58-44a7-b108-8bd10a8a08ba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B1E2362-DE54-4333-ACFE-CED2151341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fcda00-7b58-44a7-b108-8bd10a8a08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A0472DA-594B-435A-8D16-55A22B6EA283}">
  <ds:schemaRefs/>
</ds:datastoreItem>
</file>

<file path=customXml/itemProps5.xml><?xml version="1.0" encoding="utf-8"?>
<ds:datastoreItem xmlns:ds="http://schemas.openxmlformats.org/officeDocument/2006/customXml" ds:itemID="{ADEB7A83-D344-47EC-A5C4-CCA160A16B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GCR Rev Requirement old</vt:lpstr>
      <vt:lpstr>Estimated Bill Impact</vt:lpstr>
      <vt:lpstr>GCR KU</vt:lpstr>
      <vt:lpstr>GCR LGE</vt:lpstr>
      <vt:lpstr>SCH J Stip KU</vt:lpstr>
      <vt:lpstr>Sch J Stip LGE-E</vt:lpstr>
      <vt:lpstr>Juris Alloc</vt:lpstr>
      <vt:lpstr>'Estimated Bill Impact'!Print_Area</vt:lpstr>
      <vt:lpstr>'GCR LGE'!Print_Area</vt:lpstr>
      <vt:lpstr>'SCH J Stip KU'!Print_Area</vt:lpstr>
      <vt:lpstr>'Sch J Stip LGE-E'!Print_Area</vt:lpstr>
      <vt:lpstr>'GCR KU'!Print_Titles</vt:lpstr>
      <vt:lpstr>'GCR LGE'!Print_Titles</vt:lpstr>
      <vt:lpstr>'GCR Rev Requirement old'!Print_Titles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Elliot, Clark</dc:creator>
  <cp:lastModifiedBy>Lovekamp, Rick</cp:lastModifiedBy>
  <cp:lastPrinted>2025-10-31T18:42:25Z</cp:lastPrinted>
  <dcterms:created xsi:type="dcterms:W3CDTF">2025-10-17T14:19:45Z</dcterms:created>
  <dcterms:modified xsi:type="dcterms:W3CDTF">2025-10-31T20:57:34Z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8095e7-21cd-4f1b-a182-85eb226f41ae_Enabled">
    <vt:lpwstr>true</vt:lpwstr>
  </property>
  <property fmtid="{D5CDD505-2E9C-101B-9397-08002B2CF9AE}" pid="3" name="MSIP_Label_b28095e7-21cd-4f1b-a182-85eb226f41ae_SetDate">
    <vt:lpwstr>2025-10-17T14:21:02Z</vt:lpwstr>
  </property>
  <property fmtid="{D5CDD505-2E9C-101B-9397-08002B2CF9AE}" pid="4" name="MSIP_Label_b28095e7-21cd-4f1b-a182-85eb226f41ae_Method">
    <vt:lpwstr>Privileged</vt:lpwstr>
  </property>
  <property fmtid="{D5CDD505-2E9C-101B-9397-08002B2CF9AE}" pid="5" name="MSIP_Label_b28095e7-21cd-4f1b-a182-85eb226f41ae_Name">
    <vt:lpwstr>b28095e7-21cd-4f1b-a182-85eb226f41ae</vt:lpwstr>
  </property>
  <property fmtid="{D5CDD505-2E9C-101B-9397-08002B2CF9AE}" pid="6" name="MSIP_Label_b28095e7-21cd-4f1b-a182-85eb226f41ae_SiteId">
    <vt:lpwstr>25b79aa0-07c6-4d65-9c80-df92aacdc157</vt:lpwstr>
  </property>
  <property fmtid="{D5CDD505-2E9C-101B-9397-08002B2CF9AE}" pid="7" name="MSIP_Label_b28095e7-21cd-4f1b-a182-85eb226f41ae_ActionId">
    <vt:lpwstr>ee33a3df-17ec-4118-9f27-af3d2171a267</vt:lpwstr>
  </property>
  <property fmtid="{D5CDD505-2E9C-101B-9397-08002B2CF9AE}" pid="8" name="MSIP_Label_b28095e7-21cd-4f1b-a182-85eb226f41ae_ContentBits">
    <vt:lpwstr>2</vt:lpwstr>
  </property>
  <property fmtid="{D5CDD505-2E9C-101B-9397-08002B2CF9AE}" pid="9" name="MSIP_Label_b28095e7-21cd-4f1b-a182-85eb226f41ae_Tag">
    <vt:lpwstr>10, 0, 1, 1</vt:lpwstr>
  </property>
  <property fmtid="{D5CDD505-2E9C-101B-9397-08002B2CF9AE}" pid="10" name="ContentTypeId">
    <vt:lpwstr>0x0101002D0103853DF7894DB347713A7250CD66</vt:lpwstr>
  </property>
  <property fmtid="{D5CDD505-2E9C-101B-9397-08002B2CF9AE}" pid="11" name="MSIP_Label_d662fcd2-3ff9-4261-9b26-9dd5808d0bb4_Enabled">
    <vt:lpwstr>true</vt:lpwstr>
  </property>
  <property fmtid="{D5CDD505-2E9C-101B-9397-08002B2CF9AE}" pid="12" name="MSIP_Label_d662fcd2-3ff9-4261-9b26-9dd5808d0bb4_SetDate">
    <vt:lpwstr>2025-10-31T18:42:34Z</vt:lpwstr>
  </property>
  <property fmtid="{D5CDD505-2E9C-101B-9397-08002B2CF9AE}" pid="13" name="MSIP_Label_d662fcd2-3ff9-4261-9b26-9dd5808d0bb4_Method">
    <vt:lpwstr>Privileged</vt:lpwstr>
  </property>
  <property fmtid="{D5CDD505-2E9C-101B-9397-08002B2CF9AE}" pid="14" name="MSIP_Label_d662fcd2-3ff9-4261-9b26-9dd5808d0bb4_Name">
    <vt:lpwstr>d662fcd2-3ff9-4261-9b26-9dd5808d0bb4</vt:lpwstr>
  </property>
  <property fmtid="{D5CDD505-2E9C-101B-9397-08002B2CF9AE}" pid="15" name="MSIP_Label_d662fcd2-3ff9-4261-9b26-9dd5808d0bb4_SiteId">
    <vt:lpwstr>5ee3b0ba-a559-45ee-a69e-6d3e963a3e72</vt:lpwstr>
  </property>
  <property fmtid="{D5CDD505-2E9C-101B-9397-08002B2CF9AE}" pid="16" name="MSIP_Label_d662fcd2-3ff9-4261-9b26-9dd5808d0bb4_ActionId">
    <vt:lpwstr>d7a75bb1-3e3b-4a8f-b9fe-0a008f7d56e3</vt:lpwstr>
  </property>
  <property fmtid="{D5CDD505-2E9C-101B-9397-08002B2CF9AE}" pid="17" name="MSIP_Label_d662fcd2-3ff9-4261-9b26-9dd5808d0bb4_ContentBits">
    <vt:lpwstr>0</vt:lpwstr>
  </property>
  <property fmtid="{D5CDD505-2E9C-101B-9397-08002B2CF9AE}" pid="18" name="MSIP_Label_d662fcd2-3ff9-4261-9b26-9dd5808d0bb4_Tag">
    <vt:lpwstr>10, 0, 1, 1</vt:lpwstr>
  </property>
</Properties>
</file>