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7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amPerry\Box\100582-1069 PPL LG&amp;E &amp; KY Utilities 2025 COC Testimony\Discovery\PSC Set 2\"/>
    </mc:Choice>
  </mc:AlternateContent>
  <xr:revisionPtr revIDLastSave="0" documentId="13_ncr:1_{A96F0987-551D-4409-925E-9D0D73595BB5}" xr6:coauthVersionLast="47" xr6:coauthVersionMax="47" xr10:uidLastSave="{00000000-0000-0000-0000-000000000000}"/>
  <bookViews>
    <workbookView xWindow="-120" yWindow="-120" windowWidth="38640" windowHeight="15720" tabRatio="772" xr2:uid="{3C47DF13-5C78-41D1-BDD0-DF68AB091250}"/>
  </bookViews>
  <sheets>
    <sheet name="24.1, p3 Gas Cap Str PermCap" sheetId="1" r:id="rId1"/>
    <sheet name="24.1, p4 OpCo Gas Proxy Cap Str" sheetId="2" r:id="rId2"/>
    <sheet name="3.2-3 Elec Proxy CapStr PermCap" sheetId="12" r:id="rId3"/>
    <sheet name="3.4 Elec Proxy OpCo Cap Str" sheetId="13" r:id="rId4"/>
    <sheet name="WP OpCo Cap Str" sheetId="14" r:id="rId5"/>
    <sheet name="3. LNT" sheetId="15" r:id="rId6"/>
    <sheet name="3. AEE" sheetId="16" r:id="rId7"/>
    <sheet name="3. AEP" sheetId="17" r:id="rId8"/>
    <sheet name="3. DUK" sheetId="18" r:id="rId9"/>
    <sheet name="3. EIX" sheetId="19" r:id="rId10"/>
    <sheet name="3. ETR" sheetId="20" r:id="rId11"/>
    <sheet name="3. EVRG" sheetId="21" r:id="rId12"/>
    <sheet name="3. IDA" sheetId="22" r:id="rId13"/>
    <sheet name="3. NWE" sheetId="28" r:id="rId14"/>
    <sheet name="3. OGE" sheetId="23" r:id="rId15"/>
    <sheet name="3. PNW" sheetId="24" r:id="rId16"/>
    <sheet name="3. POR" sheetId="25" r:id="rId17"/>
    <sheet name="3. SO" sheetId="26" r:id="rId18"/>
    <sheet name="3. TXNM" sheetId="29" r:id="rId19"/>
    <sheet name="3. XEL" sheetId="27" r:id="rId20"/>
    <sheet name="WP GasOpCo Cap Str" sheetId="3" r:id="rId21"/>
    <sheet name="3. ATO" sheetId="4" r:id="rId22"/>
    <sheet name="3. CPK" sheetId="5" r:id="rId23"/>
    <sheet name="3. NJR" sheetId="6" r:id="rId24"/>
    <sheet name="3. NI" sheetId="7" r:id="rId25"/>
    <sheet name="3. NWN" sheetId="8" r:id="rId26"/>
    <sheet name="3. OGS" sheetId="9" r:id="rId27"/>
    <sheet name="3. SWX" sheetId="10" r:id="rId28"/>
    <sheet name="3. SR" sheetId="11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_________bb" localSheetId="1" hidden="1">#REF!</definedName>
    <definedName name="__________bb" localSheetId="20" hidden="1">#REF!</definedName>
    <definedName name="__________bb" hidden="1">#REF!</definedName>
    <definedName name="__________sort" localSheetId="1" hidden="1">#REF!</definedName>
    <definedName name="__________sort" localSheetId="20" hidden="1">#REF!</definedName>
    <definedName name="__________sort" hidden="1">#REF!</definedName>
    <definedName name="_________bb" localSheetId="1" hidden="1">#REF!</definedName>
    <definedName name="_________bb" localSheetId="20" hidden="1">#REF!</definedName>
    <definedName name="_________bb" hidden="1">#REF!</definedName>
    <definedName name="_________Sort" localSheetId="1" hidden="1">#REF!</definedName>
    <definedName name="_________Sort" localSheetId="20" hidden="1">#REF!</definedName>
    <definedName name="_________Sort" hidden="1">#REF!</definedName>
    <definedName name="_______kay1" localSheetId="1" hidden="1">#REF!</definedName>
    <definedName name="_______kay1" localSheetId="20" hidden="1">#REF!</definedName>
    <definedName name="_______kay1" hidden="1">#REF!</definedName>
    <definedName name="_______ke1" localSheetId="1" hidden="1">#REF!</definedName>
    <definedName name="_______ke1" localSheetId="20" hidden="1">#REF!</definedName>
    <definedName name="_______ke1" hidden="1">#REF!</definedName>
    <definedName name="_______key1" localSheetId="1" hidden="1">#REF!</definedName>
    <definedName name="_______key1" localSheetId="20" hidden="1">#REF!</definedName>
    <definedName name="_______key1" hidden="1">#REF!</definedName>
    <definedName name="_______sort" localSheetId="1" hidden="1">#REF!</definedName>
    <definedName name="_______sort" localSheetId="20" hidden="1">#REF!</definedName>
    <definedName name="_______sort" hidden="1">#REF!</definedName>
    <definedName name="______key1" localSheetId="1" hidden="1">#REF!</definedName>
    <definedName name="______key1" localSheetId="20" hidden="1">#REF!</definedName>
    <definedName name="______key1" hidden="1">#REF!</definedName>
    <definedName name="______sort1" localSheetId="1" hidden="1">#REF!</definedName>
    <definedName name="______sort1" localSheetId="20" hidden="1">#REF!</definedName>
    <definedName name="______sort1" hidden="1">#REF!</definedName>
    <definedName name="_____BB" localSheetId="1" hidden="1">#REF!</definedName>
    <definedName name="_____BB" localSheetId="20" hidden="1">#REF!</definedName>
    <definedName name="_____BB" hidden="1">#REF!</definedName>
    <definedName name="_____Sort" localSheetId="1" hidden="1">#REF!</definedName>
    <definedName name="_____Sort" localSheetId="20" hidden="1">#REF!</definedName>
    <definedName name="_____Sort" hidden="1">#REF!</definedName>
    <definedName name="____sort" localSheetId="1" hidden="1">#REF!</definedName>
    <definedName name="____sort" localSheetId="20" hidden="1">#REF!</definedName>
    <definedName name="____sort" hidden="1">#REF!</definedName>
    <definedName name="___bb" localSheetId="1" hidden="1">#REF!</definedName>
    <definedName name="___bb" localSheetId="20" hidden="1">#REF!</definedName>
    <definedName name="___bb" hidden="1">#REF!</definedName>
    <definedName name="___Key1" localSheetId="1" hidden="1">#REF!</definedName>
    <definedName name="___Key1" localSheetId="20" hidden="1">#REF!</definedName>
    <definedName name="___Key1" hidden="1">#REF!</definedName>
    <definedName name="___Sort" localSheetId="1" hidden="1">#REF!</definedName>
    <definedName name="___Sort" localSheetId="20" hidden="1">#REF!</definedName>
    <definedName name="___Sort" hidden="1">#REF!</definedName>
    <definedName name="__123Graph_A" localSheetId="1" hidden="1">#REF!</definedName>
    <definedName name="__123Graph_A" localSheetId="13" hidden="1">'[1]Plant in Ser'!#REF!</definedName>
    <definedName name="__123Graph_A" localSheetId="18" hidden="1">'[1]Plant in Ser'!#REF!</definedName>
    <definedName name="__123Graph_A" localSheetId="20" hidden="1">#REF!</definedName>
    <definedName name="__123Graph_A" hidden="1">#REF!</definedName>
    <definedName name="__123Graph_Achart" localSheetId="13" hidden="1">'[2]Chart Data'!$E$30:$E$233</definedName>
    <definedName name="__123Graph_Achart" localSheetId="18" hidden="1">'[2]Chart Data'!$E$30:$E$233</definedName>
    <definedName name="__123Graph_Achart" hidden="1">#REF!</definedName>
    <definedName name="__123Graph_ACurrent" localSheetId="1" hidden="1">#REF!</definedName>
    <definedName name="__123Graph_ACurrent" localSheetId="13" hidden="1">[3]Summary!#REF!</definedName>
    <definedName name="__123Graph_ACurrent" localSheetId="18" hidden="1">[3]Summary!#REF!</definedName>
    <definedName name="__123Graph_ACurrent" localSheetId="20" hidden="1">#REF!</definedName>
    <definedName name="__123Graph_ACurrent" hidden="1">#REF!</definedName>
    <definedName name="__123Graph_AHOBKEN4H" localSheetId="1" hidden="1">#REF!</definedName>
    <definedName name="__123Graph_AHOBKEN4H" localSheetId="18" hidden="1">#REF!</definedName>
    <definedName name="__123Graph_AHOBKEN4H" localSheetId="20" hidden="1">#REF!</definedName>
    <definedName name="__123Graph_AHOBKEN4H" hidden="1">#REF!</definedName>
    <definedName name="__123Graph_AJCCASH4" localSheetId="1" hidden="1">#REF!</definedName>
    <definedName name="__123Graph_AJCCASH4" localSheetId="20" hidden="1">#REF!</definedName>
    <definedName name="__123Graph_AJCCASH4" hidden="1">#REF!</definedName>
    <definedName name="__123Graph_AJCCASH5" localSheetId="1" hidden="1">#REF!</definedName>
    <definedName name="__123Graph_AJCCASH5" localSheetId="20" hidden="1">#REF!</definedName>
    <definedName name="__123Graph_AJCCASH5" hidden="1">#REF!</definedName>
    <definedName name="__123Graph_AJCCASH6" localSheetId="1" hidden="1">#REF!</definedName>
    <definedName name="__123Graph_AJCCASH6" localSheetId="20" hidden="1">#REF!</definedName>
    <definedName name="__123Graph_AJCCASH6" hidden="1">#REF!</definedName>
    <definedName name="__123Graph_AJCCASH7" localSheetId="1" hidden="1">#REF!</definedName>
    <definedName name="__123Graph_AJCCASH7" localSheetId="20" hidden="1">#REF!</definedName>
    <definedName name="__123Graph_AJCCASH7" hidden="1">#REF!</definedName>
    <definedName name="__123Graph_B" localSheetId="1" hidden="1">#REF!</definedName>
    <definedName name="__123Graph_B" localSheetId="13" hidden="1">[4]SD!#REF!</definedName>
    <definedName name="__123Graph_B" localSheetId="18" hidden="1">[4]SD!#REF!</definedName>
    <definedName name="__123Graph_B" localSheetId="20" hidden="1">#REF!</definedName>
    <definedName name="__123Graph_B" hidden="1">#REF!</definedName>
    <definedName name="__123Graph_BCurrent" localSheetId="1" hidden="1">#REF!</definedName>
    <definedName name="__123Graph_BCurrent" localSheetId="13" hidden="1">[3]Summary!#REF!</definedName>
    <definedName name="__123Graph_BCurrent" localSheetId="18" hidden="1">[3]Summary!#REF!</definedName>
    <definedName name="__123Graph_BCurrent" localSheetId="20" hidden="1">#REF!</definedName>
    <definedName name="__123Graph_BCurrent" hidden="1">#REF!</definedName>
    <definedName name="__123Graph_BHOBKEN4H" localSheetId="1" hidden="1">#REF!</definedName>
    <definedName name="__123Graph_BHOBKEN4H" localSheetId="18" hidden="1">#REF!</definedName>
    <definedName name="__123Graph_BHOBKEN4H" localSheetId="20" hidden="1">#REF!</definedName>
    <definedName name="__123Graph_BHOBKEN4H" hidden="1">#REF!</definedName>
    <definedName name="__123Graph_BHOBOKEN" localSheetId="1" hidden="1">#REF!</definedName>
    <definedName name="__123Graph_BHOBOKEN" localSheetId="20" hidden="1">#REF!</definedName>
    <definedName name="__123Graph_BHOBOKEN" hidden="1">#REF!</definedName>
    <definedName name="__123Graph_BJCCASH4" localSheetId="1" hidden="1">#REF!</definedName>
    <definedName name="__123Graph_BJCCASH4" localSheetId="20" hidden="1">#REF!</definedName>
    <definedName name="__123Graph_BJCCASH4" hidden="1">#REF!</definedName>
    <definedName name="__123Graph_BJCCASH5" localSheetId="1" hidden="1">#REF!</definedName>
    <definedName name="__123Graph_BJCCASH5" localSheetId="20" hidden="1">#REF!</definedName>
    <definedName name="__123Graph_BJCCASH5" hidden="1">#REF!</definedName>
    <definedName name="__123Graph_BJCCASH6" localSheetId="1" hidden="1">#REF!</definedName>
    <definedName name="__123Graph_BJCCASH6" localSheetId="20" hidden="1">#REF!</definedName>
    <definedName name="__123Graph_BJCCASH6" hidden="1">#REF!</definedName>
    <definedName name="__123Graph_BJCCASH7" localSheetId="1" hidden="1">#REF!</definedName>
    <definedName name="__123Graph_BJCCASH7" localSheetId="20" hidden="1">#REF!</definedName>
    <definedName name="__123Graph_BJCCASH7" hidden="1">#REF!</definedName>
    <definedName name="__123Graph_C" localSheetId="1" hidden="1">#REF!</definedName>
    <definedName name="__123Graph_C" localSheetId="20" hidden="1">#REF!</definedName>
    <definedName name="__123Graph_C" hidden="1">#REF!</definedName>
    <definedName name="__123Graph_D" localSheetId="1" hidden="1">#REF!</definedName>
    <definedName name="__123Graph_D" localSheetId="13" hidden="1">[5]TOPrs!#REF!</definedName>
    <definedName name="__123Graph_D" localSheetId="18" hidden="1">[5]TOPrs!#REF!</definedName>
    <definedName name="__123Graph_D" localSheetId="20" hidden="1">#REF!</definedName>
    <definedName name="__123Graph_D" hidden="1">#REF!</definedName>
    <definedName name="__123Graph_E" localSheetId="1" hidden="1">#REF!</definedName>
    <definedName name="__123Graph_E" localSheetId="13" hidden="1">[6]Stmt!#REF!</definedName>
    <definedName name="__123Graph_E" localSheetId="18" hidden="1">[6]Stmt!#REF!</definedName>
    <definedName name="__123Graph_E" localSheetId="20" hidden="1">#REF!</definedName>
    <definedName name="__123Graph_E" hidden="1">#REF!</definedName>
    <definedName name="__123Graph_ECURRENT" localSheetId="1" hidden="1">#REF!</definedName>
    <definedName name="__123Graph_ECURRENT" localSheetId="13" hidden="1">[7]coss!#REF!</definedName>
    <definedName name="__123Graph_ECURRENT" localSheetId="18" hidden="1">[7]coss!#REF!</definedName>
    <definedName name="__123Graph_ECURRENT" localSheetId="20" hidden="1">#REF!</definedName>
    <definedName name="__123Graph_ECURRENT" hidden="1">#REF!</definedName>
    <definedName name="__123Graph_F" localSheetId="1" hidden="1">#REF!</definedName>
    <definedName name="__123Graph_F" localSheetId="13" hidden="1">[6]Stmt!#REF!</definedName>
    <definedName name="__123Graph_F" localSheetId="18" hidden="1">[6]Stmt!#REF!</definedName>
    <definedName name="__123Graph_F" localSheetId="20" hidden="1">#REF!</definedName>
    <definedName name="__123Graph_F" hidden="1">#REF!</definedName>
    <definedName name="__123Graph_LBL_A" localSheetId="1" hidden="1">#REF!</definedName>
    <definedName name="__123Graph_LBL_A" localSheetId="13" hidden="1">[8]Report!#REF!</definedName>
    <definedName name="__123Graph_LBL_A" localSheetId="18" hidden="1">[8]Report!#REF!</definedName>
    <definedName name="__123Graph_LBL_A" localSheetId="20" hidden="1">#REF!</definedName>
    <definedName name="__123Graph_LBL_A" hidden="1">#REF!</definedName>
    <definedName name="__123Graph_X" localSheetId="1" hidden="1">#REF!</definedName>
    <definedName name="__123Graph_X" localSheetId="18" hidden="1">#REF!</definedName>
    <definedName name="__123Graph_X" localSheetId="20" hidden="1">#REF!</definedName>
    <definedName name="__123Graph_X" hidden="1">#REF!</definedName>
    <definedName name="__123Graph_XCHART" localSheetId="13" hidden="1">'[2]Chart Data'!$B$30:$B$222</definedName>
    <definedName name="__123Graph_XCHART" localSheetId="18" hidden="1">'[2]Chart Data'!$B$30:$B$222</definedName>
    <definedName name="__123Graph_XCHART" hidden="1">#REF!</definedName>
    <definedName name="__123Graph_XCurrent" localSheetId="1" hidden="1">#REF!</definedName>
    <definedName name="__123Graph_XCurrent" localSheetId="13" hidden="1">[3]Summary!#REF!</definedName>
    <definedName name="__123Graph_XCurrent" localSheetId="18" hidden="1">[3]Summary!#REF!</definedName>
    <definedName name="__123Graph_XCurrent" localSheetId="20" hidden="1">#REF!</definedName>
    <definedName name="__123Graph_XCurrent" hidden="1">#REF!</definedName>
    <definedName name="__123Graph_XJCCASH4" localSheetId="1" hidden="1">#REF!</definedName>
    <definedName name="__123Graph_XJCCASH4" localSheetId="18" hidden="1">#REF!</definedName>
    <definedName name="__123Graph_XJCCASH4" localSheetId="20" hidden="1">#REF!</definedName>
    <definedName name="__123Graph_XJCCASH4" hidden="1">#REF!</definedName>
    <definedName name="__123Graph_XJCCASH5" localSheetId="1" hidden="1">#REF!</definedName>
    <definedName name="__123Graph_XJCCASH5" localSheetId="20" hidden="1">#REF!</definedName>
    <definedName name="__123Graph_XJCCASH5" hidden="1">#REF!</definedName>
    <definedName name="__123Graph_XJCCASH6" localSheetId="1" hidden="1">#REF!</definedName>
    <definedName name="__123Graph_XJCCASH6" localSheetId="20" hidden="1">#REF!</definedName>
    <definedName name="__123Graph_XJCCASH6" hidden="1">#REF!</definedName>
    <definedName name="__123Graph_XJCCASH7" localSheetId="1" hidden="1">#REF!</definedName>
    <definedName name="__123Graph_XJCCASH7" localSheetId="20" hidden="1">#REF!</definedName>
    <definedName name="__123Graph_XJCCASH7" hidden="1">#REF!</definedName>
    <definedName name="__BB" localSheetId="1" hidden="1">#REF!</definedName>
    <definedName name="__BB" localSheetId="20" hidden="1">#REF!</definedName>
    <definedName name="__BB" hidden="1">#REF!</definedName>
    <definedName name="__DSAuthor" hidden="1">"Caroline Wallo"</definedName>
    <definedName name="__DSComments" hidden="1">"1995 Budget"</definedName>
    <definedName name="__DSCreated" hidden="1">" October 19, 1994"</definedName>
    <definedName name="__DSRevision" hidden="1">1</definedName>
    <definedName name="__FDS_HYPERLINK_TOGGLE_STATE__" hidden="1">"ON"</definedName>
    <definedName name="__Fill" localSheetId="1" hidden="1">#REF!</definedName>
    <definedName name="__Fill" localSheetId="20" hidden="1">#REF!</definedName>
    <definedName name="__Fill" hidden="1">#REF!</definedName>
    <definedName name="__key1" localSheetId="1" hidden="1">#REF!</definedName>
    <definedName name="__key1" localSheetId="18" hidden="1">#REF!</definedName>
    <definedName name="__key1" localSheetId="20" hidden="1">#REF!</definedName>
    <definedName name="__key1" hidden="1">#REF!</definedName>
    <definedName name="__pb1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1" localSheetId="1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1" localSheetId="18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1" localSheetId="20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2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2" localSheetId="13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2" localSheetId="18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2" localSheetId="20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3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3" localSheetId="1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3" localSheetId="18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3" localSheetId="20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Sort" localSheetId="1" hidden="1">#REF!</definedName>
    <definedName name="__Sort" localSheetId="20" hidden="1">#REF!</definedName>
    <definedName name="__Sort" hidden="1">#REF!</definedName>
    <definedName name="__Sort1" localSheetId="1" hidden="1">#REF!</definedName>
    <definedName name="__Sort1" localSheetId="20" hidden="1">#REF!</definedName>
    <definedName name="__Sort1" hidden="1">#REF!</definedName>
    <definedName name="__xlfn.BAHTTEXT" hidden="1">#NAME?</definedName>
    <definedName name="_00ea49fdae2d40f1b83bbf37a9224757" localSheetId="1" hidden="1">#REF!</definedName>
    <definedName name="_00ea49fdae2d40f1b83bbf37a9224757" localSheetId="20" hidden="1">#REF!</definedName>
    <definedName name="_00ea49fdae2d40f1b83bbf37a9224757" hidden="1">#REF!</definedName>
    <definedName name="_0213d926b85c4f9ea41d723b5f8e99e6" localSheetId="1" hidden="1">#REF!</definedName>
    <definedName name="_0213d926b85c4f9ea41d723b5f8e99e6" localSheetId="20" hidden="1">#REF!</definedName>
    <definedName name="_0213d926b85c4f9ea41d723b5f8e99e6" hidden="1">#REF!</definedName>
    <definedName name="_0288ff76ff9f4e7591686530233b51db" localSheetId="1" hidden="1">#REF!</definedName>
    <definedName name="_0288ff76ff9f4e7591686530233b51db" localSheetId="20" hidden="1">#REF!</definedName>
    <definedName name="_0288ff76ff9f4e7591686530233b51db" hidden="1">#REF!</definedName>
    <definedName name="_02a056fbda2b40b4aafb323f9d3c84d9" localSheetId="1" hidden="1">#REF!</definedName>
    <definedName name="_02a056fbda2b40b4aafb323f9d3c84d9" localSheetId="20" hidden="1">#REF!</definedName>
    <definedName name="_02a056fbda2b40b4aafb323f9d3c84d9" hidden="1">#REF!</definedName>
    <definedName name="_03a72859f5964ef3a2502dc4497d2be0" localSheetId="1" hidden="1">#REF!</definedName>
    <definedName name="_03a72859f5964ef3a2502dc4497d2be0" localSheetId="20" hidden="1">#REF!</definedName>
    <definedName name="_03a72859f5964ef3a2502dc4497d2be0" hidden="1">#REF!</definedName>
    <definedName name="_03c0c49da9c94faf81d5ccaf0ba44b58" localSheetId="1" hidden="1">#REF!</definedName>
    <definedName name="_03c0c49da9c94faf81d5ccaf0ba44b58" localSheetId="20" hidden="1">#REF!</definedName>
    <definedName name="_03c0c49da9c94faf81d5ccaf0ba44b58" hidden="1">#REF!</definedName>
    <definedName name="_05870150d4764dbb8e7c9ba8b5d05e18" localSheetId="1" hidden="1">#REF!</definedName>
    <definedName name="_05870150d4764dbb8e7c9ba8b5d05e18" localSheetId="20" hidden="1">#REF!</definedName>
    <definedName name="_05870150d4764dbb8e7c9ba8b5d05e18" hidden="1">#REF!</definedName>
    <definedName name="_059ef9f608e54a87928bf9e808a75874" localSheetId="1" hidden="1">#REF!</definedName>
    <definedName name="_059ef9f608e54a87928bf9e808a75874" localSheetId="20" hidden="1">#REF!</definedName>
    <definedName name="_059ef9f608e54a87928bf9e808a75874" hidden="1">#REF!</definedName>
    <definedName name="_064884c32f544ac797e54e828ed73865" localSheetId="1" hidden="1">#REF!</definedName>
    <definedName name="_064884c32f544ac797e54e828ed73865" localSheetId="20" hidden="1">#REF!</definedName>
    <definedName name="_064884c32f544ac797e54e828ed73865" hidden="1">#REF!</definedName>
    <definedName name="_06b40b6457a847c5ab4683ceafd3fe18" localSheetId="1" hidden="1">#REF!</definedName>
    <definedName name="_06b40b6457a847c5ab4683ceafd3fe18" localSheetId="20" hidden="1">#REF!</definedName>
    <definedName name="_06b40b6457a847c5ab4683ceafd3fe18" hidden="1">#REF!</definedName>
    <definedName name="_071f8486e785495fa1ace791c2b79685" localSheetId="1" hidden="1">#REF!</definedName>
    <definedName name="_071f8486e785495fa1ace791c2b79685" localSheetId="20" hidden="1">#REF!</definedName>
    <definedName name="_071f8486e785495fa1ace791c2b79685" hidden="1">#REF!</definedName>
    <definedName name="_078f520d180b4f9ab1ee1366a558df15" localSheetId="1" hidden="1">#REF!</definedName>
    <definedName name="_078f520d180b4f9ab1ee1366a558df15" localSheetId="20" hidden="1">#REF!</definedName>
    <definedName name="_078f520d180b4f9ab1ee1366a558df15" hidden="1">#REF!</definedName>
    <definedName name="_08d5ab24001f44948c52616da3265ad4" localSheetId="1" hidden="1">#REF!</definedName>
    <definedName name="_08d5ab24001f44948c52616da3265ad4" localSheetId="20" hidden="1">#REF!</definedName>
    <definedName name="_08d5ab24001f44948c52616da3265ad4" hidden="1">#REF!</definedName>
    <definedName name="_0905a4bc61504c6ab6ed84d557d606fe" localSheetId="1" hidden="1">#REF!</definedName>
    <definedName name="_0905a4bc61504c6ab6ed84d557d606fe" localSheetId="20" hidden="1">#REF!</definedName>
    <definedName name="_0905a4bc61504c6ab6ed84d557d606fe" hidden="1">#REF!</definedName>
    <definedName name="_09bb1f2064e24115a5ad29ccfd1beac3" localSheetId="1" hidden="1">#REF!</definedName>
    <definedName name="_09bb1f2064e24115a5ad29ccfd1beac3" localSheetId="20" hidden="1">#REF!</definedName>
    <definedName name="_09bb1f2064e24115a5ad29ccfd1beac3" hidden="1">#REF!</definedName>
    <definedName name="_09e56e83d5e3408c878c57673e2ddfdc" localSheetId="1" hidden="1">#REF!</definedName>
    <definedName name="_09e56e83d5e3408c878c57673e2ddfdc" localSheetId="20" hidden="1">#REF!</definedName>
    <definedName name="_09e56e83d5e3408c878c57673e2ddfdc" hidden="1">#REF!</definedName>
    <definedName name="_0ab531f197644cb1accd4e3f13064e84" localSheetId="1" hidden="1">#REF!</definedName>
    <definedName name="_0ab531f197644cb1accd4e3f13064e84" localSheetId="20" hidden="1">#REF!</definedName>
    <definedName name="_0ab531f197644cb1accd4e3f13064e84" hidden="1">#REF!</definedName>
    <definedName name="_0b4fb1ba3aa24c2594ee080c8cce9034" localSheetId="1" hidden="1">#REF!</definedName>
    <definedName name="_0b4fb1ba3aa24c2594ee080c8cce9034" localSheetId="20" hidden="1">#REF!</definedName>
    <definedName name="_0b4fb1ba3aa24c2594ee080c8cce9034" hidden="1">#REF!</definedName>
    <definedName name="_0bee3ce895a040489e6cd07566c8b60b" localSheetId="1" hidden="1">#REF!</definedName>
    <definedName name="_0bee3ce895a040489e6cd07566c8b60b" localSheetId="20" hidden="1">#REF!</definedName>
    <definedName name="_0bee3ce895a040489e6cd07566c8b60b" hidden="1">#REF!</definedName>
    <definedName name="_0d003ad1aad649d8bdb67d4b6a593a03" localSheetId="1" hidden="1">#REF!</definedName>
    <definedName name="_0d003ad1aad649d8bdb67d4b6a593a03" localSheetId="20" hidden="1">#REF!</definedName>
    <definedName name="_0d003ad1aad649d8bdb67d4b6a593a03" hidden="1">#REF!</definedName>
    <definedName name="_0d39850abe684a7abb1899e193c3fbe9" localSheetId="1" hidden="1">#REF!</definedName>
    <definedName name="_0d39850abe684a7abb1899e193c3fbe9" localSheetId="20" hidden="1">#REF!</definedName>
    <definedName name="_0d39850abe684a7abb1899e193c3fbe9" hidden="1">#REF!</definedName>
    <definedName name="_0d4a46fa867146029019211c4f50e32c" localSheetId="1" hidden="1">#REF!</definedName>
    <definedName name="_0d4a46fa867146029019211c4f50e32c" localSheetId="20" hidden="1">#REF!</definedName>
    <definedName name="_0d4a46fa867146029019211c4f50e32c" hidden="1">#REF!</definedName>
    <definedName name="_0d835a59ef4648e7802f3e13d3f90400" localSheetId="1" hidden="1">#REF!</definedName>
    <definedName name="_0d835a59ef4648e7802f3e13d3f90400" localSheetId="20" hidden="1">#REF!</definedName>
    <definedName name="_0d835a59ef4648e7802f3e13d3f90400" hidden="1">#REF!</definedName>
    <definedName name="_0d9b513aad7c45ed855ecf3894c1cd62" localSheetId="1" hidden="1">#REF!</definedName>
    <definedName name="_0d9b513aad7c45ed855ecf3894c1cd62" localSheetId="20" hidden="1">#REF!</definedName>
    <definedName name="_0d9b513aad7c45ed855ecf3894c1cd62" hidden="1">#REF!</definedName>
    <definedName name="_0e737489b82e4f52a44f053a02963c16" localSheetId="1" hidden="1">#REF!</definedName>
    <definedName name="_0e737489b82e4f52a44f053a02963c16" localSheetId="20" hidden="1">#REF!</definedName>
    <definedName name="_0e737489b82e4f52a44f053a02963c16" hidden="1">#REF!</definedName>
    <definedName name="_1" localSheetId="1" hidden="1">{#N/A,#N/A,FALSE,"SCA";#N/A,#N/A,FALSE,"NCA";#N/A,#N/A,FALSE,"SAZ";#N/A,#N/A,FALSE,"CAZ";#N/A,#N/A,FALSE,"SNV";#N/A,#N/A,FALSE,"NNV";#N/A,#N/A,FALSE,"PP";#N/A,#N/A,FALSE,"SA"}</definedName>
    <definedName name="_1" localSheetId="13" hidden="1">{#N/A,#N/A,FALSE,"SCA";#N/A,#N/A,FALSE,"NCA";#N/A,#N/A,FALSE,"SAZ";#N/A,#N/A,FALSE,"CAZ";#N/A,#N/A,FALSE,"SNV";#N/A,#N/A,FALSE,"NNV";#N/A,#N/A,FALSE,"PP";#N/A,#N/A,FALSE,"SA"}</definedName>
    <definedName name="_1" localSheetId="18" hidden="1">{#N/A,#N/A,FALSE,"SCA";#N/A,#N/A,FALSE,"NCA";#N/A,#N/A,FALSE,"SAZ";#N/A,#N/A,FALSE,"CAZ";#N/A,#N/A,FALSE,"SNV";#N/A,#N/A,FALSE,"NNV";#N/A,#N/A,FALSE,"PP";#N/A,#N/A,FALSE,"SA"}</definedName>
    <definedName name="_1" localSheetId="20" hidden="1">{#N/A,#N/A,FALSE,"SCA";#N/A,#N/A,FALSE,"NCA";#N/A,#N/A,FALSE,"SAZ";#N/A,#N/A,FALSE,"CAZ";#N/A,#N/A,FALSE,"SNV";#N/A,#N/A,FALSE,"NNV";#N/A,#N/A,FALSE,"PP";#N/A,#N/A,FALSE,"SA"}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localSheetId="13" hidden="1">[9]Data!$K$30:$K$228</definedName>
    <definedName name="_1__123Graph_ACHART_1" localSheetId="18" hidden="1">[10]Data!$K$30:$K$228</definedName>
    <definedName name="_1__123Graph_ACHART_1" hidden="1">#REF!</definedName>
    <definedName name="_1__123Graph_ACHART_10" localSheetId="13" hidden="1">'[11]summ graf'!$D$4:$HK$4</definedName>
    <definedName name="_1__123Graph_ACHART_10" localSheetId="18" hidden="1">'[11]summ graf'!$D$4:$HK$4</definedName>
    <definedName name="_1__123Graph_ACHART_10" hidden="1">#REF!</definedName>
    <definedName name="_1__123Graph_AYIELD_CURVES" localSheetId="1" hidden="1">#REF!</definedName>
    <definedName name="_1__123Graph_AYIELD_CURVES" localSheetId="13" hidden="1">[12]Yield_curve!#REF!</definedName>
    <definedName name="_1__123Graph_AYIELD_CURVES" localSheetId="18" hidden="1">[12]Yield_curve!#REF!</definedName>
    <definedName name="_1__123Graph_AYIELD_CURVES" localSheetId="20" hidden="1">#REF!</definedName>
    <definedName name="_1__123Graph_AYIELD_CURVES" hidden="1">#REF!</definedName>
    <definedName name="_1_0__123Grap" localSheetId="1" hidden="1">#REF!</definedName>
    <definedName name="_1_0__123Grap" localSheetId="13" hidden="1">'[13]Plant in Ser'!#REF!</definedName>
    <definedName name="_1_0__123Grap" localSheetId="18" hidden="1">'[13]Plant in Ser'!#REF!</definedName>
    <definedName name="_1_0__123Grap" localSheetId="20" hidden="1">#REF!</definedName>
    <definedName name="_1_0__123Grap" hidden="1">#REF!</definedName>
    <definedName name="_10" localSheetId="1" hidden="1">{"FAC_SUMMARY",#N/A,FALSE,"Summaries"}</definedName>
    <definedName name="_10" localSheetId="13" hidden="1">{"FAC_SUMMARY",#N/A,FALSE,"Summaries"}</definedName>
    <definedName name="_10" localSheetId="18" hidden="1">{"FAC_SUMMARY",#N/A,FALSE,"Summaries"}</definedName>
    <definedName name="_10" localSheetId="20" hidden="1">{"FAC_SUMMARY",#N/A,FALSE,"Summaries"}</definedName>
    <definedName name="_10" hidden="1">{"FAC_SUMMARY",#N/A,FALSE,"Summaries"}</definedName>
    <definedName name="_10__123Graph_ACHART_5" localSheetId="13" hidden="1">[9]Data!$O$30:$O$226</definedName>
    <definedName name="_10__123Graph_ACHART_5" localSheetId="18" hidden="1">[10]Data!$O$30:$O$226</definedName>
    <definedName name="_10__123Graph_ACHART_5" hidden="1">#REF!</definedName>
    <definedName name="_10__123Graph_BCHART_17" localSheetId="13" hidden="1">'[11]summ graf'!$D$15:$HK$15</definedName>
    <definedName name="_10__123Graph_BCHART_17" localSheetId="18" hidden="1">'[11]summ graf'!$D$15:$HK$15</definedName>
    <definedName name="_10__123Graph_BCHART_17" hidden="1">#REF!</definedName>
    <definedName name="_10__123Graph_CCHART_6" localSheetId="1" hidden="1">#REF!</definedName>
    <definedName name="_10__123Graph_CCHART_6" localSheetId="13" hidden="1">[9]Data!#REF!</definedName>
    <definedName name="_10__123Graph_CCHART_6" localSheetId="18" hidden="1">[10]Data!#REF!</definedName>
    <definedName name="_10__123Graph_CCHART_6" localSheetId="20" hidden="1">#REF!</definedName>
    <definedName name="_10__123Graph_CCHART_6" hidden="1">#REF!</definedName>
    <definedName name="_100" localSheetId="1" hidden="1">{#N/A,#N/A,FALSE,"OTHERINPUTS";#N/A,#N/A,FALSE,"DITRATEINPUTS";#N/A,#N/A,FALSE,"SUPPLIEDADJINPUT";#N/A,#N/A,FALSE,"TIMINGDIFFINPUTS";#N/A,#N/A,FALSE,"BR&amp;SUPADJ."}</definedName>
    <definedName name="_100" localSheetId="13" hidden="1">{#N/A,#N/A,FALSE,"OTHERINPUTS";#N/A,#N/A,FALSE,"DITRATEINPUTS";#N/A,#N/A,FALSE,"SUPPLIEDADJINPUT";#N/A,#N/A,FALSE,"TIMINGDIFFINPUTS";#N/A,#N/A,FALSE,"BR&amp;SUPADJ."}</definedName>
    <definedName name="_100" localSheetId="18" hidden="1">{#N/A,#N/A,FALSE,"OTHERINPUTS";#N/A,#N/A,FALSE,"DITRATEINPUTS";#N/A,#N/A,FALSE,"SUPPLIEDADJINPUT";#N/A,#N/A,FALSE,"TIMINGDIFFINPUTS";#N/A,#N/A,FALSE,"BR&amp;SUPADJ."}</definedName>
    <definedName name="_100" localSheetId="20" hidden="1">{#N/A,#N/A,FALSE,"OTHERINPUTS";#N/A,#N/A,FALSE,"DITRATEINPUTS";#N/A,#N/A,FALSE,"SUPPLIEDADJINPUT";#N/A,#N/A,FALSE,"TIMINGDIFFINPUTS";#N/A,#N/A,FALSE,"BR&amp;SUPADJ."}</definedName>
    <definedName name="_100" hidden="1">{#N/A,#N/A,FALSE,"OTHERINPUTS";#N/A,#N/A,FALSE,"DITRATEINPUTS";#N/A,#N/A,FALSE,"SUPPLIEDADJINPUT";#N/A,#N/A,FALSE,"TIMINGDIFFINPUTS";#N/A,#N/A,FALSE,"BR&amp;SUPADJ."}</definedName>
    <definedName name="_101" localSheetId="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13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18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2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localSheetId="1" hidden="1">{#N/A,#N/A,FALSE,"RORMEMO";#N/A,#N/A,FALSE,"RORSUMMARY";#N/A,#N/A,FALSE,"RORDETAIL"}</definedName>
    <definedName name="_102" localSheetId="13" hidden="1">{#N/A,#N/A,FALSE,"RORMEMO";#N/A,#N/A,FALSE,"RORSUMMARY";#N/A,#N/A,FALSE,"RORDETAIL"}</definedName>
    <definedName name="_102" localSheetId="18" hidden="1">{#N/A,#N/A,FALSE,"RORMEMO";#N/A,#N/A,FALSE,"RORSUMMARY";#N/A,#N/A,FALSE,"RORDETAIL"}</definedName>
    <definedName name="_102" localSheetId="20" hidden="1">{#N/A,#N/A,FALSE,"RORMEMO";#N/A,#N/A,FALSE,"RORSUMMARY";#N/A,#N/A,FALSE,"RORDETAIL"}</definedName>
    <definedName name="_102" hidden="1">{#N/A,#N/A,FALSE,"RORMEMO";#N/A,#N/A,FALSE,"RORSUMMARY";#N/A,#N/A,FALSE,"RORDETAIL"}</definedName>
    <definedName name="_102__123Graph_ACHART_6" localSheetId="13" hidden="1">[9]Data!$E$30:$E$229</definedName>
    <definedName name="_102__123Graph_ACHART_6" localSheetId="18" hidden="1">[10]Data!$E$30:$E$229</definedName>
    <definedName name="_102__123Graph_ACHART_6" hidden="1">#REF!</definedName>
    <definedName name="_103" localSheetId="1" hidden="1">{#N/A,#N/A,FALSE,"GLDwnLoad"}</definedName>
    <definedName name="_103" localSheetId="13" hidden="1">{#N/A,#N/A,FALSE,"GLDwnLoad"}</definedName>
    <definedName name="_103" localSheetId="18" hidden="1">{#N/A,#N/A,FALSE,"GLDwnLoad"}</definedName>
    <definedName name="_103" localSheetId="20" hidden="1">{#N/A,#N/A,FALSE,"GLDwnLoad"}</definedName>
    <definedName name="_103" hidden="1">{#N/A,#N/A,FALSE,"GLDwnLoad"}</definedName>
    <definedName name="_104" localSheetId="1" hidden="1">{#N/A,#N/A,FALSE,"OTHERINPUTS";#N/A,#N/A,FALSE,"SUPPLIEDADJINPUT";#N/A,#N/A,FALSE,"BR&amp;SUPADJ."}</definedName>
    <definedName name="_104" localSheetId="13" hidden="1">{#N/A,#N/A,FALSE,"OTHERINPUTS";#N/A,#N/A,FALSE,"SUPPLIEDADJINPUT";#N/A,#N/A,FALSE,"BR&amp;SUPADJ."}</definedName>
    <definedName name="_104" localSheetId="18" hidden="1">{#N/A,#N/A,FALSE,"OTHERINPUTS";#N/A,#N/A,FALSE,"SUPPLIEDADJINPUT";#N/A,#N/A,FALSE,"BR&amp;SUPADJ."}</definedName>
    <definedName name="_104" localSheetId="20" hidden="1">{#N/A,#N/A,FALSE,"OTHERINPUTS";#N/A,#N/A,FALSE,"SUPPLIEDADJINPUT";#N/A,#N/A,FALSE,"BR&amp;SUPADJ."}</definedName>
    <definedName name="_104" hidden="1">{#N/A,#N/A,FALSE,"OTHERINPUTS";#N/A,#N/A,FALSE,"SUPPLIEDADJINPUT";#N/A,#N/A,FALSE,"BR&amp;SUPADJ."}</definedName>
    <definedName name="_105" localSheetId="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13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18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2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localSheetId="13" hidden="1">[14]Data!$O$30:$O$226</definedName>
    <definedName name="_105__123Graph_ACHART_5" localSheetId="18" hidden="1">[14]Data!$O$30:$O$226</definedName>
    <definedName name="_105__123Graph_ACHART_5" hidden="1">#REF!</definedName>
    <definedName name="_106" localSheetId="1" hidden="1">{"SPA_FAC",#N/A,FALSE,"OMPA SPA FAC"}</definedName>
    <definedName name="_106" localSheetId="13" hidden="1">{"SPA_FAC",#N/A,FALSE,"OMPA SPA FAC"}</definedName>
    <definedName name="_106" localSheetId="18" hidden="1">{"SPA_FAC",#N/A,FALSE,"OMPA SPA FAC"}</definedName>
    <definedName name="_106" localSheetId="20" hidden="1">{"SPA_FAC",#N/A,FALSE,"OMPA SPA FAC"}</definedName>
    <definedName name="_106" hidden="1">{"SPA_FAC",#N/A,FALSE,"OMPA SPA FAC"}</definedName>
    <definedName name="_10645c7b5975480995c3bb6e7beb5307" localSheetId="1" hidden="1">#REF!</definedName>
    <definedName name="_10645c7b5975480995c3bb6e7beb5307" localSheetId="20" hidden="1">#REF!</definedName>
    <definedName name="_10645c7b5975480995c3bb6e7beb5307" hidden="1">#REF!</definedName>
    <definedName name="_107" localSheetId="1" hidden="1">{#N/A,#N/A,FALSE,"GLDwnLoad"}</definedName>
    <definedName name="_107" localSheetId="13" hidden="1">{#N/A,#N/A,FALSE,"GLDwnLoad"}</definedName>
    <definedName name="_107" localSheetId="18" hidden="1">{#N/A,#N/A,FALSE,"GLDwnLoad"}</definedName>
    <definedName name="_107" localSheetId="20" hidden="1">{#N/A,#N/A,FALSE,"GLDwnLoad"}</definedName>
    <definedName name="_107" hidden="1">{#N/A,#N/A,FALSE,"GLDwnLoad"}</definedName>
    <definedName name="_108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localSheetId="13" hidden="1">[9]Data!$E$30:$E$229</definedName>
    <definedName name="_108__123Graph_ACHART_6" localSheetId="18" hidden="1">[10]Data!$E$30:$E$229</definedName>
    <definedName name="_108__123Graph_ACHART_6" hidden="1">#REF!</definedName>
    <definedName name="_1085ffe41c1143dd804aba67cfdaf619" localSheetId="1" hidden="1">#REF!</definedName>
    <definedName name="_1085ffe41c1143dd804aba67cfdaf619" localSheetId="20" hidden="1">#REF!</definedName>
    <definedName name="_1085ffe41c1143dd804aba67cfdaf619" hidden="1">#REF!</definedName>
    <definedName name="_109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1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18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e098ba2a41430aba4f957c5f1ec289" localSheetId="1" hidden="1">#REF!</definedName>
    <definedName name="_10e098ba2a41430aba4f957c5f1ec289" localSheetId="20" hidden="1">#REF!</definedName>
    <definedName name="_10e098ba2a41430aba4f957c5f1ec289" hidden="1">#REF!</definedName>
    <definedName name="_11" localSheetId="1" hidden="1">{#N/A,#N/A,TRUE,"1990";#N/A,#N/A,TRUE,"1991";#N/A,#N/A,TRUE,"1992";#N/A,#N/A,TRUE,"1993"}</definedName>
    <definedName name="_11" localSheetId="13" hidden="1">{#N/A,#N/A,TRUE,"1990";#N/A,#N/A,TRUE,"1991";#N/A,#N/A,TRUE,"1992";#N/A,#N/A,TRUE,"1993"}</definedName>
    <definedName name="_11" localSheetId="18" hidden="1">{#N/A,#N/A,TRUE,"1990";#N/A,#N/A,TRUE,"1991";#N/A,#N/A,TRUE,"1992";#N/A,#N/A,TRUE,"1993"}</definedName>
    <definedName name="_11" localSheetId="20" hidden="1">{#N/A,#N/A,TRUE,"1990";#N/A,#N/A,TRUE,"1991";#N/A,#N/A,TRUE,"1992";#N/A,#N/A,TRUE,"1993"}</definedName>
    <definedName name="_11" hidden="1">{#N/A,#N/A,TRUE,"1990";#N/A,#N/A,TRUE,"1991";#N/A,#N/A,TRUE,"1992";#N/A,#N/A,TRUE,"1993"}</definedName>
    <definedName name="_11__123Graph_CCHART_10" localSheetId="13" hidden="1">'[11]summ graf'!$D$6:$HK$6</definedName>
    <definedName name="_11__123Graph_CCHART_10" localSheetId="18" hidden="1">'[11]summ graf'!$D$6:$HK$6</definedName>
    <definedName name="_11__123Graph_CCHART_10" hidden="1">#REF!</definedName>
    <definedName name="_11__123Graph_XCHART_1" localSheetId="13" hidden="1">[9]Data!$B$30:$B$222</definedName>
    <definedName name="_11__123Graph_XCHART_1" localSheetId="18" hidden="1">[10]Data!$B$30:$B$222</definedName>
    <definedName name="_11__123Graph_XCHART_1" hidden="1">#REF!</definedName>
    <definedName name="_110" localSheetId="1" hidden="1">{"print1",#N/A,FALSE,"D21CUSTS";"print2",#N/A,FALSE,"D21CUSTS";"print3",#N/A,FALSE,"D21CUSTS";"print4",#N/A,FALSE,"D21CUSTS"}</definedName>
    <definedName name="_110" localSheetId="13" hidden="1">{"print1",#N/A,FALSE,"D21CUSTS";"print2",#N/A,FALSE,"D21CUSTS";"print3",#N/A,FALSE,"D21CUSTS";"print4",#N/A,FALSE,"D21CUSTS"}</definedName>
    <definedName name="_110" localSheetId="18" hidden="1">{"print1",#N/A,FALSE,"D21CUSTS";"print2",#N/A,FALSE,"D21CUSTS";"print3",#N/A,FALSE,"D21CUSTS";"print4",#N/A,FALSE,"D21CUSTS"}</definedName>
    <definedName name="_110" localSheetId="20" hidden="1">{"print1",#N/A,FALSE,"D21CUSTS";"print2",#N/A,FALSE,"D21CUSTS";"print3",#N/A,FALSE,"D21CUSTS";"print4",#N/A,FALSE,"D21CUSTS"}</definedName>
    <definedName name="_110" hidden="1">{"print1",#N/A,FALSE,"D21CUSTS";"print2",#N/A,FALSE,"D21CUSTS";"print3",#N/A,FALSE,"D21CUSTS";"print4",#N/A,FALSE,"D21CUSTS"}</definedName>
    <definedName name="_111" localSheetId="1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13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18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20" hidden="1">{"Fuel by Type",#N/A,FALSE,"00whfuel";"Fuel by Account",#N/A,FALSE,"00whfuel";"NTEC",#N/A,FALSE,"00whfuel";"Hope",#N/A,FALSE,"00whfuel";"Net Energy Load",#N/A,FALSE,"00whfuel";"Purchased Power",#N/A,FALSE,"00whfuel"}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13021494e34036806a169d9dd27e16" localSheetId="1" hidden="1">#REF!</definedName>
    <definedName name="_1113021494e34036806a169d9dd27e16" localSheetId="20" hidden="1">#REF!</definedName>
    <definedName name="_1113021494e34036806a169d9dd27e16" hidden="1">#REF!</definedName>
    <definedName name="_112" localSheetId="1" hidden="1">{"WEATHER_CUSTOMERS",#N/A,FALSE,"Ok_Fuel&amp;Rev"}</definedName>
    <definedName name="_112" localSheetId="13" hidden="1">{"WEATHER_CUSTOMERS",#N/A,FALSE,"Ok_Fuel&amp;Rev"}</definedName>
    <definedName name="_112" localSheetId="18" hidden="1">{"WEATHER_CUSTOMERS",#N/A,FALSE,"Ok_Fuel&amp;Rev"}</definedName>
    <definedName name="_112" localSheetId="20" hidden="1">{"WEATHER_CUSTOMERS",#N/A,FALSE,"Ok_Fuel&amp;Rev"}</definedName>
    <definedName name="_112" hidden="1">{"WEATHER_CUSTOMERS",#N/A,FALSE,"Ok_Fuel&amp;Rev"}</definedName>
    <definedName name="_113" localSheetId="1" hidden="1">{#N/A,#N/A,FALSE,"GLDwnLoad"}</definedName>
    <definedName name="_113" localSheetId="13" hidden="1">{#N/A,#N/A,FALSE,"GLDwnLoad"}</definedName>
    <definedName name="_113" localSheetId="18" hidden="1">{#N/A,#N/A,FALSE,"GLDwnLoad"}</definedName>
    <definedName name="_113" localSheetId="20" hidden="1">{#N/A,#N/A,FALSE,"GLDwnLoad"}</definedName>
    <definedName name="_113" hidden="1">{#N/A,#N/A,FALSE,"GLDwnLoad"}</definedName>
    <definedName name="_114" localSheetId="1" hidden="1">{#N/A,#N/A,FALSE,"OTHERINPUTS";#N/A,#N/A,FALSE,"DITRATEINPUTS";#N/A,#N/A,FALSE,"SUPPLIEDADJINPUT";#N/A,#N/A,FALSE,"TIMINGDIFFINPUTS";#N/A,#N/A,FALSE,"BR&amp;SUPADJ."}</definedName>
    <definedName name="_114" localSheetId="13" hidden="1">{#N/A,#N/A,FALSE,"OTHERINPUTS";#N/A,#N/A,FALSE,"DITRATEINPUTS";#N/A,#N/A,FALSE,"SUPPLIEDADJINPUT";#N/A,#N/A,FALSE,"TIMINGDIFFINPUTS";#N/A,#N/A,FALSE,"BR&amp;SUPADJ."}</definedName>
    <definedName name="_114" localSheetId="18" hidden="1">{#N/A,#N/A,FALSE,"OTHERINPUTS";#N/A,#N/A,FALSE,"DITRATEINPUTS";#N/A,#N/A,FALSE,"SUPPLIEDADJINPUT";#N/A,#N/A,FALSE,"TIMINGDIFFINPUTS";#N/A,#N/A,FALSE,"BR&amp;SUPADJ."}</definedName>
    <definedName name="_114" localSheetId="20" hidden="1">{#N/A,#N/A,FALSE,"OTHERINPUTS";#N/A,#N/A,FALSE,"DITRATEINPUTS";#N/A,#N/A,FALSE,"SUPPLIEDADJINPUT";#N/A,#N/A,FALSE,"TIMINGDIFFINPUTS";#N/A,#N/A,FALSE,"BR&amp;SUPADJ."}</definedName>
    <definedName name="_114" hidden="1">{#N/A,#N/A,FALSE,"OTHERINPUTS";#N/A,#N/A,FALSE,"DITRATEINPUTS";#N/A,#N/A,FALSE,"SUPPLIEDADJINPUT";#N/A,#N/A,FALSE,"TIMINGDIFFINPUTS";#N/A,#N/A,FALSE,"BR&amp;SUPADJ."}</definedName>
    <definedName name="_115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13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18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2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localSheetId="1" hidden="1">{#N/A,#N/A,FALSE,"GLDwnLoad"}</definedName>
    <definedName name="_116" localSheetId="13" hidden="1">{#N/A,#N/A,FALSE,"GLDwnLoad"}</definedName>
    <definedName name="_116" localSheetId="18" hidden="1">{#N/A,#N/A,FALSE,"GLDwnLoad"}</definedName>
    <definedName name="_116" localSheetId="20" hidden="1">{#N/A,#N/A,FALSE,"GLDwnLoad"}</definedName>
    <definedName name="_116" hidden="1">{#N/A,#N/A,FALSE,"GLDwnLoad"}</definedName>
    <definedName name="_118__123Graph_BCHART_6" localSheetId="13" hidden="1">[15]Data!#REF!</definedName>
    <definedName name="_118__123Graph_BCHART_6" localSheetId="18" hidden="1">[15]Data!#REF!</definedName>
    <definedName name="_118__123Graph_BCHART_6" hidden="1">#REF!</definedName>
    <definedName name="_119__123Graph_BCHART_5" localSheetId="13" hidden="1">[9]Data!$P$30:$P$229</definedName>
    <definedName name="_119__123Graph_BCHART_5" localSheetId="18" hidden="1">[10]Data!$P$30:$P$229</definedName>
    <definedName name="_119__123Graph_BCHART_5" hidden="1">#REF!</definedName>
    <definedName name="_12" localSheetId="1" hidden="1">{#N/A,#N/A,TRUE,"1990";#N/A,#N/A,TRUE,"1991";#N/A,#N/A,TRUE,"1992";#N/A,#N/A,TRUE,"1993"}</definedName>
    <definedName name="_12" localSheetId="13" hidden="1">{#N/A,#N/A,TRUE,"1990";#N/A,#N/A,TRUE,"1991";#N/A,#N/A,TRUE,"1992";#N/A,#N/A,TRUE,"1993"}</definedName>
    <definedName name="_12" localSheetId="18" hidden="1">{#N/A,#N/A,TRUE,"1990";#N/A,#N/A,TRUE,"1991";#N/A,#N/A,TRUE,"1992";#N/A,#N/A,TRUE,"1993"}</definedName>
    <definedName name="_12" localSheetId="20" hidden="1">{#N/A,#N/A,TRUE,"1990";#N/A,#N/A,TRUE,"1991";#N/A,#N/A,TRUE,"1992";#N/A,#N/A,TRUE,"1993"}</definedName>
    <definedName name="_12" hidden="1">{#N/A,#N/A,TRUE,"1990";#N/A,#N/A,TRUE,"1991";#N/A,#N/A,TRUE,"1992";#N/A,#N/A,TRUE,"1993"}</definedName>
    <definedName name="_12__123Graph_ACHART_6" localSheetId="13" hidden="1">[9]Data!$E$30:$E$229</definedName>
    <definedName name="_12__123Graph_ACHART_6" localSheetId="18" hidden="1">[10]Data!$E$30:$E$229</definedName>
    <definedName name="_12__123Graph_ACHART_6" hidden="1">#REF!</definedName>
    <definedName name="_12__123Graph_CCHART_12" localSheetId="13" hidden="1">'[11]summ graf'!$D$11:$HK$11</definedName>
    <definedName name="_12__123Graph_CCHART_12" localSheetId="18" hidden="1">'[11]summ graf'!$D$11:$HK$11</definedName>
    <definedName name="_12__123Graph_CCHART_12" hidden="1">#REF!</definedName>
    <definedName name="_12__123Graph_XCHART_2" localSheetId="13" hidden="1">[9]Data!$B$30:$B$222</definedName>
    <definedName name="_12__123Graph_XCHART_2" localSheetId="18" hidden="1">[10]Data!$B$30:$B$222</definedName>
    <definedName name="_12__123Graph_XCHART_2" hidden="1">#REF!</definedName>
    <definedName name="_121d751fc9064c20bda900104b59aff8" localSheetId="1" hidden="1">#REF!</definedName>
    <definedName name="_121d751fc9064c20bda900104b59aff8" localSheetId="20" hidden="1">#REF!</definedName>
    <definedName name="_121d751fc9064c20bda900104b59aff8" hidden="1">#REF!</definedName>
    <definedName name="_123Graph_ACHART" localSheetId="13" hidden="1">'[2]Chart Data'!$E$30:$E$229</definedName>
    <definedName name="_123Graph_ACHART" localSheetId="18" hidden="1">'[2]Chart Data'!$E$30:$E$229</definedName>
    <definedName name="_123Graph_ACHART" hidden="1">#REF!</definedName>
    <definedName name="_126__123Graph_ACHART_6" localSheetId="13" hidden="1">[14]Data!$E$30:$E$229</definedName>
    <definedName name="_126__123Graph_ACHART_6" localSheetId="18" hidden="1">[14]Data!$E$30:$E$229</definedName>
    <definedName name="_126__123Graph_ACHART_6" hidden="1">#REF!</definedName>
    <definedName name="_126__123Graph_BCHART_5" localSheetId="13" hidden="1">[9]Data!$P$30:$P$229</definedName>
    <definedName name="_126__123Graph_BCHART_5" localSheetId="18" hidden="1">[10]Data!$P$30:$P$229</definedName>
    <definedName name="_126__123Graph_BCHART_5" hidden="1">#REF!</definedName>
    <definedName name="_1275d84549014e4fa15338c2729ce87c" localSheetId="1" hidden="1">#REF!</definedName>
    <definedName name="_1275d84549014e4fa15338c2729ce87c" localSheetId="20" hidden="1">#REF!</definedName>
    <definedName name="_1275d84549014e4fa15338c2729ce87c" hidden="1">#REF!</definedName>
    <definedName name="_12a810e8f6ea465db928360989419cc5" localSheetId="1" hidden="1">#REF!</definedName>
    <definedName name="_12a810e8f6ea465db928360989419cc5" localSheetId="20" hidden="1">#REF!</definedName>
    <definedName name="_12a810e8f6ea465db928360989419cc5" hidden="1">#REF!</definedName>
    <definedName name="_12da78de15f24ee187474373c2e3137c" localSheetId="1" hidden="1">#REF!</definedName>
    <definedName name="_12da78de15f24ee187474373c2e3137c" localSheetId="20" hidden="1">#REF!</definedName>
    <definedName name="_12da78de15f24ee187474373c2e3137c" hidden="1">#REF!</definedName>
    <definedName name="_13" localSheetId="1" hidden="1">{"summary",#N/A,TRUE,"E93ADJ";"detail",#N/A,TRUE,"E93ADJ"}</definedName>
    <definedName name="_13" localSheetId="13" hidden="1">{"summary",#N/A,TRUE,"E93ADJ";"detail",#N/A,TRUE,"E93ADJ"}</definedName>
    <definedName name="_13" localSheetId="18" hidden="1">{"summary",#N/A,TRUE,"E93ADJ";"detail",#N/A,TRUE,"E93ADJ"}</definedName>
    <definedName name="_13" localSheetId="20" hidden="1">{"summary",#N/A,TRUE,"E93ADJ";"detail",#N/A,TRUE,"E93ADJ"}</definedName>
    <definedName name="_13" hidden="1">{"summary",#N/A,TRUE,"E93ADJ";"detail",#N/A,TRUE,"E93ADJ"}</definedName>
    <definedName name="_13__123Graph_CCHART_13" localSheetId="13" hidden="1">'[11]summ graf'!$D$21:$HK$21</definedName>
    <definedName name="_13__123Graph_CCHART_13" localSheetId="18" hidden="1">'[11]summ graf'!$D$21:$HK$21</definedName>
    <definedName name="_13__123Graph_CCHART_13" hidden="1">#REF!</definedName>
    <definedName name="_13__123Graph_XCHART_3" localSheetId="13" hidden="1">[9]Data!$B$30:$B$222</definedName>
    <definedName name="_13__123Graph_XCHART_3" localSheetId="18" hidden="1">[10]Data!$B$30:$B$222</definedName>
    <definedName name="_13__123Graph_XCHART_3" hidden="1">#REF!</definedName>
    <definedName name="_132__123Graph_CCHART_4" localSheetId="13" hidden="1">[15]Data!$C$30:$C$233</definedName>
    <definedName name="_132__123Graph_CCHART_4" localSheetId="18" hidden="1">[15]Data!$C$30:$C$233</definedName>
    <definedName name="_132__123Graph_CCHART_4" hidden="1">#REF!</definedName>
    <definedName name="_13f3520b71be45e7a7c5ad080f10565b" localSheetId="1" hidden="1">#REF!</definedName>
    <definedName name="_13f3520b71be45e7a7c5ad080f10565b" localSheetId="20" hidden="1">#REF!</definedName>
    <definedName name="_13f3520b71be45e7a7c5ad080f10565b" hidden="1">#REF!</definedName>
    <definedName name="_14" localSheetId="1" hidden="1">{"summary",#N/A,TRUE,"E93ADJ";"detail",#N/A,TRUE,"E93ADJ"}</definedName>
    <definedName name="_14" localSheetId="13" hidden="1">{"summary",#N/A,TRUE,"E93ADJ";"detail",#N/A,TRUE,"E93ADJ"}</definedName>
    <definedName name="_14" localSheetId="18" hidden="1">{"summary",#N/A,TRUE,"E93ADJ";"detail",#N/A,TRUE,"E93ADJ"}</definedName>
    <definedName name="_14" localSheetId="20" hidden="1">{"summary",#N/A,TRUE,"E93ADJ";"detail",#N/A,TRUE,"E93ADJ"}</definedName>
    <definedName name="_14" hidden="1">{"summary",#N/A,TRUE,"E93ADJ";"detail",#N/A,TRUE,"E93ADJ"}</definedName>
    <definedName name="_14__123Graph_ACHART_1" localSheetId="13" hidden="1">[15]Data!$K$30:$K$228</definedName>
    <definedName name="_14__123Graph_ACHART_1" localSheetId="18" hidden="1">[15]Data!$K$30:$K$228</definedName>
    <definedName name="_14__123Graph_ACHART_1" hidden="1">#REF!</definedName>
    <definedName name="_14__123Graph_BCHART_5" localSheetId="13" hidden="1">[9]Data!$P$30:$P$229</definedName>
    <definedName name="_14__123Graph_BCHART_5" localSheetId="18" hidden="1">[10]Data!$P$30:$P$229</definedName>
    <definedName name="_14__123Graph_BCHART_5" hidden="1">#REF!</definedName>
    <definedName name="_14__123Graph_CCHART_14" localSheetId="13" hidden="1">'[11]summ graf'!$D$26:$HK$26</definedName>
    <definedName name="_14__123Graph_CCHART_14" localSheetId="18" hidden="1">'[11]summ graf'!$D$26:$HK$26</definedName>
    <definedName name="_14__123Graph_CCHART_14" hidden="1">#REF!</definedName>
    <definedName name="_14__123Graph_XCHART_4" localSheetId="13" hidden="1">[9]Data!$B$30:$B$222</definedName>
    <definedName name="_14__123Graph_XCHART_4" localSheetId="18" hidden="1">[10]Data!$B$30:$B$222</definedName>
    <definedName name="_14__123Graph_XCHART_4" hidden="1">#REF!</definedName>
    <definedName name="_143d8e994495435c8727a574901223c4" localSheetId="1" hidden="1">#REF!</definedName>
    <definedName name="_143d8e994495435c8727a574901223c4" localSheetId="20" hidden="1">#REF!</definedName>
    <definedName name="_143d8e994495435c8727a574901223c4" hidden="1">#REF!</definedName>
    <definedName name="_144__123Graph_BCHART_6" localSheetId="1" hidden="1">#REF!</definedName>
    <definedName name="_144__123Graph_BCHART_6" localSheetId="13" hidden="1">[10]Data!#REF!</definedName>
    <definedName name="_144__123Graph_BCHART_6" localSheetId="18" hidden="1">[10]Data!#REF!</definedName>
    <definedName name="_144__123Graph_BCHART_6" localSheetId="20" hidden="1">#REF!</definedName>
    <definedName name="_144__123Graph_BCHART_6" hidden="1">#REF!</definedName>
    <definedName name="_14559924bfa0496c9ef5aaea396333c2" localSheetId="1" hidden="1">#REF!</definedName>
    <definedName name="_14559924bfa0496c9ef5aaea396333c2" localSheetId="20" hidden="1">#REF!</definedName>
    <definedName name="_14559924bfa0496c9ef5aaea396333c2" hidden="1">#REF!</definedName>
    <definedName name="_1455edb101324b19bffcd692a78ca757" localSheetId="1" hidden="1">#REF!</definedName>
    <definedName name="_1455edb101324b19bffcd692a78ca757" localSheetId="20" hidden="1">#REF!</definedName>
    <definedName name="_1455edb101324b19bffcd692a78ca757" hidden="1">#REF!</definedName>
    <definedName name="_14600970e6694061a1936d84519c9242" localSheetId="1" hidden="1">#REF!</definedName>
    <definedName name="_14600970e6694061a1936d84519c9242" localSheetId="20" hidden="1">#REF!</definedName>
    <definedName name="_14600970e6694061a1936d84519c9242" hidden="1">#REF!</definedName>
    <definedName name="_147__123Graph_BCHART_5" localSheetId="13" hidden="1">[14]Data!$P$30:$P$229</definedName>
    <definedName name="_147__123Graph_BCHART_5" localSheetId="18" hidden="1">[14]Data!$P$30:$P$229</definedName>
    <definedName name="_147__123Graph_BCHART_5" hidden="1">#REF!</definedName>
    <definedName name="_14ddb66b6fa740b483ba5a569cefce32" localSheetId="1" hidden="1">#REF!</definedName>
    <definedName name="_14ddb66b6fa740b483ba5a569cefce32" localSheetId="20" hidden="1">#REF!</definedName>
    <definedName name="_14ddb66b6fa740b483ba5a569cefce32" hidden="1">#REF!</definedName>
    <definedName name="_15" localSheetId="1" hidden="1">{#N/A,#N/A,TRUE,"1990";#N/A,#N/A,TRUE,"1991";#N/A,#N/A,TRUE,"1992";#N/A,#N/A,TRUE,"1993"}</definedName>
    <definedName name="_15" localSheetId="13" hidden="1">{#N/A,#N/A,TRUE,"1990";#N/A,#N/A,TRUE,"1991";#N/A,#N/A,TRUE,"1992";#N/A,#N/A,TRUE,"1993"}</definedName>
    <definedName name="_15" localSheetId="18" hidden="1">{#N/A,#N/A,TRUE,"1990";#N/A,#N/A,TRUE,"1991";#N/A,#N/A,TRUE,"1992";#N/A,#N/A,TRUE,"1993"}</definedName>
    <definedName name="_15" localSheetId="20" hidden="1">{#N/A,#N/A,TRUE,"1990";#N/A,#N/A,TRUE,"1991";#N/A,#N/A,TRUE,"1992";#N/A,#N/A,TRUE,"1993"}</definedName>
    <definedName name="_15" hidden="1">{#N/A,#N/A,TRUE,"1990";#N/A,#N/A,TRUE,"1991";#N/A,#N/A,TRUE,"1992";#N/A,#N/A,TRUE,"1993"}</definedName>
    <definedName name="_15__123Graph_CCHART_15" localSheetId="13" hidden="1">'[11]summ graf'!$D$30:$HK$30</definedName>
    <definedName name="_15__123Graph_CCHART_15" localSheetId="18" hidden="1">'[11]summ graf'!$D$30:$HK$30</definedName>
    <definedName name="_15__123Graph_CCHART_15" hidden="1">#REF!</definedName>
    <definedName name="_15__123Graph_XCHART_5" localSheetId="13" hidden="1">[9]Data!$B$30:$B$222</definedName>
    <definedName name="_15__123Graph_XCHART_5" localSheetId="18" hidden="1">[10]Data!$B$30:$B$222</definedName>
    <definedName name="_15__123Graph_XCHART_5" hidden="1">#REF!</definedName>
    <definedName name="_152__123Graph_BCHART_6" localSheetId="1" hidden="1">#REF!</definedName>
    <definedName name="_152__123Graph_BCHART_6" localSheetId="13" hidden="1">[10]Data!#REF!</definedName>
    <definedName name="_152__123Graph_BCHART_6" localSheetId="18" hidden="1">[10]Data!#REF!</definedName>
    <definedName name="_152__123Graph_BCHART_6" localSheetId="20" hidden="1">#REF!</definedName>
    <definedName name="_152__123Graph_BCHART_6" hidden="1">#REF!</definedName>
    <definedName name="_152__123Graph_CCHART_6" localSheetId="13" hidden="1">[15]Data!#REF!</definedName>
    <definedName name="_152__123Graph_CCHART_6" localSheetId="18" hidden="1">[15]Data!#REF!</definedName>
    <definedName name="_152__123Graph_CCHART_6" hidden="1">#REF!</definedName>
    <definedName name="_1585529450024475a18926470919d622" localSheetId="1" hidden="1">#REF!</definedName>
    <definedName name="_1585529450024475a18926470919d622" localSheetId="20" hidden="1">#REF!</definedName>
    <definedName name="_1585529450024475a18926470919d622" hidden="1">#REF!</definedName>
    <definedName name="_15fea9a5e3ff4e8ab4984d5f65042137" localSheetId="1" hidden="1">#REF!</definedName>
    <definedName name="_15fea9a5e3ff4e8ab4984d5f65042137" localSheetId="20" hidden="1">#REF!</definedName>
    <definedName name="_15fea9a5e3ff4e8ab4984d5f65042137" hidden="1">#REF!</definedName>
    <definedName name="_16" localSheetId="1" hidden="1">{"summary",#N/A,TRUE,"E93ADJ";"detail",#N/A,TRUE,"E93ADJ"}</definedName>
    <definedName name="_16" localSheetId="13" hidden="1">{"summary",#N/A,TRUE,"E93ADJ";"detail",#N/A,TRUE,"E93ADJ"}</definedName>
    <definedName name="_16" localSheetId="18" hidden="1">{"summary",#N/A,TRUE,"E93ADJ";"detail",#N/A,TRUE,"E93ADJ"}</definedName>
    <definedName name="_16" localSheetId="20" hidden="1">{"summary",#N/A,TRUE,"E93ADJ";"detail",#N/A,TRUE,"E93ADJ"}</definedName>
    <definedName name="_16" hidden="1">{"summary",#N/A,TRUE,"E93ADJ";"detail",#N/A,TRUE,"E93ADJ"}</definedName>
    <definedName name="_16__123Graph_BCHART_6" localSheetId="1" hidden="1">#REF!</definedName>
    <definedName name="_16__123Graph_BCHART_6" localSheetId="13" hidden="1">[9]Data!#REF!</definedName>
    <definedName name="_16__123Graph_BCHART_6" localSheetId="18" hidden="1">[10]Data!#REF!</definedName>
    <definedName name="_16__123Graph_BCHART_6" localSheetId="20" hidden="1">#REF!</definedName>
    <definedName name="_16__123Graph_BCHART_6" hidden="1">#REF!</definedName>
    <definedName name="_16__123Graph_CCHART_16" localSheetId="13" hidden="1">'[11]summ graf'!$D$36:$HK$36</definedName>
    <definedName name="_16__123Graph_CCHART_16" localSheetId="18" hidden="1">'[11]summ graf'!$D$36:$HK$36</definedName>
    <definedName name="_16__123Graph_CCHART_16" hidden="1">#REF!</definedName>
    <definedName name="_16__123Graph_XCHART_6" localSheetId="13" hidden="1">[9]Data!$B$30:$B$222</definedName>
    <definedName name="_16__123Graph_XCHART_6" localSheetId="18" hidden="1">[10]Data!$B$30:$B$222</definedName>
    <definedName name="_16__123Graph_XCHART_6" hidden="1">#REF!</definedName>
    <definedName name="_161__123Graph_CCHART_4" localSheetId="13" hidden="1">[9]Data!$C$30:$C$233</definedName>
    <definedName name="_161__123Graph_CCHART_4" localSheetId="18" hidden="1">[10]Data!$C$30:$C$233</definedName>
    <definedName name="_161__123Graph_CCHART_4" hidden="1">#REF!</definedName>
    <definedName name="_166__123Graph_XCHART_1" localSheetId="13" hidden="1">[15]Data!$B$30:$B$222</definedName>
    <definedName name="_166__123Graph_XCHART_1" localSheetId="18" hidden="1">[15]Data!$B$30:$B$222</definedName>
    <definedName name="_166__123Graph_XCHART_1" hidden="1">#REF!</definedName>
    <definedName name="_16b2bfc5c2954aff88c5276e17ff1d6e" localSheetId="1" hidden="1">#REF!</definedName>
    <definedName name="_16b2bfc5c2954aff88c5276e17ff1d6e" localSheetId="20" hidden="1">#REF!</definedName>
    <definedName name="_16b2bfc5c2954aff88c5276e17ff1d6e" hidden="1">#REF!</definedName>
    <definedName name="_17" localSheetId="1" hidden="1">{"ARK_JURIS_FUEL",#N/A,FALSE,"Ark_Fuel&amp;Rev"}</definedName>
    <definedName name="_17" localSheetId="13" hidden="1">{"ARK_JURIS_FUEL",#N/A,FALSE,"Ark_Fuel&amp;Rev"}</definedName>
    <definedName name="_17" localSheetId="18" hidden="1">{"ARK_JURIS_FUEL",#N/A,FALSE,"Ark_Fuel&amp;Rev"}</definedName>
    <definedName name="_17" localSheetId="20" hidden="1">{"ARK_JURIS_FUEL",#N/A,FALSE,"Ark_Fuel&amp;Rev"}</definedName>
    <definedName name="_17" hidden="1">{"ARK_JURIS_FUEL",#N/A,FALSE,"Ark_Fuel&amp;Rev"}</definedName>
    <definedName name="_17__123Graph_ACHART_1" localSheetId="13" hidden="1">[9]Data!$K$30:$K$228</definedName>
    <definedName name="_17__123Graph_ACHART_1" localSheetId="18" hidden="1">[10]Data!$K$30:$K$228</definedName>
    <definedName name="_17__123Graph_ACHART_1" hidden="1">#REF!</definedName>
    <definedName name="_17__123Graph_CCHART_17" localSheetId="13" hidden="1">'[11]summ graf'!$D$16:$HK$16</definedName>
    <definedName name="_17__123Graph_CCHART_17" localSheetId="18" hidden="1">'[11]summ graf'!$D$16:$HK$16</definedName>
    <definedName name="_17__123Graph_CCHART_17" hidden="1">#REF!</definedName>
    <definedName name="_170__123Graph_CCHART_4" localSheetId="13" hidden="1">[9]Data!$C$30:$C$233</definedName>
    <definedName name="_170__123Graph_CCHART_4" localSheetId="18" hidden="1">[10]Data!$C$30:$C$233</definedName>
    <definedName name="_170__123Graph_CCHART_4" hidden="1">#REF!</definedName>
    <definedName name="_173__123Graph_BCHART_6" localSheetId="13" hidden="1">[14]Data!#REF!</definedName>
    <definedName name="_173__123Graph_BCHART_6" localSheetId="18" hidden="1">[14]Data!#REF!</definedName>
    <definedName name="_173__123Graph_BCHART_6" hidden="1">#REF!</definedName>
    <definedName name="_17468220d9554c3a82287e77e99e60a3" localSheetId="1" hidden="1">#REF!</definedName>
    <definedName name="_17468220d9554c3a82287e77e99e60a3" localSheetId="20" hidden="1">#REF!</definedName>
    <definedName name="_17468220d9554c3a82287e77e99e60a3" hidden="1">#REF!</definedName>
    <definedName name="_17c29ca918c1455eb17af6a6b1918572" localSheetId="1" hidden="1">#REF!</definedName>
    <definedName name="_17c29ca918c1455eb17af6a6b1918572" localSheetId="20" hidden="1">#REF!</definedName>
    <definedName name="_17c29ca918c1455eb17af6a6b1918572" hidden="1">#REF!</definedName>
    <definedName name="_18" localSheetId="1" hidden="1">{#N/A,#N/A,FALSE,"SCA";#N/A,#N/A,FALSE,"NCA";#N/A,#N/A,FALSE,"SAZ";#N/A,#N/A,FALSE,"CAZ";#N/A,#N/A,FALSE,"SNV";#N/A,#N/A,FALSE,"NNV";#N/A,#N/A,FALSE,"PP";#N/A,#N/A,FALSE,"SA"}</definedName>
    <definedName name="_18" localSheetId="13" hidden="1">{#N/A,#N/A,FALSE,"SCA";#N/A,#N/A,FALSE,"NCA";#N/A,#N/A,FALSE,"SAZ";#N/A,#N/A,FALSE,"CAZ";#N/A,#N/A,FALSE,"SNV";#N/A,#N/A,FALSE,"NNV";#N/A,#N/A,FALSE,"PP";#N/A,#N/A,FALSE,"SA"}</definedName>
    <definedName name="_18" localSheetId="18" hidden="1">{#N/A,#N/A,FALSE,"SCA";#N/A,#N/A,FALSE,"NCA";#N/A,#N/A,FALSE,"SAZ";#N/A,#N/A,FALSE,"CAZ";#N/A,#N/A,FALSE,"SNV";#N/A,#N/A,FALSE,"NNV";#N/A,#N/A,FALSE,"PP";#N/A,#N/A,FALSE,"SA"}</definedName>
    <definedName name="_18" localSheetId="20" hidden="1">{#N/A,#N/A,FALSE,"SCA";#N/A,#N/A,FALSE,"NCA";#N/A,#N/A,FALSE,"SAZ";#N/A,#N/A,FALSE,"CAZ";#N/A,#N/A,FALSE,"SNV";#N/A,#N/A,FALSE,"NNV";#N/A,#N/A,FALSE,"PP";#N/A,#N/A,FALSE,"SA"}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localSheetId="13" hidden="1">[9]Data!$K$30:$K$228</definedName>
    <definedName name="_18__123Graph_ACHART_1" localSheetId="18" hidden="1">[10]Data!$K$30:$K$228</definedName>
    <definedName name="_18__123Graph_ACHART_1" hidden="1">#REF!</definedName>
    <definedName name="_18__123Graph_CCHART_18" localSheetId="13" hidden="1">'[11]summ graf'!$D$48:$HK$48</definedName>
    <definedName name="_18__123Graph_CCHART_18" localSheetId="18" hidden="1">'[11]summ graf'!$D$48:$HK$48</definedName>
    <definedName name="_18__123Graph_CCHART_18" hidden="1">#REF!</definedName>
    <definedName name="_18__123Graph_CCHART_4" localSheetId="13" hidden="1">[9]Data!$C$30:$C$233</definedName>
    <definedName name="_18__123Graph_CCHART_4" localSheetId="18" hidden="1">[10]Data!$C$30:$C$233</definedName>
    <definedName name="_18__123Graph_CCHART_4" hidden="1">#REF!</definedName>
    <definedName name="_180__123Graph_XCHART_2" localSheetId="13" hidden="1">[15]Data!$B$30:$B$222</definedName>
    <definedName name="_180__123Graph_XCHART_2" localSheetId="18" hidden="1">[15]Data!$B$30:$B$222</definedName>
    <definedName name="_180__123Graph_XCHART_2" hidden="1">#REF!</definedName>
    <definedName name="_182c3d3decd44d00b82d4f2f98370d3d" localSheetId="1" hidden="1">#REF!</definedName>
    <definedName name="_182c3d3decd44d00b82d4f2f98370d3d" localSheetId="20" hidden="1">#REF!</definedName>
    <definedName name="_182c3d3decd44d00b82d4f2f98370d3d" hidden="1">#REF!</definedName>
    <definedName name="_186__123Graph_CCHART_6" localSheetId="1" hidden="1">#REF!</definedName>
    <definedName name="_186__123Graph_CCHART_6" localSheetId="13" hidden="1">[10]Data!#REF!</definedName>
    <definedName name="_186__123Graph_CCHART_6" localSheetId="18" hidden="1">[10]Data!#REF!</definedName>
    <definedName name="_186__123Graph_CCHART_6" localSheetId="20" hidden="1">#REF!</definedName>
    <definedName name="_186__123Graph_CCHART_6" hidden="1">#REF!</definedName>
    <definedName name="_19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298bae7c6b4040b170e612f2837a90" localSheetId="1" hidden="1">#REF!</definedName>
    <definedName name="_19298bae7c6b4040b170e612f2837a90" localSheetId="20" hidden="1">#REF!</definedName>
    <definedName name="_19298bae7c6b4040b170e612f2837a90" hidden="1">#REF!</definedName>
    <definedName name="_194__123Graph_CCHART_4" localSheetId="13" hidden="1">[14]Data!$C$30:$C$233</definedName>
    <definedName name="_194__123Graph_CCHART_4" localSheetId="18" hidden="1">[14]Data!$C$30:$C$233</definedName>
    <definedName name="_194__123Graph_CCHART_4" hidden="1">#REF!</definedName>
    <definedName name="_194__123Graph_XCHART_3" localSheetId="13" hidden="1">[15]Data!$B$30:$B$222</definedName>
    <definedName name="_194__123Graph_XCHART_3" localSheetId="18" hidden="1">[15]Data!$B$30:$B$222</definedName>
    <definedName name="_194__123Graph_XCHART_3" hidden="1">#REF!</definedName>
    <definedName name="_196__123Graph_CCHART_6" localSheetId="1" hidden="1">#REF!</definedName>
    <definedName name="_196__123Graph_CCHART_6" localSheetId="13" hidden="1">[10]Data!#REF!</definedName>
    <definedName name="_196__123Graph_CCHART_6" localSheetId="18" hidden="1">[10]Data!#REF!</definedName>
    <definedName name="_196__123Graph_CCHART_6" localSheetId="20" hidden="1">#REF!</definedName>
    <definedName name="_196__123Graph_CCHART_6" hidden="1">#REF!</definedName>
    <definedName name="_1a3feddba8c3445cb8a344db9aaa3d18" localSheetId="1" hidden="1">#REF!</definedName>
    <definedName name="_1a3feddba8c3445cb8a344db9aaa3d18" localSheetId="20" hidden="1">#REF!</definedName>
    <definedName name="_1a3feddba8c3445cb8a344db9aaa3d18" hidden="1">#REF!</definedName>
    <definedName name="_1b9e8d447108459ba7d4acf8792cf4eb" localSheetId="1" hidden="1">#REF!</definedName>
    <definedName name="_1b9e8d447108459ba7d4acf8792cf4eb" localSheetId="20" hidden="1">#REF!</definedName>
    <definedName name="_1b9e8d447108459ba7d4acf8792cf4eb" hidden="1">#REF!</definedName>
    <definedName name="_1c76c579c46e41ef853a7c96ddb81ff2" localSheetId="1" hidden="1">#REF!</definedName>
    <definedName name="_1c76c579c46e41ef853a7c96ddb81ff2" localSheetId="20" hidden="1">#REF!</definedName>
    <definedName name="_1c76c579c46e41ef853a7c96ddb81ff2" hidden="1">#REF!</definedName>
    <definedName name="_1c7a0f052d4b40ea89f98e2876227132" localSheetId="1" hidden="1">#REF!</definedName>
    <definedName name="_1c7a0f052d4b40ea89f98e2876227132" localSheetId="20" hidden="1">#REF!</definedName>
    <definedName name="_1c7a0f052d4b40ea89f98e2876227132" hidden="1">#REF!</definedName>
    <definedName name="_1d5be97ab26c4b559c84a932aba43a56" localSheetId="1" hidden="1">#REF!</definedName>
    <definedName name="_1d5be97ab26c4b559c84a932aba43a56" localSheetId="20" hidden="1">#REF!</definedName>
    <definedName name="_1d5be97ab26c4b559c84a932aba43a56" hidden="1">#REF!</definedName>
    <definedName name="_1dcdbced37844beb9841db16a74670c1" localSheetId="1" hidden="1">#REF!</definedName>
    <definedName name="_1dcdbced37844beb9841db16a74670c1" localSheetId="20" hidden="1">#REF!</definedName>
    <definedName name="_1dcdbced37844beb9841db16a74670c1" hidden="1">#REF!</definedName>
    <definedName name="_1de2efae10da4160ba7ac48fab7b8785" localSheetId="1" hidden="1">#REF!</definedName>
    <definedName name="_1de2efae10da4160ba7ac48fab7b8785" localSheetId="20" hidden="1">#REF!</definedName>
    <definedName name="_1de2efae10da4160ba7ac48fab7b8785" hidden="1">#REF!</definedName>
    <definedName name="_1ecb5c53d3e14447a6cc9eb68dfc7669" localSheetId="1" hidden="1">#REF!</definedName>
    <definedName name="_1ecb5c53d3e14447a6cc9eb68dfc7669" localSheetId="20" hidden="1">#REF!</definedName>
    <definedName name="_1ecb5c53d3e14447a6cc9eb68dfc7669" hidden="1">#REF!</definedName>
    <definedName name="_1f129b4919ab47dea1258c964aed01ed" localSheetId="1" hidden="1">#REF!</definedName>
    <definedName name="_1f129b4919ab47dea1258c964aed01ed" localSheetId="20" hidden="1">#REF!</definedName>
    <definedName name="_1f129b4919ab47dea1258c964aed01ed" hidden="1">#REF!</definedName>
    <definedName name="_1f2cc5a01837408fa4225841c42d4ccc" localSheetId="1" hidden="1">#REF!</definedName>
    <definedName name="_1f2cc5a01837408fa4225841c42d4ccc" localSheetId="20" hidden="1">#REF!</definedName>
    <definedName name="_1f2cc5a01837408fa4225841c42d4ccc" hidden="1">#REF!</definedName>
    <definedName name="_1fe09e53dd5d45a4a4091fb9f35f1039" localSheetId="1" hidden="1">#REF!</definedName>
    <definedName name="_1fe09e53dd5d45a4a4091fb9f35f1039" localSheetId="20" hidden="1">#REF!</definedName>
    <definedName name="_1fe09e53dd5d45a4a4091fb9f35f1039" hidden="1">#REF!</definedName>
    <definedName name="_1IQ_TOTAL_REV_2Y__¡È¼1GROWTH" hidden="1">"c1297"</definedName>
    <definedName name="_1Q_0_Regressio" localSheetId="1" hidden="1">#REF!</definedName>
    <definedName name="_1Q_0_Regressio" localSheetId="20" hidden="1">#REF!</definedName>
    <definedName name="_1Q_0_Regressio" hidden="1">#REF!</definedName>
    <definedName name="_2" localSheetId="1" hidden="1">{#N/A,#N/A,FALSE,"SCA";#N/A,#N/A,FALSE,"NCA";#N/A,#N/A,FALSE,"SAZ";#N/A,#N/A,FALSE,"CAZ";#N/A,#N/A,FALSE,"SNV";#N/A,#N/A,FALSE,"NNV";#N/A,#N/A,FALSE,"PP";#N/A,#N/A,FALSE,"SA"}</definedName>
    <definedName name="_2" localSheetId="13" hidden="1">{#N/A,#N/A,FALSE,"SCA";#N/A,#N/A,FALSE,"NCA";#N/A,#N/A,FALSE,"SAZ";#N/A,#N/A,FALSE,"CAZ";#N/A,#N/A,FALSE,"SNV";#N/A,#N/A,FALSE,"NNV";#N/A,#N/A,FALSE,"PP";#N/A,#N/A,FALSE,"SA"}</definedName>
    <definedName name="_2" localSheetId="18" hidden="1">{#N/A,#N/A,FALSE,"SCA";#N/A,#N/A,FALSE,"NCA";#N/A,#N/A,FALSE,"SAZ";#N/A,#N/A,FALSE,"CAZ";#N/A,#N/A,FALSE,"SNV";#N/A,#N/A,FALSE,"NNV";#N/A,#N/A,FALSE,"PP";#N/A,#N/A,FALSE,"SA"}</definedName>
    <definedName name="_2" localSheetId="20" hidden="1">{#N/A,#N/A,FALSE,"SCA";#N/A,#N/A,FALSE,"NCA";#N/A,#N/A,FALSE,"SAZ";#N/A,#N/A,FALSE,"CAZ";#N/A,#N/A,FALSE,"SNV";#N/A,#N/A,FALSE,"NNV";#N/A,#N/A,FALSE,"PP";#N/A,#N/A,FALSE,"SA"}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localSheetId="13" hidden="1">[9]Data!$K$30:$K$228</definedName>
    <definedName name="_2__123Graph_ACHART_1" localSheetId="18" hidden="1">[10]Data!$K$30:$K$228</definedName>
    <definedName name="_2__123Graph_ACHART_1" hidden="1">#REF!</definedName>
    <definedName name="_2__123Graph_ACHART_12" localSheetId="13" hidden="1">'[11]summ graf'!$D$9:$HK$9</definedName>
    <definedName name="_2__123Graph_ACHART_12" localSheetId="18" hidden="1">'[11]summ graf'!$D$9:$HK$9</definedName>
    <definedName name="_2__123Graph_ACHART_12" hidden="1">#REF!</definedName>
    <definedName name="_2__123Graph_ACHART_2" localSheetId="13" hidden="1">[9]Data!$G$30:$G$229</definedName>
    <definedName name="_2__123Graph_ACHART_2" localSheetId="18" hidden="1">[10]Data!$G$30:$G$229</definedName>
    <definedName name="_2__123Graph_ACHART_2" hidden="1">#REF!</definedName>
    <definedName name="_2__123Graph_BYIELD_CURVES" localSheetId="1" hidden="1">#REF!</definedName>
    <definedName name="_2__123Graph_BYIELD_CURVES" localSheetId="13" hidden="1">[12]Yield_curve!#REF!</definedName>
    <definedName name="_2__123Graph_BYIELD_CURVES" localSheetId="18" hidden="1">[12]Yield_curve!#REF!</definedName>
    <definedName name="_2__123Graph_BYIELD_CURVES" localSheetId="20" hidden="1">#REF!</definedName>
    <definedName name="_2__123Graph_BYIELD_CURVES" hidden="1">#REF!</definedName>
    <definedName name="_20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1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18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localSheetId="1" hidden="1">#REF!</definedName>
    <definedName name="_20__123Graph_CCHART_6" localSheetId="13" hidden="1">[9]Data!#REF!</definedName>
    <definedName name="_20__123Graph_CCHART_6" localSheetId="18" hidden="1">[10]Data!#REF!</definedName>
    <definedName name="_20__123Graph_CCHART_6" localSheetId="20" hidden="1">#REF!</definedName>
    <definedName name="_20__123Graph_CCHART_6" hidden="1">#REF!</definedName>
    <definedName name="_202f8a388783423d9e0afa558c968140" localSheetId="1" hidden="1">#REF!</definedName>
    <definedName name="_202f8a388783423d9e0afa558c968140" localSheetId="20" hidden="1">#REF!</definedName>
    <definedName name="_202f8a388783423d9e0afa558c968140" hidden="1">#REF!</definedName>
    <definedName name="_203__123Graph_XCHART_1" localSheetId="13" hidden="1">[9]Data!$B$30:$B$222</definedName>
    <definedName name="_203__123Graph_XCHART_1" localSheetId="18" hidden="1">[10]Data!$B$30:$B$222</definedName>
    <definedName name="_203__123Graph_XCHART_1" hidden="1">#REF!</definedName>
    <definedName name="_208__123Graph_XCHART_4" localSheetId="13" hidden="1">[15]Data!$B$30:$B$222</definedName>
    <definedName name="_208__123Graph_XCHART_4" localSheetId="18" hidden="1">[15]Data!$B$30:$B$222</definedName>
    <definedName name="_208__123Graph_XCHART_4" hidden="1">#REF!</definedName>
    <definedName name="_21" localSheetId="1" hidden="1">{"wp_h4.2",#N/A,FALSE,"WP_H4.2";"wp_h4.3",#N/A,FALSE,"WP_H4.3"}</definedName>
    <definedName name="_21" localSheetId="13" hidden="1">{"wp_h4.2",#N/A,FALSE,"WP_H4.2";"wp_h4.3",#N/A,FALSE,"WP_H4.3"}</definedName>
    <definedName name="_21" localSheetId="18" hidden="1">{"wp_h4.2",#N/A,FALSE,"WP_H4.2";"wp_h4.3",#N/A,FALSE,"WP_H4.3"}</definedName>
    <definedName name="_21" localSheetId="20" hidden="1">{"wp_h4.2",#N/A,FALSE,"WP_H4.2";"wp_h4.3",#N/A,FALSE,"WP_H4.3"}</definedName>
    <definedName name="_21" hidden="1">{"wp_h4.2",#N/A,FALSE,"WP_H4.2";"wp_h4.3",#N/A,FALSE,"WP_H4.3"}</definedName>
    <definedName name="_21__123Graph_ACHART_1" localSheetId="13" hidden="1">[14]Data!$K$30:$K$228</definedName>
    <definedName name="_21__123Graph_ACHART_1" localSheetId="18" hidden="1">[14]Data!$K$30:$K$228</definedName>
    <definedName name="_21__123Graph_ACHART_1" hidden="1">#REF!</definedName>
    <definedName name="_210164e04d024d6b9198d4865935dfff" localSheetId="1" hidden="1">#REF!</definedName>
    <definedName name="_210164e04d024d6b9198d4865935dfff" localSheetId="20" hidden="1">#REF!</definedName>
    <definedName name="_210164e04d024d6b9198d4865935dfff" hidden="1">#REF!</definedName>
    <definedName name="_214__123Graph_XCHART_1" localSheetId="13" hidden="1">[9]Data!$B$30:$B$222</definedName>
    <definedName name="_214__123Graph_XCHART_1" localSheetId="18" hidden="1">[10]Data!$B$30:$B$222</definedName>
    <definedName name="_214__123Graph_XCHART_1" hidden="1">#REF!</definedName>
    <definedName name="_22" localSheetId="1" hidden="1">{#N/A,#N/A,TRUE,"1990";#N/A,#N/A,TRUE,"1991";#N/A,#N/A,TRUE,"1992";#N/A,#N/A,TRUE,"1993"}</definedName>
    <definedName name="_22" localSheetId="13" hidden="1">{#N/A,#N/A,TRUE,"1990";#N/A,#N/A,TRUE,"1991";#N/A,#N/A,TRUE,"1992";#N/A,#N/A,TRUE,"1993"}</definedName>
    <definedName name="_22" localSheetId="18" hidden="1">{#N/A,#N/A,TRUE,"1990";#N/A,#N/A,TRUE,"1991";#N/A,#N/A,TRUE,"1992";#N/A,#N/A,TRUE,"1993"}</definedName>
    <definedName name="_22" localSheetId="20" hidden="1">{#N/A,#N/A,TRUE,"1990";#N/A,#N/A,TRUE,"1991";#N/A,#N/A,TRUE,"1992";#N/A,#N/A,TRUE,"1993"}</definedName>
    <definedName name="_22" hidden="1">{#N/A,#N/A,TRUE,"1990";#N/A,#N/A,TRUE,"1991";#N/A,#N/A,TRUE,"1992";#N/A,#N/A,TRUE,"1993"}</definedName>
    <definedName name="_22__123Graph_XCHART_1" localSheetId="13" hidden="1">[9]Data!$B$30:$B$222</definedName>
    <definedName name="_22__123Graph_XCHART_1" localSheetId="18" hidden="1">[10]Data!$B$30:$B$222</definedName>
    <definedName name="_22__123Graph_XCHART_1" hidden="1">#REF!</definedName>
    <definedName name="_220__123Graph_CCHART_6" localSheetId="13" hidden="1">[14]Data!#REF!</definedName>
    <definedName name="_220__123Graph_CCHART_6" localSheetId="18" hidden="1">[14]Data!#REF!</definedName>
    <definedName name="_220__123Graph_CCHART_6" hidden="1">#REF!</definedName>
    <definedName name="_220__123Graph_XCHART_2" localSheetId="13" hidden="1">[9]Data!$B$30:$B$222</definedName>
    <definedName name="_220__123Graph_XCHART_2" localSheetId="18" hidden="1">[10]Data!$B$30:$B$222</definedName>
    <definedName name="_220__123Graph_XCHART_2" hidden="1">#REF!</definedName>
    <definedName name="_221ad6ce40e648ffae007151357cfdbd" localSheetId="1" hidden="1">#REF!</definedName>
    <definedName name="_221ad6ce40e648ffae007151357cfdbd" localSheetId="20" hidden="1">#REF!</definedName>
    <definedName name="_221ad6ce40e648ffae007151357cfdbd" hidden="1">#REF!</definedName>
    <definedName name="_222__123Graph_XCHART_5" localSheetId="13" hidden="1">[15]Data!$B$30:$B$222</definedName>
    <definedName name="_222__123Graph_XCHART_5" localSheetId="18" hidden="1">[15]Data!$B$30:$B$222</definedName>
    <definedName name="_222__123Graph_XCHART_5" hidden="1">#REF!</definedName>
    <definedName name="_2231b47535784a708185b6ad9356a638" localSheetId="1" hidden="1">#REF!</definedName>
    <definedName name="_2231b47535784a708185b6ad9356a638" localSheetId="20" hidden="1">#REF!</definedName>
    <definedName name="_2231b47535784a708185b6ad9356a638" hidden="1">#REF!</definedName>
    <definedName name="_2281a16b5ad74f738eccc30424f88b85" localSheetId="1" hidden="1">#REF!</definedName>
    <definedName name="_2281a16b5ad74f738eccc30424f88b85" localSheetId="20" hidden="1">#REF!</definedName>
    <definedName name="_2281a16b5ad74f738eccc30424f88b85" hidden="1">#REF!</definedName>
    <definedName name="_2297b5db9daa45db9e1c2390b64f230b" localSheetId="1" hidden="1">#REF!</definedName>
    <definedName name="_2297b5db9daa45db9e1c2390b64f230b" localSheetId="20" hidden="1">#REF!</definedName>
    <definedName name="_2297b5db9daa45db9e1c2390b64f230b" hidden="1">#REF!</definedName>
    <definedName name="_23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localSheetId="13" hidden="1">[9]Data!$B$30:$B$222</definedName>
    <definedName name="_232__123Graph_XCHART_2" localSheetId="18" hidden="1">[10]Data!$B$30:$B$222</definedName>
    <definedName name="_232__123Graph_XCHART_2" hidden="1">#REF!</definedName>
    <definedName name="_236__123Graph_XCHART_6" localSheetId="13" hidden="1">[15]Data!$B$30:$B$222</definedName>
    <definedName name="_236__123Graph_XCHART_6" localSheetId="18" hidden="1">[15]Data!$B$30:$B$222</definedName>
    <definedName name="_236__123Graph_XCHART_6" hidden="1">#REF!</definedName>
    <definedName name="_237__123Graph_XCHART_3" localSheetId="13" hidden="1">[9]Data!$B$30:$B$222</definedName>
    <definedName name="_237__123Graph_XCHART_3" localSheetId="18" hidden="1">[10]Data!$B$30:$B$222</definedName>
    <definedName name="_237__123Graph_XCHART_3" hidden="1">#REF!</definedName>
    <definedName name="_23adc7e4edf4428eaa2ef73f979a90df" localSheetId="1" hidden="1">#REF!</definedName>
    <definedName name="_23adc7e4edf4428eaa2ef73f979a90df" localSheetId="20" hidden="1">#REF!</definedName>
    <definedName name="_23adc7e4edf4428eaa2ef73f979a90df" hidden="1">#REF!</definedName>
    <definedName name="_23c82f4079d442c99c095aef0d64be60" localSheetId="1" hidden="1">#REF!</definedName>
    <definedName name="_23c82f4079d442c99c095aef0d64be60" localSheetId="20" hidden="1">#REF!</definedName>
    <definedName name="_23c82f4079d442c99c095aef0d64be60" hidden="1">#REF!</definedName>
    <definedName name="_23f2a08fb3c94705a8c5af18c1f55806" localSheetId="1" hidden="1">#REF!</definedName>
    <definedName name="_23f2a08fb3c94705a8c5af18c1f55806" localSheetId="20" hidden="1">#REF!</definedName>
    <definedName name="_23f2a08fb3c94705a8c5af18c1f55806" hidden="1">#REF!</definedName>
    <definedName name="_24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1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18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localSheetId="13" hidden="1">[9]Data!$B$30:$B$222</definedName>
    <definedName name="_24__123Graph_XCHART_2" localSheetId="18" hidden="1">[10]Data!$B$30:$B$222</definedName>
    <definedName name="_24__123Graph_XCHART_2" hidden="1">#REF!</definedName>
    <definedName name="_241__123Graph_XCHART_1" localSheetId="13" hidden="1">[14]Data!$B$30:$B$222</definedName>
    <definedName name="_241__123Graph_XCHART_1" localSheetId="18" hidden="1">[14]Data!$B$30:$B$222</definedName>
    <definedName name="_241__123Graph_XCHART_1" hidden="1">#REF!</definedName>
    <definedName name="_24b1a95a8b3e4ac99982144bf4450af1" localSheetId="1" hidden="1">#REF!</definedName>
    <definedName name="_24b1a95a8b3e4ac99982144bf4450af1" localSheetId="20" hidden="1">#REF!</definedName>
    <definedName name="_24b1a95a8b3e4ac99982144bf4450af1" hidden="1">#REF!</definedName>
    <definedName name="_24e1f36d1c9b460bb84afac1e72dfe03" localSheetId="1" hidden="1">#REF!</definedName>
    <definedName name="_24e1f36d1c9b460bb84afac1e72dfe03" localSheetId="20" hidden="1">#REF!</definedName>
    <definedName name="_24e1f36d1c9b460bb84afac1e72dfe03" hidden="1">#REF!</definedName>
    <definedName name="_24f7e37aae7143b2be49556d6c7d0404" localSheetId="1" hidden="1">#REF!</definedName>
    <definedName name="_24f7e37aae7143b2be49556d6c7d0404" localSheetId="20" hidden="1">#REF!</definedName>
    <definedName name="_24f7e37aae7143b2be49556d6c7d0404" hidden="1">#REF!</definedName>
    <definedName name="_25" localSheetId="1" hidden="1">{"ARK_JURIS_FAC",#N/A,FALSE,"Ark_Fuel&amp;Rev"}</definedName>
    <definedName name="_25" localSheetId="13" hidden="1">{"ARK_JURIS_FAC",#N/A,FALSE,"Ark_Fuel&amp;Rev"}</definedName>
    <definedName name="_25" localSheetId="18" hidden="1">{"ARK_JURIS_FAC",#N/A,FALSE,"Ark_Fuel&amp;Rev"}</definedName>
    <definedName name="_25" localSheetId="20" hidden="1">{"ARK_JURIS_FAC",#N/A,FALSE,"Ark_Fuel&amp;Rev"}</definedName>
    <definedName name="_25" hidden="1">{"ARK_JURIS_FAC",#N/A,FALSE,"Ark_Fuel&amp;Rev"}</definedName>
    <definedName name="_250__123Graph_XCHART_3" localSheetId="13" hidden="1">[9]Data!$B$30:$B$222</definedName>
    <definedName name="_250__123Graph_XCHART_3" localSheetId="18" hidden="1">[10]Data!$B$30:$B$222</definedName>
    <definedName name="_250__123Graph_XCHART_3" hidden="1">#REF!</definedName>
    <definedName name="_254__123Graph_XCHART_4" localSheetId="13" hidden="1">[9]Data!$B$30:$B$222</definedName>
    <definedName name="_254__123Graph_XCHART_4" localSheetId="18" hidden="1">[10]Data!$B$30:$B$222</definedName>
    <definedName name="_254__123Graph_XCHART_4" hidden="1">#REF!</definedName>
    <definedName name="_25b2c273397a4ec9a126dee140c576d7" localSheetId="1" hidden="1">#REF!</definedName>
    <definedName name="_25b2c273397a4ec9a126dee140c576d7" localSheetId="20" hidden="1">#REF!</definedName>
    <definedName name="_25b2c273397a4ec9a126dee140c576d7" hidden="1">#REF!</definedName>
    <definedName name="_26" localSheetId="1" hidden="1">{"OMPA_FAC",#N/A,FALSE,"OMPA FAC"}</definedName>
    <definedName name="_26" localSheetId="13" hidden="1">{"OMPA_FAC",#N/A,FALSE,"OMPA FAC"}</definedName>
    <definedName name="_26" localSheetId="18" hidden="1">{"OMPA_FAC",#N/A,FALSE,"OMPA FAC"}</definedName>
    <definedName name="_26" localSheetId="20" hidden="1">{"OMPA_FAC",#N/A,FALSE,"OMPA FAC"}</definedName>
    <definedName name="_26" hidden="1">{"OMPA_FAC",#N/A,FALSE,"OMPA FAC"}</definedName>
    <definedName name="_26__123Graph_XCHART_3" localSheetId="13" hidden="1">[9]Data!$B$30:$B$222</definedName>
    <definedName name="_26__123Graph_XCHART_3" localSheetId="18" hidden="1">[10]Data!$B$30:$B$222</definedName>
    <definedName name="_26__123Graph_XCHART_3" hidden="1">#REF!</definedName>
    <definedName name="_262__123Graph_XCHART_2" localSheetId="13" hidden="1">[14]Data!$B$30:$B$222</definedName>
    <definedName name="_262__123Graph_XCHART_2" localSheetId="18" hidden="1">[14]Data!$B$30:$B$222</definedName>
    <definedName name="_262__123Graph_XCHART_2" hidden="1">#REF!</definedName>
    <definedName name="_2621e2c35fc14cab8ec72ec0114280d2" localSheetId="1" hidden="1">#REF!</definedName>
    <definedName name="_2621e2c35fc14cab8ec72ec0114280d2" localSheetId="20" hidden="1">#REF!</definedName>
    <definedName name="_2621e2c35fc14cab8ec72ec0114280d2" hidden="1">#REF!</definedName>
    <definedName name="_268__123Graph_XCHART_4" localSheetId="13" hidden="1">[9]Data!$B$30:$B$222</definedName>
    <definedName name="_268__123Graph_XCHART_4" localSheetId="18" hidden="1">[10]Data!$B$30:$B$222</definedName>
    <definedName name="_268__123Graph_XCHART_4" hidden="1">#REF!</definedName>
    <definedName name="_26f7b1bf402242fb89cbfc2bcbae6fd7" localSheetId="1" hidden="1">#REF!</definedName>
    <definedName name="_26f7b1bf402242fb89cbfc2bcbae6fd7" localSheetId="20" hidden="1">#REF!</definedName>
    <definedName name="_26f7b1bf402242fb89cbfc2bcbae6fd7" hidden="1">#REF!</definedName>
    <definedName name="_27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1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18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0c09a1b7a3487093b35b01bc3adb95" localSheetId="1" hidden="1">#REF!</definedName>
    <definedName name="_270c09a1b7a3487093b35b01bc3adb95" localSheetId="20" hidden="1">#REF!</definedName>
    <definedName name="_270c09a1b7a3487093b35b01bc3adb95" hidden="1">#REF!</definedName>
    <definedName name="_271__123Graph_XCHART_5" localSheetId="13" hidden="1">[9]Data!$B$30:$B$222</definedName>
    <definedName name="_271__123Graph_XCHART_5" localSheetId="18" hidden="1">[10]Data!$B$30:$B$222</definedName>
    <definedName name="_271__123Graph_XCHART_5" hidden="1">#REF!</definedName>
    <definedName name="_273576e484a740dba989cfbcc402302d" localSheetId="1" hidden="1">#REF!</definedName>
    <definedName name="_273576e484a740dba989cfbcc402302d" localSheetId="20" hidden="1">#REF!</definedName>
    <definedName name="_273576e484a740dba989cfbcc402302d" hidden="1">#REF!</definedName>
    <definedName name="_277ce0e8df174fa99e7bd1cd35910f50" localSheetId="1" hidden="1">#REF!</definedName>
    <definedName name="_277ce0e8df174fa99e7bd1cd35910f50" localSheetId="20" hidden="1">#REF!</definedName>
    <definedName name="_277ce0e8df174fa99e7bd1cd35910f50" hidden="1">#REF!</definedName>
    <definedName name="_28" localSheetId="1" hidden="1">{#N/A,#N/A,FALSE,"SCA";#N/A,#N/A,FALSE,"NCA";#N/A,#N/A,FALSE,"SAZ";#N/A,#N/A,FALSE,"CAZ";#N/A,#N/A,FALSE,"SNV";#N/A,#N/A,FALSE,"NNV";#N/A,#N/A,FALSE,"PP";#N/A,#N/A,FALSE,"SA"}</definedName>
    <definedName name="_28" localSheetId="13" hidden="1">{#N/A,#N/A,FALSE,"SCA";#N/A,#N/A,FALSE,"NCA";#N/A,#N/A,FALSE,"SAZ";#N/A,#N/A,FALSE,"CAZ";#N/A,#N/A,FALSE,"SNV";#N/A,#N/A,FALSE,"NNV";#N/A,#N/A,FALSE,"PP";#N/A,#N/A,FALSE,"SA"}</definedName>
    <definedName name="_28" localSheetId="18" hidden="1">{#N/A,#N/A,FALSE,"SCA";#N/A,#N/A,FALSE,"NCA";#N/A,#N/A,FALSE,"SAZ";#N/A,#N/A,FALSE,"CAZ";#N/A,#N/A,FALSE,"SNV";#N/A,#N/A,FALSE,"NNV";#N/A,#N/A,FALSE,"PP";#N/A,#N/A,FALSE,"SA"}</definedName>
    <definedName name="_28" localSheetId="20" hidden="1">{#N/A,#N/A,FALSE,"SCA";#N/A,#N/A,FALSE,"NCA";#N/A,#N/A,FALSE,"SAZ";#N/A,#N/A,FALSE,"CAZ";#N/A,#N/A,FALSE,"SNV";#N/A,#N/A,FALSE,"NNV";#N/A,#N/A,FALSE,"PP";#N/A,#N/A,FALSE,"SA"}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localSheetId="13" hidden="1">[15]Data!$G$30:$G$229</definedName>
    <definedName name="_28__123Graph_ACHART_2" localSheetId="18" hidden="1">[15]Data!$G$30:$G$229</definedName>
    <definedName name="_28__123Graph_ACHART_2" hidden="1">#REF!</definedName>
    <definedName name="_28__123Graph_XCHART_4" localSheetId="13" hidden="1">[9]Data!$B$30:$B$222</definedName>
    <definedName name="_28__123Graph_XCHART_4" localSheetId="18" hidden="1">[10]Data!$B$30:$B$222</definedName>
    <definedName name="_28__123Graph_XCHART_4" hidden="1">#REF!</definedName>
    <definedName name="_283__123Graph_XCHART_3" localSheetId="13" hidden="1">[14]Data!$B$30:$B$222</definedName>
    <definedName name="_283__123Graph_XCHART_3" localSheetId="18" hidden="1">[14]Data!$B$30:$B$222</definedName>
    <definedName name="_283__123Graph_XCHART_3" hidden="1">#REF!</definedName>
    <definedName name="_286__123Graph_XCHART_5" localSheetId="13" hidden="1">[9]Data!$B$30:$B$222</definedName>
    <definedName name="_286__123Graph_XCHART_5" localSheetId="18" hidden="1">[10]Data!$B$30:$B$222</definedName>
    <definedName name="_286__123Graph_XCHART_5" hidden="1">#REF!</definedName>
    <definedName name="_288__123Graph_XCHART_6" localSheetId="13" hidden="1">[9]Data!$B$30:$B$222</definedName>
    <definedName name="_288__123Graph_XCHART_6" localSheetId="18" hidden="1">[10]Data!$B$30:$B$222</definedName>
    <definedName name="_288__123Graph_XCHART_6" hidden="1">#REF!</definedName>
    <definedName name="_29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a38220c6f2f465590e744952247352d" localSheetId="1" hidden="1">#REF!</definedName>
    <definedName name="_2a38220c6f2f465590e744952247352d" localSheetId="20" hidden="1">#REF!</definedName>
    <definedName name="_2a38220c6f2f465590e744952247352d" hidden="1">#REF!</definedName>
    <definedName name="_2b0adcdf82f54929bea4ef165b9047f5" localSheetId="1" hidden="1">#REF!</definedName>
    <definedName name="_2b0adcdf82f54929bea4ef165b9047f5" localSheetId="20" hidden="1">#REF!</definedName>
    <definedName name="_2b0adcdf82f54929bea4ef165b9047f5" hidden="1">#REF!</definedName>
    <definedName name="_2c0e5c7ebd8042968bda28ecb3619d17" localSheetId="1" hidden="1">#REF!</definedName>
    <definedName name="_2c0e5c7ebd8042968bda28ecb3619d17" localSheetId="20" hidden="1">#REF!</definedName>
    <definedName name="_2c0e5c7ebd8042968bda28ecb3619d17" hidden="1">#REF!</definedName>
    <definedName name="_2e20e4757ce2427983ae5748f2c73203" localSheetId="1" hidden="1">#REF!</definedName>
    <definedName name="_2e20e4757ce2427983ae5748f2c73203" localSheetId="20" hidden="1">#REF!</definedName>
    <definedName name="_2e20e4757ce2427983ae5748f2c73203" hidden="1">#REF!</definedName>
    <definedName name="_2f2edccc237c42ff90db4cc6c67dec09" localSheetId="1" hidden="1">#REF!</definedName>
    <definedName name="_2f2edccc237c42ff90db4cc6c67dec09" localSheetId="20" hidden="1">#REF!</definedName>
    <definedName name="_2f2edccc237c42ff90db4cc6c67dec09" hidden="1">#REF!</definedName>
    <definedName name="_2f669f1163a14f18b158ace36cc3b0d4" localSheetId="1" hidden="1">#REF!</definedName>
    <definedName name="_2f669f1163a14f18b158ace36cc3b0d4" localSheetId="20" hidden="1">#REF!</definedName>
    <definedName name="_2f669f1163a14f18b158ace36cc3b0d4" hidden="1">#REF!</definedName>
    <definedName name="_2fe36f78954e4149a7218b83bc095ed1" localSheetId="1" hidden="1">#REF!</definedName>
    <definedName name="_2fe36f78954e4149a7218b83bc095ed1" localSheetId="20" hidden="1">#REF!</definedName>
    <definedName name="_2fe36f78954e4149a7218b83bc095ed1" hidden="1">#REF!</definedName>
    <definedName name="_2S_0_Regressio" localSheetId="1" hidden="1">#REF!</definedName>
    <definedName name="_2S_0_Regressio" localSheetId="18" hidden="1">#REF!</definedName>
    <definedName name="_2S_0_Regressio" localSheetId="20" hidden="1">#REF!</definedName>
    <definedName name="_2S_0_Regressio" hidden="1">#REF!</definedName>
    <definedName name="_3" localSheetId="1" hidden="1">{#N/A,#N/A,FALSE,"SCA";#N/A,#N/A,FALSE,"NCA";#N/A,#N/A,FALSE,"SAZ";#N/A,#N/A,FALSE,"CAZ";#N/A,#N/A,FALSE,"SNV";#N/A,#N/A,FALSE,"NNV";#N/A,#N/A,FALSE,"PP";#N/A,#N/A,FALSE,"SA"}</definedName>
    <definedName name="_3" localSheetId="13" hidden="1">{#N/A,#N/A,FALSE,"SCA";#N/A,#N/A,FALSE,"NCA";#N/A,#N/A,FALSE,"SAZ";#N/A,#N/A,FALSE,"CAZ";#N/A,#N/A,FALSE,"SNV";#N/A,#N/A,FALSE,"NNV";#N/A,#N/A,FALSE,"PP";#N/A,#N/A,FALSE,"SA"}</definedName>
    <definedName name="_3" localSheetId="18" hidden="1">{#N/A,#N/A,FALSE,"SCA";#N/A,#N/A,FALSE,"NCA";#N/A,#N/A,FALSE,"SAZ";#N/A,#N/A,FALSE,"CAZ";#N/A,#N/A,FALSE,"SNV";#N/A,#N/A,FALSE,"NNV";#N/A,#N/A,FALSE,"PP";#N/A,#N/A,FALSE,"SA"}</definedName>
    <definedName name="_3" localSheetId="20" hidden="1">{#N/A,#N/A,FALSE,"SCA";#N/A,#N/A,FALSE,"NCA";#N/A,#N/A,FALSE,"SAZ";#N/A,#N/A,FALSE,"CAZ";#N/A,#N/A,FALSE,"SNV";#N/A,#N/A,FALSE,"NNV";#N/A,#N/A,FALSE,"PP";#N/A,#N/A,FALSE,"SA"}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13" localSheetId="13" hidden="1">'[11]summ graf'!$D$19:$BM$19</definedName>
    <definedName name="_3__123Graph_ACHART_13" localSheetId="18" hidden="1">'[11]summ graf'!$D$19:$BM$19</definedName>
    <definedName name="_3__123Graph_ACHART_13" hidden="1">#REF!</definedName>
    <definedName name="_3__123Graph_ACHART_3" localSheetId="13" hidden="1">[9]Data!$R$30:$R$228</definedName>
    <definedName name="_3__123Graph_ACHART_3" localSheetId="18" hidden="1">[10]Data!$R$30:$R$228</definedName>
    <definedName name="_3__123Graph_ACHART_3" hidden="1">#REF!</definedName>
    <definedName name="_3__123Graph_CYIELD_CURVES" localSheetId="1" hidden="1">#REF!</definedName>
    <definedName name="_3__123Graph_CYIELD_CURVES" localSheetId="13" hidden="1">[12]Yield_curve!#REF!</definedName>
    <definedName name="_3__123Graph_CYIELD_CURVES" localSheetId="18" hidden="1">[12]Yield_curve!#REF!</definedName>
    <definedName name="_3__123Graph_CYIELD_CURVES" localSheetId="20" hidden="1">#REF!</definedName>
    <definedName name="_3__123Graph_CYIELD_CURVES" hidden="1">#REF!</definedName>
    <definedName name="_30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localSheetId="13" hidden="1">[9]Data!$B$30:$B$222</definedName>
    <definedName name="_30__123Graph_XCHART_5" localSheetId="18" hidden="1">[10]Data!$B$30:$B$222</definedName>
    <definedName name="_30__123Graph_XCHART_5" hidden="1">#REF!</definedName>
    <definedName name="_301189989df246a49d14a46dd529c04d" localSheetId="1" hidden="1">#REF!</definedName>
    <definedName name="_301189989df246a49d14a46dd529c04d" localSheetId="20" hidden="1">#REF!</definedName>
    <definedName name="_301189989df246a49d14a46dd529c04d" hidden="1">#REF!</definedName>
    <definedName name="_301fa927e836429a868a1e952b2ac7ce" localSheetId="1" hidden="1">#REF!</definedName>
    <definedName name="_301fa927e836429a868a1e952b2ac7ce" localSheetId="20" hidden="1">#REF!</definedName>
    <definedName name="_301fa927e836429a868a1e952b2ac7ce" hidden="1">#REF!</definedName>
    <definedName name="_304__123Graph_XCHART_4" localSheetId="13" hidden="1">[14]Data!$B$30:$B$222</definedName>
    <definedName name="_304__123Graph_XCHART_4" localSheetId="18" hidden="1">[14]Data!$B$30:$B$222</definedName>
    <definedName name="_304__123Graph_XCHART_4" hidden="1">#REF!</definedName>
    <definedName name="_304__123Graph_XCHART_6" localSheetId="13" hidden="1">[9]Data!$B$30:$B$222</definedName>
    <definedName name="_304__123Graph_XCHART_6" localSheetId="18" hidden="1">[10]Data!$B$30:$B$222</definedName>
    <definedName name="_304__123Graph_XCHART_6" hidden="1">#REF!</definedName>
    <definedName name="_306ba68dc0d9476096f8c6dba13cd719" localSheetId="1" hidden="1">#REF!</definedName>
    <definedName name="_306ba68dc0d9476096f8c6dba13cd719" localSheetId="20" hidden="1">#REF!</definedName>
    <definedName name="_306ba68dc0d9476096f8c6dba13cd719" hidden="1">#REF!</definedName>
    <definedName name="_31" localSheetId="1" hidden="1">{#N/A,#N/A,FALSE,"SCA";#N/A,#N/A,FALSE,"NCA";#N/A,#N/A,FALSE,"SAZ";#N/A,#N/A,FALSE,"CAZ";#N/A,#N/A,FALSE,"SNV";#N/A,#N/A,FALSE,"NNV";#N/A,#N/A,FALSE,"PP";#N/A,#N/A,FALSE,"SA"}</definedName>
    <definedName name="_31" localSheetId="13" hidden="1">{#N/A,#N/A,FALSE,"SCA";#N/A,#N/A,FALSE,"NCA";#N/A,#N/A,FALSE,"SAZ";#N/A,#N/A,FALSE,"CAZ";#N/A,#N/A,FALSE,"SNV";#N/A,#N/A,FALSE,"NNV";#N/A,#N/A,FALSE,"PP";#N/A,#N/A,FALSE,"SA"}</definedName>
    <definedName name="_31" localSheetId="18" hidden="1">{#N/A,#N/A,FALSE,"SCA";#N/A,#N/A,FALSE,"NCA";#N/A,#N/A,FALSE,"SAZ";#N/A,#N/A,FALSE,"CAZ";#N/A,#N/A,FALSE,"SNV";#N/A,#N/A,FALSE,"NNV";#N/A,#N/A,FALSE,"PP";#N/A,#N/A,FALSE,"SA"}</definedName>
    <definedName name="_31" localSheetId="20" hidden="1">{#N/A,#N/A,FALSE,"SCA";#N/A,#N/A,FALSE,"NCA";#N/A,#N/A,FALSE,"SAZ";#N/A,#N/A,FALSE,"CAZ";#N/A,#N/A,FALSE,"SNV";#N/A,#N/A,FALSE,"NNV";#N/A,#N/A,FALSE,"PP";#N/A,#N/A,FALSE,"SA"}</definedName>
    <definedName name="_31" hidden="1">{#N/A,#N/A,FALSE,"SCA";#N/A,#N/A,FALSE,"NCA";#N/A,#N/A,FALSE,"SAZ";#N/A,#N/A,FALSE,"CAZ";#N/A,#N/A,FALSE,"SNV";#N/A,#N/A,FALSE,"NNV";#N/A,#N/A,FALSE,"PP";#N/A,#N/A,FALSE,"SA"}</definedName>
    <definedName name="_311214cd3299422cbb04931e1744c829" localSheetId="1" hidden="1">#REF!</definedName>
    <definedName name="_311214cd3299422cbb04931e1744c829" localSheetId="20" hidden="1">#REF!</definedName>
    <definedName name="_311214cd3299422cbb04931e1744c829" hidden="1">#REF!</definedName>
    <definedName name="_315640934c9f424b8a759e551008ee70" localSheetId="1" hidden="1">#REF!</definedName>
    <definedName name="_315640934c9f424b8a759e551008ee70" localSheetId="20" hidden="1">#REF!</definedName>
    <definedName name="_315640934c9f424b8a759e551008ee70" hidden="1">#REF!</definedName>
    <definedName name="_316a850f709b4155a7775d5455662ae3" localSheetId="1" hidden="1">#REF!</definedName>
    <definedName name="_316a850f709b4155a7775d5455662ae3" localSheetId="20" hidden="1">#REF!</definedName>
    <definedName name="_316a850f709b4155a7775d5455662ae3" hidden="1">#REF!</definedName>
    <definedName name="_32" localSheetId="1" hidden="1">{#N/A,#N/A,FALSE,"SCA";#N/A,#N/A,FALSE,"NCA";#N/A,#N/A,FALSE,"SAZ";#N/A,#N/A,FALSE,"CAZ";#N/A,#N/A,FALSE,"SNV";#N/A,#N/A,FALSE,"NNV";#N/A,#N/A,FALSE,"PP";#N/A,#N/A,FALSE,"SA"}</definedName>
    <definedName name="_32" localSheetId="13" hidden="1">{#N/A,#N/A,FALSE,"SCA";#N/A,#N/A,FALSE,"NCA";#N/A,#N/A,FALSE,"SAZ";#N/A,#N/A,FALSE,"CAZ";#N/A,#N/A,FALSE,"SNV";#N/A,#N/A,FALSE,"NNV";#N/A,#N/A,FALSE,"PP";#N/A,#N/A,FALSE,"SA"}</definedName>
    <definedName name="_32" localSheetId="18" hidden="1">{#N/A,#N/A,FALSE,"SCA";#N/A,#N/A,FALSE,"NCA";#N/A,#N/A,FALSE,"SAZ";#N/A,#N/A,FALSE,"CAZ";#N/A,#N/A,FALSE,"SNV";#N/A,#N/A,FALSE,"NNV";#N/A,#N/A,FALSE,"PP";#N/A,#N/A,FALSE,"SA"}</definedName>
    <definedName name="_32" localSheetId="20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localSheetId="13" hidden="1">[9]Data!$B$30:$B$222</definedName>
    <definedName name="_32__123Graph_XCHART_6" localSheetId="18" hidden="1">[10]Data!$B$30:$B$222</definedName>
    <definedName name="_32__123Graph_XCHART_6" hidden="1">#REF!</definedName>
    <definedName name="_325__123Graph_XCHART_5" localSheetId="13" hidden="1">[14]Data!$B$30:$B$222</definedName>
    <definedName name="_325__123Graph_XCHART_5" localSheetId="18" hidden="1">[14]Data!$B$30:$B$222</definedName>
    <definedName name="_325__123Graph_XCHART_5" hidden="1">#REF!</definedName>
    <definedName name="_32c71635654747db9ab2e53e27970e26" localSheetId="1" hidden="1">#REF!</definedName>
    <definedName name="_32c71635654747db9ab2e53e27970e26" localSheetId="20" hidden="1">#REF!</definedName>
    <definedName name="_32c71635654747db9ab2e53e27970e26" hidden="1">#REF!</definedName>
    <definedName name="_33" localSheetId="1" hidden="1">{"ARK_JURIS_FUEL",#N/A,FALSE,"Ark_Fuel&amp;Rev"}</definedName>
    <definedName name="_33" localSheetId="13" hidden="1">{"ARK_JURIS_FUEL",#N/A,FALSE,"Ark_Fuel&amp;Rev"}</definedName>
    <definedName name="_33" localSheetId="18" hidden="1">{"ARK_JURIS_FUEL",#N/A,FALSE,"Ark_Fuel&amp;Rev"}</definedName>
    <definedName name="_33" localSheetId="20" hidden="1">{"ARK_JURIS_FUEL",#N/A,FALSE,"Ark_Fuel&amp;Rev"}</definedName>
    <definedName name="_33" hidden="1">{"ARK_JURIS_FUEL",#N/A,FALSE,"Ark_Fuel&amp;Rev"}</definedName>
    <definedName name="_33__123Graph_BCHART_6" localSheetId="13" hidden="1">[16]Data!#REF!</definedName>
    <definedName name="_33__123Graph_BCHART_6" localSheetId="18" hidden="1">[17]Data!#REF!</definedName>
    <definedName name="_33__123Graph_BCHART_6" hidden="1">#REF!</definedName>
    <definedName name="_339e3981f7f44db3adc389131da7fdd2" localSheetId="1" hidden="1">#REF!</definedName>
    <definedName name="_339e3981f7f44db3adc389131da7fdd2" localSheetId="20" hidden="1">#REF!</definedName>
    <definedName name="_339e3981f7f44db3adc389131da7fdd2" hidden="1">#REF!</definedName>
    <definedName name="_34" localSheetId="1" hidden="1">{#N/A,#N/A,FALSE,"SCA";#N/A,#N/A,FALSE,"NCA";#N/A,#N/A,FALSE,"SAZ";#N/A,#N/A,FALSE,"CAZ";#N/A,#N/A,FALSE,"SNV";#N/A,#N/A,FALSE,"NNV";#N/A,#N/A,FALSE,"PP";#N/A,#N/A,FALSE,"SA"}</definedName>
    <definedName name="_34" localSheetId="13" hidden="1">{#N/A,#N/A,FALSE,"SCA";#N/A,#N/A,FALSE,"NCA";#N/A,#N/A,FALSE,"SAZ";#N/A,#N/A,FALSE,"CAZ";#N/A,#N/A,FALSE,"SNV";#N/A,#N/A,FALSE,"NNV";#N/A,#N/A,FALSE,"PP";#N/A,#N/A,FALSE,"SA"}</definedName>
    <definedName name="_34" localSheetId="18" hidden="1">{#N/A,#N/A,FALSE,"SCA";#N/A,#N/A,FALSE,"NCA";#N/A,#N/A,FALSE,"SAZ";#N/A,#N/A,FALSE,"CAZ";#N/A,#N/A,FALSE,"SNV";#N/A,#N/A,FALSE,"NNV";#N/A,#N/A,FALSE,"PP";#N/A,#N/A,FALSE,"SA"}</definedName>
    <definedName name="_34" localSheetId="20" hidden="1">{#N/A,#N/A,FALSE,"SCA";#N/A,#N/A,FALSE,"NCA";#N/A,#N/A,FALSE,"SAZ";#N/A,#N/A,FALSE,"CAZ";#N/A,#N/A,FALSE,"SNV";#N/A,#N/A,FALSE,"NNV";#N/A,#N/A,FALSE,"PP";#N/A,#N/A,FALSE,"SA"}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localSheetId="13" hidden="1">[9]Data!$G$30:$G$229</definedName>
    <definedName name="_34__123Graph_ACHART_2" localSheetId="18" hidden="1">[10]Data!$G$30:$G$229</definedName>
    <definedName name="_34__123Graph_ACHART_2" hidden="1">#REF!</definedName>
    <definedName name="_346__123Graph_XCHART_6" localSheetId="13" hidden="1">[14]Data!$B$30:$B$222</definedName>
    <definedName name="_346__123Graph_XCHART_6" localSheetId="18" hidden="1">[14]Data!$B$30:$B$222</definedName>
    <definedName name="_346__123Graph_XCHART_6" hidden="1">#REF!</definedName>
    <definedName name="_3469723c0277499f96a6064c7ceaf99b" localSheetId="1" hidden="1">#REF!</definedName>
    <definedName name="_3469723c0277499f96a6064c7ceaf99b" localSheetId="20" hidden="1">#REF!</definedName>
    <definedName name="_3469723c0277499f96a6064c7ceaf99b" hidden="1">#REF!</definedName>
    <definedName name="_3495e540c1364af09bb062a762c76f05" localSheetId="1" hidden="1">#REF!</definedName>
    <definedName name="_3495e540c1364af09bb062a762c76f05" localSheetId="20" hidden="1">#REF!</definedName>
    <definedName name="_3495e540c1364af09bb062a762c76f05" hidden="1">#REF!</definedName>
    <definedName name="_34f0c13e75d74b209a5edeb98051030e" localSheetId="1" hidden="1">#REF!</definedName>
    <definedName name="_34f0c13e75d74b209a5edeb98051030e" localSheetId="20" hidden="1">#REF!</definedName>
    <definedName name="_34f0c13e75d74b209a5edeb98051030e" hidden="1">#REF!</definedName>
    <definedName name="_35" localSheetId="1" hidden="1">{#N/A,#N/A,TRUE,"1990";#N/A,#N/A,TRUE,"1991";#N/A,#N/A,TRUE,"1992";#N/A,#N/A,TRUE,"1993"}</definedName>
    <definedName name="_35" localSheetId="13" hidden="1">{#N/A,#N/A,TRUE,"1990";#N/A,#N/A,TRUE,"1991";#N/A,#N/A,TRUE,"1992";#N/A,#N/A,TRUE,"1993"}</definedName>
    <definedName name="_35" localSheetId="18" hidden="1">{#N/A,#N/A,TRUE,"1990";#N/A,#N/A,TRUE,"1991";#N/A,#N/A,TRUE,"1992";#N/A,#N/A,TRUE,"1993"}</definedName>
    <definedName name="_35" localSheetId="20" hidden="1">{#N/A,#N/A,TRUE,"1990";#N/A,#N/A,TRUE,"1991";#N/A,#N/A,TRUE,"1992";#N/A,#N/A,TRUE,"1993"}</definedName>
    <definedName name="_35" hidden="1">{#N/A,#N/A,TRUE,"1990";#N/A,#N/A,TRUE,"1991";#N/A,#N/A,TRUE,"1992";#N/A,#N/A,TRUE,"1993"}</definedName>
    <definedName name="_36" localSheetId="1" hidden="1">{"summary",#N/A,TRUE,"E93ADJ";"detail",#N/A,TRUE,"E93ADJ"}</definedName>
    <definedName name="_36" localSheetId="13" hidden="1">{"summary",#N/A,TRUE,"E93ADJ";"detail",#N/A,TRUE,"E93ADJ"}</definedName>
    <definedName name="_36" localSheetId="18" hidden="1">{"summary",#N/A,TRUE,"E93ADJ";"detail",#N/A,TRUE,"E93ADJ"}</definedName>
    <definedName name="_36" localSheetId="20" hidden="1">{"summary",#N/A,TRUE,"E93ADJ";"detail",#N/A,TRUE,"E93ADJ"}</definedName>
    <definedName name="_36" hidden="1">{"summary",#N/A,TRUE,"E93ADJ";"detail",#N/A,TRUE,"E93ADJ"}</definedName>
    <definedName name="_36__123Graph_ACHART_2" localSheetId="13" hidden="1">[9]Data!$G$30:$G$229</definedName>
    <definedName name="_36__123Graph_ACHART_2" localSheetId="18" hidden="1">[10]Data!$G$30:$G$229</definedName>
    <definedName name="_36__123Graph_ACHART_2" hidden="1">#REF!</definedName>
    <definedName name="_3632e8d431364ad69ca9f98c17906a25" localSheetId="1" hidden="1">#REF!</definedName>
    <definedName name="_3632e8d431364ad69ca9f98c17906a25" localSheetId="20" hidden="1">#REF!</definedName>
    <definedName name="_3632e8d431364ad69ca9f98c17906a25" hidden="1">#REF!</definedName>
    <definedName name="_366c91952791492489334c1d7ca2fef8" localSheetId="1" hidden="1">#REF!</definedName>
    <definedName name="_366c91952791492489334c1d7ca2fef8" localSheetId="20" hidden="1">#REF!</definedName>
    <definedName name="_366c91952791492489334c1d7ca2fef8" hidden="1">#REF!</definedName>
    <definedName name="_37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cf36588960416fa59b841ab518f65f" localSheetId="1" hidden="1">#REF!</definedName>
    <definedName name="_37cf36588960416fa59b841ab518f65f" localSheetId="20" hidden="1">#REF!</definedName>
    <definedName name="_37cf36588960416fa59b841ab518f65f" hidden="1">#REF!</definedName>
    <definedName name="_38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0218a7027d429aa346a376d2db4800" localSheetId="1" hidden="1">#REF!</definedName>
    <definedName name="_380218a7027d429aa346a376d2db4800" localSheetId="20" hidden="1">#REF!</definedName>
    <definedName name="_380218a7027d429aa346a376d2db4800" hidden="1">#REF!</definedName>
    <definedName name="_38d2d5befac444b2b6f85aea2516ac7f" localSheetId="1" hidden="1">#REF!</definedName>
    <definedName name="_38d2d5befac444b2b6f85aea2516ac7f" localSheetId="20" hidden="1">#REF!</definedName>
    <definedName name="_38d2d5befac444b2b6f85aea2516ac7f" hidden="1">#REF!</definedName>
    <definedName name="_39" localSheetId="1" hidden="1">{"summary",#N/A,TRUE,"E93ADJ";"detail",#N/A,TRUE,"E93ADJ"}</definedName>
    <definedName name="_39" localSheetId="13" hidden="1">{"summary",#N/A,TRUE,"E93ADJ";"detail",#N/A,TRUE,"E93ADJ"}</definedName>
    <definedName name="_39" localSheetId="18" hidden="1">{"summary",#N/A,TRUE,"E93ADJ";"detail",#N/A,TRUE,"E93ADJ"}</definedName>
    <definedName name="_39" localSheetId="20" hidden="1">{"summary",#N/A,TRUE,"E93ADJ";"detail",#N/A,TRUE,"E93ADJ"}</definedName>
    <definedName name="_39" hidden="1">{"summary",#N/A,TRUE,"E93ADJ";"detail",#N/A,TRUE,"E93ADJ"}</definedName>
    <definedName name="_390bb43d5f6941c28234dc74b1536e31" localSheetId="1" hidden="1">#REF!</definedName>
    <definedName name="_390bb43d5f6941c28234dc74b1536e31" localSheetId="20" hidden="1">#REF!</definedName>
    <definedName name="_390bb43d5f6941c28234dc74b1536e31" hidden="1">#REF!</definedName>
    <definedName name="_39276998abb443119d7d174784f749af" localSheetId="1" hidden="1">#REF!</definedName>
    <definedName name="_39276998abb443119d7d174784f749af" localSheetId="20" hidden="1">#REF!</definedName>
    <definedName name="_39276998abb443119d7d174784f749af" hidden="1">#REF!</definedName>
    <definedName name="_392db45fafd942caa6893bfab78ec88f" localSheetId="1" hidden="1">#REF!</definedName>
    <definedName name="_392db45fafd942caa6893bfab78ec88f" localSheetId="20" hidden="1">#REF!</definedName>
    <definedName name="_392db45fafd942caa6893bfab78ec88f" hidden="1">#REF!</definedName>
    <definedName name="_396dad3e9eba4370bb052745593fbfb7" localSheetId="1" hidden="1">#REF!</definedName>
    <definedName name="_396dad3e9eba4370bb052745593fbfb7" localSheetId="20" hidden="1">#REF!</definedName>
    <definedName name="_396dad3e9eba4370bb052745593fbfb7" hidden="1">#REF!</definedName>
    <definedName name="_3a35eb6bb5c846bd878ecaf3c327a506" localSheetId="1" hidden="1">#REF!</definedName>
    <definedName name="_3a35eb6bb5c846bd878ecaf3c327a506" localSheetId="20" hidden="1">#REF!</definedName>
    <definedName name="_3a35eb6bb5c846bd878ecaf3c327a506" hidden="1">#REF!</definedName>
    <definedName name="_3a70c460adbd4015b2f5d0e7d83e4166" localSheetId="1" hidden="1">#REF!</definedName>
    <definedName name="_3a70c460adbd4015b2f5d0e7d83e4166" localSheetId="20" hidden="1">#REF!</definedName>
    <definedName name="_3a70c460adbd4015b2f5d0e7d83e4166" hidden="1">#REF!</definedName>
    <definedName name="_3ab6ee2e883642389383c78073806e5f" localSheetId="1" hidden="1">#REF!</definedName>
    <definedName name="_3ab6ee2e883642389383c78073806e5f" localSheetId="20" hidden="1">#REF!</definedName>
    <definedName name="_3ab6ee2e883642389383c78073806e5f" hidden="1">#REF!</definedName>
    <definedName name="_3b6cc74dc1d5426f8ac15915a9af4d2a" localSheetId="1" hidden="1">#REF!</definedName>
    <definedName name="_3b6cc74dc1d5426f8ac15915a9af4d2a" localSheetId="20" hidden="1">#REF!</definedName>
    <definedName name="_3b6cc74dc1d5426f8ac15915a9af4d2a" hidden="1">#REF!</definedName>
    <definedName name="_3bf1797dd5a943a2b060ccbacd514b87" localSheetId="1" hidden="1">#REF!</definedName>
    <definedName name="_3bf1797dd5a943a2b060ccbacd514b87" localSheetId="20" hidden="1">#REF!</definedName>
    <definedName name="_3bf1797dd5a943a2b060ccbacd514b87" hidden="1">#REF!</definedName>
    <definedName name="_3c3e17f5291c4b329cc486c1df02ab52" localSheetId="1" hidden="1">#REF!</definedName>
    <definedName name="_3c3e17f5291c4b329cc486c1df02ab52" localSheetId="20" hidden="1">#REF!</definedName>
    <definedName name="_3c3e17f5291c4b329cc486c1df02ab52" hidden="1">#REF!</definedName>
    <definedName name="_3c44cf8b50114210885c51cab5028d3a" localSheetId="1" hidden="1">#REF!</definedName>
    <definedName name="_3c44cf8b50114210885c51cab5028d3a" localSheetId="20" hidden="1">#REF!</definedName>
    <definedName name="_3c44cf8b50114210885c51cab5028d3a" hidden="1">#REF!</definedName>
    <definedName name="_3c5bc273fba849bba4503effc6cede92" localSheetId="1" hidden="1">#REF!</definedName>
    <definedName name="_3c5bc273fba849bba4503effc6cede92" localSheetId="20" hidden="1">#REF!</definedName>
    <definedName name="_3c5bc273fba849bba4503effc6cede92" hidden="1">#REF!</definedName>
    <definedName name="_3cc26fcd9fcb4f7a86f99a36c389eb53" localSheetId="1" hidden="1">#REF!</definedName>
    <definedName name="_3cc26fcd9fcb4f7a86f99a36c389eb53" localSheetId="20" hidden="1">#REF!</definedName>
    <definedName name="_3cc26fcd9fcb4f7a86f99a36c389eb53" hidden="1">#REF!</definedName>
    <definedName name="_3e03aac400374c359efefa174418307d" localSheetId="1" hidden="1">#REF!</definedName>
    <definedName name="_3e03aac400374c359efefa174418307d" localSheetId="20" hidden="1">#REF!</definedName>
    <definedName name="_3e03aac400374c359efefa174418307d" hidden="1">#REF!</definedName>
    <definedName name="_3e25dd39d6ad4f79a9ab8a9e101ab5a9" localSheetId="1" hidden="1">#REF!</definedName>
    <definedName name="_3e25dd39d6ad4f79a9ab8a9e101ab5a9" localSheetId="20" hidden="1">#REF!</definedName>
    <definedName name="_3e25dd39d6ad4f79a9ab8a9e101ab5a9" hidden="1">#REF!</definedName>
    <definedName name="_3f45234f3ca941c288ea2bf571dc863a" localSheetId="1" hidden="1">#REF!</definedName>
    <definedName name="_3f45234f3ca941c288ea2bf571dc863a" localSheetId="20" hidden="1">#REF!</definedName>
    <definedName name="_3f45234f3ca941c288ea2bf571dc863a" hidden="1">#REF!</definedName>
    <definedName name="_3fa18bedef9e4cd2b8146dfdd34d2d3a" localSheetId="1" hidden="1">#REF!</definedName>
    <definedName name="_3fa18bedef9e4cd2b8146dfdd34d2d3a" localSheetId="20" hidden="1">#REF!</definedName>
    <definedName name="_3fa18bedef9e4cd2b8146dfdd34d2d3a" hidden="1">#REF!</definedName>
    <definedName name="_3fd4cf28628a46e9a3c023981146ef72" localSheetId="1" hidden="1">#REF!</definedName>
    <definedName name="_3fd4cf28628a46e9a3c023981146ef72" localSheetId="20" hidden="1">#REF!</definedName>
    <definedName name="_3fd4cf28628a46e9a3c023981146ef72" hidden="1">#REF!</definedName>
    <definedName name="_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14" localSheetId="13" hidden="1">'[11]summ graf'!$D$24:$BM$24</definedName>
    <definedName name="_4__123Graph_ACHART_14" localSheetId="18" hidden="1">'[11]summ graf'!$D$24:$BM$24</definedName>
    <definedName name="_4__123Graph_ACHART_14" hidden="1">#REF!</definedName>
    <definedName name="_4__123Graph_ACHART_2" localSheetId="13" hidden="1">[9]Data!$G$30:$G$229</definedName>
    <definedName name="_4__123Graph_ACHART_2" localSheetId="18" hidden="1">[10]Data!$G$30:$G$229</definedName>
    <definedName name="_4__123Graph_ACHART_2" hidden="1">#REF!</definedName>
    <definedName name="_4__123Graph_ACHART_4" localSheetId="13" hidden="1">[9]Data!$E$30:$E$233</definedName>
    <definedName name="_4__123Graph_ACHART_4" localSheetId="18" hidden="1">[10]Data!$E$30:$E$233</definedName>
    <definedName name="_4__123Graph_ACHART_4" hidden="1">#REF!</definedName>
    <definedName name="_4__123Graph_DYIELD_CURVES" localSheetId="1" hidden="1">#REF!</definedName>
    <definedName name="_4__123Graph_DYIELD_CURVES" localSheetId="13" hidden="1">[12]Yield_curve!#REF!</definedName>
    <definedName name="_4__123Graph_DYIELD_CURVES" localSheetId="18" hidden="1">[12]Yield_curve!#REF!</definedName>
    <definedName name="_4__123Graph_DYIELD_CURVES" localSheetId="20" hidden="1">#REF!</definedName>
    <definedName name="_4__123Graph_DYIELD_CURVES" hidden="1">#REF!</definedName>
    <definedName name="_4_0__123Grap" localSheetId="1" hidden="1">#REF!</definedName>
    <definedName name="_4_0__123Grap" localSheetId="13" hidden="1">'[13]Plant in Ser'!#REF!</definedName>
    <definedName name="_4_0__123Grap" localSheetId="18" hidden="1">'[13]Plant in Ser'!#REF!</definedName>
    <definedName name="_4_0__123Grap" localSheetId="20" hidden="1">#REF!</definedName>
    <definedName name="_4_0__123Grap" hidden="1">#REF!</definedName>
    <definedName name="_40" localSheetId="1" hidden="1">{"ARK_JURIS_FUEL",#N/A,FALSE,"Ark_Fuel&amp;Rev"}</definedName>
    <definedName name="_40" localSheetId="13" hidden="1">{"ARK_JURIS_FUEL",#N/A,FALSE,"Ark_Fuel&amp;Rev"}</definedName>
    <definedName name="_40" localSheetId="18" hidden="1">{"ARK_JURIS_FUEL",#N/A,FALSE,"Ark_Fuel&amp;Rev"}</definedName>
    <definedName name="_40" localSheetId="20" hidden="1">{"ARK_JURIS_FUEL",#N/A,FALSE,"Ark_Fuel&amp;Rev"}</definedName>
    <definedName name="_40" hidden="1">{"ARK_JURIS_FUEL",#N/A,FALSE,"Ark_Fuel&amp;Rev"}</definedName>
    <definedName name="_402323c0ed9e4af784e40b904a2905df" localSheetId="1" hidden="1">#REF!</definedName>
    <definedName name="_402323c0ed9e4af784e40b904a2905df" localSheetId="20" hidden="1">#REF!</definedName>
    <definedName name="_402323c0ed9e4af784e40b904a2905df" hidden="1">#REF!</definedName>
    <definedName name="_405a5b36105442d9b611895b478347f0" localSheetId="1" hidden="1">#REF!</definedName>
    <definedName name="_405a5b36105442d9b611895b478347f0" localSheetId="20" hidden="1">#REF!</definedName>
    <definedName name="_405a5b36105442d9b611895b478347f0" hidden="1">#REF!</definedName>
    <definedName name="_41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1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18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9d463471d14750a4a6061d219a1e7e" localSheetId="1" hidden="1">#REF!</definedName>
    <definedName name="_419d463471d14750a4a6061d219a1e7e" localSheetId="20" hidden="1">#REF!</definedName>
    <definedName name="_419d463471d14750a4a6061d219a1e7e" hidden="1">#REF!</definedName>
    <definedName name="_41f7030c086648fab926bbf6773f052f" localSheetId="1" hidden="1">#REF!</definedName>
    <definedName name="_41f7030c086648fab926bbf6773f052f" localSheetId="20" hidden="1">#REF!</definedName>
    <definedName name="_41f7030c086648fab926bbf6773f052f" hidden="1">#REF!</definedName>
    <definedName name="_42" localSheetId="1" hidden="1">{#N/A,#N/A,TRUE,"1990";#N/A,#N/A,TRUE,"1991";#N/A,#N/A,TRUE,"1992";#N/A,#N/A,TRUE,"1993"}</definedName>
    <definedName name="_42" localSheetId="13" hidden="1">{#N/A,#N/A,TRUE,"1990";#N/A,#N/A,TRUE,"1991";#N/A,#N/A,TRUE,"1992";#N/A,#N/A,TRUE,"1993"}</definedName>
    <definedName name="_42" localSheetId="18" hidden="1">{#N/A,#N/A,TRUE,"1990";#N/A,#N/A,TRUE,"1991";#N/A,#N/A,TRUE,"1992";#N/A,#N/A,TRUE,"1993"}</definedName>
    <definedName name="_42" localSheetId="20" hidden="1">{#N/A,#N/A,TRUE,"1990";#N/A,#N/A,TRUE,"1991";#N/A,#N/A,TRUE,"1992";#N/A,#N/A,TRUE,"1993"}</definedName>
    <definedName name="_42" hidden="1">{#N/A,#N/A,TRUE,"1990";#N/A,#N/A,TRUE,"1991";#N/A,#N/A,TRUE,"1992";#N/A,#N/A,TRUE,"1993"}</definedName>
    <definedName name="_42__123Graph_ACHART_2" localSheetId="13" hidden="1">[14]Data!$G$30:$G$229</definedName>
    <definedName name="_42__123Graph_ACHART_2" localSheetId="18" hidden="1">[14]Data!$G$30:$G$229</definedName>
    <definedName name="_42__123Graph_ACHART_2" hidden="1">#REF!</definedName>
    <definedName name="_42__123Graph_ACHART_3" localSheetId="13" hidden="1">[15]Data!$R$30:$R$228</definedName>
    <definedName name="_42__123Graph_ACHART_3" localSheetId="18" hidden="1">[15]Data!$R$30:$R$228</definedName>
    <definedName name="_42__123Graph_ACHART_3" hidden="1">#REF!</definedName>
    <definedName name="_42__123Graph_CCHART_6" localSheetId="1" hidden="1">#REF!</definedName>
    <definedName name="_42__123Graph_CCHART_6" localSheetId="13" hidden="1">[17]Data!#REF!</definedName>
    <definedName name="_42__123Graph_CCHART_6" localSheetId="18" hidden="1">[17]Data!#REF!</definedName>
    <definedName name="_42__123Graph_CCHART_6" localSheetId="20" hidden="1">#REF!</definedName>
    <definedName name="_42__123Graph_CCHART_6" hidden="1">#REF!</definedName>
    <definedName name="_42090b9f8995489b9c62495e76946b25" localSheetId="1" hidden="1">#REF!</definedName>
    <definedName name="_42090b9f8995489b9c62495e76946b25" localSheetId="20" hidden="1">#REF!</definedName>
    <definedName name="_42090b9f8995489b9c62495e76946b25" hidden="1">#REF!</definedName>
    <definedName name="_4289752acba84afeb16ac0f31a192cbf" localSheetId="1" hidden="1">#REF!</definedName>
    <definedName name="_4289752acba84afeb16ac0f31a192cbf" localSheetId="20" hidden="1">#REF!</definedName>
    <definedName name="_4289752acba84afeb16ac0f31a192cbf" hidden="1">#REF!</definedName>
    <definedName name="_42e97a1a336e4f209a6f7442a2042d57" localSheetId="1" hidden="1">#REF!</definedName>
    <definedName name="_42e97a1a336e4f209a6f7442a2042d57" localSheetId="20" hidden="1">#REF!</definedName>
    <definedName name="_42e97a1a336e4f209a6f7442a2042d57" hidden="1">#REF!</definedName>
    <definedName name="_43" localSheetId="1" hidden="1">{#N/A,#N/A,TRUE,"1990";#N/A,#N/A,TRUE,"1991";#N/A,#N/A,TRUE,"1992";#N/A,#N/A,TRUE,"1993"}</definedName>
    <definedName name="_43" localSheetId="13" hidden="1">{#N/A,#N/A,TRUE,"1990";#N/A,#N/A,TRUE,"1991";#N/A,#N/A,TRUE,"1992";#N/A,#N/A,TRUE,"1993"}</definedName>
    <definedName name="_43" localSheetId="18" hidden="1">{#N/A,#N/A,TRUE,"1990";#N/A,#N/A,TRUE,"1991";#N/A,#N/A,TRUE,"1992";#N/A,#N/A,TRUE,"1993"}</definedName>
    <definedName name="_43" localSheetId="20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localSheetId="1" hidden="1">{"summary",#N/A,TRUE,"E93ADJ";"detail",#N/A,TRUE,"E93ADJ"}</definedName>
    <definedName name="_44" localSheetId="13" hidden="1">{"summary",#N/A,TRUE,"E93ADJ";"detail",#N/A,TRUE,"E93ADJ"}</definedName>
    <definedName name="_44" localSheetId="18" hidden="1">{"summary",#N/A,TRUE,"E93ADJ";"detail",#N/A,TRUE,"E93ADJ"}</definedName>
    <definedName name="_44" localSheetId="20" hidden="1">{"summary",#N/A,TRUE,"E93ADJ";"detail",#N/A,TRUE,"E93ADJ"}</definedName>
    <definedName name="_44" hidden="1">{"summary",#N/A,TRUE,"E93ADJ";"detail",#N/A,TRUE,"E93ADJ"}</definedName>
    <definedName name="_441c13f3a2254587be05f2412711048e" localSheetId="1" hidden="1">#REF!</definedName>
    <definedName name="_441c13f3a2254587be05f2412711048e" localSheetId="20" hidden="1">#REF!</definedName>
    <definedName name="_441c13f3a2254587be05f2412711048e" hidden="1">#REF!</definedName>
    <definedName name="_4477b4c4a6c14aac882228114fab66b0" localSheetId="1" hidden="1">#REF!</definedName>
    <definedName name="_4477b4c4a6c14aac882228114fab66b0" localSheetId="20" hidden="1">#REF!</definedName>
    <definedName name="_4477b4c4a6c14aac882228114fab66b0" hidden="1">#REF!</definedName>
    <definedName name="_45" localSheetId="1" hidden="1">{"summary",#N/A,TRUE,"E93ADJ";"detail",#N/A,TRUE,"E93ADJ"}</definedName>
    <definedName name="_45" localSheetId="13" hidden="1">{"summary",#N/A,TRUE,"E93ADJ";"detail",#N/A,TRUE,"E93ADJ"}</definedName>
    <definedName name="_45" localSheetId="18" hidden="1">{"summary",#N/A,TRUE,"E93ADJ";"detail",#N/A,TRUE,"E93ADJ"}</definedName>
    <definedName name="_45" localSheetId="20" hidden="1">{"summary",#N/A,TRUE,"E93ADJ";"detail",#N/A,TRUE,"E93ADJ"}</definedName>
    <definedName name="_45" hidden="1">{"summary",#N/A,TRUE,"E93ADJ";"detail",#N/A,TRUE,"E93ADJ"}</definedName>
    <definedName name="_459f131c2f794eda8a54b62898cd743d" localSheetId="1" hidden="1">#REF!</definedName>
    <definedName name="_459f131c2f794eda8a54b62898cd743d" localSheetId="20" hidden="1">#REF!</definedName>
    <definedName name="_459f131c2f794eda8a54b62898cd743d" hidden="1">#REF!</definedName>
    <definedName name="_45ce695fa3c9447485bd91f9ef367b1b" localSheetId="1" hidden="1">#REF!</definedName>
    <definedName name="_45ce695fa3c9447485bd91f9ef367b1b" localSheetId="20" hidden="1">#REF!</definedName>
    <definedName name="_45ce695fa3c9447485bd91f9ef367b1b" hidden="1">#REF!</definedName>
    <definedName name="_46" localSheetId="1" hidden="1">{#N/A,#N/A,TRUE,"1990";#N/A,#N/A,TRUE,"1991";#N/A,#N/A,TRUE,"1992";#N/A,#N/A,TRUE,"1993"}</definedName>
    <definedName name="_46" localSheetId="13" hidden="1">{#N/A,#N/A,TRUE,"1990";#N/A,#N/A,TRUE,"1991";#N/A,#N/A,TRUE,"1992";#N/A,#N/A,TRUE,"1993"}</definedName>
    <definedName name="_46" localSheetId="18" hidden="1">{#N/A,#N/A,TRUE,"1990";#N/A,#N/A,TRUE,"1991";#N/A,#N/A,TRUE,"1992";#N/A,#N/A,TRUE,"1993"}</definedName>
    <definedName name="_46" localSheetId="20" hidden="1">{#N/A,#N/A,TRUE,"1990";#N/A,#N/A,TRUE,"1991";#N/A,#N/A,TRUE,"1992";#N/A,#N/A,TRUE,"1993"}</definedName>
    <definedName name="_46" hidden="1">{#N/A,#N/A,TRUE,"1990";#N/A,#N/A,TRUE,"1991";#N/A,#N/A,TRUE,"1992";#N/A,#N/A,TRUE,"1993"}</definedName>
    <definedName name="_461b7c1ed6f04c7abb8c9460a0cdbe21" localSheetId="1" hidden="1">#REF!</definedName>
    <definedName name="_461b7c1ed6f04c7abb8c9460a0cdbe21" localSheetId="20" hidden="1">#REF!</definedName>
    <definedName name="_461b7c1ed6f04c7abb8c9460a0cdbe21" hidden="1">#REF!</definedName>
    <definedName name="_46dd4c28434d4a9eafa25225dc223baa" localSheetId="1" hidden="1">#REF!</definedName>
    <definedName name="_46dd4c28434d4a9eafa25225dc223baa" localSheetId="20" hidden="1">#REF!</definedName>
    <definedName name="_46dd4c28434d4a9eafa25225dc223baa" hidden="1">#REF!</definedName>
    <definedName name="_46f8923fa6684e788d0b66d67d04cba8" localSheetId="1" hidden="1">#REF!</definedName>
    <definedName name="_46f8923fa6684e788d0b66d67d04cba8" localSheetId="20" hidden="1">#REF!</definedName>
    <definedName name="_46f8923fa6684e788d0b66d67d04cba8" hidden="1">#REF!</definedName>
    <definedName name="_47" localSheetId="1" hidden="1">{"summary",#N/A,TRUE,"E93ADJ";"detail",#N/A,TRUE,"E93ADJ"}</definedName>
    <definedName name="_47" localSheetId="13" hidden="1">{"summary",#N/A,TRUE,"E93ADJ";"detail",#N/A,TRUE,"E93ADJ"}</definedName>
    <definedName name="_47" localSheetId="18" hidden="1">{"summary",#N/A,TRUE,"E93ADJ";"detail",#N/A,TRUE,"E93ADJ"}</definedName>
    <definedName name="_47" localSheetId="20" hidden="1">{"summary",#N/A,TRUE,"E93ADJ";"detail",#N/A,TRUE,"E93ADJ"}</definedName>
    <definedName name="_47" hidden="1">{"summary",#N/A,TRUE,"E93ADJ";"detail",#N/A,TRUE,"E93ADJ"}</definedName>
    <definedName name="_4702eba3ba0545d795b9d1747e772aba" localSheetId="1" hidden="1">#REF!</definedName>
    <definedName name="_4702eba3ba0545d795b9d1747e772aba" localSheetId="20" hidden="1">#REF!</definedName>
    <definedName name="_4702eba3ba0545d795b9d1747e772aba" hidden="1">#REF!</definedName>
    <definedName name="_48" localSheetId="1" hidden="1">{#N/A,#N/A,TRUE,"1990";#N/A,#N/A,TRUE,"1991";#N/A,#N/A,TRUE,"1992";#N/A,#N/A,TRUE,"1993"}</definedName>
    <definedName name="_48" localSheetId="13" hidden="1">{#N/A,#N/A,TRUE,"1990";#N/A,#N/A,TRUE,"1991";#N/A,#N/A,TRUE,"1992";#N/A,#N/A,TRUE,"1993"}</definedName>
    <definedName name="_48" localSheetId="18" hidden="1">{#N/A,#N/A,TRUE,"1990";#N/A,#N/A,TRUE,"1991";#N/A,#N/A,TRUE,"1992";#N/A,#N/A,TRUE,"1993"}</definedName>
    <definedName name="_48" localSheetId="20" hidden="1">{#N/A,#N/A,TRUE,"1990";#N/A,#N/A,TRUE,"1991";#N/A,#N/A,TRUE,"1992";#N/A,#N/A,TRUE,"1993"}</definedName>
    <definedName name="_48" hidden="1">{#N/A,#N/A,TRUE,"1990";#N/A,#N/A,TRUE,"1991";#N/A,#N/A,TRUE,"1992";#N/A,#N/A,TRUE,"1993"}</definedName>
    <definedName name="_48466101ba174841afee9e92161549f7" localSheetId="1" hidden="1">#REF!</definedName>
    <definedName name="_48466101ba174841afee9e92161549f7" localSheetId="20" hidden="1">#REF!</definedName>
    <definedName name="_48466101ba174841afee9e92161549f7" hidden="1">#REF!</definedName>
    <definedName name="_488b90d58b2b443f9177bfc4edeed1e8" localSheetId="1" hidden="1">#REF!</definedName>
    <definedName name="_488b90d58b2b443f9177bfc4edeed1e8" localSheetId="20" hidden="1">#REF!</definedName>
    <definedName name="_488b90d58b2b443f9177bfc4edeed1e8" hidden="1">#REF!</definedName>
    <definedName name="_49" localSheetId="1" hidden="1">{#N/A,#N/A,TRUE,"1990";#N/A,#N/A,TRUE,"1991";#N/A,#N/A,TRUE,"1992";#N/A,#N/A,TRUE,"1993"}</definedName>
    <definedName name="_49" localSheetId="13" hidden="1">{#N/A,#N/A,TRUE,"1990";#N/A,#N/A,TRUE,"1991";#N/A,#N/A,TRUE,"1992";#N/A,#N/A,TRUE,"1993"}</definedName>
    <definedName name="_49" localSheetId="18" hidden="1">{#N/A,#N/A,TRUE,"1990";#N/A,#N/A,TRUE,"1991";#N/A,#N/A,TRUE,"1992";#N/A,#N/A,TRUE,"1993"}</definedName>
    <definedName name="_49" localSheetId="20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493b6dbf16774150a88e4bb91797d10d" localSheetId="1" hidden="1">#REF!</definedName>
    <definedName name="_493b6dbf16774150a88e4bb91797d10d" localSheetId="20" hidden="1">#REF!</definedName>
    <definedName name="_493b6dbf16774150a88e4bb91797d10d" hidden="1">#REF!</definedName>
    <definedName name="_49e3c3ba267f4521a699b9ce8419b423" localSheetId="1" hidden="1">#REF!</definedName>
    <definedName name="_49e3c3ba267f4521a699b9ce8419b423" localSheetId="20" hidden="1">#REF!</definedName>
    <definedName name="_49e3c3ba267f4521a699b9ce8419b423" hidden="1">#REF!</definedName>
    <definedName name="_4a2afc0f004e41c4a00e0f56b965386c" localSheetId="1" hidden="1">#REF!</definedName>
    <definedName name="_4a2afc0f004e41c4a00e0f56b965386c" localSheetId="20" hidden="1">#REF!</definedName>
    <definedName name="_4a2afc0f004e41c4a00e0f56b965386c" hidden="1">#REF!</definedName>
    <definedName name="_4a9d04121c2e4f49ba1bd0628fde412f" localSheetId="1" hidden="1">#REF!</definedName>
    <definedName name="_4a9d04121c2e4f49ba1bd0628fde412f" localSheetId="20" hidden="1">#REF!</definedName>
    <definedName name="_4a9d04121c2e4f49ba1bd0628fde412f" hidden="1">#REF!</definedName>
    <definedName name="_4aa4a4fa0d6a44a385f3c15ce13a3200" localSheetId="1" hidden="1">#REF!</definedName>
    <definedName name="_4aa4a4fa0d6a44a385f3c15ce13a3200" localSheetId="20" hidden="1">#REF!</definedName>
    <definedName name="_4aa4a4fa0d6a44a385f3c15ce13a3200" hidden="1">#REF!</definedName>
    <definedName name="_4af5c432c36d42418236ce17026e8aa0" localSheetId="1" hidden="1">#REF!</definedName>
    <definedName name="_4af5c432c36d42418236ce17026e8aa0" localSheetId="20" hidden="1">#REF!</definedName>
    <definedName name="_4af5c432c36d42418236ce17026e8aa0" hidden="1">#REF!</definedName>
    <definedName name="_4b4bcedfb8eb42d79688af0fc70d0632" localSheetId="1" hidden="1">#REF!</definedName>
    <definedName name="_4b4bcedfb8eb42d79688af0fc70d0632" localSheetId="20" hidden="1">#REF!</definedName>
    <definedName name="_4b4bcedfb8eb42d79688af0fc70d0632" hidden="1">#REF!</definedName>
    <definedName name="_4b8b4369b9c443d3b44209d9cf523292" localSheetId="1" hidden="1">#REF!</definedName>
    <definedName name="_4b8b4369b9c443d3b44209d9cf523292" localSheetId="20" hidden="1">#REF!</definedName>
    <definedName name="_4b8b4369b9c443d3b44209d9cf523292" hidden="1">#REF!</definedName>
    <definedName name="_4c5ecca3dde94b3fa0cafa1bf03fb688" localSheetId="1" hidden="1">#REF!</definedName>
    <definedName name="_4c5ecca3dde94b3fa0cafa1bf03fb688" localSheetId="20" hidden="1">#REF!</definedName>
    <definedName name="_4c5ecca3dde94b3fa0cafa1bf03fb688" hidden="1">#REF!</definedName>
    <definedName name="_4da32125a47946a0a6beba424e488d4e" localSheetId="1" hidden="1">#REF!</definedName>
    <definedName name="_4da32125a47946a0a6beba424e488d4e" localSheetId="20" hidden="1">#REF!</definedName>
    <definedName name="_4da32125a47946a0a6beba424e488d4e" hidden="1">#REF!</definedName>
    <definedName name="_4dc4554dfb4645c487cd142bdf0bfecf" localSheetId="1" hidden="1">#REF!</definedName>
    <definedName name="_4dc4554dfb4645c487cd142bdf0bfecf" localSheetId="20" hidden="1">#REF!</definedName>
    <definedName name="_4dc4554dfb4645c487cd142bdf0bfecf" hidden="1">#REF!</definedName>
    <definedName name="_4e49964f1eeb49cfbee9087320c64f45" localSheetId="1" hidden="1">#REF!</definedName>
    <definedName name="_4e49964f1eeb49cfbee9087320c64f45" localSheetId="20" hidden="1">#REF!</definedName>
    <definedName name="_4e49964f1eeb49cfbee9087320c64f45" hidden="1">#REF!</definedName>
    <definedName name="_4f986195dceb4d23bc4d2c2abdab7b69" localSheetId="1" hidden="1">#REF!</definedName>
    <definedName name="_4f986195dceb4d23bc4d2c2abdab7b69" localSheetId="20" hidden="1">#REF!</definedName>
    <definedName name="_4f986195dceb4d23bc4d2c2abdab7b69" hidden="1">#REF!</definedName>
    <definedName name="_4fc19173d94e4a3493ff115d146f5012" localSheetId="1" hidden="1">#REF!</definedName>
    <definedName name="_4fc19173d94e4a3493ff115d146f5012" localSheetId="20" hidden="1">#REF!</definedName>
    <definedName name="_4fc19173d94e4a3493ff115d146f5012" hidden="1">#REF!</definedName>
    <definedName name="_4fe31a0987514572abd4bb838dc9f31a" localSheetId="1" hidden="1">#REF!</definedName>
    <definedName name="_4fe31a0987514572abd4bb838dc9f31a" localSheetId="20" hidden="1">#REF!</definedName>
    <definedName name="_4fe31a0987514572abd4bb838dc9f31a" hidden="1">#REF!</definedName>
    <definedName name="_5" localSheetId="1" hidden="1">{#N/A,#N/A,FALSE,"SCA";#N/A,#N/A,FALSE,"NCA";#N/A,#N/A,FALSE,"SAZ";#N/A,#N/A,FALSE,"CAZ";#N/A,#N/A,FALSE,"SNV";#N/A,#N/A,FALSE,"NNV";#N/A,#N/A,FALSE,"PP";#N/A,#N/A,FALSE,"SA"}</definedName>
    <definedName name="_5" localSheetId="13" hidden="1">{#N/A,#N/A,FALSE,"SCA";#N/A,#N/A,FALSE,"NCA";#N/A,#N/A,FALSE,"SAZ";#N/A,#N/A,FALSE,"CAZ";#N/A,#N/A,FALSE,"SNV";#N/A,#N/A,FALSE,"NNV";#N/A,#N/A,FALSE,"PP";#N/A,#N/A,FALSE,"SA"}</definedName>
    <definedName name="_5" localSheetId="18" hidden="1">{#N/A,#N/A,FALSE,"SCA";#N/A,#N/A,FALSE,"NCA";#N/A,#N/A,FALSE,"SAZ";#N/A,#N/A,FALSE,"CAZ";#N/A,#N/A,FALSE,"SNV";#N/A,#N/A,FALSE,"NNV";#N/A,#N/A,FALSE,"PP";#N/A,#N/A,FALSE,"SA"}</definedName>
    <definedName name="_5" localSheetId="20" hidden="1">{#N/A,#N/A,FALSE,"SCA";#N/A,#N/A,FALSE,"NCA";#N/A,#N/A,FALSE,"SAZ";#N/A,#N/A,FALSE,"CAZ";#N/A,#N/A,FALSE,"SNV";#N/A,#N/A,FALSE,"NNV";#N/A,#N/A,FALSE,"PP";#N/A,#N/A,FALSE,"SA"}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15" localSheetId="13" hidden="1">'[11]summ graf'!$D$28:$HK$28</definedName>
    <definedName name="_5__123Graph_ACHART_15" localSheetId="18" hidden="1">'[11]summ graf'!$D$28:$HK$28</definedName>
    <definedName name="_5__123Graph_ACHART_15" hidden="1">#REF!</definedName>
    <definedName name="_5__123Graph_ACHART_5" localSheetId="13" hidden="1">[9]Data!$O$30:$O$226</definedName>
    <definedName name="_5__123Graph_ACHART_5" localSheetId="18" hidden="1">[10]Data!$O$30:$O$226</definedName>
    <definedName name="_5__123Graph_ACHART_5" hidden="1">#REF!</definedName>
    <definedName name="_50" localSheetId="1" hidden="1">{"summary",#N/A,TRUE,"E93ADJ";"detail",#N/A,TRUE,"E93ADJ"}</definedName>
    <definedName name="_50" localSheetId="13" hidden="1">{"summary",#N/A,TRUE,"E93ADJ";"detail",#N/A,TRUE,"E93ADJ"}</definedName>
    <definedName name="_50" localSheetId="18" hidden="1">{"summary",#N/A,TRUE,"E93ADJ";"detail",#N/A,TRUE,"E93ADJ"}</definedName>
    <definedName name="_50" localSheetId="20" hidden="1">{"summary",#N/A,TRUE,"E93ADJ";"detail",#N/A,TRUE,"E93ADJ"}</definedName>
    <definedName name="_50" hidden="1">{"summary",#N/A,TRUE,"E93ADJ";"detail",#N/A,TRUE,"E93ADJ"}</definedName>
    <definedName name="_5014ed28ca074ae488be8e3d6dc23e9b" localSheetId="1" hidden="1">#REF!</definedName>
    <definedName name="_5014ed28ca074ae488be8e3d6dc23e9b" localSheetId="20" hidden="1">#REF!</definedName>
    <definedName name="_5014ed28ca074ae488be8e3d6dc23e9b" hidden="1">#REF!</definedName>
    <definedName name="_50726f8cd77c45cc9daab421be0b04fe" localSheetId="1" hidden="1">#REF!</definedName>
    <definedName name="_50726f8cd77c45cc9daab421be0b04fe" localSheetId="20" hidden="1">#REF!</definedName>
    <definedName name="_50726f8cd77c45cc9daab421be0b04fe" hidden="1">#REF!</definedName>
    <definedName name="_50b5df94f9ef4ad580140817d444478c" localSheetId="1" hidden="1">#REF!</definedName>
    <definedName name="_50b5df94f9ef4ad580140817d444478c" localSheetId="20" hidden="1">#REF!</definedName>
    <definedName name="_50b5df94f9ef4ad580140817d444478c" hidden="1">#REF!</definedName>
    <definedName name="_50b6984c54e743e88ad11e580ec1b251" localSheetId="1" hidden="1">#REF!</definedName>
    <definedName name="_50b6984c54e743e88ad11e580ec1b251" localSheetId="20" hidden="1">#REF!</definedName>
    <definedName name="_50b6984c54e743e88ad11e580ec1b251" hidden="1">#REF!</definedName>
    <definedName name="_51" localSheetId="1" hidden="1">{"summary",#N/A,TRUE,"E93ADJ";"detail",#N/A,TRUE,"E93ADJ"}</definedName>
    <definedName name="_51" localSheetId="13" hidden="1">{"summary",#N/A,TRUE,"E93ADJ";"detail",#N/A,TRUE,"E93ADJ"}</definedName>
    <definedName name="_51" localSheetId="18" hidden="1">{"summary",#N/A,TRUE,"E93ADJ";"detail",#N/A,TRUE,"E93ADJ"}</definedName>
    <definedName name="_51" localSheetId="20" hidden="1">{"summary",#N/A,TRUE,"E93ADJ";"detail",#N/A,TRUE,"E93ADJ"}</definedName>
    <definedName name="_51" hidden="1">{"summary",#N/A,TRUE,"E93ADJ";"detail",#N/A,TRUE,"E93ADJ"}</definedName>
    <definedName name="_51__123Graph_ACHART_3" localSheetId="13" hidden="1">[9]Data!$R$30:$R$228</definedName>
    <definedName name="_51__123Graph_ACHART_3" localSheetId="18" hidden="1">[10]Data!$R$30:$R$228</definedName>
    <definedName name="_51__123Graph_ACHART_3" hidden="1">#REF!</definedName>
    <definedName name="_52" localSheetId="1" hidden="1">{#N/A,#N/A,TRUE,"1990";#N/A,#N/A,TRUE,"1991";#N/A,#N/A,TRUE,"1992";#N/A,#N/A,TRUE,"1993"}</definedName>
    <definedName name="_52" localSheetId="13" hidden="1">{#N/A,#N/A,TRUE,"1990";#N/A,#N/A,TRUE,"1991";#N/A,#N/A,TRUE,"1992";#N/A,#N/A,TRUE,"1993"}</definedName>
    <definedName name="_52" localSheetId="18" hidden="1">{#N/A,#N/A,TRUE,"1990";#N/A,#N/A,TRUE,"1991";#N/A,#N/A,TRUE,"1992";#N/A,#N/A,TRUE,"1993"}</definedName>
    <definedName name="_52" localSheetId="20" hidden="1">{#N/A,#N/A,TRUE,"1990";#N/A,#N/A,TRUE,"1991";#N/A,#N/A,TRUE,"1992";#N/A,#N/A,TRUE,"1993"}</definedName>
    <definedName name="_52" hidden="1">{#N/A,#N/A,TRUE,"1990";#N/A,#N/A,TRUE,"1991";#N/A,#N/A,TRUE,"1992";#N/A,#N/A,TRUE,"1993"}</definedName>
    <definedName name="_527cb63e24084dd083f0c18911595eea" localSheetId="1" hidden="1">#REF!</definedName>
    <definedName name="_527cb63e24084dd083f0c18911595eea" localSheetId="20" hidden="1">#REF!</definedName>
    <definedName name="_527cb63e24084dd083f0c18911595eea" hidden="1">#REF!</definedName>
    <definedName name="_52849dacc9234e4a990f64b638695578" localSheetId="1" hidden="1">#REF!</definedName>
    <definedName name="_52849dacc9234e4a990f64b638695578" localSheetId="20" hidden="1">#REF!</definedName>
    <definedName name="_52849dacc9234e4a990f64b638695578" hidden="1">#REF!</definedName>
    <definedName name="_5296ae7deb53432b8c970a469993ee06" localSheetId="1" hidden="1">#REF!</definedName>
    <definedName name="_5296ae7deb53432b8c970a469993ee06" localSheetId="20" hidden="1">#REF!</definedName>
    <definedName name="_5296ae7deb53432b8c970a469993ee06" hidden="1">#REF!</definedName>
    <definedName name="_53" localSheetId="1" hidden="1">{"summary",#N/A,TRUE,"E93ADJ";"detail",#N/A,TRUE,"E93ADJ"}</definedName>
    <definedName name="_53" localSheetId="13" hidden="1">{"summary",#N/A,TRUE,"E93ADJ";"detail",#N/A,TRUE,"E93ADJ"}</definedName>
    <definedName name="_53" localSheetId="18" hidden="1">{"summary",#N/A,TRUE,"E93ADJ";"detail",#N/A,TRUE,"E93ADJ"}</definedName>
    <definedName name="_53" localSheetId="20" hidden="1">{"summary",#N/A,TRUE,"E93ADJ";"detail",#N/A,TRUE,"E93ADJ"}</definedName>
    <definedName name="_53" hidden="1">{"summary",#N/A,TRUE,"E93ADJ";"detail",#N/A,TRUE,"E93ADJ"}</definedName>
    <definedName name="_53a4dd657a7d492080838d3eb8c3260d" localSheetId="1" hidden="1">#REF!</definedName>
    <definedName name="_53a4dd657a7d492080838d3eb8c3260d" localSheetId="20" hidden="1">#REF!</definedName>
    <definedName name="_53a4dd657a7d492080838d3eb8c3260d" hidden="1">#REF!</definedName>
    <definedName name="_54" localSheetId="1" hidden="1">{#N/A,#N/A,FALSE,"COMPAPER";#N/A,#N/A,FALSE,"AFUDC";#N/A,#N/A,FALSE,"JE"}</definedName>
    <definedName name="_54" localSheetId="13" hidden="1">{#N/A,#N/A,FALSE,"COMPAPER";#N/A,#N/A,FALSE,"AFUDC";#N/A,#N/A,FALSE,"JE"}</definedName>
    <definedName name="_54" localSheetId="18" hidden="1">{#N/A,#N/A,FALSE,"COMPAPER";#N/A,#N/A,FALSE,"AFUDC";#N/A,#N/A,FALSE,"JE"}</definedName>
    <definedName name="_54" localSheetId="20" hidden="1">{#N/A,#N/A,FALSE,"COMPAPER";#N/A,#N/A,FALSE,"AFUDC";#N/A,#N/A,FALSE,"JE"}</definedName>
    <definedName name="_54" hidden="1">{#N/A,#N/A,FALSE,"COMPAPER";#N/A,#N/A,FALSE,"AFUDC";#N/A,#N/A,FALSE,"JE"}</definedName>
    <definedName name="_54__123Graph_ACHART_3" localSheetId="13" hidden="1">[9]Data!$R$30:$R$228</definedName>
    <definedName name="_54__123Graph_ACHART_3" localSheetId="18" hidden="1">[10]Data!$R$30:$R$228</definedName>
    <definedName name="_54__123Graph_ACHART_3" hidden="1">#REF!</definedName>
    <definedName name="_543bd27f49c0477f9cf713debc845cc7" localSheetId="1" hidden="1">#REF!</definedName>
    <definedName name="_543bd27f49c0477f9cf713debc845cc7" localSheetId="20" hidden="1">#REF!</definedName>
    <definedName name="_543bd27f49c0477f9cf713debc845cc7" hidden="1">#REF!</definedName>
    <definedName name="_54b709d0d47c43f9ae7e3f7b85db2aae" localSheetId="1" hidden="1">#REF!</definedName>
    <definedName name="_54b709d0d47c43f9ae7e3f7b85db2aae" localSheetId="20" hidden="1">#REF!</definedName>
    <definedName name="_54b709d0d47c43f9ae7e3f7b85db2aae" hidden="1">#REF!</definedName>
    <definedName name="_54d39d70510945bea81a07a05117ab81" localSheetId="1" hidden="1">#REF!</definedName>
    <definedName name="_54d39d70510945bea81a07a05117ab81" localSheetId="20" hidden="1">#REF!</definedName>
    <definedName name="_54d39d70510945bea81a07a05117ab81" hidden="1">#REF!</definedName>
    <definedName name="_55" localSheetId="1" hidden="1">{"pb",#N/A,FALSE,"Sheet3";"pd",#N/A,FALSE,"Sheet3";"pe",#N/A,FALSE,"Sheet3"}</definedName>
    <definedName name="_55" localSheetId="13" hidden="1">{"pb",#N/A,FALSE,"Sheet3";"pd",#N/A,FALSE,"Sheet3";"pe",#N/A,FALSE,"Sheet3"}</definedName>
    <definedName name="_55" localSheetId="18" hidden="1">{"pb",#N/A,FALSE,"Sheet3";"pd",#N/A,FALSE,"Sheet3";"pe",#N/A,FALSE,"Sheet3"}</definedName>
    <definedName name="_55" localSheetId="20" hidden="1">{"pb",#N/A,FALSE,"Sheet3";"pd",#N/A,FALSE,"Sheet3";"pe",#N/A,FALSE,"Sheet3"}</definedName>
    <definedName name="_55" hidden="1">{"pb",#N/A,FALSE,"Sheet3";"pd",#N/A,FALSE,"Sheet3";"pe",#N/A,FALSE,"Sheet3"}</definedName>
    <definedName name="_551511c13479489babc62b39448ca4e2" localSheetId="1" hidden="1">#REF!</definedName>
    <definedName name="_551511c13479489babc62b39448ca4e2" localSheetId="20" hidden="1">#REF!</definedName>
    <definedName name="_551511c13479489babc62b39448ca4e2" hidden="1">#REF!</definedName>
    <definedName name="_55a413c004804dcbb6e6d8eca53236fe" localSheetId="1" hidden="1">#REF!</definedName>
    <definedName name="_55a413c004804dcbb6e6d8eca53236fe" localSheetId="20" hidden="1">#REF!</definedName>
    <definedName name="_55a413c004804dcbb6e6d8eca53236fe" hidden="1">#REF!</definedName>
    <definedName name="_56" localSheetId="1" hidden="1">{#N/A,#N/A,TRUE,"1990";#N/A,#N/A,TRUE,"1991";#N/A,#N/A,TRUE,"1992";#N/A,#N/A,TRUE,"1993"}</definedName>
    <definedName name="_56" localSheetId="13" hidden="1">{#N/A,#N/A,TRUE,"1990";#N/A,#N/A,TRUE,"1991";#N/A,#N/A,TRUE,"1992";#N/A,#N/A,TRUE,"1993"}</definedName>
    <definedName name="_56" localSheetId="18" hidden="1">{#N/A,#N/A,TRUE,"1990";#N/A,#N/A,TRUE,"1991";#N/A,#N/A,TRUE,"1992";#N/A,#N/A,TRUE,"1993"}</definedName>
    <definedName name="_56" localSheetId="20" hidden="1">{#N/A,#N/A,TRUE,"1990";#N/A,#N/A,TRUE,"1991";#N/A,#N/A,TRUE,"1992";#N/A,#N/A,TRUE,"1993"}</definedName>
    <definedName name="_56" hidden="1">{#N/A,#N/A,TRUE,"1990";#N/A,#N/A,TRUE,"1991";#N/A,#N/A,TRUE,"1992";#N/A,#N/A,TRUE,"1993"}</definedName>
    <definedName name="_56__123Graph_ACHART_4" localSheetId="13" hidden="1">[15]Data!$E$30:$E$233</definedName>
    <definedName name="_56__123Graph_ACHART_4" localSheetId="18" hidden="1">[15]Data!$E$30:$E$233</definedName>
    <definedName name="_56__123Graph_ACHART_4" hidden="1">#REF!</definedName>
    <definedName name="_5634c8f3186449da821042bd0a6d7f36" localSheetId="1" hidden="1">#REF!</definedName>
    <definedName name="_5634c8f3186449da821042bd0a6d7f36" localSheetId="20" hidden="1">#REF!</definedName>
    <definedName name="_5634c8f3186449da821042bd0a6d7f36" hidden="1">#REF!</definedName>
    <definedName name="_563bd2a87ab74ae6bfe0c35e4c75945b" localSheetId="1" hidden="1">#REF!</definedName>
    <definedName name="_563bd2a87ab74ae6bfe0c35e4c75945b" localSheetId="20" hidden="1">#REF!</definedName>
    <definedName name="_563bd2a87ab74ae6bfe0c35e4c75945b" hidden="1">#REF!</definedName>
    <definedName name="_568da1d6499b4e5d920bd79052b523c3" localSheetId="1" hidden="1">#REF!</definedName>
    <definedName name="_568da1d6499b4e5d920bd79052b523c3" localSheetId="20" hidden="1">#REF!</definedName>
    <definedName name="_568da1d6499b4e5d920bd79052b523c3" hidden="1">#REF!</definedName>
    <definedName name="_57" localSheetId="1" hidden="1">{#N/A,#N/A,FALSE,"SCA";#N/A,#N/A,FALSE,"NCA";#N/A,#N/A,FALSE,"SAZ";#N/A,#N/A,FALSE,"CAZ";#N/A,#N/A,FALSE,"SNV";#N/A,#N/A,FALSE,"NNV";#N/A,#N/A,FALSE,"PP";#N/A,#N/A,FALSE,"SA"}</definedName>
    <definedName name="_57" localSheetId="13" hidden="1">{#N/A,#N/A,FALSE,"SCA";#N/A,#N/A,FALSE,"NCA";#N/A,#N/A,FALSE,"SAZ";#N/A,#N/A,FALSE,"CAZ";#N/A,#N/A,FALSE,"SNV";#N/A,#N/A,FALSE,"NNV";#N/A,#N/A,FALSE,"PP";#N/A,#N/A,FALSE,"SA"}</definedName>
    <definedName name="_57" localSheetId="18" hidden="1">{#N/A,#N/A,FALSE,"SCA";#N/A,#N/A,FALSE,"NCA";#N/A,#N/A,FALSE,"SAZ";#N/A,#N/A,FALSE,"CAZ";#N/A,#N/A,FALSE,"SNV";#N/A,#N/A,FALSE,"NNV";#N/A,#N/A,FALSE,"PP";#N/A,#N/A,FALSE,"SA"}</definedName>
    <definedName name="_57" localSheetId="20" hidden="1">{#N/A,#N/A,FALSE,"SCA";#N/A,#N/A,FALSE,"NCA";#N/A,#N/A,FALSE,"SAZ";#N/A,#N/A,FALSE,"CAZ";#N/A,#N/A,FALSE,"SNV";#N/A,#N/A,FALSE,"NNV";#N/A,#N/A,FALSE,"PP";#N/A,#N/A,FALSE,"SA"}</definedName>
    <definedName name="_57" hidden="1">{#N/A,#N/A,FALSE,"SCA";#N/A,#N/A,FALSE,"NCA";#N/A,#N/A,FALSE,"SAZ";#N/A,#N/A,FALSE,"CAZ";#N/A,#N/A,FALSE,"SNV";#N/A,#N/A,FALSE,"NNV";#N/A,#N/A,FALSE,"PP";#N/A,#N/A,FALSE,"SA"}</definedName>
    <definedName name="_576a0b6a9e254074bf4c225350b1a62d" localSheetId="1" hidden="1">#REF!</definedName>
    <definedName name="_576a0b6a9e254074bf4c225350b1a62d" localSheetId="20" hidden="1">#REF!</definedName>
    <definedName name="_576a0b6a9e254074bf4c225350b1a62d" hidden="1">#REF!</definedName>
    <definedName name="_58" localSheetId="1" hidden="1">{#N/A,#N/A,FALSE,"SCA";#N/A,#N/A,FALSE,"NCA";#N/A,#N/A,FALSE,"SAZ";#N/A,#N/A,FALSE,"CAZ";#N/A,#N/A,FALSE,"SNV";#N/A,#N/A,FALSE,"NNV";#N/A,#N/A,FALSE,"PP";#N/A,#N/A,FALSE,"SA"}</definedName>
    <definedName name="_58" localSheetId="13" hidden="1">{#N/A,#N/A,FALSE,"SCA";#N/A,#N/A,FALSE,"NCA";#N/A,#N/A,FALSE,"SAZ";#N/A,#N/A,FALSE,"CAZ";#N/A,#N/A,FALSE,"SNV";#N/A,#N/A,FALSE,"NNV";#N/A,#N/A,FALSE,"PP";#N/A,#N/A,FALSE,"SA"}</definedName>
    <definedName name="_58" localSheetId="18" hidden="1">{#N/A,#N/A,FALSE,"SCA";#N/A,#N/A,FALSE,"NCA";#N/A,#N/A,FALSE,"SAZ";#N/A,#N/A,FALSE,"CAZ";#N/A,#N/A,FALSE,"SNV";#N/A,#N/A,FALSE,"NNV";#N/A,#N/A,FALSE,"PP";#N/A,#N/A,FALSE,"SA"}</definedName>
    <definedName name="_58" localSheetId="20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localSheetId="1" hidden="1">{"ARK_JURIS_FAC",#N/A,FALSE,"Ark_Fuel&amp;Rev"}</definedName>
    <definedName name="_59" localSheetId="13" hidden="1">{"ARK_JURIS_FAC",#N/A,FALSE,"Ark_Fuel&amp;Rev"}</definedName>
    <definedName name="_59" localSheetId="18" hidden="1">{"ARK_JURIS_FAC",#N/A,FALSE,"Ark_Fuel&amp;Rev"}</definedName>
    <definedName name="_59" localSheetId="20" hidden="1">{"ARK_JURIS_FAC",#N/A,FALSE,"Ark_Fuel&amp;Rev"}</definedName>
    <definedName name="_59" hidden="1">{"ARK_JURIS_FAC",#N/A,FALSE,"Ark_Fuel&amp;Rev"}</definedName>
    <definedName name="_5994758ded2540b9a438e940a1bad138" localSheetId="1" hidden="1">#REF!</definedName>
    <definedName name="_5994758ded2540b9a438e940a1bad138" localSheetId="20" hidden="1">#REF!</definedName>
    <definedName name="_5994758ded2540b9a438e940a1bad138" hidden="1">#REF!</definedName>
    <definedName name="_5a378563593941a9898d5186cb877d45" localSheetId="1" hidden="1">#REF!</definedName>
    <definedName name="_5a378563593941a9898d5186cb877d45" localSheetId="20" hidden="1">#REF!</definedName>
    <definedName name="_5a378563593941a9898d5186cb877d45" hidden="1">#REF!</definedName>
    <definedName name="_5a6b9eefc366491c926aaf0d6fa4aef7" localSheetId="1" hidden="1">#REF!</definedName>
    <definedName name="_5a6b9eefc366491c926aaf0d6fa4aef7" localSheetId="20" hidden="1">#REF!</definedName>
    <definedName name="_5a6b9eefc366491c926aaf0d6fa4aef7" hidden="1">#REF!</definedName>
    <definedName name="_5af1406e929c45f68fe9a75ee65d5daf" localSheetId="1" hidden="1">#REF!</definedName>
    <definedName name="_5af1406e929c45f68fe9a75ee65d5daf" localSheetId="20" hidden="1">#REF!</definedName>
    <definedName name="_5af1406e929c45f68fe9a75ee65d5daf" hidden="1">#REF!</definedName>
    <definedName name="_5bca94ec39b84da8a2a42fe628bc535c" localSheetId="1" hidden="1">#REF!</definedName>
    <definedName name="_5bca94ec39b84da8a2a42fe628bc535c" localSheetId="20" hidden="1">#REF!</definedName>
    <definedName name="_5bca94ec39b84da8a2a42fe628bc535c" hidden="1">#REF!</definedName>
    <definedName name="_5c22f5d49132467283755ae8324e84dd" localSheetId="1" hidden="1">#REF!</definedName>
    <definedName name="_5c22f5d49132467283755ae8324e84dd" localSheetId="20" hidden="1">#REF!</definedName>
    <definedName name="_5c22f5d49132467283755ae8324e84dd" hidden="1">#REF!</definedName>
    <definedName name="_5ca0b72c4e5b4e5d87c417267d1d377d" localSheetId="1" hidden="1">#REF!</definedName>
    <definedName name="_5ca0b72c4e5b4e5d87c417267d1d377d" localSheetId="20" hidden="1">#REF!</definedName>
    <definedName name="_5ca0b72c4e5b4e5d87c417267d1d377d" hidden="1">#REF!</definedName>
    <definedName name="_5d038c950fe24706b46b8793090100be" localSheetId="1" hidden="1">#REF!</definedName>
    <definedName name="_5d038c950fe24706b46b8793090100be" localSheetId="20" hidden="1">#REF!</definedName>
    <definedName name="_5d038c950fe24706b46b8793090100be" hidden="1">#REF!</definedName>
    <definedName name="_5d340844f8b34131b058cec36258fdac" localSheetId="1" hidden="1">#REF!</definedName>
    <definedName name="_5d340844f8b34131b058cec36258fdac" localSheetId="20" hidden="1">#REF!</definedName>
    <definedName name="_5d340844f8b34131b058cec36258fdac" hidden="1">#REF!</definedName>
    <definedName name="_5e3bc71dc0a24709a4c7359d5c4bf3b3" localSheetId="1" hidden="1">#REF!</definedName>
    <definedName name="_5e3bc71dc0a24709a4c7359d5c4bf3b3" localSheetId="20" hidden="1">#REF!</definedName>
    <definedName name="_5e3bc71dc0a24709a4c7359d5c4bf3b3" hidden="1">#REF!</definedName>
    <definedName name="_5e48246ad2b3475d84a4cd7624472bbf" localSheetId="1" hidden="1">#REF!</definedName>
    <definedName name="_5e48246ad2b3475d84a4cd7624472bbf" localSheetId="20" hidden="1">#REF!</definedName>
    <definedName name="_5e48246ad2b3475d84a4cd7624472bbf" hidden="1">#REF!</definedName>
    <definedName name="_5e64eac292ca4a45927072879ca9a2a4" localSheetId="1" hidden="1">#REF!</definedName>
    <definedName name="_5e64eac292ca4a45927072879ca9a2a4" localSheetId="20" hidden="1">#REF!</definedName>
    <definedName name="_5e64eac292ca4a45927072879ca9a2a4" hidden="1">#REF!</definedName>
    <definedName name="_5fd46b6c2c7b4067be23966fdd2c4276" localSheetId="1" hidden="1">#REF!</definedName>
    <definedName name="_5fd46b6c2c7b4067be23966fdd2c4276" localSheetId="20" hidden="1">#REF!</definedName>
    <definedName name="_5fd46b6c2c7b4067be23966fdd2c4276" hidden="1">#REF!</definedName>
    <definedName name="_6" localSheetId="1" hidden="1">{#N/A,#N/A,FALSE,"SCA";#N/A,#N/A,FALSE,"NCA";#N/A,#N/A,FALSE,"SAZ";#N/A,#N/A,FALSE,"CAZ";#N/A,#N/A,FALSE,"SNV";#N/A,#N/A,FALSE,"NNV";#N/A,#N/A,FALSE,"PP";#N/A,#N/A,FALSE,"SA"}</definedName>
    <definedName name="_6" localSheetId="13" hidden="1">{#N/A,#N/A,FALSE,"SCA";#N/A,#N/A,FALSE,"NCA";#N/A,#N/A,FALSE,"SAZ";#N/A,#N/A,FALSE,"CAZ";#N/A,#N/A,FALSE,"SNV";#N/A,#N/A,FALSE,"NNV";#N/A,#N/A,FALSE,"PP";#N/A,#N/A,FALSE,"SA"}</definedName>
    <definedName name="_6" localSheetId="18" hidden="1">{#N/A,#N/A,FALSE,"SCA";#N/A,#N/A,FALSE,"NCA";#N/A,#N/A,FALSE,"SAZ";#N/A,#N/A,FALSE,"CAZ";#N/A,#N/A,FALSE,"SNV";#N/A,#N/A,FALSE,"NNV";#N/A,#N/A,FALSE,"PP";#N/A,#N/A,FALSE,"SA"}</definedName>
    <definedName name="_6" localSheetId="20" hidden="1">{#N/A,#N/A,FALSE,"SCA";#N/A,#N/A,FALSE,"NCA";#N/A,#N/A,FALSE,"SAZ";#N/A,#N/A,FALSE,"CAZ";#N/A,#N/A,FALSE,"SNV";#N/A,#N/A,FALSE,"NNV";#N/A,#N/A,FALSE,"PP";#N/A,#N/A,FALSE,"SA"}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16" localSheetId="13" hidden="1">'[11]summ graf'!$D$34:$HK$34</definedName>
    <definedName name="_6__123Graph_ACHART_16" localSheetId="18" hidden="1">'[11]summ graf'!$D$34:$HK$34</definedName>
    <definedName name="_6__123Graph_ACHART_16" hidden="1">#REF!</definedName>
    <definedName name="_6__123Graph_ACHART_3" localSheetId="13" hidden="1">[9]Data!$R$30:$R$228</definedName>
    <definedName name="_6__123Graph_ACHART_3" localSheetId="18" hidden="1">[10]Data!$R$30:$R$228</definedName>
    <definedName name="_6__123Graph_ACHART_3" hidden="1">#REF!</definedName>
    <definedName name="_6__123Graph_ACHART_6" localSheetId="13" hidden="1">[9]Data!$E$30:$E$229</definedName>
    <definedName name="_6__123Graph_ACHART_6" localSheetId="18" hidden="1">[10]Data!$E$30:$E$229</definedName>
    <definedName name="_6__123Graph_ACHART_6" hidden="1">#REF!</definedName>
    <definedName name="_60" localSheetId="1" hidden="1">{"ARK_JURIS_FUEL",#N/A,FALSE,"Ark_Fuel&amp;Rev"}</definedName>
    <definedName name="_60" localSheetId="13" hidden="1">{"ARK_JURIS_FUEL",#N/A,FALSE,"Ark_Fuel&amp;Rev"}</definedName>
    <definedName name="_60" localSheetId="18" hidden="1">{"ARK_JURIS_FUEL",#N/A,FALSE,"Ark_Fuel&amp;Rev"}</definedName>
    <definedName name="_60" localSheetId="20" hidden="1">{"ARK_JURIS_FUEL",#N/A,FALSE,"Ark_Fuel&amp;Rev"}</definedName>
    <definedName name="_60" hidden="1">{"ARK_JURIS_FUEL",#N/A,FALSE,"Ark_Fuel&amp;Rev"}</definedName>
    <definedName name="_6027e102adac48daa869ef79a0499d4b" localSheetId="1" hidden="1">#REF!</definedName>
    <definedName name="_6027e102adac48daa869ef79a0499d4b" localSheetId="20" hidden="1">#REF!</definedName>
    <definedName name="_6027e102adac48daa869ef79a0499d4b" hidden="1">#REF!</definedName>
    <definedName name="_60377df385d142e6bde01db4e84e3638" localSheetId="1" hidden="1">#REF!</definedName>
    <definedName name="_60377df385d142e6bde01db4e84e3638" localSheetId="20" hidden="1">#REF!</definedName>
    <definedName name="_60377df385d142e6bde01db4e84e3638" hidden="1">#REF!</definedName>
    <definedName name="_61" localSheetId="1" hidden="1">{"ATOKA_FAC",#N/A,FALSE,"Atoka"}</definedName>
    <definedName name="_61" localSheetId="13" hidden="1">{"ATOKA_FAC",#N/A,FALSE,"Atoka"}</definedName>
    <definedName name="_61" localSheetId="18" hidden="1">{"ATOKA_FAC",#N/A,FALSE,"Atoka"}</definedName>
    <definedName name="_61" localSheetId="20" hidden="1">{"ATOKA_FAC",#N/A,FALSE,"Atoka"}</definedName>
    <definedName name="_61" hidden="1">{"ATOKA_FAC",#N/A,FALSE,"Atoka"}</definedName>
    <definedName name="_6152f1ec597747c18e27b1afb1241aac" localSheetId="1" hidden="1">#REF!</definedName>
    <definedName name="_6152f1ec597747c18e27b1afb1241aac" localSheetId="20" hidden="1">#REF!</definedName>
    <definedName name="_6152f1ec597747c18e27b1afb1241aac" hidden="1">#REF!</definedName>
    <definedName name="_61e68fbbbb24414cbc08105af25996c4" localSheetId="1" hidden="1">#REF!</definedName>
    <definedName name="_61e68fbbbb24414cbc08105af25996c4" localSheetId="20" hidden="1">#REF!</definedName>
    <definedName name="_61e68fbbbb24414cbc08105af25996c4" hidden="1">#REF!</definedName>
    <definedName name="_62" localSheetId="1" hidden="1">{"Benefits Summary",#N/A,FALSE,"Benefits Info without WC Amount";"Medical and Dental Costs",#N/A,FALSE,"Benefits Info without WC Amount";"Workers' Compensation",#N/A,FALSE,"Benefits Info without WC Amount"}</definedName>
    <definedName name="_62" localSheetId="13" hidden="1">{"Benefits Summary",#N/A,FALSE,"Benefits Info without WC Amount";"Medical and Dental Costs",#N/A,FALSE,"Benefits Info without WC Amount";"Workers' Compensation",#N/A,FALSE,"Benefits Info without WC Amount"}</definedName>
    <definedName name="_62" localSheetId="18" hidden="1">{"Benefits Summary",#N/A,FALSE,"Benefits Info without WC Amount";"Medical and Dental Costs",#N/A,FALSE,"Benefits Info without WC Amount";"Workers' Compensation",#N/A,FALSE,"Benefits Info without WC Amount"}</definedName>
    <definedName name="_62" localSheetId="20" hidden="1">{"Benefits Summary",#N/A,FALSE,"Benefits Info without WC Amount";"Medical and Dental Costs",#N/A,FALSE,"Benefits Info without WC Amount";"Workers' Compensation",#N/A,FALSE,"Benefits Info without WC Amount"}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2d5114135ec4137a1affdd67b5ea209" localSheetId="1" hidden="1">#REF!</definedName>
    <definedName name="_62d5114135ec4137a1affdd67b5ea209" localSheetId="20" hidden="1">#REF!</definedName>
    <definedName name="_62d5114135ec4137a1affdd67b5ea209" hidden="1">#REF!</definedName>
    <definedName name="_63" localSheetId="1" hidden="1">{#N/A,#N/A,FALSE,"Rev Seg Taxes";#N/A,#N/A,FALSE,"BookRev Seg";#N/A,#N/A,FALSE,"Supp Adj Seg";#N/A,#N/A,FALSE,"outside prov seg taxes"}</definedName>
    <definedName name="_63" localSheetId="13" hidden="1">{#N/A,#N/A,FALSE,"Rev Seg Taxes";#N/A,#N/A,FALSE,"BookRev Seg";#N/A,#N/A,FALSE,"Supp Adj Seg";#N/A,#N/A,FALSE,"outside prov seg taxes"}</definedName>
    <definedName name="_63" localSheetId="18" hidden="1">{#N/A,#N/A,FALSE,"Rev Seg Taxes";#N/A,#N/A,FALSE,"BookRev Seg";#N/A,#N/A,FALSE,"Supp Adj Seg";#N/A,#N/A,FALSE,"outside prov seg taxes"}</definedName>
    <definedName name="_63" localSheetId="20" hidden="1">{#N/A,#N/A,FALSE,"Rev Seg Taxes";#N/A,#N/A,FALSE,"BookRev Seg";#N/A,#N/A,FALSE,"Supp Adj Seg";#N/A,#N/A,FALSE,"outside prov seg taxes"}</definedName>
    <definedName name="_63" hidden="1">{#N/A,#N/A,FALSE,"Rev Seg Taxes";#N/A,#N/A,FALSE,"BookRev Seg";#N/A,#N/A,FALSE,"Supp Adj Seg";#N/A,#N/A,FALSE,"outside prov seg taxes"}</definedName>
    <definedName name="_63__123Graph_ACHART_3" localSheetId="13" hidden="1">[14]Data!$R$30:$R$228</definedName>
    <definedName name="_63__123Graph_ACHART_3" localSheetId="18" hidden="1">[14]Data!$R$30:$R$228</definedName>
    <definedName name="_63__123Graph_ACHART_3" hidden="1">#REF!</definedName>
    <definedName name="_63571fa017c94154b8119cffa56f33fa" localSheetId="1" hidden="1">#REF!</definedName>
    <definedName name="_63571fa017c94154b8119cffa56f33fa" localSheetId="20" hidden="1">#REF!</definedName>
    <definedName name="_63571fa017c94154b8119cffa56f33fa" hidden="1">#REF!</definedName>
    <definedName name="_64" localSheetId="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13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18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2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15aec0098f4260a9615dbe50b40cca" localSheetId="1" hidden="1">#REF!</definedName>
    <definedName name="_6415aec0098f4260a9615dbe50b40cca" localSheetId="20" hidden="1">#REF!</definedName>
    <definedName name="_6415aec0098f4260a9615dbe50b40cca" hidden="1">#REF!</definedName>
    <definedName name="_647c58ba255b4057b48e6aa2355ffae4" localSheetId="1" hidden="1">#REF!</definedName>
    <definedName name="_647c58ba255b4057b48e6aa2355ffae4" localSheetId="20" hidden="1">#REF!</definedName>
    <definedName name="_647c58ba255b4057b48e6aa2355ffae4" hidden="1">#REF!</definedName>
    <definedName name="_65" localSheetId="1" hidden="1">{#N/A,#N/A,FALSE,"GLDwnLoad"}</definedName>
    <definedName name="_65" localSheetId="13" hidden="1">{#N/A,#N/A,FALSE,"GLDwnLoad"}</definedName>
    <definedName name="_65" localSheetId="18" hidden="1">{#N/A,#N/A,FALSE,"GLDwnLoad"}</definedName>
    <definedName name="_65" localSheetId="20" hidden="1">{#N/A,#N/A,FALSE,"GLDwnLoad"}</definedName>
    <definedName name="_65" hidden="1">{#N/A,#N/A,FALSE,"GLDwnLoad"}</definedName>
    <definedName name="_65554bf427254c6eb22cd719ff3d4be4" localSheetId="1" hidden="1">#REF!</definedName>
    <definedName name="_65554bf427254c6eb22cd719ff3d4be4" localSheetId="20" hidden="1">#REF!</definedName>
    <definedName name="_65554bf427254c6eb22cd719ff3d4be4" hidden="1">#REF!</definedName>
    <definedName name="_659cd7f5f4574e9ca2ce16b5739ba62b" localSheetId="1" hidden="1">#REF!</definedName>
    <definedName name="_659cd7f5f4574e9ca2ce16b5739ba62b" localSheetId="20" hidden="1">#REF!</definedName>
    <definedName name="_659cd7f5f4574e9ca2ce16b5739ba62b" hidden="1">#REF!</definedName>
    <definedName name="_66" localSheetId="1" hidden="1">{#N/A,#N/A,FALSE,"OTHERINPUTS";#N/A,#N/A,FALSE,"DITRATEINPUTS";#N/A,#N/A,FALSE,"SUPPLIEDADJINPUT";#N/A,#N/A,FALSE,"BR&amp;SUPADJ."}</definedName>
    <definedName name="_66" localSheetId="13" hidden="1">{#N/A,#N/A,FALSE,"OTHERINPUTS";#N/A,#N/A,FALSE,"DITRATEINPUTS";#N/A,#N/A,FALSE,"SUPPLIEDADJINPUT";#N/A,#N/A,FALSE,"BR&amp;SUPADJ."}</definedName>
    <definedName name="_66" localSheetId="18" hidden="1">{#N/A,#N/A,FALSE,"OTHERINPUTS";#N/A,#N/A,FALSE,"DITRATEINPUTS";#N/A,#N/A,FALSE,"SUPPLIEDADJINPUT";#N/A,#N/A,FALSE,"BR&amp;SUPADJ."}</definedName>
    <definedName name="_66" localSheetId="20" hidden="1">{#N/A,#N/A,FALSE,"OTHERINPUTS";#N/A,#N/A,FALSE,"DITRATEINPUTS";#N/A,#N/A,FALSE,"SUPPLIEDADJINPUT";#N/A,#N/A,FALSE,"BR&amp;SUPADJ."}</definedName>
    <definedName name="_66" hidden="1">{#N/A,#N/A,FALSE,"OTHERINPUTS";#N/A,#N/A,FALSE,"DITRATEINPUTS";#N/A,#N/A,FALSE,"SUPPLIEDADJINPUT";#N/A,#N/A,FALSE,"BR&amp;SUPADJ."}</definedName>
    <definedName name="_662bf2f3c5f141eba3ca7ff03ad1d231" localSheetId="1" hidden="1">#REF!</definedName>
    <definedName name="_662bf2f3c5f141eba3ca7ff03ad1d231" localSheetId="20" hidden="1">#REF!</definedName>
    <definedName name="_662bf2f3c5f141eba3ca7ff03ad1d231" hidden="1">#REF!</definedName>
    <definedName name="_67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1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18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2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localSheetId="1" hidden="1">{"CONOCO_FAC",#N/A,FALSE,"Conoco FAC"}</definedName>
    <definedName name="_68" localSheetId="13" hidden="1">{"CONOCO_FAC",#N/A,FALSE,"Conoco FAC"}</definedName>
    <definedName name="_68" localSheetId="18" hidden="1">{"CONOCO_FAC",#N/A,FALSE,"Conoco FAC"}</definedName>
    <definedName name="_68" localSheetId="20" hidden="1">{"CONOCO_FAC",#N/A,FALSE,"Conoco FAC"}</definedName>
    <definedName name="_68" hidden="1">{"CONOCO_FAC",#N/A,FALSE,"Conoco FAC"}</definedName>
    <definedName name="_68__123Graph_ACHART_4" localSheetId="13" hidden="1">[9]Data!$E$30:$E$233</definedName>
    <definedName name="_68__123Graph_ACHART_4" localSheetId="18" hidden="1">[10]Data!$E$30:$E$233</definedName>
    <definedName name="_68__123Graph_ACHART_4" hidden="1">#REF!</definedName>
    <definedName name="_687cf64e91a2413380a1266e264b8981" localSheetId="1" hidden="1">#REF!</definedName>
    <definedName name="_687cf64e91a2413380a1266e264b8981" localSheetId="20" hidden="1">#REF!</definedName>
    <definedName name="_687cf64e91a2413380a1266e264b8981" hidden="1">#REF!</definedName>
    <definedName name="_68eb2308afd94e3eaa081dbb44300f3e" localSheetId="1" hidden="1">#REF!</definedName>
    <definedName name="_68eb2308afd94e3eaa081dbb44300f3e" localSheetId="20" hidden="1">#REF!</definedName>
    <definedName name="_68eb2308afd94e3eaa081dbb44300f3e" hidden="1">#REF!</definedName>
    <definedName name="_69" localSheetId="1" hidden="1">{#N/A,#N/A,FALSE,"GLDwnLoad"}</definedName>
    <definedName name="_69" localSheetId="13" hidden="1">{#N/A,#N/A,FALSE,"GLDwnLoad"}</definedName>
    <definedName name="_69" localSheetId="18" hidden="1">{#N/A,#N/A,FALSE,"GLDwnLoad"}</definedName>
    <definedName name="_69" localSheetId="20" hidden="1">{#N/A,#N/A,FALSE,"GLDwnLoad"}</definedName>
    <definedName name="_69" hidden="1">{#N/A,#N/A,FALSE,"GLDwnLoad"}</definedName>
    <definedName name="_694249487fb149aeb9acbefd7f44dae9" localSheetId="1" hidden="1">#REF!</definedName>
    <definedName name="_694249487fb149aeb9acbefd7f44dae9" localSheetId="20" hidden="1">#REF!</definedName>
    <definedName name="_694249487fb149aeb9acbefd7f44dae9" hidden="1">#REF!</definedName>
    <definedName name="_69bf37c5d2a44d468e81863a77a44ac8" localSheetId="1" hidden="1">#REF!</definedName>
    <definedName name="_69bf37c5d2a44d468e81863a77a44ac8" localSheetId="20" hidden="1">#REF!</definedName>
    <definedName name="_69bf37c5d2a44d468e81863a77a44ac8" hidden="1">#REF!</definedName>
    <definedName name="_6a1c561f605843ecab41b6541c2655a9" localSheetId="1" hidden="1">#REF!</definedName>
    <definedName name="_6a1c561f605843ecab41b6541c2655a9" localSheetId="20" hidden="1">#REF!</definedName>
    <definedName name="_6a1c561f605843ecab41b6541c2655a9" hidden="1">#REF!</definedName>
    <definedName name="_6a6a9afc1623457386e00fbf42c5b20e" localSheetId="1" hidden="1">#REF!</definedName>
    <definedName name="_6a6a9afc1623457386e00fbf42c5b20e" localSheetId="20" hidden="1">#REF!</definedName>
    <definedName name="_6a6a9afc1623457386e00fbf42c5b20e" hidden="1">#REF!</definedName>
    <definedName name="_6a94ea440bf34140a6842a1b85964fbd" localSheetId="1" hidden="1">#REF!</definedName>
    <definedName name="_6a94ea440bf34140a6842a1b85964fbd" localSheetId="20" hidden="1">#REF!</definedName>
    <definedName name="_6a94ea440bf34140a6842a1b85964fbd" hidden="1">#REF!</definedName>
    <definedName name="_6b08f5ba27d94c06b289b97b7aad2c74" localSheetId="1" hidden="1">#REF!</definedName>
    <definedName name="_6b08f5ba27d94c06b289b97b7aad2c74" localSheetId="20" hidden="1">#REF!</definedName>
    <definedName name="_6b08f5ba27d94c06b289b97b7aad2c74" hidden="1">#REF!</definedName>
    <definedName name="_6b0cdea088f644eb974de5c6798835f0" localSheetId="1" hidden="1">#REF!</definedName>
    <definedName name="_6b0cdea088f644eb974de5c6798835f0" localSheetId="20" hidden="1">#REF!</definedName>
    <definedName name="_6b0cdea088f644eb974de5c6798835f0" hidden="1">#REF!</definedName>
    <definedName name="_6bffb8a8a3ee496d9fb1de4ae57d0eba" localSheetId="1" hidden="1">#REF!</definedName>
    <definedName name="_6bffb8a8a3ee496d9fb1de4ae57d0eba" localSheetId="20" hidden="1">#REF!</definedName>
    <definedName name="_6bffb8a8a3ee496d9fb1de4ae57d0eba" hidden="1">#REF!</definedName>
    <definedName name="_6cb97cbfb4194d50af4f6fac80082d96" localSheetId="1" hidden="1">#REF!</definedName>
    <definedName name="_6cb97cbfb4194d50af4f6fac80082d96" localSheetId="20" hidden="1">#REF!</definedName>
    <definedName name="_6cb97cbfb4194d50af4f6fac80082d96" hidden="1">#REF!</definedName>
    <definedName name="_6cf0ca1176df4a6c9a6ec4366e0dd13f" localSheetId="1" hidden="1">#REF!</definedName>
    <definedName name="_6cf0ca1176df4a6c9a6ec4366e0dd13f" localSheetId="20" hidden="1">#REF!</definedName>
    <definedName name="_6cf0ca1176df4a6c9a6ec4366e0dd13f" hidden="1">#REF!</definedName>
    <definedName name="_6d2e3fa46c3d431c88f6e3bc9efbf891" localSheetId="1" hidden="1">#REF!</definedName>
    <definedName name="_6d2e3fa46c3d431c88f6e3bc9efbf891" localSheetId="20" hidden="1">#REF!</definedName>
    <definedName name="_6d2e3fa46c3d431c88f6e3bc9efbf891" hidden="1">#REF!</definedName>
    <definedName name="_6f79ee797175416e90666a96062e136f" localSheetId="1" hidden="1">#REF!</definedName>
    <definedName name="_6f79ee797175416e90666a96062e136f" localSheetId="20" hidden="1">#REF!</definedName>
    <definedName name="_6f79ee797175416e90666a96062e136f" hidden="1">#REF!</definedName>
    <definedName name="_6fa268ca37544bf88b85d879e6a16320" localSheetId="1" hidden="1">#REF!</definedName>
    <definedName name="_6fa268ca37544bf88b85d879e6a16320" localSheetId="20" hidden="1">#REF!</definedName>
    <definedName name="_6fa268ca37544bf88b85d879e6a16320" hidden="1">#REF!</definedName>
    <definedName name="_7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ACHART_17" localSheetId="13" hidden="1">'[11]summ graf'!$D$14:$HK$14</definedName>
    <definedName name="_7__123Graph_ACHART_17" localSheetId="18" hidden="1">'[11]summ graf'!$D$14:$HK$14</definedName>
    <definedName name="_7__123Graph_ACHART_17" hidden="1">#REF!</definedName>
    <definedName name="_7__123Graph_BCHART_5" localSheetId="13" hidden="1">[9]Data!$P$30:$P$229</definedName>
    <definedName name="_7__123Graph_BCHART_5" localSheetId="18" hidden="1">[10]Data!$P$30:$P$229</definedName>
    <definedName name="_7__123Graph_BCHART_5" hidden="1">#REF!</definedName>
    <definedName name="_70" localSheetId="1" hidden="1">{#N/A,#N/A,FALSE,"OTHERINPUTS";#N/A,#N/A,FALSE,"DITRATEINPUTS";#N/A,#N/A,FALSE,"SUPPLIEDADJINPUT";#N/A,#N/A,FALSE,"TIMINGDIFFINPUTS";#N/A,#N/A,FALSE,"COSSINPUT";#N/A,#N/A,FALSE,"BR&amp;SUPADJ."}</definedName>
    <definedName name="_70" localSheetId="13" hidden="1">{#N/A,#N/A,FALSE,"OTHERINPUTS";#N/A,#N/A,FALSE,"DITRATEINPUTS";#N/A,#N/A,FALSE,"SUPPLIEDADJINPUT";#N/A,#N/A,FALSE,"TIMINGDIFFINPUTS";#N/A,#N/A,FALSE,"COSSINPUT";#N/A,#N/A,FALSE,"BR&amp;SUPADJ."}</definedName>
    <definedName name="_70" localSheetId="18" hidden="1">{#N/A,#N/A,FALSE,"OTHERINPUTS";#N/A,#N/A,FALSE,"DITRATEINPUTS";#N/A,#N/A,FALSE,"SUPPLIEDADJINPUT";#N/A,#N/A,FALSE,"TIMINGDIFFINPUTS";#N/A,#N/A,FALSE,"COSSINPUT";#N/A,#N/A,FALSE,"BR&amp;SUPADJ."}</definedName>
    <definedName name="_70" localSheetId="20" hidden="1">{#N/A,#N/A,FALSE,"OTHERINPUTS";#N/A,#N/A,FALSE,"DITRATEINPUTS";#N/A,#N/A,FALSE,"SUPPLIEDADJINPUT";#N/A,#N/A,FALSE,"TIMINGDIFFINPUTS";#N/A,#N/A,FALSE,"COSSINPUT";#N/A,#N/A,FALSE,"BR&amp;SUPADJ."}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localSheetId="13" hidden="1">[15]Data!$O$30:$O$226</definedName>
    <definedName name="_70__123Graph_ACHART_5" localSheetId="18" hidden="1">[15]Data!$O$30:$O$226</definedName>
    <definedName name="_70__123Graph_ACHART_5" hidden="1">#REF!</definedName>
    <definedName name="_70096ba3f693421d8e1fc1e43504f30b" localSheetId="1" hidden="1">#REF!</definedName>
    <definedName name="_70096ba3f693421d8e1fc1e43504f30b" localSheetId="20" hidden="1">#REF!</definedName>
    <definedName name="_70096ba3f693421d8e1fc1e43504f30b" hidden="1">#REF!</definedName>
    <definedName name="_71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1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18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1fdacd4fd34877a2c475a81e14f2b4" localSheetId="1" hidden="1">#REF!</definedName>
    <definedName name="_711fdacd4fd34877a2c475a81e14f2b4" localSheetId="20" hidden="1">#REF!</definedName>
    <definedName name="_711fdacd4fd34877a2c475a81e14f2b4" hidden="1">#REF!</definedName>
    <definedName name="_7141883a8a6347a3ba80b2900ba70af0" localSheetId="1" hidden="1">#REF!</definedName>
    <definedName name="_7141883a8a6347a3ba80b2900ba70af0" localSheetId="20" hidden="1">#REF!</definedName>
    <definedName name="_7141883a8a6347a3ba80b2900ba70af0" hidden="1">#REF!</definedName>
    <definedName name="_718b7b8a62fc44378e41dccd343e4c24" localSheetId="1" hidden="1">#REF!</definedName>
    <definedName name="_718b7b8a62fc44378e41dccd343e4c24" localSheetId="20" hidden="1">#REF!</definedName>
    <definedName name="_718b7b8a62fc44378e41dccd343e4c24" hidden="1">#REF!</definedName>
    <definedName name="_7195139a78fa46cd81549765280e802b" localSheetId="1" hidden="1">#REF!</definedName>
    <definedName name="_7195139a78fa46cd81549765280e802b" localSheetId="20" hidden="1">#REF!</definedName>
    <definedName name="_7195139a78fa46cd81549765280e802b" hidden="1">#REF!</definedName>
    <definedName name="_71be3719582b4c5b912c1bfdfd7a236b" localSheetId="1" hidden="1">#REF!</definedName>
    <definedName name="_71be3719582b4c5b912c1bfdfd7a236b" localSheetId="20" hidden="1">#REF!</definedName>
    <definedName name="_71be3719582b4c5b912c1bfdfd7a236b" hidden="1">#REF!</definedName>
    <definedName name="_71bf78affdfa4d0e9cd63e93a3e8463f" localSheetId="1" hidden="1">#REF!</definedName>
    <definedName name="_71bf78affdfa4d0e9cd63e93a3e8463f" localSheetId="20" hidden="1">#REF!</definedName>
    <definedName name="_71bf78affdfa4d0e9cd63e93a3e8463f" hidden="1">#REF!</definedName>
    <definedName name="_72" localSheetId="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13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18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2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localSheetId="13" hidden="1">[9]Data!$E$30:$E$233</definedName>
    <definedName name="_72__123Graph_ACHART_4" localSheetId="18" hidden="1">[10]Data!$E$30:$E$233</definedName>
    <definedName name="_72__123Graph_ACHART_4" hidden="1">#REF!</definedName>
    <definedName name="_73" localSheetId="1" hidden="1">{"FAC_SUMMARY",#N/A,FALSE,"Summaries"}</definedName>
    <definedName name="_73" localSheetId="13" hidden="1">{"FAC_SUMMARY",#N/A,FALSE,"Summaries"}</definedName>
    <definedName name="_73" localSheetId="18" hidden="1">{"FAC_SUMMARY",#N/A,FALSE,"Summaries"}</definedName>
    <definedName name="_73" localSheetId="20" hidden="1">{"FAC_SUMMARY",#N/A,FALSE,"Summaries"}</definedName>
    <definedName name="_73" hidden="1">{"FAC_SUMMARY",#N/A,FALSE,"Summaries"}</definedName>
    <definedName name="_733ed5eae54649918133af93459dbf64" localSheetId="1" hidden="1">#REF!</definedName>
    <definedName name="_733ed5eae54649918133af93459dbf64" localSheetId="20" hidden="1">#REF!</definedName>
    <definedName name="_733ed5eae54649918133af93459dbf64" hidden="1">#REF!</definedName>
    <definedName name="_734e6914283c437b8bd2a34b01b9913b" localSheetId="1" hidden="1">#REF!</definedName>
    <definedName name="_734e6914283c437b8bd2a34b01b9913b" localSheetId="20" hidden="1">#REF!</definedName>
    <definedName name="_734e6914283c437b8bd2a34b01b9913b" hidden="1">#REF!</definedName>
    <definedName name="_74" localSheetId="1" hidden="1">{"FERC_FAC",#N/A,FALSE,"FERC_Fuel&amp;Rev"}</definedName>
    <definedName name="_74" localSheetId="13" hidden="1">{"FERC_FAC",#N/A,FALSE,"FERC_Fuel&amp;Rev"}</definedName>
    <definedName name="_74" localSheetId="18" hidden="1">{"FERC_FAC",#N/A,FALSE,"FERC_Fuel&amp;Rev"}</definedName>
    <definedName name="_74" localSheetId="20" hidden="1">{"FERC_FAC",#N/A,FALSE,"FERC_Fuel&amp;Rev"}</definedName>
    <definedName name="_74" hidden="1">{"FERC_FAC",#N/A,FALSE,"FERC_Fuel&amp;Rev"}</definedName>
    <definedName name="_7433f55c6a354dde85f1f1f6bf1a55f1" localSheetId="1" hidden="1">#REF!</definedName>
    <definedName name="_7433f55c6a354dde85f1f1f6bf1a55f1" localSheetId="20" hidden="1">#REF!</definedName>
    <definedName name="_7433f55c6a354dde85f1f1f6bf1a55f1" hidden="1">#REF!</definedName>
    <definedName name="_74809490c9614a72bf543927fd19dd8c" localSheetId="1" hidden="1">#REF!</definedName>
    <definedName name="_74809490c9614a72bf543927fd19dd8c" localSheetId="20" hidden="1">#REF!</definedName>
    <definedName name="_74809490c9614a72bf543927fd19dd8c" hidden="1">#REF!</definedName>
    <definedName name="_74e69eaf68e845a78ff851ca3062c13f" localSheetId="1" hidden="1">#REF!</definedName>
    <definedName name="_74e69eaf68e845a78ff851ca3062c13f" localSheetId="20" hidden="1">#REF!</definedName>
    <definedName name="_74e69eaf68e845a78ff851ca3062c13f" hidden="1">#REF!</definedName>
    <definedName name="_75" localSheetId="1" hidden="1">{"FERC_WEATHER_AND_FUEL",#N/A,FALSE,"FERC_Fuel&amp;Rev"}</definedName>
    <definedName name="_75" localSheetId="13" hidden="1">{"FERC_WEATHER_AND_FUEL",#N/A,FALSE,"FERC_Fuel&amp;Rev"}</definedName>
    <definedName name="_75" localSheetId="18" hidden="1">{"FERC_WEATHER_AND_FUEL",#N/A,FALSE,"FERC_Fuel&amp;Rev"}</definedName>
    <definedName name="_75" localSheetId="20" hidden="1">{"FERC_WEATHER_AND_FUEL",#N/A,FALSE,"FERC_Fuel&amp;Rev"}</definedName>
    <definedName name="_75" hidden="1">{"FERC_WEATHER_AND_FUEL",#N/A,FALSE,"FERC_Fuel&amp;Rev"}</definedName>
    <definedName name="_754bfbc46284402dad020bcf83952467" localSheetId="1" hidden="1">#REF!</definedName>
    <definedName name="_754bfbc46284402dad020bcf83952467" localSheetId="20" hidden="1">#REF!</definedName>
    <definedName name="_754bfbc46284402dad020bcf83952467" hidden="1">#REF!</definedName>
    <definedName name="_76" localSheetId="1" hidden="1">{"wp_h4.2",#N/A,FALSE,"WP_H4.2";"wp_h4.3",#N/A,FALSE,"WP_H4.3"}</definedName>
    <definedName name="_76" localSheetId="13" hidden="1">{"wp_h4.2",#N/A,FALSE,"WP_H4.2";"wp_h4.3",#N/A,FALSE,"WP_H4.3"}</definedName>
    <definedName name="_76" localSheetId="18" hidden="1">{"wp_h4.2",#N/A,FALSE,"WP_H4.2";"wp_h4.3",#N/A,FALSE,"WP_H4.3"}</definedName>
    <definedName name="_76" localSheetId="20" hidden="1">{"wp_h4.2",#N/A,FALSE,"WP_H4.2";"wp_h4.3",#N/A,FALSE,"WP_H4.3"}</definedName>
    <definedName name="_76" hidden="1">{"wp_h4.2",#N/A,FALSE,"WP_H4.2";"wp_h4.3",#N/A,FALSE,"WP_H4.3"}</definedName>
    <definedName name="_7643761255e443c9bd1661cff63e252e" localSheetId="1" hidden="1">#REF!</definedName>
    <definedName name="_7643761255e443c9bd1661cff63e252e" localSheetId="20" hidden="1">#REF!</definedName>
    <definedName name="_7643761255e443c9bd1661cff63e252e" hidden="1">#REF!</definedName>
    <definedName name="_76bd36b2940845b1bd04728552ae63a5" localSheetId="1" hidden="1">#REF!</definedName>
    <definedName name="_76bd36b2940845b1bd04728552ae63a5" localSheetId="20" hidden="1">#REF!</definedName>
    <definedName name="_76bd36b2940845b1bd04728552ae63a5" hidden="1">#REF!</definedName>
    <definedName name="_77" localSheetId="1" hidden="1">{#N/A,#N/A,FALSE,"GLDwnLoad"}</definedName>
    <definedName name="_77" localSheetId="13" hidden="1">{#N/A,#N/A,FALSE,"GLDwnLoad"}</definedName>
    <definedName name="_77" localSheetId="18" hidden="1">{#N/A,#N/A,FALSE,"GLDwnLoad"}</definedName>
    <definedName name="_77" localSheetId="20" hidden="1">{#N/A,#N/A,FALSE,"GLDwnLoad"}</definedName>
    <definedName name="_77" hidden="1">{#N/A,#N/A,FALSE,"GLDwnLoad"}</definedName>
    <definedName name="_77b4a4d48dd9436ba373ccad0dbca791" localSheetId="1" hidden="1">#REF!</definedName>
    <definedName name="_77b4a4d48dd9436ba373ccad0dbca791" localSheetId="20" hidden="1">#REF!</definedName>
    <definedName name="_77b4a4d48dd9436ba373ccad0dbca791" hidden="1">#REF!</definedName>
    <definedName name="_78" localSheetId="1" hidden="1">{#N/A,#N/A,FALSE,"OTHERINPUTS";#N/A,#N/A,FALSE,"SUPPLIEDADJINPUT";#N/A,#N/A,FALSE,"BR&amp;SUPADJ."}</definedName>
    <definedName name="_78" localSheetId="13" hidden="1">{#N/A,#N/A,FALSE,"OTHERINPUTS";#N/A,#N/A,FALSE,"SUPPLIEDADJINPUT";#N/A,#N/A,FALSE,"BR&amp;SUPADJ."}</definedName>
    <definedName name="_78" localSheetId="18" hidden="1">{#N/A,#N/A,FALSE,"OTHERINPUTS";#N/A,#N/A,FALSE,"SUPPLIEDADJINPUT";#N/A,#N/A,FALSE,"BR&amp;SUPADJ."}</definedName>
    <definedName name="_78" localSheetId="20" hidden="1">{#N/A,#N/A,FALSE,"OTHERINPUTS";#N/A,#N/A,FALSE,"SUPPLIEDADJINPUT";#N/A,#N/A,FALSE,"BR&amp;SUPADJ."}</definedName>
    <definedName name="_78" hidden="1">{#N/A,#N/A,FALSE,"OTHERINPUTS";#N/A,#N/A,FALSE,"SUPPLIEDADJINPUT";#N/A,#N/A,FALSE,"BR&amp;SUPADJ."}</definedName>
    <definedName name="_78180998cca3436582017dcbf8b23431" localSheetId="1" hidden="1">#REF!</definedName>
    <definedName name="_78180998cca3436582017dcbf8b23431" localSheetId="20" hidden="1">#REF!</definedName>
    <definedName name="_78180998cca3436582017dcbf8b23431" hidden="1">#REF!</definedName>
    <definedName name="_79" localSheetId="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13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18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2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69efa71b0d4376854f33dd5c3beb46" localSheetId="1" hidden="1">#REF!</definedName>
    <definedName name="_7969efa71b0d4376854f33dd5c3beb46" localSheetId="20" hidden="1">#REF!</definedName>
    <definedName name="_7969efa71b0d4376854f33dd5c3beb46" hidden="1">#REF!</definedName>
    <definedName name="_7982307689cf4e8b96e55291a59d42f2" localSheetId="1" hidden="1">#REF!</definedName>
    <definedName name="_7982307689cf4e8b96e55291a59d42f2" localSheetId="20" hidden="1">#REF!</definedName>
    <definedName name="_7982307689cf4e8b96e55291a59d42f2" hidden="1">#REF!</definedName>
    <definedName name="_79835bb231f54a30b300373d1f84d86c" localSheetId="1" hidden="1">#REF!</definedName>
    <definedName name="_79835bb231f54a30b300373d1f84d86c" localSheetId="20" hidden="1">#REF!</definedName>
    <definedName name="_79835bb231f54a30b300373d1f84d86c" hidden="1">#REF!</definedName>
    <definedName name="_79a6c11e3741492bac6d4db3ee16ff16" localSheetId="1" hidden="1">#REF!</definedName>
    <definedName name="_79a6c11e3741492bac6d4db3ee16ff16" localSheetId="20" hidden="1">#REF!</definedName>
    <definedName name="_79a6c11e3741492bac6d4db3ee16ff16" hidden="1">#REF!</definedName>
    <definedName name="_79ec0646502443109198144712a4e8b5" localSheetId="1" hidden="1">#REF!</definedName>
    <definedName name="_79ec0646502443109198144712a4e8b5" localSheetId="20" hidden="1">#REF!</definedName>
    <definedName name="_79ec0646502443109198144712a4e8b5" hidden="1">#REF!</definedName>
    <definedName name="_7a2d9238fce94a66be8c856e6b7a1d7c" localSheetId="1" hidden="1">#REF!</definedName>
    <definedName name="_7a2d9238fce94a66be8c856e6b7a1d7c" localSheetId="20" hidden="1">#REF!</definedName>
    <definedName name="_7a2d9238fce94a66be8c856e6b7a1d7c" hidden="1">#REF!</definedName>
    <definedName name="_7a6a12a998434d448b7b5e8eb5263a48" localSheetId="1" hidden="1">#REF!</definedName>
    <definedName name="_7a6a12a998434d448b7b5e8eb5263a48" localSheetId="20" hidden="1">#REF!</definedName>
    <definedName name="_7a6a12a998434d448b7b5e8eb5263a48" hidden="1">#REF!</definedName>
    <definedName name="_7ab4310304e84ae29f65d3d0cfbbc74e" localSheetId="1" hidden="1">#REF!</definedName>
    <definedName name="_7ab4310304e84ae29f65d3d0cfbbc74e" localSheetId="20" hidden="1">#REF!</definedName>
    <definedName name="_7ab4310304e84ae29f65d3d0cfbbc74e" hidden="1">#REF!</definedName>
    <definedName name="_7abf3d2bfa7149fea6f2c03c0f90df9b" localSheetId="1" hidden="1">#REF!</definedName>
    <definedName name="_7abf3d2bfa7149fea6f2c03c0f90df9b" localSheetId="20" hidden="1">#REF!</definedName>
    <definedName name="_7abf3d2bfa7149fea6f2c03c0f90df9b" hidden="1">#REF!</definedName>
    <definedName name="_7c495be5bada41629f5ee4fe85ad65ac" localSheetId="1" hidden="1">#REF!</definedName>
    <definedName name="_7c495be5bada41629f5ee4fe85ad65ac" localSheetId="20" hidden="1">#REF!</definedName>
    <definedName name="_7c495be5bada41629f5ee4fe85ad65ac" hidden="1">#REF!</definedName>
    <definedName name="_7c76ed21180242ac949f7bc6b18a7d44" localSheetId="1" hidden="1">#REF!</definedName>
    <definedName name="_7c76ed21180242ac949f7bc6b18a7d44" localSheetId="20" hidden="1">#REF!</definedName>
    <definedName name="_7c76ed21180242ac949f7bc6b18a7d44" hidden="1">#REF!</definedName>
    <definedName name="_7d2056753fa2462c970859f857dca895" localSheetId="1" hidden="1">#REF!</definedName>
    <definedName name="_7d2056753fa2462c970859f857dca895" localSheetId="20" hidden="1">#REF!</definedName>
    <definedName name="_7d2056753fa2462c970859f857dca895" hidden="1">#REF!</definedName>
    <definedName name="_7f23aa520ab7430f87dc049945b22e56" localSheetId="1" hidden="1">#REF!</definedName>
    <definedName name="_7f23aa520ab7430f87dc049945b22e56" localSheetId="20" hidden="1">#REF!</definedName>
    <definedName name="_7f23aa520ab7430f87dc049945b22e56" hidden="1">#REF!</definedName>
    <definedName name="_7fcfee9394834e61bdaeca4d0057d559" localSheetId="1" hidden="1">#REF!</definedName>
    <definedName name="_7fcfee9394834e61bdaeca4d0057d559" localSheetId="20" hidden="1">#REF!</definedName>
    <definedName name="_7fcfee9394834e61bdaeca4d0057d559" hidden="1">#REF!</definedName>
    <definedName name="_8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18" localSheetId="13" hidden="1">'[11]summ graf'!$D$46:$HK$46</definedName>
    <definedName name="_8__123Graph_ACHART_18" localSheetId="18" hidden="1">'[11]summ graf'!$D$46:$HK$46</definedName>
    <definedName name="_8__123Graph_ACHART_18" hidden="1">#REF!</definedName>
    <definedName name="_8__123Graph_ACHART_4" localSheetId="13" hidden="1">[9]Data!$E$30:$E$233</definedName>
    <definedName name="_8__123Graph_ACHART_4" localSheetId="18" hidden="1">[10]Data!$E$30:$E$233</definedName>
    <definedName name="_8__123Graph_ACHART_4" hidden="1">#REF!</definedName>
    <definedName name="_8__123Graph_BCHART_6" localSheetId="1" hidden="1">#REF!</definedName>
    <definedName name="_8__123Graph_BCHART_6" localSheetId="13" hidden="1">[9]Data!#REF!</definedName>
    <definedName name="_8__123Graph_BCHART_6" localSheetId="18" hidden="1">[10]Data!#REF!</definedName>
    <definedName name="_8__123Graph_BCHART_6" localSheetId="20" hidden="1">#REF!</definedName>
    <definedName name="_8__123Graph_BCHART_6" hidden="1">#REF!</definedName>
    <definedName name="_80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5bc57538f04f7eae217ec97a7d9491" localSheetId="1" hidden="1">#REF!</definedName>
    <definedName name="_805bc57538f04f7eae217ec97a7d9491" localSheetId="20" hidden="1">#REF!</definedName>
    <definedName name="_805bc57538f04f7eae217ec97a7d9491" hidden="1">#REF!</definedName>
    <definedName name="_80deda74fc3745dbb2e2cffafe71bead" localSheetId="1" hidden="1">#REF!</definedName>
    <definedName name="_80deda74fc3745dbb2e2cffafe71bead" localSheetId="20" hidden="1">#REF!</definedName>
    <definedName name="_80deda74fc3745dbb2e2cffafe71bead" hidden="1">#REF!</definedName>
    <definedName name="_81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15e868dd9d43619d228e62d16ade94" localSheetId="1" hidden="1">#REF!</definedName>
    <definedName name="_8115e868dd9d43619d228e62d16ade94" localSheetId="20" hidden="1">#REF!</definedName>
    <definedName name="_8115e868dd9d43619d228e62d16ade94" hidden="1">#REF!</definedName>
    <definedName name="_811d812f709f4bd88a9045601f3f8b9f" localSheetId="1" hidden="1">#REF!</definedName>
    <definedName name="_811d812f709f4bd88a9045601f3f8b9f" localSheetId="20" hidden="1">#REF!</definedName>
    <definedName name="_811d812f709f4bd88a9045601f3f8b9f" hidden="1">#REF!</definedName>
    <definedName name="_815e3a59771c49f58e82715647cb615b" localSheetId="1" hidden="1">#REF!</definedName>
    <definedName name="_815e3a59771c49f58e82715647cb615b" localSheetId="20" hidden="1">#REF!</definedName>
    <definedName name="_815e3a59771c49f58e82715647cb615b" hidden="1">#REF!</definedName>
    <definedName name="_8198a2bc465a4ae9958ee212447fe07a" localSheetId="1" hidden="1">#REF!</definedName>
    <definedName name="_8198a2bc465a4ae9958ee212447fe07a" localSheetId="20" hidden="1">#REF!</definedName>
    <definedName name="_8198a2bc465a4ae9958ee212447fe07a" hidden="1">#REF!</definedName>
    <definedName name="_8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2e25759c4949e3a39fed51129b7e81" localSheetId="1" hidden="1">#REF!</definedName>
    <definedName name="_822e25759c4949e3a39fed51129b7e81" localSheetId="20" hidden="1">#REF!</definedName>
    <definedName name="_822e25759c4949e3a39fed51129b7e81" hidden="1">#REF!</definedName>
    <definedName name="_82dcb8417db341658d82784bb829286f" localSheetId="1" hidden="1">#REF!</definedName>
    <definedName name="_82dcb8417db341658d82784bb829286f" localSheetId="20" hidden="1">#REF!</definedName>
    <definedName name="_82dcb8417db341658d82784bb829286f" hidden="1">#REF!</definedName>
    <definedName name="_8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1c1dfaaf904b54885f528612880861" localSheetId="1" hidden="1">#REF!</definedName>
    <definedName name="_831c1dfaaf904b54885f528612880861" localSheetId="20" hidden="1">#REF!</definedName>
    <definedName name="_831c1dfaaf904b54885f528612880861" hidden="1">#REF!</definedName>
    <definedName name="_831ef068081f494aabe6774ec5d84782" localSheetId="1" hidden="1">#REF!</definedName>
    <definedName name="_831ef068081f494aabe6774ec5d84782" localSheetId="20" hidden="1">#REF!</definedName>
    <definedName name="_831ef068081f494aabe6774ec5d84782" hidden="1">#REF!</definedName>
    <definedName name="_83dbd5314750496e8c1898df6492ab7a" localSheetId="1" hidden="1">#REF!</definedName>
    <definedName name="_83dbd5314750496e8c1898df6492ab7a" localSheetId="20" hidden="1">#REF!</definedName>
    <definedName name="_83dbd5314750496e8c1898df6492ab7a" hidden="1">#REF!</definedName>
    <definedName name="_84" localSheetId="1" hidden="1">{"OK_FUEL_COMPARISON",#N/A,FALSE,"Ok_Fuel&amp;Rev"}</definedName>
    <definedName name="_84" localSheetId="13" hidden="1">{"OK_FUEL_COMPARISON",#N/A,FALSE,"Ok_Fuel&amp;Rev"}</definedName>
    <definedName name="_84" localSheetId="18" hidden="1">{"OK_FUEL_COMPARISON",#N/A,FALSE,"Ok_Fuel&amp;Rev"}</definedName>
    <definedName name="_84" localSheetId="20" hidden="1">{"OK_FUEL_COMPARISON",#N/A,FALSE,"Ok_Fuel&amp;Rev"}</definedName>
    <definedName name="_84" hidden="1">{"OK_FUEL_COMPARISON",#N/A,FALSE,"Ok_Fuel&amp;Rev"}</definedName>
    <definedName name="_84__123Graph_ACHART_4" localSheetId="13" hidden="1">[14]Data!$E$30:$E$233</definedName>
    <definedName name="_84__123Graph_ACHART_4" localSheetId="18" hidden="1">[14]Data!$E$30:$E$233</definedName>
    <definedName name="_84__123Graph_ACHART_4" hidden="1">#REF!</definedName>
    <definedName name="_84__123Graph_ACHART_6" localSheetId="13" hidden="1">[15]Data!$E$30:$E$229</definedName>
    <definedName name="_84__123Graph_ACHART_6" localSheetId="18" hidden="1">[15]Data!$E$30:$E$229</definedName>
    <definedName name="_84__123Graph_ACHART_6" hidden="1">#REF!</definedName>
    <definedName name="_84f4415d531348198bdc3b3bb0ee25cc" localSheetId="1" hidden="1">#REF!</definedName>
    <definedName name="_84f4415d531348198bdc3b3bb0ee25cc" localSheetId="20" hidden="1">#REF!</definedName>
    <definedName name="_84f4415d531348198bdc3b3bb0ee25cc" hidden="1">#REF!</definedName>
    <definedName name="_85" localSheetId="1" hidden="1">{"OK_JURIS_FAC",#N/A,FALSE,"Ok_Fuel&amp;Rev"}</definedName>
    <definedName name="_85" localSheetId="13" hidden="1">{"OK_JURIS_FAC",#N/A,FALSE,"Ok_Fuel&amp;Rev"}</definedName>
    <definedName name="_85" localSheetId="18" hidden="1">{"OK_JURIS_FAC",#N/A,FALSE,"Ok_Fuel&amp;Rev"}</definedName>
    <definedName name="_85" localSheetId="20" hidden="1">{"OK_JURIS_FAC",#N/A,FALSE,"Ok_Fuel&amp;Rev"}</definedName>
    <definedName name="_85" hidden="1">{"OK_JURIS_FAC",#N/A,FALSE,"Ok_Fuel&amp;Rev"}</definedName>
    <definedName name="_85__123Graph_ACHART_5" localSheetId="13" hidden="1">[9]Data!$O$30:$O$226</definedName>
    <definedName name="_85__123Graph_ACHART_5" localSheetId="18" hidden="1">[10]Data!$O$30:$O$226</definedName>
    <definedName name="_85__123Graph_ACHART_5" hidden="1">#REF!</definedName>
    <definedName name="_854bb1d796ec493980f4bc79d97fab5a" localSheetId="1" hidden="1">#REF!</definedName>
    <definedName name="_854bb1d796ec493980f4bc79d97fab5a" localSheetId="20" hidden="1">#REF!</definedName>
    <definedName name="_854bb1d796ec493980f4bc79d97fab5a" hidden="1">#REF!</definedName>
    <definedName name="_86" localSheetId="1" hidden="1">{"OK_JURIS_FUEL",#N/A,FALSE,"Ok_Fuel&amp;Rev"}</definedName>
    <definedName name="_86" localSheetId="13" hidden="1">{"OK_JURIS_FUEL",#N/A,FALSE,"Ok_Fuel&amp;Rev"}</definedName>
    <definedName name="_86" localSheetId="18" hidden="1">{"OK_JURIS_FUEL",#N/A,FALSE,"Ok_Fuel&amp;Rev"}</definedName>
    <definedName name="_86" localSheetId="20" hidden="1">{"OK_JURIS_FUEL",#N/A,FALSE,"Ok_Fuel&amp;Rev"}</definedName>
    <definedName name="_86" hidden="1">{"OK_JURIS_FUEL",#N/A,FALSE,"Ok_Fuel&amp;Rev"}</definedName>
    <definedName name="_861711791a1f4858944cb6e72792396e" localSheetId="1" hidden="1">#REF!</definedName>
    <definedName name="_861711791a1f4858944cb6e72792396e" localSheetId="20" hidden="1">#REF!</definedName>
    <definedName name="_861711791a1f4858944cb6e72792396e" hidden="1">#REF!</definedName>
    <definedName name="_8626898cd6664f26990cd9aecc343d71" localSheetId="1" hidden="1">#REF!</definedName>
    <definedName name="_8626898cd6664f26990cd9aecc343d71" localSheetId="20" hidden="1">#REF!</definedName>
    <definedName name="_8626898cd6664f26990cd9aecc343d71" hidden="1">#REF!</definedName>
    <definedName name="_862fd40d6407411f91ff79fd4ae5fea5" localSheetId="1" hidden="1">#REF!</definedName>
    <definedName name="_862fd40d6407411f91ff79fd4ae5fea5" localSheetId="20" hidden="1">#REF!</definedName>
    <definedName name="_862fd40d6407411f91ff79fd4ae5fea5" hidden="1">#REF!</definedName>
    <definedName name="_86eda2616d5143ef9200c51b8051c565" localSheetId="1" hidden="1">#REF!</definedName>
    <definedName name="_86eda2616d5143ef9200c51b8051c565" localSheetId="20" hidden="1">#REF!</definedName>
    <definedName name="_86eda2616d5143ef9200c51b8051c565" hidden="1">#REF!</definedName>
    <definedName name="_87" localSheetId="1" hidden="1">{"OK_PRO_FORMA_FUEL",#N/A,FALSE,"Ok_Fuel&amp;Rev"}</definedName>
    <definedName name="_87" localSheetId="13" hidden="1">{"OK_PRO_FORMA_FUEL",#N/A,FALSE,"Ok_Fuel&amp;Rev"}</definedName>
    <definedName name="_87" localSheetId="18" hidden="1">{"OK_PRO_FORMA_FUEL",#N/A,FALSE,"Ok_Fuel&amp;Rev"}</definedName>
    <definedName name="_87" localSheetId="20" hidden="1">{"OK_PRO_FORMA_FUEL",#N/A,FALSE,"Ok_Fuel&amp;Rev"}</definedName>
    <definedName name="_87" hidden="1">{"OK_PRO_FORMA_FUEL",#N/A,FALSE,"Ok_Fuel&amp;Rev"}</definedName>
    <definedName name="_879f0415335d44c982b6a34abfe6082b" localSheetId="1" hidden="1">#REF!</definedName>
    <definedName name="_879f0415335d44c982b6a34abfe6082b" localSheetId="20" hidden="1">#REF!</definedName>
    <definedName name="_879f0415335d44c982b6a34abfe6082b" hidden="1">#REF!</definedName>
    <definedName name="_87d2a407ef244a8191f4f3c3efad1ddc" localSheetId="1" hidden="1">#REF!</definedName>
    <definedName name="_87d2a407ef244a8191f4f3c3efad1ddc" localSheetId="20" hidden="1">#REF!</definedName>
    <definedName name="_87d2a407ef244a8191f4f3c3efad1ddc" hidden="1">#REF!</definedName>
    <definedName name="_87feda5370494d0ebb859f68f9ffc6d6" localSheetId="1" hidden="1">#REF!</definedName>
    <definedName name="_87feda5370494d0ebb859f68f9ffc6d6" localSheetId="20" hidden="1">#REF!</definedName>
    <definedName name="_87feda5370494d0ebb859f68f9ffc6d6" hidden="1">#REF!</definedName>
    <definedName name="_88" localSheetId="1" hidden="1">{"PF",#N/A,FALSE,"Sheet4";"PG",#N/A,FALSE,"Sheet4";"PH",#N/A,FALSE,"Sheet4";"PI",#N/A,FALSE,"Sheet4";"PJ",#N/A,FALSE,"Sheet4"}</definedName>
    <definedName name="_88" localSheetId="13" hidden="1">{"PF",#N/A,FALSE,"Sheet4";"PG",#N/A,FALSE,"Sheet4";"PH",#N/A,FALSE,"Sheet4";"PI",#N/A,FALSE,"Sheet4";"PJ",#N/A,FALSE,"Sheet4"}</definedName>
    <definedName name="_88" localSheetId="18" hidden="1">{"PF",#N/A,FALSE,"Sheet4";"PG",#N/A,FALSE,"Sheet4";"PH",#N/A,FALSE,"Sheet4";"PI",#N/A,FALSE,"Sheet4";"PJ",#N/A,FALSE,"Sheet4"}</definedName>
    <definedName name="_88" localSheetId="20" hidden="1">{"PF",#N/A,FALSE,"Sheet4";"PG",#N/A,FALSE,"Sheet4";"PH",#N/A,FALSE,"Sheet4";"PI",#N/A,FALSE,"Sheet4";"PJ",#N/A,FALSE,"Sheet4"}</definedName>
    <definedName name="_88" hidden="1">{"PF",#N/A,FALSE,"Sheet4";"PG",#N/A,FALSE,"Sheet4";"PH",#N/A,FALSE,"Sheet4";"PI",#N/A,FALSE,"Sheet4";"PJ",#N/A,FALSE,"Sheet4"}</definedName>
    <definedName name="_883143a85de04636bbce56632d873e42" localSheetId="1" hidden="1">#REF!</definedName>
    <definedName name="_883143a85de04636bbce56632d873e42" localSheetId="20" hidden="1">#REF!</definedName>
    <definedName name="_883143a85de04636bbce56632d873e42" hidden="1">#REF!</definedName>
    <definedName name="_89" localSheetId="1" hidden="1">{"OMPA_FAC",#N/A,FALSE,"OMPA FAC"}</definedName>
    <definedName name="_89" localSheetId="13" hidden="1">{"OMPA_FAC",#N/A,FALSE,"OMPA FAC"}</definedName>
    <definedName name="_89" localSheetId="18" hidden="1">{"OMPA_FAC",#N/A,FALSE,"OMPA FAC"}</definedName>
    <definedName name="_89" localSheetId="20" hidden="1">{"OMPA_FAC",#N/A,FALSE,"OMPA FAC"}</definedName>
    <definedName name="_89" hidden="1">{"OMPA_FAC",#N/A,FALSE,"OMPA FAC"}</definedName>
    <definedName name="_8a7fdb2e0f3049cb860038989dce5644" localSheetId="1" hidden="1">#REF!</definedName>
    <definedName name="_8a7fdb2e0f3049cb860038989dce5644" localSheetId="20" hidden="1">#REF!</definedName>
    <definedName name="_8a7fdb2e0f3049cb860038989dce5644" hidden="1">#REF!</definedName>
    <definedName name="_8ae71aa7884b4882836c818acf7651ee" localSheetId="1" hidden="1">#REF!</definedName>
    <definedName name="_8ae71aa7884b4882836c818acf7651ee" localSheetId="20" hidden="1">#REF!</definedName>
    <definedName name="_8ae71aa7884b4882836c818acf7651ee" hidden="1">#REF!</definedName>
    <definedName name="_8b1e5bddb6374add8440807606d69e40" localSheetId="1" hidden="1">#REF!</definedName>
    <definedName name="_8b1e5bddb6374add8440807606d69e40" localSheetId="20" hidden="1">#REF!</definedName>
    <definedName name="_8b1e5bddb6374add8440807606d69e40" hidden="1">#REF!</definedName>
    <definedName name="_8b68e0cad98041b49c178dfe2434a0c2" localSheetId="1" hidden="1">#REF!</definedName>
    <definedName name="_8b68e0cad98041b49c178dfe2434a0c2" localSheetId="20" hidden="1">#REF!</definedName>
    <definedName name="_8b68e0cad98041b49c178dfe2434a0c2" hidden="1">#REF!</definedName>
    <definedName name="_8bf9a64d7a0f4405bee760349a34597a" localSheetId="1" hidden="1">#REF!</definedName>
    <definedName name="_8bf9a64d7a0f4405bee760349a34597a" localSheetId="20" hidden="1">#REF!</definedName>
    <definedName name="_8bf9a64d7a0f4405bee760349a34597a" hidden="1">#REF!</definedName>
    <definedName name="_8c5874770c5e412898a6ba867bed7cfc" localSheetId="1" hidden="1">#REF!</definedName>
    <definedName name="_8c5874770c5e412898a6ba867bed7cfc" localSheetId="20" hidden="1">#REF!</definedName>
    <definedName name="_8c5874770c5e412898a6ba867bed7cfc" hidden="1">#REF!</definedName>
    <definedName name="_8c6fff2326844365bedc5511401cc0f3" localSheetId="1" hidden="1">#REF!</definedName>
    <definedName name="_8c6fff2326844365bedc5511401cc0f3" localSheetId="20" hidden="1">#REF!</definedName>
    <definedName name="_8c6fff2326844365bedc5511401cc0f3" hidden="1">#REF!</definedName>
    <definedName name="_8e57774b1cfb4615a74f80d4045d1dba" localSheetId="1" hidden="1">#REF!</definedName>
    <definedName name="_8e57774b1cfb4615a74f80d4045d1dba" localSheetId="20" hidden="1">#REF!</definedName>
    <definedName name="_8e57774b1cfb4615a74f80d4045d1dba" hidden="1">#REF!</definedName>
    <definedName name="_8eceaa38973b40c38142fb0d864fd8ba" localSheetId="1" hidden="1">#REF!</definedName>
    <definedName name="_8eceaa38973b40c38142fb0d864fd8ba" localSheetId="20" hidden="1">#REF!</definedName>
    <definedName name="_8eceaa38973b40c38142fb0d864fd8ba" hidden="1">#REF!</definedName>
    <definedName name="_8efccedbcc794e089ce75981c3d91e9e" localSheetId="1" hidden="1">#REF!</definedName>
    <definedName name="_8efccedbcc794e089ce75981c3d91e9e" localSheetId="20" hidden="1">#REF!</definedName>
    <definedName name="_8efccedbcc794e089ce75981c3d91e9e" hidden="1">#REF!</definedName>
    <definedName name="_8f2eb137694d4dbd9acd49229947a082" localSheetId="1" hidden="1">#REF!</definedName>
    <definedName name="_8f2eb137694d4dbd9acd49229947a082" localSheetId="20" hidden="1">#REF!</definedName>
    <definedName name="_8f2eb137694d4dbd9acd49229947a082" hidden="1">#REF!</definedName>
    <definedName name="_8ff894c38c6d4181a4537a4d33c6b808" localSheetId="1" hidden="1">#REF!</definedName>
    <definedName name="_8ff894c38c6d4181a4537a4d33c6b808" localSheetId="20" hidden="1">#REF!</definedName>
    <definedName name="_8ff894c38c6d4181a4537a4d33c6b808" hidden="1">#REF!</definedName>
    <definedName name="_9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BCHART_13" localSheetId="13" hidden="1">'[11]summ graf'!$D$20:$BM$20</definedName>
    <definedName name="_9__123Graph_BCHART_13" localSheetId="18" hidden="1">'[11]summ graf'!$D$20:$BM$20</definedName>
    <definedName name="_9__123Graph_BCHART_13" hidden="1">#REF!</definedName>
    <definedName name="_9__123Graph_CCHART_4" localSheetId="13" hidden="1">[9]Data!$C$30:$C$233</definedName>
    <definedName name="_9__123Graph_CCHART_4" localSheetId="18" hidden="1">[10]Data!$C$30:$C$233</definedName>
    <definedName name="_9__123Graph_CCHART_4" hidden="1">#REF!</definedName>
    <definedName name="_90" localSheetId="1" hidden="1">{"OTHER_DATA",#N/A,FALSE,"Ok_Fuel&amp;Rev"}</definedName>
    <definedName name="_90" localSheetId="13" hidden="1">{"OTHER_DATA",#N/A,FALSE,"Ok_Fuel&amp;Rev"}</definedName>
    <definedName name="_90" localSheetId="18" hidden="1">{"OTHER_DATA",#N/A,FALSE,"Ok_Fuel&amp;Rev"}</definedName>
    <definedName name="_90" localSheetId="20" hidden="1">{"OTHER_DATA",#N/A,FALSE,"Ok_Fuel&amp;Rev"}</definedName>
    <definedName name="_90" hidden="1">{"OTHER_DATA",#N/A,FALSE,"Ok_Fuel&amp;Rev"}</definedName>
    <definedName name="_90__123Graph_ACHART_5" localSheetId="13" hidden="1">[9]Data!$O$30:$O$226</definedName>
    <definedName name="_90__123Graph_ACHART_5" localSheetId="18" hidden="1">[10]Data!$O$30:$O$226</definedName>
    <definedName name="_90__123Graph_ACHART_5" hidden="1">#REF!</definedName>
    <definedName name="_90a7ac5f0fb44feb93a208af979dd0c2" localSheetId="1" hidden="1">#REF!</definedName>
    <definedName name="_90a7ac5f0fb44feb93a208af979dd0c2" localSheetId="20" hidden="1">#REF!</definedName>
    <definedName name="_90a7ac5f0fb44feb93a208af979dd0c2" hidden="1">#REF!</definedName>
    <definedName name="_90b9fcffef2d44d28c337a7e289aadd3" localSheetId="1" hidden="1">#REF!</definedName>
    <definedName name="_90b9fcffef2d44d28c337a7e289aadd3" localSheetId="20" hidden="1">#REF!</definedName>
    <definedName name="_90b9fcffef2d44d28c337a7e289aadd3" hidden="1">#REF!</definedName>
    <definedName name="_90dfc80888414869a6fe435ce2fe6160" localSheetId="1" hidden="1">#REF!</definedName>
    <definedName name="_90dfc80888414869a6fe435ce2fe6160" localSheetId="20" hidden="1">#REF!</definedName>
    <definedName name="_90dfc80888414869a6fe435ce2fe6160" hidden="1">#REF!</definedName>
    <definedName name="_91" localSheetId="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13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18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2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48376c1eba49bcbc4515d7a548ca4b" localSheetId="1" hidden="1">#REF!</definedName>
    <definedName name="_9148376c1eba49bcbc4515d7a548ca4b" localSheetId="20" hidden="1">#REF!</definedName>
    <definedName name="_9148376c1eba49bcbc4515d7a548ca4b" hidden="1">#REF!</definedName>
    <definedName name="_91cd539b6ca3407d88d09588b066934c" localSheetId="1" hidden="1">#REF!</definedName>
    <definedName name="_91cd539b6ca3407d88d09588b066934c" localSheetId="20" hidden="1">#REF!</definedName>
    <definedName name="_91cd539b6ca3407d88d09588b066934c" hidden="1">#REF!</definedName>
    <definedName name="_92" localSheetId="1" hidden="1">{"summary",#N/A,TRUE,"E93ADJ";"detail",#N/A,TRUE,"E93ADJ"}</definedName>
    <definedName name="_92" localSheetId="13" hidden="1">{"summary",#N/A,TRUE,"E93ADJ";"detail",#N/A,TRUE,"E93ADJ"}</definedName>
    <definedName name="_92" localSheetId="18" hidden="1">{"summary",#N/A,TRUE,"E93ADJ";"detail",#N/A,TRUE,"E93ADJ"}</definedName>
    <definedName name="_92" localSheetId="20" hidden="1">{"summary",#N/A,TRUE,"E93ADJ";"detail",#N/A,TRUE,"E93ADJ"}</definedName>
    <definedName name="_92" hidden="1">{"summary",#N/A,TRUE,"E93ADJ";"detail",#N/A,TRUE,"E93ADJ"}</definedName>
    <definedName name="_924fde007a1441cda56af8b0b69b8a0c" localSheetId="1" hidden="1">#REF!</definedName>
    <definedName name="_924fde007a1441cda56af8b0b69b8a0c" localSheetId="20" hidden="1">#REF!</definedName>
    <definedName name="_924fde007a1441cda56af8b0b69b8a0c" hidden="1">#REF!</definedName>
    <definedName name="_92726773ecc64e45be2d279ffe08f4d6" localSheetId="1" hidden="1">#REF!</definedName>
    <definedName name="_92726773ecc64e45be2d279ffe08f4d6" localSheetId="20" hidden="1">#REF!</definedName>
    <definedName name="_92726773ecc64e45be2d279ffe08f4d6" hidden="1">#REF!</definedName>
    <definedName name="_93" localSheetId="1" hidden="1">{"print1",#N/A,FALSE,"D21CUSTS"}</definedName>
    <definedName name="_93" localSheetId="13" hidden="1">{"print1",#N/A,FALSE,"D21CUSTS"}</definedName>
    <definedName name="_93" localSheetId="18" hidden="1">{"print1",#N/A,FALSE,"D21CUSTS"}</definedName>
    <definedName name="_93" localSheetId="20" hidden="1">{"print1",#N/A,FALSE,"D21CUSTS"}</definedName>
    <definedName name="_93" hidden="1">{"print1",#N/A,FALSE,"D21CUSTS"}</definedName>
    <definedName name="_93ec00620c8d493496d1a9ac35337062" localSheetId="1" hidden="1">#REF!</definedName>
    <definedName name="_93ec00620c8d493496d1a9ac35337062" localSheetId="20" hidden="1">#REF!</definedName>
    <definedName name="_93ec00620c8d493496d1a9ac35337062" hidden="1">#REF!</definedName>
    <definedName name="_94" localSheetId="1" hidden="1">{"print2",#N/A,FALSE,"D21CUSTS"}</definedName>
    <definedName name="_94" localSheetId="13" hidden="1">{"print2",#N/A,FALSE,"D21CUSTS"}</definedName>
    <definedName name="_94" localSheetId="18" hidden="1">{"print2",#N/A,FALSE,"D21CUSTS"}</definedName>
    <definedName name="_94" localSheetId="20" hidden="1">{"print2",#N/A,FALSE,"D21CUSTS"}</definedName>
    <definedName name="_94" hidden="1">{"print2",#N/A,FALSE,"D21CUSTS"}</definedName>
    <definedName name="_942c231e56534426871ca16c4a1a4736" localSheetId="1" hidden="1">#REF!</definedName>
    <definedName name="_942c231e56534426871ca16c4a1a4736" localSheetId="20" hidden="1">#REF!</definedName>
    <definedName name="_942c231e56534426871ca16c4a1a4736" hidden="1">#REF!</definedName>
    <definedName name="_9450ded83da742d1a711122720a38b79" localSheetId="1" hidden="1">#REF!</definedName>
    <definedName name="_9450ded83da742d1a711122720a38b79" localSheetId="20" hidden="1">#REF!</definedName>
    <definedName name="_9450ded83da742d1a711122720a38b79" hidden="1">#REF!</definedName>
    <definedName name="_9473de2b58074b22b6ef3bbb7709c4ea" localSheetId="1" hidden="1">#REF!</definedName>
    <definedName name="_9473de2b58074b22b6ef3bbb7709c4ea" localSheetId="20" hidden="1">#REF!</definedName>
    <definedName name="_9473de2b58074b22b6ef3bbb7709c4ea" hidden="1">#REF!</definedName>
    <definedName name="_94998ba687c64718ab4996f7d4390715" localSheetId="1" hidden="1">#REF!</definedName>
    <definedName name="_94998ba687c64718ab4996f7d4390715" localSheetId="20" hidden="1">#REF!</definedName>
    <definedName name="_94998ba687c64718ab4996f7d4390715" hidden="1">#REF!</definedName>
    <definedName name="_949e076d02a043ef990d0c568ceb7e5a" localSheetId="1" hidden="1">#REF!</definedName>
    <definedName name="_949e076d02a043ef990d0c568ceb7e5a" localSheetId="20" hidden="1">#REF!</definedName>
    <definedName name="_949e076d02a043ef990d0c568ceb7e5a" hidden="1">#REF!</definedName>
    <definedName name="_94a54fc8b7da4d70ae01edf290751204" localSheetId="1" hidden="1">#REF!</definedName>
    <definedName name="_94a54fc8b7da4d70ae01edf290751204" localSheetId="20" hidden="1">#REF!</definedName>
    <definedName name="_94a54fc8b7da4d70ae01edf290751204" hidden="1">#REF!</definedName>
    <definedName name="_94ac9c7bc3b548f5ab3abfd663105113" localSheetId="1" hidden="1">#REF!</definedName>
    <definedName name="_94ac9c7bc3b548f5ab3abfd663105113" localSheetId="20" hidden="1">#REF!</definedName>
    <definedName name="_94ac9c7bc3b548f5ab3abfd663105113" hidden="1">#REF!</definedName>
    <definedName name="_95" localSheetId="1" hidden="1">{"print3",#N/A,FALSE,"D21CUSTS"}</definedName>
    <definedName name="_95" localSheetId="13" hidden="1">{"print3",#N/A,FALSE,"D21CUSTS"}</definedName>
    <definedName name="_95" localSheetId="18" hidden="1">{"print3",#N/A,FALSE,"D21CUSTS"}</definedName>
    <definedName name="_95" localSheetId="20" hidden="1">{"print3",#N/A,FALSE,"D21CUSTS"}</definedName>
    <definedName name="_95" hidden="1">{"print3",#N/A,FALSE,"D21CUSTS"}</definedName>
    <definedName name="_96" localSheetId="1" hidden="1">{"print4",#N/A,FALSE,"D21CUSTS"}</definedName>
    <definedName name="_96" localSheetId="13" hidden="1">{"print4",#N/A,FALSE,"D21CUSTS"}</definedName>
    <definedName name="_96" localSheetId="18" hidden="1">{"print4",#N/A,FALSE,"D21CUSTS"}</definedName>
    <definedName name="_96" localSheetId="20" hidden="1">{"print4",#N/A,FALSE,"D21CUSTS"}</definedName>
    <definedName name="_96" hidden="1">{"print4",#N/A,FALSE,"D21CUSTS"}</definedName>
    <definedName name="_960eef84dea64439be250b7d7e001fe7" localSheetId="1" hidden="1">#REF!</definedName>
    <definedName name="_960eef84dea64439be250b7d7e001fe7" localSheetId="20" hidden="1">#REF!</definedName>
    <definedName name="_960eef84dea64439be250b7d7e001fe7" hidden="1">#REF!</definedName>
    <definedName name="_97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9fa9e16e26483db61b623971253abb" localSheetId="1" hidden="1">#REF!</definedName>
    <definedName name="_979fa9e16e26483db61b623971253abb" localSheetId="20" hidden="1">#REF!</definedName>
    <definedName name="_979fa9e16e26483db61b623971253abb" hidden="1">#REF!</definedName>
    <definedName name="_98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localSheetId="13" hidden="1">[15]Data!$P$30:$P$229</definedName>
    <definedName name="_98__123Graph_BCHART_5" localSheetId="18" hidden="1">[15]Data!$P$30:$P$229</definedName>
    <definedName name="_98__123Graph_BCHART_5" hidden="1">#REF!</definedName>
    <definedName name="_980625e3f6ee483188e39042866d03e8" localSheetId="1" hidden="1">#REF!</definedName>
    <definedName name="_980625e3f6ee483188e39042866d03e8" localSheetId="20" hidden="1">#REF!</definedName>
    <definedName name="_980625e3f6ee483188e39042866d03e8" hidden="1">#REF!</definedName>
    <definedName name="_98e3bc2f065547969fddb31946bbf59f" localSheetId="1" hidden="1">#REF!</definedName>
    <definedName name="_98e3bc2f065547969fddb31946bbf59f" localSheetId="20" hidden="1">#REF!</definedName>
    <definedName name="_98e3bc2f065547969fddb31946bbf59f" hidden="1">#REF!</definedName>
    <definedName name="_99" localSheetId="1" hidden="1">{#N/A,#N/A,FALSE,"GLDwnLoad"}</definedName>
    <definedName name="_99" localSheetId="13" hidden="1">{#N/A,#N/A,FALSE,"GLDwnLoad"}</definedName>
    <definedName name="_99" localSheetId="18" hidden="1">{#N/A,#N/A,FALSE,"GLDwnLoad"}</definedName>
    <definedName name="_99" localSheetId="20" hidden="1">{#N/A,#N/A,FALSE,"GLDwnLoad"}</definedName>
    <definedName name="_99" hidden="1">{#N/A,#N/A,FALSE,"GLDwnLoad"}</definedName>
    <definedName name="_99c3d55ff5464c9a807c6bfff13016ba" localSheetId="1" hidden="1">#REF!</definedName>
    <definedName name="_99c3d55ff5464c9a807c6bfff13016ba" localSheetId="20" hidden="1">#REF!</definedName>
    <definedName name="_99c3d55ff5464c9a807c6bfff13016ba" hidden="1">#REF!</definedName>
    <definedName name="_9a25549e1c7e4e649dd42d3e1731b004" localSheetId="1" hidden="1">#REF!</definedName>
    <definedName name="_9a25549e1c7e4e649dd42d3e1731b004" localSheetId="20" hidden="1">#REF!</definedName>
    <definedName name="_9a25549e1c7e4e649dd42d3e1731b004" hidden="1">#REF!</definedName>
    <definedName name="_9aaa63f0181249c388562663590a4e6a" localSheetId="1" hidden="1">#REF!</definedName>
    <definedName name="_9aaa63f0181249c388562663590a4e6a" localSheetId="20" hidden="1">#REF!</definedName>
    <definedName name="_9aaa63f0181249c388562663590a4e6a" hidden="1">#REF!</definedName>
    <definedName name="_9ab2b112e87148dd9429ffc8c8ba0051" localSheetId="1" hidden="1">#REF!</definedName>
    <definedName name="_9ab2b112e87148dd9429ffc8c8ba0051" localSheetId="20" hidden="1">#REF!</definedName>
    <definedName name="_9ab2b112e87148dd9429ffc8c8ba0051" hidden="1">#REF!</definedName>
    <definedName name="_9ad716affce44f72bb62e80033024c2d" localSheetId="1" hidden="1">#REF!</definedName>
    <definedName name="_9ad716affce44f72bb62e80033024c2d" localSheetId="20" hidden="1">#REF!</definedName>
    <definedName name="_9ad716affce44f72bb62e80033024c2d" hidden="1">#REF!</definedName>
    <definedName name="_9ba212adb70143918c3b11f012a5d9ca" localSheetId="1" hidden="1">#REF!</definedName>
    <definedName name="_9ba212adb70143918c3b11f012a5d9ca" localSheetId="20" hidden="1">#REF!</definedName>
    <definedName name="_9ba212adb70143918c3b11f012a5d9ca" hidden="1">#REF!</definedName>
    <definedName name="_9c5194326e614d0598bcfe0f0e86b3bc" localSheetId="1" hidden="1">#REF!</definedName>
    <definedName name="_9c5194326e614d0598bcfe0f0e86b3bc" localSheetId="20" hidden="1">#REF!</definedName>
    <definedName name="_9c5194326e614d0598bcfe0f0e86b3bc" hidden="1">#REF!</definedName>
    <definedName name="_9d685bf8f83b48d8b69557fcd0288006" localSheetId="1" hidden="1">#REF!</definedName>
    <definedName name="_9d685bf8f83b48d8b69557fcd0288006" localSheetId="20" hidden="1">#REF!</definedName>
    <definedName name="_9d685bf8f83b48d8b69557fcd0288006" hidden="1">#REF!</definedName>
    <definedName name="_9f12cd6850544577a66eebdd595846d6" localSheetId="1" hidden="1">#REF!</definedName>
    <definedName name="_9f12cd6850544577a66eebdd595846d6" localSheetId="20" hidden="1">#REF!</definedName>
    <definedName name="_9f12cd6850544577a66eebdd595846d6" hidden="1">#REF!</definedName>
    <definedName name="_9fc6fdac0aa64a649cbbe2104d0b9504" localSheetId="1" hidden="1">#REF!</definedName>
    <definedName name="_9fc6fdac0aa64a649cbbe2104d0b9504" localSheetId="20" hidden="1">#REF!</definedName>
    <definedName name="_9fc6fdac0aa64a649cbbe2104d0b9504" hidden="1">#REF!</definedName>
    <definedName name="_a04d758897a849528312d9479eafa9ad" localSheetId="1" hidden="1">#REF!</definedName>
    <definedName name="_a04d758897a849528312d9479eafa9ad" localSheetId="20" hidden="1">#REF!</definedName>
    <definedName name="_a04d758897a849528312d9479eafa9ad" hidden="1">#REF!</definedName>
    <definedName name="_a070cf9aa0d74dda86b5d3f9ae563143" localSheetId="1" hidden="1">#REF!</definedName>
    <definedName name="_a070cf9aa0d74dda86b5d3f9ae563143" localSheetId="20" hidden="1">#REF!</definedName>
    <definedName name="_a070cf9aa0d74dda86b5d3f9ae563143" hidden="1">#REF!</definedName>
    <definedName name="_a07b3a48f2d54570910d871e4310aaa1" localSheetId="1" hidden="1">#REF!</definedName>
    <definedName name="_a07b3a48f2d54570910d871e4310aaa1" localSheetId="20" hidden="1">#REF!</definedName>
    <definedName name="_a07b3a48f2d54570910d871e4310aaa1" hidden="1">#REF!</definedName>
    <definedName name="_a3dbd79e5f714ef0b7eba5c3f9a91dda" localSheetId="1" hidden="1">#REF!</definedName>
    <definedName name="_a3dbd79e5f714ef0b7eba5c3f9a91dda" localSheetId="20" hidden="1">#REF!</definedName>
    <definedName name="_a3dbd79e5f714ef0b7eba5c3f9a91dda" hidden="1">#REF!</definedName>
    <definedName name="_a450824aa9874100b1ad8bd5fc6d6124" localSheetId="1" hidden="1">#REF!</definedName>
    <definedName name="_a450824aa9874100b1ad8bd5fc6d6124" localSheetId="20" hidden="1">#REF!</definedName>
    <definedName name="_a450824aa9874100b1ad8bd5fc6d6124" hidden="1">#REF!</definedName>
    <definedName name="_a4789f9156a446c3b0f1b6439c7e60a5" localSheetId="1" hidden="1">#REF!</definedName>
    <definedName name="_a4789f9156a446c3b0f1b6439c7e60a5" localSheetId="20" hidden="1">#REF!</definedName>
    <definedName name="_a4789f9156a446c3b0f1b6439c7e60a5" hidden="1">#REF!</definedName>
    <definedName name="_a59ea606ae624ac2ad71d5df7da7d626" localSheetId="1" hidden="1">#REF!</definedName>
    <definedName name="_a59ea606ae624ac2ad71d5df7da7d626" localSheetId="20" hidden="1">#REF!</definedName>
    <definedName name="_a59ea606ae624ac2ad71d5df7da7d626" hidden="1">#REF!</definedName>
    <definedName name="_a5b208e153694ee0a45c61c17857942b" localSheetId="1" hidden="1">#REF!</definedName>
    <definedName name="_a5b208e153694ee0a45c61c17857942b" localSheetId="20" hidden="1">#REF!</definedName>
    <definedName name="_a5b208e153694ee0a45c61c17857942b" hidden="1">#REF!</definedName>
    <definedName name="_a5d7de8ab8b747bc92415779205fcd76" localSheetId="1" hidden="1">#REF!</definedName>
    <definedName name="_a5d7de8ab8b747bc92415779205fcd76" localSheetId="20" hidden="1">#REF!</definedName>
    <definedName name="_a5d7de8ab8b747bc92415779205fcd76" hidden="1">#REF!</definedName>
    <definedName name="_a73a5eb357aa4234b1d3faba413ababe" localSheetId="1" hidden="1">#REF!</definedName>
    <definedName name="_a73a5eb357aa4234b1d3faba413ababe" localSheetId="20" hidden="1">#REF!</definedName>
    <definedName name="_a73a5eb357aa4234b1d3faba413ababe" hidden="1">#REF!</definedName>
    <definedName name="_a7fd4178251744338aba7eeddb4e0a35" localSheetId="1" hidden="1">#REF!</definedName>
    <definedName name="_a7fd4178251744338aba7eeddb4e0a35" localSheetId="20" hidden="1">#REF!</definedName>
    <definedName name="_a7fd4178251744338aba7eeddb4e0a35" hidden="1">#REF!</definedName>
    <definedName name="_a80e26cbefb34943874a415c98b3b7f4" localSheetId="1" hidden="1">#REF!</definedName>
    <definedName name="_a80e26cbefb34943874a415c98b3b7f4" localSheetId="20" hidden="1">#REF!</definedName>
    <definedName name="_a80e26cbefb34943874a415c98b3b7f4" hidden="1">#REF!</definedName>
    <definedName name="_a95aa8eeae9140568c957e021188f071" localSheetId="1" hidden="1">#REF!</definedName>
    <definedName name="_a95aa8eeae9140568c957e021188f071" localSheetId="20" hidden="1">#REF!</definedName>
    <definedName name="_a95aa8eeae9140568c957e021188f071" hidden="1">#REF!</definedName>
    <definedName name="_a986f566f5d941f291a96249da9141f9" localSheetId="1" hidden="1">#REF!</definedName>
    <definedName name="_a986f566f5d941f291a96249da9141f9" localSheetId="20" hidden="1">#REF!</definedName>
    <definedName name="_a986f566f5d941f291a96249da9141f9" hidden="1">#REF!</definedName>
    <definedName name="_aa04631cf2ff4484bcdeaceac9837fbc" localSheetId="1" hidden="1">#REF!</definedName>
    <definedName name="_aa04631cf2ff4484bcdeaceac9837fbc" localSheetId="20" hidden="1">#REF!</definedName>
    <definedName name="_aa04631cf2ff4484bcdeaceac9837fbc" hidden="1">#REF!</definedName>
    <definedName name="_aa578c965fc94604b51a1439d7e4b80c" localSheetId="1" hidden="1">#REF!</definedName>
    <definedName name="_aa578c965fc94604b51a1439d7e4b80c" localSheetId="20" hidden="1">#REF!</definedName>
    <definedName name="_aa578c965fc94604b51a1439d7e4b80c" hidden="1">#REF!</definedName>
    <definedName name="_ac4114c0f25a4570a79dce33c7bf8741" localSheetId="1" hidden="1">#REF!</definedName>
    <definedName name="_ac4114c0f25a4570a79dce33c7bf8741" localSheetId="20" hidden="1">#REF!</definedName>
    <definedName name="_ac4114c0f25a4570a79dce33c7bf8741" hidden="1">#REF!</definedName>
    <definedName name="_ac8e78753f274c53b300298e3b1b0d89" localSheetId="1" hidden="1">#REF!</definedName>
    <definedName name="_ac8e78753f274c53b300298e3b1b0d89" localSheetId="20" hidden="1">#REF!</definedName>
    <definedName name="_ac8e78753f274c53b300298e3b1b0d89" hidden="1">#REF!</definedName>
    <definedName name="_adc150fb19e54cc1ab775d621abd66dc" localSheetId="1" hidden="1">#REF!</definedName>
    <definedName name="_adc150fb19e54cc1ab775d621abd66dc" localSheetId="20" hidden="1">#REF!</definedName>
    <definedName name="_adc150fb19e54cc1ab775d621abd66dc" hidden="1">#REF!</definedName>
    <definedName name="_adcc540031b34f28a6fd308e282871aa" localSheetId="1" hidden="1">#REF!</definedName>
    <definedName name="_adcc540031b34f28a6fd308e282871aa" localSheetId="20" hidden="1">#REF!</definedName>
    <definedName name="_adcc540031b34f28a6fd308e282871aa" hidden="1">#REF!</definedName>
    <definedName name="_ae427b406d2f499aa46a680351155065" localSheetId="1" hidden="1">#REF!</definedName>
    <definedName name="_ae427b406d2f499aa46a680351155065" localSheetId="20" hidden="1">#REF!</definedName>
    <definedName name="_ae427b406d2f499aa46a680351155065" hidden="1">#REF!</definedName>
    <definedName name="_ae7ab2916f64406e931ec6c075c21083" localSheetId="1" hidden="1">#REF!</definedName>
    <definedName name="_ae7ab2916f64406e931ec6c075c21083" localSheetId="20" hidden="1">#REF!</definedName>
    <definedName name="_ae7ab2916f64406e931ec6c075c21083" hidden="1">#REF!</definedName>
    <definedName name="_aff11467332d4c7b82031050734cd97f" localSheetId="1" hidden="1">#REF!</definedName>
    <definedName name="_aff11467332d4c7b82031050734cd97f" localSheetId="20" hidden="1">#REF!</definedName>
    <definedName name="_aff11467332d4c7b82031050734cd97f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1" hidden="1">{#N/A,#N/A,FALSE,"SCA";#N/A,#N/A,FALSE,"NCA";#N/A,#N/A,FALSE,"SAZ";#N/A,#N/A,FALSE,"CAZ";#N/A,#N/A,FALSE,"SNV";#N/A,#N/A,FALSE,"NNV";#N/A,#N/A,FALSE,"PP";#N/A,#N/A,FALSE,"SA"}</definedName>
    <definedName name="_b" localSheetId="13" hidden="1">{#N/A,#N/A,FALSE,"SCA";#N/A,#N/A,FALSE,"NCA";#N/A,#N/A,FALSE,"SAZ";#N/A,#N/A,FALSE,"CAZ";#N/A,#N/A,FALSE,"SNV";#N/A,#N/A,FALSE,"NNV";#N/A,#N/A,FALSE,"PP";#N/A,#N/A,FALSE,"SA"}</definedName>
    <definedName name="_b" localSheetId="18" hidden="1">{#N/A,#N/A,FALSE,"SCA";#N/A,#N/A,FALSE,"NCA";#N/A,#N/A,FALSE,"SAZ";#N/A,#N/A,FALSE,"CAZ";#N/A,#N/A,FALSE,"SNV";#N/A,#N/A,FALSE,"NNV";#N/A,#N/A,FALSE,"PP";#N/A,#N/A,FALSE,"SA"}</definedName>
    <definedName name="_b" localSheetId="20" hidden="1">{#N/A,#N/A,FALSE,"SCA";#N/A,#N/A,FALSE,"NCA";#N/A,#N/A,FALSE,"SAZ";#N/A,#N/A,FALSE,"CAZ";#N/A,#N/A,FALSE,"SNV";#N/A,#N/A,FALSE,"NNV";#N/A,#N/A,FALSE,"PP";#N/A,#N/A,FALSE,"SA"}</definedName>
    <definedName name="_b" hidden="1">{#N/A,#N/A,FALSE,"SCA";#N/A,#N/A,FALSE,"NCA";#N/A,#N/A,FALSE,"SAZ";#N/A,#N/A,FALSE,"CAZ";#N/A,#N/A,FALSE,"SNV";#N/A,#N/A,FALSE,"NNV";#N/A,#N/A,FALSE,"PP";#N/A,#N/A,FALSE,"SA"}</definedName>
    <definedName name="_b1083a9a5045403c9df4d60b4f296f6f" localSheetId="1" hidden="1">#REF!</definedName>
    <definedName name="_b1083a9a5045403c9df4d60b4f296f6f" localSheetId="20" hidden="1">#REF!</definedName>
    <definedName name="_b1083a9a5045403c9df4d60b4f296f6f" hidden="1">#REF!</definedName>
    <definedName name="_b10e1e5625e74945887bd5585754b986" localSheetId="1" hidden="1">#REF!</definedName>
    <definedName name="_b10e1e5625e74945887bd5585754b986" localSheetId="20" hidden="1">#REF!</definedName>
    <definedName name="_b10e1e5625e74945887bd5585754b986" hidden="1">#REF!</definedName>
    <definedName name="_b1e6bcd3eefa4d409878baebe24d2b3b" localSheetId="1" hidden="1">#REF!</definedName>
    <definedName name="_b1e6bcd3eefa4d409878baebe24d2b3b" localSheetId="20" hidden="1">#REF!</definedName>
    <definedName name="_b1e6bcd3eefa4d409878baebe24d2b3b" hidden="1">#REF!</definedName>
    <definedName name="_b2520e21ec8f419b87fc8b5ebb952c48" localSheetId="1" hidden="1">#REF!</definedName>
    <definedName name="_b2520e21ec8f419b87fc8b5ebb952c48" localSheetId="20" hidden="1">#REF!</definedName>
    <definedName name="_b2520e21ec8f419b87fc8b5ebb952c48" hidden="1">#REF!</definedName>
    <definedName name="_b2a40a48be564a07ab3fd8f364391e6d" localSheetId="1" hidden="1">#REF!</definedName>
    <definedName name="_b2a40a48be564a07ab3fd8f364391e6d" localSheetId="20" hidden="1">#REF!</definedName>
    <definedName name="_b2a40a48be564a07ab3fd8f364391e6d" hidden="1">#REF!</definedName>
    <definedName name="_b2a85ecfcffe43cd82d8344e46e3b0ba" localSheetId="1" hidden="1">#REF!</definedName>
    <definedName name="_b2a85ecfcffe43cd82d8344e46e3b0ba" localSheetId="20" hidden="1">#REF!</definedName>
    <definedName name="_b2a85ecfcffe43cd82d8344e46e3b0ba" hidden="1">#REF!</definedName>
    <definedName name="_b2ab8ebe30674d379f8241287efbd10b" localSheetId="1" hidden="1">#REF!</definedName>
    <definedName name="_b2ab8ebe30674d379f8241287efbd10b" localSheetId="20" hidden="1">#REF!</definedName>
    <definedName name="_b2ab8ebe30674d379f8241287efbd10b" hidden="1">#REF!</definedName>
    <definedName name="_b31f61700bea4149808b337fa70cabf1" localSheetId="1" hidden="1">#REF!</definedName>
    <definedName name="_b31f61700bea4149808b337fa70cabf1" localSheetId="20" hidden="1">#REF!</definedName>
    <definedName name="_b31f61700bea4149808b337fa70cabf1" hidden="1">#REF!</definedName>
    <definedName name="_b4275efc232c41ba95fb6cc869ab783e" localSheetId="1" hidden="1">#REF!</definedName>
    <definedName name="_b4275efc232c41ba95fb6cc869ab783e" localSheetId="20" hidden="1">#REF!</definedName>
    <definedName name="_b4275efc232c41ba95fb6cc869ab783e" hidden="1">#REF!</definedName>
    <definedName name="_b4e69a08688048df90d0168366076061" localSheetId="1" hidden="1">#REF!</definedName>
    <definedName name="_b4e69a08688048df90d0168366076061" localSheetId="20" hidden="1">#REF!</definedName>
    <definedName name="_b4e69a08688048df90d0168366076061" hidden="1">#REF!</definedName>
    <definedName name="_b56f2a35e014461584c1cb947a4d033e" localSheetId="1" hidden="1">#REF!</definedName>
    <definedName name="_b56f2a35e014461584c1cb947a4d033e" localSheetId="20" hidden="1">#REF!</definedName>
    <definedName name="_b56f2a35e014461584c1cb947a4d033e" hidden="1">#REF!</definedName>
    <definedName name="_b58c425a9b7e46ec995738e4213a5127" localSheetId="1" hidden="1">#REF!</definedName>
    <definedName name="_b58c425a9b7e46ec995738e4213a5127" localSheetId="20" hidden="1">#REF!</definedName>
    <definedName name="_b58c425a9b7e46ec995738e4213a5127" hidden="1">#REF!</definedName>
    <definedName name="_b655e9704a2f40bfba1e9cb042c4bb49" localSheetId="1" hidden="1">#REF!</definedName>
    <definedName name="_b655e9704a2f40bfba1e9cb042c4bb49" localSheetId="20" hidden="1">#REF!</definedName>
    <definedName name="_b655e9704a2f40bfba1e9cb042c4bb49" hidden="1">#REF!</definedName>
    <definedName name="_b6b87b78c6574a6e8d96e7f65c0dd1c1" localSheetId="1" hidden="1">#REF!</definedName>
    <definedName name="_b6b87b78c6574a6e8d96e7f65c0dd1c1" localSheetId="20" hidden="1">#REF!</definedName>
    <definedName name="_b6b87b78c6574a6e8d96e7f65c0dd1c1" hidden="1">#REF!</definedName>
    <definedName name="_b8e9930cb7e74ab39fceb0f84c4a9c15" localSheetId="1" hidden="1">#REF!</definedName>
    <definedName name="_b8e9930cb7e74ab39fceb0f84c4a9c15" localSheetId="20" hidden="1">#REF!</definedName>
    <definedName name="_b8e9930cb7e74ab39fceb0f84c4a9c15" hidden="1">#REF!</definedName>
    <definedName name="_b8fa34e093aa4b6e8c03ca47ace7c292" localSheetId="1" hidden="1">#REF!</definedName>
    <definedName name="_b8fa34e093aa4b6e8c03ca47ace7c292" localSheetId="20" hidden="1">#REF!</definedName>
    <definedName name="_b8fa34e093aa4b6e8c03ca47ace7c292" hidden="1">#REF!</definedName>
    <definedName name="_bb700908b938460cb595bdc9bf8085f1" localSheetId="1" hidden="1">#REF!</definedName>
    <definedName name="_bb700908b938460cb595bdc9bf8085f1" localSheetId="20" hidden="1">#REF!</definedName>
    <definedName name="_bb700908b938460cb595bdc9bf8085f1" hidden="1">#REF!</definedName>
    <definedName name="_bc370232c88c401a9ebecb89f4615127" localSheetId="1" hidden="1">#REF!</definedName>
    <definedName name="_bc370232c88c401a9ebecb89f4615127" localSheetId="20" hidden="1">#REF!</definedName>
    <definedName name="_bc370232c88c401a9ebecb89f4615127" hidden="1">#REF!</definedName>
    <definedName name="_bc784353881f4100845c18c1855ce343" localSheetId="1" hidden="1">#REF!</definedName>
    <definedName name="_bc784353881f4100845c18c1855ce343" localSheetId="20" hidden="1">#REF!</definedName>
    <definedName name="_bc784353881f4100845c18c1855ce343" hidden="1">#REF!</definedName>
    <definedName name="_bdm.0291A1646F1441D7AC944D0E5EFE3283.edm" localSheetId="1" hidden="1">#REF!</definedName>
    <definedName name="_bdm.0291A1646F1441D7AC944D0E5EFE3283.edm" localSheetId="18" hidden="1">#REF!</definedName>
    <definedName name="_bdm.0291A1646F1441D7AC944D0E5EFE3283.edm" localSheetId="20" hidden="1">#REF!</definedName>
    <definedName name="_bdm.0291A1646F1441D7AC944D0E5EFE3283.edm" hidden="1">#REF!</definedName>
    <definedName name="_bdm.4DE531A3AAE1459EA607D86D30555044.edm" localSheetId="1" hidden="1">#REF!</definedName>
    <definedName name="_bdm.4DE531A3AAE1459EA607D86D30555044.edm" localSheetId="20" hidden="1">#REF!</definedName>
    <definedName name="_bdm.4DE531A3AAE1459EA607D86D30555044.edm" hidden="1">#REF!</definedName>
    <definedName name="_bdm.61ECA6B5D6964E25B194F839DA09F1DE.edm" localSheetId="1" hidden="1">#REF!</definedName>
    <definedName name="_bdm.61ECA6B5D6964E25B194F839DA09F1DE.edm" localSheetId="20" hidden="1">#REF!</definedName>
    <definedName name="_bdm.61ECA6B5D6964E25B194F839DA09F1DE.edm" hidden="1">#REF!</definedName>
    <definedName name="_bdm.EF8E132A659C430387D12CF4C0897727.edm" localSheetId="1" hidden="1">#REF!</definedName>
    <definedName name="_bdm.EF8E132A659C430387D12CF4C0897727.edm" localSheetId="20" hidden="1">#REF!</definedName>
    <definedName name="_bdm.EF8E132A659C430387D12CF4C0897727.edm" hidden="1">#REF!</definedName>
    <definedName name="_be0439d162ad4a038b539d388a8e354a" localSheetId="1" hidden="1">#REF!</definedName>
    <definedName name="_be0439d162ad4a038b539d388a8e354a" localSheetId="20" hidden="1">#REF!</definedName>
    <definedName name="_be0439d162ad4a038b539d388a8e354a" hidden="1">#REF!</definedName>
    <definedName name="_be2eceee96b84a2ea81054158db1e1cd" localSheetId="1" hidden="1">#REF!</definedName>
    <definedName name="_be2eceee96b84a2ea81054158db1e1cd" localSheetId="20" hidden="1">#REF!</definedName>
    <definedName name="_be2eceee96b84a2ea81054158db1e1cd" hidden="1">#REF!</definedName>
    <definedName name="_be8ca54646294dab9be1fbe38f625eaf" localSheetId="1" hidden="1">#REF!</definedName>
    <definedName name="_be8ca54646294dab9be1fbe38f625eaf" localSheetId="20" hidden="1">#REF!</definedName>
    <definedName name="_be8ca54646294dab9be1fbe38f625eaf" hidden="1">#REF!</definedName>
    <definedName name="_bea046ba7b574aa294648544807ee9ee" localSheetId="1" hidden="1">#REF!</definedName>
    <definedName name="_bea046ba7b574aa294648544807ee9ee" localSheetId="20" hidden="1">#REF!</definedName>
    <definedName name="_bea046ba7b574aa294648544807ee9ee" hidden="1">#REF!</definedName>
    <definedName name="_bedaaf4ddfaa48cb96d495084fc92c17" localSheetId="1" hidden="1">#REF!</definedName>
    <definedName name="_bedaaf4ddfaa48cb96d495084fc92c17" localSheetId="20" hidden="1">#REF!</definedName>
    <definedName name="_bedaaf4ddfaa48cb96d495084fc92c17" hidden="1">#REF!</definedName>
    <definedName name="_bef6d939c6864d2d9c1abebfb71071f4" localSheetId="1" hidden="1">#REF!</definedName>
    <definedName name="_bef6d939c6864d2d9c1abebfb71071f4" localSheetId="20" hidden="1">#REF!</definedName>
    <definedName name="_bef6d939c6864d2d9c1abebfb71071f4" hidden="1">#REF!</definedName>
    <definedName name="_bfb5a14d3a7a495e8fc3cd77dc81f7a0" localSheetId="1" hidden="1">#REF!</definedName>
    <definedName name="_bfb5a14d3a7a495e8fc3cd77dc81f7a0" localSheetId="20" hidden="1">#REF!</definedName>
    <definedName name="_bfb5a14d3a7a495e8fc3cd77dc81f7a0" hidden="1">#REF!</definedName>
    <definedName name="_bfb62a18f6454b53b82ae9c108fa997a" localSheetId="1" hidden="1">#REF!</definedName>
    <definedName name="_bfb62a18f6454b53b82ae9c108fa997a" localSheetId="20" hidden="1">#REF!</definedName>
    <definedName name="_bfb62a18f6454b53b82ae9c108fa997a" hidden="1">#REF!</definedName>
    <definedName name="_c057f1f50f3d470f8cf624c0904c4185" localSheetId="1" hidden="1">#REF!</definedName>
    <definedName name="_c057f1f50f3d470f8cf624c0904c4185" localSheetId="20" hidden="1">#REF!</definedName>
    <definedName name="_c057f1f50f3d470f8cf624c0904c4185" hidden="1">#REF!</definedName>
    <definedName name="_c0731fc1bd8c4f9eb782cdc9ae278975" localSheetId="1" hidden="1">#REF!</definedName>
    <definedName name="_c0731fc1bd8c4f9eb782cdc9ae278975" localSheetId="20" hidden="1">#REF!</definedName>
    <definedName name="_c0731fc1bd8c4f9eb782cdc9ae278975" hidden="1">#REF!</definedName>
    <definedName name="_c0801459411b4ba390cfda507a6af92a" localSheetId="1" hidden="1">#REF!</definedName>
    <definedName name="_c0801459411b4ba390cfda507a6af92a" localSheetId="20" hidden="1">#REF!</definedName>
    <definedName name="_c0801459411b4ba390cfda507a6af92a" hidden="1">#REF!</definedName>
    <definedName name="_c0b6eba7ec0f49ad9eef721d6e39d88b" localSheetId="1" hidden="1">#REF!</definedName>
    <definedName name="_c0b6eba7ec0f49ad9eef721d6e39d88b" localSheetId="20" hidden="1">#REF!</definedName>
    <definedName name="_c0b6eba7ec0f49ad9eef721d6e39d88b" hidden="1">#REF!</definedName>
    <definedName name="_c46fbfbe69004dd590a3a7b5a40fa2cb" localSheetId="1" hidden="1">#REF!</definedName>
    <definedName name="_c46fbfbe69004dd590a3a7b5a40fa2cb" localSheetId="20" hidden="1">#REF!</definedName>
    <definedName name="_c46fbfbe69004dd590a3a7b5a40fa2cb" hidden="1">#REF!</definedName>
    <definedName name="_c5441f51ff6647c891c8c965ae72ff73" localSheetId="1" hidden="1">#REF!</definedName>
    <definedName name="_c5441f51ff6647c891c8c965ae72ff73" localSheetId="20" hidden="1">#REF!</definedName>
    <definedName name="_c5441f51ff6647c891c8c965ae72ff73" hidden="1">#REF!</definedName>
    <definedName name="_c6c79325b22f484eab206ec0a890ad9e" localSheetId="1" hidden="1">#REF!</definedName>
    <definedName name="_c6c79325b22f484eab206ec0a890ad9e" localSheetId="20" hidden="1">#REF!</definedName>
    <definedName name="_c6c79325b22f484eab206ec0a890ad9e" hidden="1">#REF!</definedName>
    <definedName name="_c7a3a73e35254c638808ec5069f341a3" localSheetId="1" hidden="1">#REF!</definedName>
    <definedName name="_c7a3a73e35254c638808ec5069f341a3" localSheetId="20" hidden="1">#REF!</definedName>
    <definedName name="_c7a3a73e35254c638808ec5069f341a3" hidden="1">#REF!</definedName>
    <definedName name="_c81fdc75b82148dc9381a35a0e6d1fcc" localSheetId="1" hidden="1">#REF!</definedName>
    <definedName name="_c81fdc75b82148dc9381a35a0e6d1fcc" localSheetId="20" hidden="1">#REF!</definedName>
    <definedName name="_c81fdc75b82148dc9381a35a0e6d1fcc" hidden="1">#REF!</definedName>
    <definedName name="_c84f8dd7ab6548cd8aec1c5a279ea8c2" localSheetId="1" hidden="1">#REF!</definedName>
    <definedName name="_c84f8dd7ab6548cd8aec1c5a279ea8c2" localSheetId="20" hidden="1">#REF!</definedName>
    <definedName name="_c84f8dd7ab6548cd8aec1c5a279ea8c2" hidden="1">#REF!</definedName>
    <definedName name="_c93729c28dec4819ab4a1c7ab150b5eb" localSheetId="1" hidden="1">#REF!</definedName>
    <definedName name="_c93729c28dec4819ab4a1c7ab150b5eb" localSheetId="20" hidden="1">#REF!</definedName>
    <definedName name="_c93729c28dec4819ab4a1c7ab150b5eb" hidden="1">#REF!</definedName>
    <definedName name="_c9a6a26901824a14a409325784b3064f" localSheetId="1" hidden="1">#REF!</definedName>
    <definedName name="_c9a6a26901824a14a409325784b3064f" localSheetId="20" hidden="1">#REF!</definedName>
    <definedName name="_c9a6a26901824a14a409325784b3064f" hidden="1">#REF!</definedName>
    <definedName name="_cada6de06575466fa39f97bd83d22551" localSheetId="1" hidden="1">#REF!</definedName>
    <definedName name="_cada6de06575466fa39f97bd83d22551" localSheetId="20" hidden="1">#REF!</definedName>
    <definedName name="_cada6de06575466fa39f97bd83d22551" hidden="1">#REF!</definedName>
    <definedName name="_cb1f8d1b8f74444ab8160ebb067319cb" localSheetId="1" hidden="1">#REF!</definedName>
    <definedName name="_cb1f8d1b8f74444ab8160ebb067319cb" localSheetId="20" hidden="1">#REF!</definedName>
    <definedName name="_cb1f8d1b8f74444ab8160ebb067319cb" hidden="1">#REF!</definedName>
    <definedName name="_cd1c95442d964baaa6b4232a60716a19" localSheetId="1" hidden="1">#REF!</definedName>
    <definedName name="_cd1c95442d964baaa6b4232a60716a19" localSheetId="20" hidden="1">#REF!</definedName>
    <definedName name="_cd1c95442d964baaa6b4232a60716a19" hidden="1">#REF!</definedName>
    <definedName name="_cd810b31ef224d76ac7f4f217d68ce3c" localSheetId="1" hidden="1">#REF!</definedName>
    <definedName name="_cd810b31ef224d76ac7f4f217d68ce3c" localSheetId="20" hidden="1">#REF!</definedName>
    <definedName name="_cd810b31ef224d76ac7f4f217d68ce3c" hidden="1">#REF!</definedName>
    <definedName name="_cdf3d92cdcd34ed5a09a2dc062239878" localSheetId="1" hidden="1">#REF!</definedName>
    <definedName name="_cdf3d92cdcd34ed5a09a2dc062239878" localSheetId="20" hidden="1">#REF!</definedName>
    <definedName name="_cdf3d92cdcd34ed5a09a2dc062239878" hidden="1">#REF!</definedName>
    <definedName name="_con4050" localSheetId="1" hidden="1">{#N/A,"Anonymous",FALSE,"30 30k Table";#N/A,#N/A,FALSE,"30 50k Table";#N/A,#N/A,FALSE,"40 100k Table"}</definedName>
    <definedName name="_con4050" localSheetId="13" hidden="1">{#N/A,"Anonymous",FALSE,"30 30k Table";#N/A,#N/A,FALSE,"30 50k Table";#N/A,#N/A,FALSE,"40 100k Table"}</definedName>
    <definedName name="_con4050" localSheetId="18" hidden="1">{#N/A,"Anonymous",FALSE,"30 30k Table";#N/A,#N/A,FALSE,"30 50k Table";#N/A,#N/A,FALSE,"40 100k Table"}</definedName>
    <definedName name="_con4050" localSheetId="20" hidden="1">{#N/A,"Anonymous",FALSE,"30 30k Table";#N/A,#N/A,FALSE,"30 50k Table";#N/A,#N/A,FALSE,"40 100k Table"}</definedName>
    <definedName name="_con4050" hidden="1">{#N/A,"Anonymous",FALSE,"30 30k Table";#N/A,#N/A,FALSE,"30 50k Table";#N/A,#N/A,FALSE,"40 100k Table"}</definedName>
    <definedName name="_d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0df5a86aea14389bc71f0cddeb48baf" localSheetId="1" hidden="1">#REF!</definedName>
    <definedName name="_d0df5a86aea14389bc71f0cddeb48baf" localSheetId="20" hidden="1">#REF!</definedName>
    <definedName name="_d0df5a86aea14389bc71f0cddeb48baf" hidden="1">#REF!</definedName>
    <definedName name="_d12aebc0483a4668993aba4a89fa0040" localSheetId="1" hidden="1">#REF!</definedName>
    <definedName name="_d12aebc0483a4668993aba4a89fa0040" localSheetId="20" hidden="1">#REF!</definedName>
    <definedName name="_d12aebc0483a4668993aba4a89fa0040" hidden="1">#REF!</definedName>
    <definedName name="_d38f1522cbca4e6caf450f04ff55d97d" localSheetId="1" hidden="1">#REF!</definedName>
    <definedName name="_d38f1522cbca4e6caf450f04ff55d97d" localSheetId="20" hidden="1">#REF!</definedName>
    <definedName name="_d38f1522cbca4e6caf450f04ff55d97d" hidden="1">#REF!</definedName>
    <definedName name="_d3938f3ee5b947d294e6e073ba83f160" localSheetId="1" hidden="1">#REF!</definedName>
    <definedName name="_d3938f3ee5b947d294e6e073ba83f160" localSheetId="20" hidden="1">#REF!</definedName>
    <definedName name="_d3938f3ee5b947d294e6e073ba83f160" hidden="1">#REF!</definedName>
    <definedName name="_d5bfb4b0ff7c4dc7865e6fae873e343a" localSheetId="1" hidden="1">#REF!</definedName>
    <definedName name="_d5bfb4b0ff7c4dc7865e6fae873e343a" localSheetId="20" hidden="1">#REF!</definedName>
    <definedName name="_d5bfb4b0ff7c4dc7865e6fae873e343a" hidden="1">#REF!</definedName>
    <definedName name="_d688ec4b270f4837acdf1dcaea2ea20c" localSheetId="1" hidden="1">#REF!</definedName>
    <definedName name="_d688ec4b270f4837acdf1dcaea2ea20c" localSheetId="20" hidden="1">#REF!</definedName>
    <definedName name="_d688ec4b270f4837acdf1dcaea2ea20c" hidden="1">#REF!</definedName>
    <definedName name="_d6d5e1f09f2140ed9fa5e57d9157f499" localSheetId="1" hidden="1">#REF!</definedName>
    <definedName name="_d6d5e1f09f2140ed9fa5e57d9157f499" localSheetId="20" hidden="1">#REF!</definedName>
    <definedName name="_d6d5e1f09f2140ed9fa5e57d9157f499" hidden="1">#REF!</definedName>
    <definedName name="_d794fbd04f1e4ffead6d8bf54539c9e4" localSheetId="1" hidden="1">#REF!</definedName>
    <definedName name="_d794fbd04f1e4ffead6d8bf54539c9e4" localSheetId="20" hidden="1">#REF!</definedName>
    <definedName name="_d794fbd04f1e4ffead6d8bf54539c9e4" hidden="1">#REF!</definedName>
    <definedName name="_d7f2f975cafc4cc68bc51e3774305123" localSheetId="1" hidden="1">#REF!</definedName>
    <definedName name="_d7f2f975cafc4cc68bc51e3774305123" localSheetId="20" hidden="1">#REF!</definedName>
    <definedName name="_d7f2f975cafc4cc68bc51e3774305123" hidden="1">#REF!</definedName>
    <definedName name="_d8b689147f3246d9a0448155ff1e530a" localSheetId="1" hidden="1">#REF!</definedName>
    <definedName name="_d8b689147f3246d9a0448155ff1e530a" localSheetId="20" hidden="1">#REF!</definedName>
    <definedName name="_d8b689147f3246d9a0448155ff1e530a" hidden="1">#REF!</definedName>
    <definedName name="_d8cb2ce085154c159cdc9bb27463976d" localSheetId="1" hidden="1">#REF!</definedName>
    <definedName name="_d8cb2ce085154c159cdc9bb27463976d" localSheetId="20" hidden="1">#REF!</definedName>
    <definedName name="_d8cb2ce085154c159cdc9bb27463976d" hidden="1">#REF!</definedName>
    <definedName name="_d974087b79ac458f8c2174bd6027bf25" localSheetId="1" hidden="1">#REF!</definedName>
    <definedName name="_d974087b79ac458f8c2174bd6027bf25" localSheetId="20" hidden="1">#REF!</definedName>
    <definedName name="_d974087b79ac458f8c2174bd6027bf25" hidden="1">#REF!</definedName>
    <definedName name="_d9c160d1ec624feaa3a75779473ef85a" localSheetId="1" hidden="1">#REF!</definedName>
    <definedName name="_d9c160d1ec624feaa3a75779473ef85a" localSheetId="20" hidden="1">#REF!</definedName>
    <definedName name="_d9c160d1ec624feaa3a75779473ef85a" hidden="1">#REF!</definedName>
    <definedName name="_db7815f98f3045b8a00a699401d4b90c" localSheetId="1" hidden="1">#REF!</definedName>
    <definedName name="_db7815f98f3045b8a00a699401d4b90c" localSheetId="20" hidden="1">#REF!</definedName>
    <definedName name="_db7815f98f3045b8a00a699401d4b90c" hidden="1">#REF!</definedName>
    <definedName name="_dcbccbe370a14434a762685b40a8020c" localSheetId="1" hidden="1">#REF!</definedName>
    <definedName name="_dcbccbe370a14434a762685b40a8020c" localSheetId="20" hidden="1">#REF!</definedName>
    <definedName name="_dcbccbe370a14434a762685b40a8020c" hidden="1">#REF!</definedName>
    <definedName name="_dd5e99ba8f1c4604811eedfb1a499087" localSheetId="1" hidden="1">#REF!</definedName>
    <definedName name="_dd5e99ba8f1c4604811eedfb1a499087" localSheetId="20" hidden="1">#REF!</definedName>
    <definedName name="_dd5e99ba8f1c4604811eedfb1a499087" hidden="1">#REF!</definedName>
    <definedName name="_dd6a4981e5a64f4bafc361ad73821d61" localSheetId="1" hidden="1">#REF!</definedName>
    <definedName name="_dd6a4981e5a64f4bafc361ad73821d61" localSheetId="20" hidden="1">#REF!</definedName>
    <definedName name="_dd6a4981e5a64f4bafc361ad73821d61" hidden="1">#REF!</definedName>
    <definedName name="_de68e056b1614614865dbc354e96cdc2" localSheetId="1" hidden="1">#REF!</definedName>
    <definedName name="_de68e056b1614614865dbc354e96cdc2" localSheetId="20" hidden="1">#REF!</definedName>
    <definedName name="_de68e056b1614614865dbc354e96cdc2" hidden="1">#REF!</definedName>
    <definedName name="_deac3aeb8a42440bbf4267ec8cd82366" localSheetId="1" hidden="1">#REF!</definedName>
    <definedName name="_deac3aeb8a42440bbf4267ec8cd82366" localSheetId="20" hidden="1">#REF!</definedName>
    <definedName name="_deac3aeb8a42440bbf4267ec8cd82366" hidden="1">#REF!</definedName>
    <definedName name="_decf7bc21f264e4ca92e6db6e822f3c4" localSheetId="1" hidden="1">#REF!</definedName>
    <definedName name="_decf7bc21f264e4ca92e6db6e822f3c4" localSheetId="20" hidden="1">#REF!</definedName>
    <definedName name="_decf7bc21f264e4ca92e6db6e822f3c4" hidden="1">#REF!</definedName>
    <definedName name="_e0845d67829f465b84f3a9555187f812" localSheetId="1" hidden="1">#REF!</definedName>
    <definedName name="_e0845d67829f465b84f3a9555187f812" localSheetId="20" hidden="1">#REF!</definedName>
    <definedName name="_e0845d67829f465b84f3a9555187f812" hidden="1">#REF!</definedName>
    <definedName name="_e0b47f33123a456a9e2b069d5ea1c482" localSheetId="1" hidden="1">#REF!</definedName>
    <definedName name="_e0b47f33123a456a9e2b069d5ea1c482" localSheetId="20" hidden="1">#REF!</definedName>
    <definedName name="_e0b47f33123a456a9e2b069d5ea1c482" hidden="1">#REF!</definedName>
    <definedName name="_e0c56f71003a409cb2206efc7c2fbccd" localSheetId="1" hidden="1">#REF!</definedName>
    <definedName name="_e0c56f71003a409cb2206efc7c2fbccd" localSheetId="20" hidden="1">#REF!</definedName>
    <definedName name="_e0c56f71003a409cb2206efc7c2fbccd" hidden="1">#REF!</definedName>
    <definedName name="_e17fcfc67d9642c7a60a39e07be80d69" localSheetId="1" hidden="1">#REF!</definedName>
    <definedName name="_e17fcfc67d9642c7a60a39e07be80d69" localSheetId="20" hidden="1">#REF!</definedName>
    <definedName name="_e17fcfc67d9642c7a60a39e07be80d69" hidden="1">#REF!</definedName>
    <definedName name="_e19386165b284ad3864be288e5ce4f96" localSheetId="1" hidden="1">#REF!</definedName>
    <definedName name="_e19386165b284ad3864be288e5ce4f96" localSheetId="20" hidden="1">#REF!</definedName>
    <definedName name="_e19386165b284ad3864be288e5ce4f96" hidden="1">#REF!</definedName>
    <definedName name="_e25d978761ef4584b4d7f87e61438e2a" localSheetId="1" hidden="1">#REF!</definedName>
    <definedName name="_e25d978761ef4584b4d7f87e61438e2a" localSheetId="20" hidden="1">#REF!</definedName>
    <definedName name="_e25d978761ef4584b4d7f87e61438e2a" hidden="1">#REF!</definedName>
    <definedName name="_e2f7818a6ca4477d90bd43e81e87a1e0" localSheetId="1" hidden="1">#REF!</definedName>
    <definedName name="_e2f7818a6ca4477d90bd43e81e87a1e0" localSheetId="20" hidden="1">#REF!</definedName>
    <definedName name="_e2f7818a6ca4477d90bd43e81e87a1e0" hidden="1">#REF!</definedName>
    <definedName name="_e49a7727df434094961a059f53242387" localSheetId="1" hidden="1">#REF!</definedName>
    <definedName name="_e49a7727df434094961a059f53242387" localSheetId="20" hidden="1">#REF!</definedName>
    <definedName name="_e49a7727df434094961a059f53242387" hidden="1">#REF!</definedName>
    <definedName name="_e5662f814de84e978fbe8083c1e05828" localSheetId="1" hidden="1">#REF!</definedName>
    <definedName name="_e5662f814de84e978fbe8083c1e05828" localSheetId="20" hidden="1">#REF!</definedName>
    <definedName name="_e5662f814de84e978fbe8083c1e05828" hidden="1">#REF!</definedName>
    <definedName name="_e57104900d954eb58b62559662ee1c8e" localSheetId="1" hidden="1">#REF!</definedName>
    <definedName name="_e57104900d954eb58b62559662ee1c8e" localSheetId="20" hidden="1">#REF!</definedName>
    <definedName name="_e57104900d954eb58b62559662ee1c8e" hidden="1">#REF!</definedName>
    <definedName name="_e57bccc99260421bb9f37f9ec1e0f7ae" localSheetId="1" hidden="1">#REF!</definedName>
    <definedName name="_e57bccc99260421bb9f37f9ec1e0f7ae" localSheetId="20" hidden="1">#REF!</definedName>
    <definedName name="_e57bccc99260421bb9f37f9ec1e0f7ae" hidden="1">#REF!</definedName>
    <definedName name="_e6b29343316e441fa05369a24d57548b" localSheetId="1" hidden="1">#REF!</definedName>
    <definedName name="_e6b29343316e441fa05369a24d57548b" localSheetId="20" hidden="1">#REF!</definedName>
    <definedName name="_e6b29343316e441fa05369a24d57548b" hidden="1">#REF!</definedName>
    <definedName name="_e6c9cab62dbd4878b5264759273285a2" localSheetId="1" hidden="1">#REF!</definedName>
    <definedName name="_e6c9cab62dbd4878b5264759273285a2" localSheetId="20" hidden="1">#REF!</definedName>
    <definedName name="_e6c9cab62dbd4878b5264759273285a2" hidden="1">#REF!</definedName>
    <definedName name="_e77d207cacdf4490b3821fe2acbaa25e" localSheetId="1" hidden="1">#REF!</definedName>
    <definedName name="_e77d207cacdf4490b3821fe2acbaa25e" localSheetId="20" hidden="1">#REF!</definedName>
    <definedName name="_e77d207cacdf4490b3821fe2acbaa25e" hidden="1">#REF!</definedName>
    <definedName name="_e7b55daba7c041fba4afa400b520d8bf" localSheetId="1" hidden="1">#REF!</definedName>
    <definedName name="_e7b55daba7c041fba4afa400b520d8bf" localSheetId="20" hidden="1">#REF!</definedName>
    <definedName name="_e7b55daba7c041fba4afa400b520d8bf" hidden="1">#REF!</definedName>
    <definedName name="_e7e044a329804598b73f1cfba61817a8" localSheetId="1" hidden="1">#REF!</definedName>
    <definedName name="_e7e044a329804598b73f1cfba61817a8" localSheetId="20" hidden="1">#REF!</definedName>
    <definedName name="_e7e044a329804598b73f1cfba61817a8" hidden="1">#REF!</definedName>
    <definedName name="_e7e54baf00934e8baf74c1c227cb0133" localSheetId="1" hidden="1">#REF!</definedName>
    <definedName name="_e7e54baf00934e8baf74c1c227cb0133" localSheetId="20" hidden="1">#REF!</definedName>
    <definedName name="_e7e54baf00934e8baf74c1c227cb0133" hidden="1">#REF!</definedName>
    <definedName name="_e7fd00972f584803a324f034e21d75e3" localSheetId="1" hidden="1">#REF!</definedName>
    <definedName name="_e7fd00972f584803a324f034e21d75e3" localSheetId="20" hidden="1">#REF!</definedName>
    <definedName name="_e7fd00972f584803a324f034e21d75e3" hidden="1">#REF!</definedName>
    <definedName name="_e89e870e5fef4206b28268cdbafa2407" localSheetId="1" hidden="1">#REF!</definedName>
    <definedName name="_e89e870e5fef4206b28268cdbafa2407" localSheetId="20" hidden="1">#REF!</definedName>
    <definedName name="_e89e870e5fef4206b28268cdbafa2407" hidden="1">#REF!</definedName>
    <definedName name="_e8b0b59affef4047acf9974507f51ff3" localSheetId="1" hidden="1">#REF!</definedName>
    <definedName name="_e8b0b59affef4047acf9974507f51ff3" localSheetId="20" hidden="1">#REF!</definedName>
    <definedName name="_e8b0b59affef4047acf9974507f51ff3" hidden="1">#REF!</definedName>
    <definedName name="_e90f3323dd43424e9d26291b52c3015c" localSheetId="1" hidden="1">#REF!</definedName>
    <definedName name="_e90f3323dd43424e9d26291b52c3015c" localSheetId="20" hidden="1">#REF!</definedName>
    <definedName name="_e90f3323dd43424e9d26291b52c3015c" hidden="1">#REF!</definedName>
    <definedName name="_e9e3c1a7d0e440b5881e714dc749c8f8" localSheetId="1" hidden="1">#REF!</definedName>
    <definedName name="_e9e3c1a7d0e440b5881e714dc749c8f8" localSheetId="20" hidden="1">#REF!</definedName>
    <definedName name="_e9e3c1a7d0e440b5881e714dc749c8f8" hidden="1">#REF!</definedName>
    <definedName name="_ea6175ba5d5d43629f3456dd2979291e" localSheetId="1" hidden="1">#REF!</definedName>
    <definedName name="_ea6175ba5d5d43629f3456dd2979291e" localSheetId="20" hidden="1">#REF!</definedName>
    <definedName name="_ea6175ba5d5d43629f3456dd2979291e" hidden="1">#REF!</definedName>
    <definedName name="_eabcb9f7c9ca4060a8ac6d71ad540831" localSheetId="1" hidden="1">#REF!</definedName>
    <definedName name="_eabcb9f7c9ca4060a8ac6d71ad540831" localSheetId="20" hidden="1">#REF!</definedName>
    <definedName name="_eabcb9f7c9ca4060a8ac6d71ad540831" hidden="1">#REF!</definedName>
    <definedName name="_ebf72ea6d241435bbe972c8117a82b29" localSheetId="1" hidden="1">#REF!</definedName>
    <definedName name="_ebf72ea6d241435bbe972c8117a82b29" localSheetId="20" hidden="1">#REF!</definedName>
    <definedName name="_ebf72ea6d241435bbe972c8117a82b29" hidden="1">#REF!</definedName>
    <definedName name="_ed9441cef3704d119e0381186f10beb3" localSheetId="1" hidden="1">#REF!</definedName>
    <definedName name="_ed9441cef3704d119e0381186f10beb3" localSheetId="20" hidden="1">#REF!</definedName>
    <definedName name="_ed9441cef3704d119e0381186f10beb3" hidden="1">#REF!</definedName>
    <definedName name="_edae55da6c1d49d0bb6ca47fd9b095a3" localSheetId="1" hidden="1">#REF!</definedName>
    <definedName name="_edae55da6c1d49d0bb6ca47fd9b095a3" localSheetId="20" hidden="1">#REF!</definedName>
    <definedName name="_edae55da6c1d49d0bb6ca47fd9b095a3" hidden="1">#REF!</definedName>
    <definedName name="_eeca260ecabf4904b8596e43b9d93827" localSheetId="1" hidden="1">#REF!</definedName>
    <definedName name="_eeca260ecabf4904b8596e43b9d93827" localSheetId="20" hidden="1">#REF!</definedName>
    <definedName name="_eeca260ecabf4904b8596e43b9d93827" hidden="1">#REF!</definedName>
    <definedName name="_ef0d3fc2c19042fc992ca34dad6bef3d" localSheetId="1" hidden="1">#REF!</definedName>
    <definedName name="_ef0d3fc2c19042fc992ca34dad6bef3d" localSheetId="20" hidden="1">#REF!</definedName>
    <definedName name="_ef0d3fc2c19042fc992ca34dad6bef3d" hidden="1">#REF!</definedName>
    <definedName name="_ef456c42eb254bfc9eaeb377369f09ba" localSheetId="1" hidden="1">#REF!</definedName>
    <definedName name="_ef456c42eb254bfc9eaeb377369f09ba" localSheetId="20" hidden="1">#REF!</definedName>
    <definedName name="_ef456c42eb254bfc9eaeb377369f09ba" hidden="1">#REF!</definedName>
    <definedName name="_f08d4630fee14b5eb3c6498363ee6526" localSheetId="1" hidden="1">#REF!</definedName>
    <definedName name="_f08d4630fee14b5eb3c6498363ee6526" localSheetId="20" hidden="1">#REF!</definedName>
    <definedName name="_f08d4630fee14b5eb3c6498363ee6526" hidden="1">#REF!</definedName>
    <definedName name="_f126ca4fca17462a94aacdb0a151502b" localSheetId="1" hidden="1">#REF!</definedName>
    <definedName name="_f126ca4fca17462a94aacdb0a151502b" localSheetId="20" hidden="1">#REF!</definedName>
    <definedName name="_f126ca4fca17462a94aacdb0a151502b" hidden="1">#REF!</definedName>
    <definedName name="_f12b25ba7b11444f8a1e0eabeba25eb2" localSheetId="1" hidden="1">#REF!</definedName>
    <definedName name="_f12b25ba7b11444f8a1e0eabeba25eb2" localSheetId="20" hidden="1">#REF!</definedName>
    <definedName name="_f12b25ba7b11444f8a1e0eabeba25eb2" hidden="1">#REF!</definedName>
    <definedName name="_f3bf441becd04aeb8c2aa744fd32a26d" localSheetId="1" hidden="1">#REF!</definedName>
    <definedName name="_f3bf441becd04aeb8c2aa744fd32a26d" localSheetId="20" hidden="1">#REF!</definedName>
    <definedName name="_f3bf441becd04aeb8c2aa744fd32a26d" hidden="1">#REF!</definedName>
    <definedName name="_f40bc2b93c8f4ef9a55f485ce90b37bd" localSheetId="1" hidden="1">#REF!</definedName>
    <definedName name="_f40bc2b93c8f4ef9a55f485ce90b37bd" localSheetId="20" hidden="1">#REF!</definedName>
    <definedName name="_f40bc2b93c8f4ef9a55f485ce90b37bd" hidden="1">#REF!</definedName>
    <definedName name="_f40f18516f064572849361e26498c319" localSheetId="1" hidden="1">#REF!</definedName>
    <definedName name="_f40f18516f064572849361e26498c319" localSheetId="20" hidden="1">#REF!</definedName>
    <definedName name="_f40f18516f064572849361e26498c319" hidden="1">#REF!</definedName>
    <definedName name="_f46628e7b62b46daadb9934336453274" localSheetId="1" hidden="1">#REF!</definedName>
    <definedName name="_f46628e7b62b46daadb9934336453274" localSheetId="20" hidden="1">#REF!</definedName>
    <definedName name="_f46628e7b62b46daadb9934336453274" hidden="1">#REF!</definedName>
    <definedName name="_f4db9849c36f460fb912a866b4c9553e" localSheetId="1" hidden="1">#REF!</definedName>
    <definedName name="_f4db9849c36f460fb912a866b4c9553e" localSheetId="20" hidden="1">#REF!</definedName>
    <definedName name="_f4db9849c36f460fb912a866b4c9553e" hidden="1">#REF!</definedName>
    <definedName name="_f5d79fba72db43798f77a4243dbdf774" localSheetId="1" hidden="1">#REF!</definedName>
    <definedName name="_f5d79fba72db43798f77a4243dbdf774" localSheetId="20" hidden="1">#REF!</definedName>
    <definedName name="_f5d79fba72db43798f77a4243dbdf774" hidden="1">#REF!</definedName>
    <definedName name="_f6a768d7a9564efda0fa80223b70ba76" localSheetId="1" hidden="1">#REF!</definedName>
    <definedName name="_f6a768d7a9564efda0fa80223b70ba76" localSheetId="20" hidden="1">#REF!</definedName>
    <definedName name="_f6a768d7a9564efda0fa80223b70ba76" hidden="1">#REF!</definedName>
    <definedName name="_f87e2c9dc90d4911a07b58d9dfbaeb0d" localSheetId="1" hidden="1">#REF!</definedName>
    <definedName name="_f87e2c9dc90d4911a07b58d9dfbaeb0d" localSheetId="20" hidden="1">#REF!</definedName>
    <definedName name="_f87e2c9dc90d4911a07b58d9dfbaeb0d" hidden="1">#REF!</definedName>
    <definedName name="_f8aecff3066c44a29d05e4d2b964a020" localSheetId="1" hidden="1">#REF!</definedName>
    <definedName name="_f8aecff3066c44a29d05e4d2b964a020" localSheetId="20" hidden="1">#REF!</definedName>
    <definedName name="_f8aecff3066c44a29d05e4d2b964a020" hidden="1">#REF!</definedName>
    <definedName name="_fa172dbe2485497191d8dbee94a4e9c5" localSheetId="1" hidden="1">#REF!</definedName>
    <definedName name="_fa172dbe2485497191d8dbee94a4e9c5" localSheetId="20" hidden="1">#REF!</definedName>
    <definedName name="_fa172dbe2485497191d8dbee94a4e9c5" hidden="1">#REF!</definedName>
    <definedName name="_fb49b1f1a4b345aab2a8f02cfaf6a8fe" localSheetId="1" hidden="1">#REF!</definedName>
    <definedName name="_fb49b1f1a4b345aab2a8f02cfaf6a8fe" localSheetId="20" hidden="1">#REF!</definedName>
    <definedName name="_fb49b1f1a4b345aab2a8f02cfaf6a8fe" hidden="1">#REF!</definedName>
    <definedName name="_fcfc7eb515b24b09bcf29125590ca082" localSheetId="1" hidden="1">#REF!</definedName>
    <definedName name="_fcfc7eb515b24b09bcf29125590ca082" localSheetId="20" hidden="1">#REF!</definedName>
    <definedName name="_fcfc7eb515b24b09bcf29125590ca082" hidden="1">#REF!</definedName>
    <definedName name="_fd3fa61b4f4941f2ab1738930d8eb73c" localSheetId="1" hidden="1">#REF!</definedName>
    <definedName name="_fd3fa61b4f4941f2ab1738930d8eb73c" localSheetId="20" hidden="1">#REF!</definedName>
    <definedName name="_fd3fa61b4f4941f2ab1738930d8eb73c" hidden="1">#REF!</definedName>
    <definedName name="_fd5d23a43e454842a4f28fb778f5d770" localSheetId="1" hidden="1">#REF!</definedName>
    <definedName name="_fd5d23a43e454842a4f28fb778f5d770" localSheetId="20" hidden="1">#REF!</definedName>
    <definedName name="_fd5d23a43e454842a4f28fb778f5d770" hidden="1">#REF!</definedName>
    <definedName name="_fd8421870471440db88d8f348f124999" localSheetId="1" hidden="1">#REF!</definedName>
    <definedName name="_fd8421870471440db88d8f348f124999" localSheetId="20" hidden="1">#REF!</definedName>
    <definedName name="_fd8421870471440db88d8f348f124999" hidden="1">#REF!</definedName>
    <definedName name="_fdcbdb7eb4944f6daad7f087f97ea01d" localSheetId="1" hidden="1">#REF!</definedName>
    <definedName name="_fdcbdb7eb4944f6daad7f087f97ea01d" localSheetId="20" hidden="1">#REF!</definedName>
    <definedName name="_fdcbdb7eb4944f6daad7f087f97ea01d" hidden="1">#REF!</definedName>
    <definedName name="_fe75248a33e74847a0e7de5423593ff3" localSheetId="1" hidden="1">#REF!</definedName>
    <definedName name="_fe75248a33e74847a0e7de5423593ff3" localSheetId="20" hidden="1">#REF!</definedName>
    <definedName name="_fe75248a33e74847a0e7de5423593ff3" hidden="1">#REF!</definedName>
    <definedName name="_feb0da36ee83477b9f0c0b903a37f6ed" localSheetId="1" hidden="1">#REF!</definedName>
    <definedName name="_feb0da36ee83477b9f0c0b903a37f6ed" localSheetId="20" hidden="1">#REF!</definedName>
    <definedName name="_feb0da36ee83477b9f0c0b903a37f6ed" hidden="1">#REF!</definedName>
    <definedName name="_feff5f907eda4b1eb803c87a171176c1" localSheetId="1" hidden="1">#REF!</definedName>
    <definedName name="_feff5f907eda4b1eb803c87a171176c1" localSheetId="20" hidden="1">#REF!</definedName>
    <definedName name="_feff5f907eda4b1eb803c87a171176c1" hidden="1">#REF!</definedName>
    <definedName name="_Fill" localSheetId="1" hidden="1">#REF!</definedName>
    <definedName name="_Fill" localSheetId="20" hidden="1">#REF!</definedName>
    <definedName name="_Fill" hidden="1">#REF!</definedName>
    <definedName name="_KA2" localSheetId="1" hidden="1">#REF!</definedName>
    <definedName name="_KA2" localSheetId="20" hidden="1">#REF!</definedName>
    <definedName name="_KA2" hidden="1">#REF!</definedName>
    <definedName name="_KA3" localSheetId="1" hidden="1">#REF!</definedName>
    <definedName name="_KA3" localSheetId="20" hidden="1">#REF!</definedName>
    <definedName name="_KA3" hidden="1">#REF!</definedName>
    <definedName name="_KA4" localSheetId="1" hidden="1">#REF!</definedName>
    <definedName name="_KA4" localSheetId="20" hidden="1">#REF!</definedName>
    <definedName name="_KA4" hidden="1">#REF!</definedName>
    <definedName name="_KA5" localSheetId="1" hidden="1">#REF!</definedName>
    <definedName name="_KA5" localSheetId="20" hidden="1">#REF!</definedName>
    <definedName name="_KA5" hidden="1">#REF!</definedName>
    <definedName name="_KA6" localSheetId="1" hidden="1">#REF!</definedName>
    <definedName name="_KA6" localSheetId="20" hidden="1">#REF!</definedName>
    <definedName name="_KA6" hidden="1">#REF!</definedName>
    <definedName name="_KA7" localSheetId="1" hidden="1">#REF!</definedName>
    <definedName name="_KA7" localSheetId="20" hidden="1">#REF!</definedName>
    <definedName name="_KA7" hidden="1">#REF!</definedName>
    <definedName name="_KA8" localSheetId="1" hidden="1">#REF!</definedName>
    <definedName name="_KA8" localSheetId="20" hidden="1">#REF!</definedName>
    <definedName name="_KA8" hidden="1">#REF!</definedName>
    <definedName name="_KA9" localSheetId="1" hidden="1">#REF!</definedName>
    <definedName name="_KA9" localSheetId="20" hidden="1">#REF!</definedName>
    <definedName name="_KA9" hidden="1">#REF!</definedName>
    <definedName name="_Key1" localSheetId="1" hidden="1">#REF!</definedName>
    <definedName name="_Key1" localSheetId="20" hidden="1">#REF!</definedName>
    <definedName name="_Key1" hidden="1">#REF!</definedName>
    <definedName name="_Key11" localSheetId="1" hidden="1">#REF!</definedName>
    <definedName name="_Key11" localSheetId="20" hidden="1">#REF!</definedName>
    <definedName name="_Key11" hidden="1">#REF!</definedName>
    <definedName name="_key2" localSheetId="1" hidden="1">#REF!</definedName>
    <definedName name="_key2" localSheetId="20" hidden="1">#REF!</definedName>
    <definedName name="_key2" hidden="1">#REF!</definedName>
    <definedName name="_lslkdjf" localSheetId="1" hidden="1">#REF!</definedName>
    <definedName name="_lslkdjf" localSheetId="20" hidden="1">#REF!</definedName>
    <definedName name="_lslkdjf" hidden="1">#REF!</definedName>
    <definedName name="_MatInverse_In" localSheetId="1" hidden="1">#REF!</definedName>
    <definedName name="_MatInverse_In" localSheetId="20" hidden="1">#REF!</definedName>
    <definedName name="_MatInverse_In" hidden="1">#REF!</definedName>
    <definedName name="_MatInverse_Out" localSheetId="1" hidden="1">#REF!</definedName>
    <definedName name="_MatInverse_Out" localSheetId="20" hidden="1">#REF!</definedName>
    <definedName name="_MatInverse_Out" hidden="1">#REF!</definedName>
    <definedName name="_MatMult_A" localSheetId="1" hidden="1">#REF!</definedName>
    <definedName name="_MatMult_A" localSheetId="13" hidden="1">'[18]Fall 2008 Forecast'!#REF!</definedName>
    <definedName name="_MatMult_A" localSheetId="18" hidden="1">'[18]Fall 2008 Forecast'!#REF!</definedName>
    <definedName name="_MatMult_A" localSheetId="20" hidden="1">#REF!</definedName>
    <definedName name="_MatMult_A" hidden="1">#REF!</definedName>
    <definedName name="_new22" localSheetId="1" hidden="1">{#N/A,#N/A,FALSE,"SCA";#N/A,#N/A,FALSE,"NCA";#N/A,#N/A,FALSE,"SAZ";#N/A,#N/A,FALSE,"CAZ";#N/A,#N/A,FALSE,"SNV";#N/A,#N/A,FALSE,"NNV";#N/A,#N/A,FALSE,"PP";#N/A,#N/A,FALSE,"SA"}</definedName>
    <definedName name="_new22" localSheetId="13" hidden="1">{#N/A,#N/A,FALSE,"SCA";#N/A,#N/A,FALSE,"NCA";#N/A,#N/A,FALSE,"SAZ";#N/A,#N/A,FALSE,"CAZ";#N/A,#N/A,FALSE,"SNV";#N/A,#N/A,FALSE,"NNV";#N/A,#N/A,FALSE,"PP";#N/A,#N/A,FALSE,"SA"}</definedName>
    <definedName name="_new22" localSheetId="18" hidden="1">{#N/A,#N/A,FALSE,"SCA";#N/A,#N/A,FALSE,"NCA";#N/A,#N/A,FALSE,"SAZ";#N/A,#N/A,FALSE,"CAZ";#N/A,#N/A,FALSE,"SNV";#N/A,#N/A,FALSE,"NNV";#N/A,#N/A,FALSE,"PP";#N/A,#N/A,FALSE,"SA"}</definedName>
    <definedName name="_new22" localSheetId="20" hidden="1">{#N/A,#N/A,FALSE,"SCA";#N/A,#N/A,FALSE,"NCA";#N/A,#N/A,FALSE,"SAZ";#N/A,#N/A,FALSE,"CAZ";#N/A,#N/A,FALSE,"SNV";#N/A,#N/A,FALSE,"NNV";#N/A,#N/A,FALSE,"PP";#N/A,#N/A,FALSE,"SA"}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1" hidden="1">{#N/A,#N/A,FALSE,"SCA";#N/A,#N/A,FALSE,"NCA";#N/A,#N/A,FALSE,"SAZ";#N/A,#N/A,FALSE,"CAZ";#N/A,#N/A,FALSE,"SNV";#N/A,#N/A,FALSE,"NNV";#N/A,#N/A,FALSE,"PP";#N/A,#N/A,FALSE,"SA"}</definedName>
    <definedName name="_new23" localSheetId="13" hidden="1">{#N/A,#N/A,FALSE,"SCA";#N/A,#N/A,FALSE,"NCA";#N/A,#N/A,FALSE,"SAZ";#N/A,#N/A,FALSE,"CAZ";#N/A,#N/A,FALSE,"SNV";#N/A,#N/A,FALSE,"NNV";#N/A,#N/A,FALSE,"PP";#N/A,#N/A,FALSE,"SA"}</definedName>
    <definedName name="_new23" localSheetId="18" hidden="1">{#N/A,#N/A,FALSE,"SCA";#N/A,#N/A,FALSE,"NCA";#N/A,#N/A,FALSE,"SAZ";#N/A,#N/A,FALSE,"CAZ";#N/A,#N/A,FALSE,"SNV";#N/A,#N/A,FALSE,"NNV";#N/A,#N/A,FALSE,"PP";#N/A,#N/A,FALSE,"SA"}</definedName>
    <definedName name="_new23" localSheetId="20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23_1" localSheetId="1" hidden="1">{#N/A,#N/A,FALSE,"SCA";#N/A,#N/A,FALSE,"NCA";#N/A,#N/A,FALSE,"SAZ";#N/A,#N/A,FALSE,"CAZ";#N/A,#N/A,FALSE,"SNV";#N/A,#N/A,FALSE,"NNV";#N/A,#N/A,FALSE,"PP";#N/A,#N/A,FALSE,"SA"}</definedName>
    <definedName name="_new23_1" localSheetId="13" hidden="1">{#N/A,#N/A,FALSE,"SCA";#N/A,#N/A,FALSE,"NCA";#N/A,#N/A,FALSE,"SAZ";#N/A,#N/A,FALSE,"CAZ";#N/A,#N/A,FALSE,"SNV";#N/A,#N/A,FALSE,"NNV";#N/A,#N/A,FALSE,"PP";#N/A,#N/A,FALSE,"SA"}</definedName>
    <definedName name="_new23_1" localSheetId="18" hidden="1">{#N/A,#N/A,FALSE,"SCA";#N/A,#N/A,FALSE,"NCA";#N/A,#N/A,FALSE,"SAZ";#N/A,#N/A,FALSE,"CAZ";#N/A,#N/A,FALSE,"SNV";#N/A,#N/A,FALSE,"NNV";#N/A,#N/A,FALSE,"PP";#N/A,#N/A,FALSE,"SA"}</definedName>
    <definedName name="_new23_1" localSheetId="20" hidden="1">{#N/A,#N/A,FALSE,"SCA";#N/A,#N/A,FALSE,"NCA";#N/A,#N/A,FALSE,"SAZ";#N/A,#N/A,FALSE,"CAZ";#N/A,#N/A,FALSE,"SNV";#N/A,#N/A,FALSE,"NNV";#N/A,#N/A,FALSE,"PP";#N/A,#N/A,FALSE,"SA"}</definedName>
    <definedName name="_new23_1" hidden="1">{#N/A,#N/A,FALSE,"SCA";#N/A,#N/A,FALSE,"NCA";#N/A,#N/A,FALSE,"SAZ";#N/A,#N/A,FALSE,"CAZ";#N/A,#N/A,FALSE,"SNV";#N/A,#N/A,FALSE,"NNV";#N/A,#N/A,FALSE,"PP";#N/A,#N/A,FALSE,"SA"}</definedName>
    <definedName name="_new23_2" localSheetId="1" hidden="1">{#N/A,#N/A,FALSE,"SCA";#N/A,#N/A,FALSE,"NCA";#N/A,#N/A,FALSE,"SAZ";#N/A,#N/A,FALSE,"CAZ";#N/A,#N/A,FALSE,"SNV";#N/A,#N/A,FALSE,"NNV";#N/A,#N/A,FALSE,"PP";#N/A,#N/A,FALSE,"SA"}</definedName>
    <definedName name="_new23_2" localSheetId="13" hidden="1">{#N/A,#N/A,FALSE,"SCA";#N/A,#N/A,FALSE,"NCA";#N/A,#N/A,FALSE,"SAZ";#N/A,#N/A,FALSE,"CAZ";#N/A,#N/A,FALSE,"SNV";#N/A,#N/A,FALSE,"NNV";#N/A,#N/A,FALSE,"PP";#N/A,#N/A,FALSE,"SA"}</definedName>
    <definedName name="_new23_2" localSheetId="18" hidden="1">{#N/A,#N/A,FALSE,"SCA";#N/A,#N/A,FALSE,"NCA";#N/A,#N/A,FALSE,"SAZ";#N/A,#N/A,FALSE,"CAZ";#N/A,#N/A,FALSE,"SNV";#N/A,#N/A,FALSE,"NNV";#N/A,#N/A,FALSE,"PP";#N/A,#N/A,FALSE,"SA"}</definedName>
    <definedName name="_new23_2" localSheetId="20" hidden="1">{#N/A,#N/A,FALSE,"SCA";#N/A,#N/A,FALSE,"NCA";#N/A,#N/A,FALSE,"SAZ";#N/A,#N/A,FALSE,"CAZ";#N/A,#N/A,FALSE,"SNV";#N/A,#N/A,FALSE,"NNV";#N/A,#N/A,FALSE,"PP";#N/A,#N/A,FALSE,"SA"}</definedName>
    <definedName name="_new23_2" hidden="1">{#N/A,#N/A,FALSE,"SCA";#N/A,#N/A,FALSE,"NCA";#N/A,#N/A,FALSE,"SAZ";#N/A,#N/A,FALSE,"CAZ";#N/A,#N/A,FALSE,"SNV";#N/A,#N/A,FALSE,"NNV";#N/A,#N/A,FALSE,"PP";#N/A,#N/A,FALSE,"SA"}</definedName>
    <definedName name="_new37" localSheetId="1" hidden="1">{#N/A,#N/A,FALSE,"SCA";#N/A,#N/A,FALSE,"NCA";#N/A,#N/A,FALSE,"SAZ";#N/A,#N/A,FALSE,"CAZ";#N/A,#N/A,FALSE,"SNV";#N/A,#N/A,FALSE,"NNV";#N/A,#N/A,FALSE,"PP";#N/A,#N/A,FALSE,"SA"}</definedName>
    <definedName name="_new37" localSheetId="13" hidden="1">{#N/A,#N/A,FALSE,"SCA";#N/A,#N/A,FALSE,"NCA";#N/A,#N/A,FALSE,"SAZ";#N/A,#N/A,FALSE,"CAZ";#N/A,#N/A,FALSE,"SNV";#N/A,#N/A,FALSE,"NNV";#N/A,#N/A,FALSE,"PP";#N/A,#N/A,FALSE,"SA"}</definedName>
    <definedName name="_new37" localSheetId="18" hidden="1">{#N/A,#N/A,FALSE,"SCA";#N/A,#N/A,FALSE,"NCA";#N/A,#N/A,FALSE,"SAZ";#N/A,#N/A,FALSE,"CAZ";#N/A,#N/A,FALSE,"SNV";#N/A,#N/A,FALSE,"NNV";#N/A,#N/A,FALSE,"PP";#N/A,#N/A,FALSE,"SA"}</definedName>
    <definedName name="_new37" localSheetId="20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37_1" localSheetId="1" hidden="1">{#N/A,#N/A,FALSE,"SCA";#N/A,#N/A,FALSE,"NCA";#N/A,#N/A,FALSE,"SAZ";#N/A,#N/A,FALSE,"CAZ";#N/A,#N/A,FALSE,"SNV";#N/A,#N/A,FALSE,"NNV";#N/A,#N/A,FALSE,"PP";#N/A,#N/A,FALSE,"SA"}</definedName>
    <definedName name="_new37_1" localSheetId="13" hidden="1">{#N/A,#N/A,FALSE,"SCA";#N/A,#N/A,FALSE,"NCA";#N/A,#N/A,FALSE,"SAZ";#N/A,#N/A,FALSE,"CAZ";#N/A,#N/A,FALSE,"SNV";#N/A,#N/A,FALSE,"NNV";#N/A,#N/A,FALSE,"PP";#N/A,#N/A,FALSE,"SA"}</definedName>
    <definedName name="_new37_1" localSheetId="18" hidden="1">{#N/A,#N/A,FALSE,"SCA";#N/A,#N/A,FALSE,"NCA";#N/A,#N/A,FALSE,"SAZ";#N/A,#N/A,FALSE,"CAZ";#N/A,#N/A,FALSE,"SNV";#N/A,#N/A,FALSE,"NNV";#N/A,#N/A,FALSE,"PP";#N/A,#N/A,FALSE,"SA"}</definedName>
    <definedName name="_new37_1" localSheetId="20" hidden="1">{#N/A,#N/A,FALSE,"SCA";#N/A,#N/A,FALSE,"NCA";#N/A,#N/A,FALSE,"SAZ";#N/A,#N/A,FALSE,"CAZ";#N/A,#N/A,FALSE,"SNV";#N/A,#N/A,FALSE,"NNV";#N/A,#N/A,FALSE,"PP";#N/A,#N/A,FALSE,"SA"}</definedName>
    <definedName name="_new37_1" hidden="1">{#N/A,#N/A,FALSE,"SCA";#N/A,#N/A,FALSE,"NCA";#N/A,#N/A,FALSE,"SAZ";#N/A,#N/A,FALSE,"CAZ";#N/A,#N/A,FALSE,"SNV";#N/A,#N/A,FALSE,"NNV";#N/A,#N/A,FALSE,"PP";#N/A,#N/A,FALSE,"SA"}</definedName>
    <definedName name="_new37_2" localSheetId="1" hidden="1">{#N/A,#N/A,FALSE,"SCA";#N/A,#N/A,FALSE,"NCA";#N/A,#N/A,FALSE,"SAZ";#N/A,#N/A,FALSE,"CAZ";#N/A,#N/A,FALSE,"SNV";#N/A,#N/A,FALSE,"NNV";#N/A,#N/A,FALSE,"PP";#N/A,#N/A,FALSE,"SA"}</definedName>
    <definedName name="_new37_2" localSheetId="13" hidden="1">{#N/A,#N/A,FALSE,"SCA";#N/A,#N/A,FALSE,"NCA";#N/A,#N/A,FALSE,"SAZ";#N/A,#N/A,FALSE,"CAZ";#N/A,#N/A,FALSE,"SNV";#N/A,#N/A,FALSE,"NNV";#N/A,#N/A,FALSE,"PP";#N/A,#N/A,FALSE,"SA"}</definedName>
    <definedName name="_new37_2" localSheetId="18" hidden="1">{#N/A,#N/A,FALSE,"SCA";#N/A,#N/A,FALSE,"NCA";#N/A,#N/A,FALSE,"SAZ";#N/A,#N/A,FALSE,"CAZ";#N/A,#N/A,FALSE,"SNV";#N/A,#N/A,FALSE,"NNV";#N/A,#N/A,FALSE,"PP";#N/A,#N/A,FALSE,"SA"}</definedName>
    <definedName name="_new37_2" localSheetId="20" hidden="1">{#N/A,#N/A,FALSE,"SCA";#N/A,#N/A,FALSE,"NCA";#N/A,#N/A,FALSE,"SAZ";#N/A,#N/A,FALSE,"CAZ";#N/A,#N/A,FALSE,"SNV";#N/A,#N/A,FALSE,"NNV";#N/A,#N/A,FALSE,"PP";#N/A,#N/A,FALSE,"SA"}</definedName>
    <definedName name="_new37_2" hidden="1">{#N/A,#N/A,FALSE,"SCA";#N/A,#N/A,FALSE,"NCA";#N/A,#N/A,FALSE,"SAZ";#N/A,#N/A,FALSE,"CAZ";#N/A,#N/A,FALSE,"SNV";#N/A,#N/A,FALSE,"NNV";#N/A,#N/A,FALSE,"PP";#N/A,#N/A,FALSE,"SA"}</definedName>
    <definedName name="_new4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1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1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2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2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2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2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" hidden="1">{#N/A,#N/A,FALSE,"SCA";#N/A,#N/A,FALSE,"NCA";#N/A,#N/A,FALSE,"SAZ";#N/A,#N/A,FALSE,"CAZ";#N/A,#N/A,FALSE,"SNV";#N/A,#N/A,FALSE,"NNV";#N/A,#N/A,FALSE,"PP";#N/A,#N/A,FALSE,"SA"}</definedName>
    <definedName name="_new43" localSheetId="13" hidden="1">{#N/A,#N/A,FALSE,"SCA";#N/A,#N/A,FALSE,"NCA";#N/A,#N/A,FALSE,"SAZ";#N/A,#N/A,FALSE,"CAZ";#N/A,#N/A,FALSE,"SNV";#N/A,#N/A,FALSE,"NNV";#N/A,#N/A,FALSE,"PP";#N/A,#N/A,FALSE,"SA"}</definedName>
    <definedName name="_new43" localSheetId="18" hidden="1">{#N/A,#N/A,FALSE,"SCA";#N/A,#N/A,FALSE,"NCA";#N/A,#N/A,FALSE,"SAZ";#N/A,#N/A,FALSE,"CAZ";#N/A,#N/A,FALSE,"SNV";#N/A,#N/A,FALSE,"NNV";#N/A,#N/A,FALSE,"PP";#N/A,#N/A,FALSE,"SA"}</definedName>
    <definedName name="_new43" localSheetId="20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43_1" localSheetId="1" hidden="1">{#N/A,#N/A,FALSE,"SCA";#N/A,#N/A,FALSE,"NCA";#N/A,#N/A,FALSE,"SAZ";#N/A,#N/A,FALSE,"CAZ";#N/A,#N/A,FALSE,"SNV";#N/A,#N/A,FALSE,"NNV";#N/A,#N/A,FALSE,"PP";#N/A,#N/A,FALSE,"SA"}</definedName>
    <definedName name="_new43_1" localSheetId="13" hidden="1">{#N/A,#N/A,FALSE,"SCA";#N/A,#N/A,FALSE,"NCA";#N/A,#N/A,FALSE,"SAZ";#N/A,#N/A,FALSE,"CAZ";#N/A,#N/A,FALSE,"SNV";#N/A,#N/A,FALSE,"NNV";#N/A,#N/A,FALSE,"PP";#N/A,#N/A,FALSE,"SA"}</definedName>
    <definedName name="_new43_1" localSheetId="18" hidden="1">{#N/A,#N/A,FALSE,"SCA";#N/A,#N/A,FALSE,"NCA";#N/A,#N/A,FALSE,"SAZ";#N/A,#N/A,FALSE,"CAZ";#N/A,#N/A,FALSE,"SNV";#N/A,#N/A,FALSE,"NNV";#N/A,#N/A,FALSE,"PP";#N/A,#N/A,FALSE,"SA"}</definedName>
    <definedName name="_new43_1" localSheetId="20" hidden="1">{#N/A,#N/A,FALSE,"SCA";#N/A,#N/A,FALSE,"NCA";#N/A,#N/A,FALSE,"SAZ";#N/A,#N/A,FALSE,"CAZ";#N/A,#N/A,FALSE,"SNV";#N/A,#N/A,FALSE,"NNV";#N/A,#N/A,FALSE,"PP";#N/A,#N/A,FALSE,"SA"}</definedName>
    <definedName name="_new43_1" hidden="1">{#N/A,#N/A,FALSE,"SCA";#N/A,#N/A,FALSE,"NCA";#N/A,#N/A,FALSE,"SAZ";#N/A,#N/A,FALSE,"CAZ";#N/A,#N/A,FALSE,"SNV";#N/A,#N/A,FALSE,"NNV";#N/A,#N/A,FALSE,"PP";#N/A,#N/A,FALSE,"SA"}</definedName>
    <definedName name="_new43_2" localSheetId="1" hidden="1">{#N/A,#N/A,FALSE,"SCA";#N/A,#N/A,FALSE,"NCA";#N/A,#N/A,FALSE,"SAZ";#N/A,#N/A,FALSE,"CAZ";#N/A,#N/A,FALSE,"SNV";#N/A,#N/A,FALSE,"NNV";#N/A,#N/A,FALSE,"PP";#N/A,#N/A,FALSE,"SA"}</definedName>
    <definedName name="_new43_2" localSheetId="13" hidden="1">{#N/A,#N/A,FALSE,"SCA";#N/A,#N/A,FALSE,"NCA";#N/A,#N/A,FALSE,"SAZ";#N/A,#N/A,FALSE,"CAZ";#N/A,#N/A,FALSE,"SNV";#N/A,#N/A,FALSE,"NNV";#N/A,#N/A,FALSE,"PP";#N/A,#N/A,FALSE,"SA"}</definedName>
    <definedName name="_new43_2" localSheetId="18" hidden="1">{#N/A,#N/A,FALSE,"SCA";#N/A,#N/A,FALSE,"NCA";#N/A,#N/A,FALSE,"SAZ";#N/A,#N/A,FALSE,"CAZ";#N/A,#N/A,FALSE,"SNV";#N/A,#N/A,FALSE,"NNV";#N/A,#N/A,FALSE,"PP";#N/A,#N/A,FALSE,"SA"}</definedName>
    <definedName name="_new43_2" localSheetId="20" hidden="1">{#N/A,#N/A,FALSE,"SCA";#N/A,#N/A,FALSE,"NCA";#N/A,#N/A,FALSE,"SAZ";#N/A,#N/A,FALSE,"CAZ";#N/A,#N/A,FALSE,"SNV";#N/A,#N/A,FALSE,"NNV";#N/A,#N/A,FALSE,"PP";#N/A,#N/A,FALSE,"SA"}</definedName>
    <definedName name="_new43_2" hidden="1">{#N/A,#N/A,FALSE,"SCA";#N/A,#N/A,FALSE,"NCA";#N/A,#N/A,FALSE,"SAZ";#N/A,#N/A,FALSE,"CAZ";#N/A,#N/A,FALSE,"SNV";#N/A,#N/A,FALSE,"NNV";#N/A,#N/A,FALSE,"PP";#N/A,#N/A,FALSE,"SA"}</definedName>
    <definedName name="_new57" localSheetId="1" hidden="1">{#N/A,#N/A,FALSE,"SCA";#N/A,#N/A,FALSE,"NCA";#N/A,#N/A,FALSE,"SAZ";#N/A,#N/A,FALSE,"CAZ";#N/A,#N/A,FALSE,"SNV";#N/A,#N/A,FALSE,"NNV";#N/A,#N/A,FALSE,"PP";#N/A,#N/A,FALSE,"SA"}</definedName>
    <definedName name="_new57" localSheetId="13" hidden="1">{#N/A,#N/A,FALSE,"SCA";#N/A,#N/A,FALSE,"NCA";#N/A,#N/A,FALSE,"SAZ";#N/A,#N/A,FALSE,"CAZ";#N/A,#N/A,FALSE,"SNV";#N/A,#N/A,FALSE,"NNV";#N/A,#N/A,FALSE,"PP";#N/A,#N/A,FALSE,"SA"}</definedName>
    <definedName name="_new57" localSheetId="18" hidden="1">{#N/A,#N/A,FALSE,"SCA";#N/A,#N/A,FALSE,"NCA";#N/A,#N/A,FALSE,"SAZ";#N/A,#N/A,FALSE,"CAZ";#N/A,#N/A,FALSE,"SNV";#N/A,#N/A,FALSE,"NNV";#N/A,#N/A,FALSE,"PP";#N/A,#N/A,FALSE,"SA"}</definedName>
    <definedName name="_new57" localSheetId="20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7_1" localSheetId="1" hidden="1">{#N/A,#N/A,FALSE,"SCA";#N/A,#N/A,FALSE,"NCA";#N/A,#N/A,FALSE,"SAZ";#N/A,#N/A,FALSE,"CAZ";#N/A,#N/A,FALSE,"SNV";#N/A,#N/A,FALSE,"NNV";#N/A,#N/A,FALSE,"PP";#N/A,#N/A,FALSE,"SA"}</definedName>
    <definedName name="_new57_1" localSheetId="13" hidden="1">{#N/A,#N/A,FALSE,"SCA";#N/A,#N/A,FALSE,"NCA";#N/A,#N/A,FALSE,"SAZ";#N/A,#N/A,FALSE,"CAZ";#N/A,#N/A,FALSE,"SNV";#N/A,#N/A,FALSE,"NNV";#N/A,#N/A,FALSE,"PP";#N/A,#N/A,FALSE,"SA"}</definedName>
    <definedName name="_new57_1" localSheetId="18" hidden="1">{#N/A,#N/A,FALSE,"SCA";#N/A,#N/A,FALSE,"NCA";#N/A,#N/A,FALSE,"SAZ";#N/A,#N/A,FALSE,"CAZ";#N/A,#N/A,FALSE,"SNV";#N/A,#N/A,FALSE,"NNV";#N/A,#N/A,FALSE,"PP";#N/A,#N/A,FALSE,"SA"}</definedName>
    <definedName name="_new57_1" localSheetId="20" hidden="1">{#N/A,#N/A,FALSE,"SCA";#N/A,#N/A,FALSE,"NCA";#N/A,#N/A,FALSE,"SAZ";#N/A,#N/A,FALSE,"CAZ";#N/A,#N/A,FALSE,"SNV";#N/A,#N/A,FALSE,"NNV";#N/A,#N/A,FALSE,"PP";#N/A,#N/A,FALSE,"SA"}</definedName>
    <definedName name="_new57_1" hidden="1">{#N/A,#N/A,FALSE,"SCA";#N/A,#N/A,FALSE,"NCA";#N/A,#N/A,FALSE,"SAZ";#N/A,#N/A,FALSE,"CAZ";#N/A,#N/A,FALSE,"SNV";#N/A,#N/A,FALSE,"NNV";#N/A,#N/A,FALSE,"PP";#N/A,#N/A,FALSE,"SA"}</definedName>
    <definedName name="_new57_2" localSheetId="1" hidden="1">{#N/A,#N/A,FALSE,"SCA";#N/A,#N/A,FALSE,"NCA";#N/A,#N/A,FALSE,"SAZ";#N/A,#N/A,FALSE,"CAZ";#N/A,#N/A,FALSE,"SNV";#N/A,#N/A,FALSE,"NNV";#N/A,#N/A,FALSE,"PP";#N/A,#N/A,FALSE,"SA"}</definedName>
    <definedName name="_new57_2" localSheetId="13" hidden="1">{#N/A,#N/A,FALSE,"SCA";#N/A,#N/A,FALSE,"NCA";#N/A,#N/A,FALSE,"SAZ";#N/A,#N/A,FALSE,"CAZ";#N/A,#N/A,FALSE,"SNV";#N/A,#N/A,FALSE,"NNV";#N/A,#N/A,FALSE,"PP";#N/A,#N/A,FALSE,"SA"}</definedName>
    <definedName name="_new57_2" localSheetId="18" hidden="1">{#N/A,#N/A,FALSE,"SCA";#N/A,#N/A,FALSE,"NCA";#N/A,#N/A,FALSE,"SAZ";#N/A,#N/A,FALSE,"CAZ";#N/A,#N/A,FALSE,"SNV";#N/A,#N/A,FALSE,"NNV";#N/A,#N/A,FALSE,"PP";#N/A,#N/A,FALSE,"SA"}</definedName>
    <definedName name="_new57_2" localSheetId="20" hidden="1">{#N/A,#N/A,FALSE,"SCA";#N/A,#N/A,FALSE,"NCA";#N/A,#N/A,FALSE,"SAZ";#N/A,#N/A,FALSE,"CAZ";#N/A,#N/A,FALSE,"SNV";#N/A,#N/A,FALSE,"NNV";#N/A,#N/A,FALSE,"PP";#N/A,#N/A,FALSE,"SA"}</definedName>
    <definedName name="_new57_2" hidden="1">{#N/A,#N/A,FALSE,"SCA";#N/A,#N/A,FALSE,"NCA";#N/A,#N/A,FALSE,"SAZ";#N/A,#N/A,FALSE,"CAZ";#N/A,#N/A,FALSE,"SNV";#N/A,#N/A,FALSE,"NNV";#N/A,#N/A,FALSE,"PP";#N/A,#N/A,FALSE,"SA"}</definedName>
    <definedName name="_new58" localSheetId="1" hidden="1">{#N/A,#N/A,FALSE,"SCA";#N/A,#N/A,FALSE,"NCA";#N/A,#N/A,FALSE,"SAZ";#N/A,#N/A,FALSE,"CAZ";#N/A,#N/A,FALSE,"SNV";#N/A,#N/A,FALSE,"NNV";#N/A,#N/A,FALSE,"PP";#N/A,#N/A,FALSE,"SA"}</definedName>
    <definedName name="_new58" localSheetId="13" hidden="1">{#N/A,#N/A,FALSE,"SCA";#N/A,#N/A,FALSE,"NCA";#N/A,#N/A,FALSE,"SAZ";#N/A,#N/A,FALSE,"CAZ";#N/A,#N/A,FALSE,"SNV";#N/A,#N/A,FALSE,"NNV";#N/A,#N/A,FALSE,"PP";#N/A,#N/A,FALSE,"SA"}</definedName>
    <definedName name="_new58" localSheetId="18" hidden="1">{#N/A,#N/A,FALSE,"SCA";#N/A,#N/A,FALSE,"NCA";#N/A,#N/A,FALSE,"SAZ";#N/A,#N/A,FALSE,"CAZ";#N/A,#N/A,FALSE,"SNV";#N/A,#N/A,FALSE,"NNV";#N/A,#N/A,FALSE,"PP";#N/A,#N/A,FALSE,"SA"}</definedName>
    <definedName name="_new58" localSheetId="20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58_1" localSheetId="1" hidden="1">{#N/A,#N/A,FALSE,"SCA";#N/A,#N/A,FALSE,"NCA";#N/A,#N/A,FALSE,"SAZ";#N/A,#N/A,FALSE,"CAZ";#N/A,#N/A,FALSE,"SNV";#N/A,#N/A,FALSE,"NNV";#N/A,#N/A,FALSE,"PP";#N/A,#N/A,FALSE,"SA"}</definedName>
    <definedName name="_new58_1" localSheetId="13" hidden="1">{#N/A,#N/A,FALSE,"SCA";#N/A,#N/A,FALSE,"NCA";#N/A,#N/A,FALSE,"SAZ";#N/A,#N/A,FALSE,"CAZ";#N/A,#N/A,FALSE,"SNV";#N/A,#N/A,FALSE,"NNV";#N/A,#N/A,FALSE,"PP";#N/A,#N/A,FALSE,"SA"}</definedName>
    <definedName name="_new58_1" localSheetId="18" hidden="1">{#N/A,#N/A,FALSE,"SCA";#N/A,#N/A,FALSE,"NCA";#N/A,#N/A,FALSE,"SAZ";#N/A,#N/A,FALSE,"CAZ";#N/A,#N/A,FALSE,"SNV";#N/A,#N/A,FALSE,"NNV";#N/A,#N/A,FALSE,"PP";#N/A,#N/A,FALSE,"SA"}</definedName>
    <definedName name="_new58_1" localSheetId="20" hidden="1">{#N/A,#N/A,FALSE,"SCA";#N/A,#N/A,FALSE,"NCA";#N/A,#N/A,FALSE,"SAZ";#N/A,#N/A,FALSE,"CAZ";#N/A,#N/A,FALSE,"SNV";#N/A,#N/A,FALSE,"NNV";#N/A,#N/A,FALSE,"PP";#N/A,#N/A,FALSE,"SA"}</definedName>
    <definedName name="_new58_1" hidden="1">{#N/A,#N/A,FALSE,"SCA";#N/A,#N/A,FALSE,"NCA";#N/A,#N/A,FALSE,"SAZ";#N/A,#N/A,FALSE,"CAZ";#N/A,#N/A,FALSE,"SNV";#N/A,#N/A,FALSE,"NNV";#N/A,#N/A,FALSE,"PP";#N/A,#N/A,FALSE,"SA"}</definedName>
    <definedName name="_new58_2" localSheetId="1" hidden="1">{#N/A,#N/A,FALSE,"SCA";#N/A,#N/A,FALSE,"NCA";#N/A,#N/A,FALSE,"SAZ";#N/A,#N/A,FALSE,"CAZ";#N/A,#N/A,FALSE,"SNV";#N/A,#N/A,FALSE,"NNV";#N/A,#N/A,FALSE,"PP";#N/A,#N/A,FALSE,"SA"}</definedName>
    <definedName name="_new58_2" localSheetId="13" hidden="1">{#N/A,#N/A,FALSE,"SCA";#N/A,#N/A,FALSE,"NCA";#N/A,#N/A,FALSE,"SAZ";#N/A,#N/A,FALSE,"CAZ";#N/A,#N/A,FALSE,"SNV";#N/A,#N/A,FALSE,"NNV";#N/A,#N/A,FALSE,"PP";#N/A,#N/A,FALSE,"SA"}</definedName>
    <definedName name="_new58_2" localSheetId="18" hidden="1">{#N/A,#N/A,FALSE,"SCA";#N/A,#N/A,FALSE,"NCA";#N/A,#N/A,FALSE,"SAZ";#N/A,#N/A,FALSE,"CAZ";#N/A,#N/A,FALSE,"SNV";#N/A,#N/A,FALSE,"NNV";#N/A,#N/A,FALSE,"PP";#N/A,#N/A,FALSE,"SA"}</definedName>
    <definedName name="_new58_2" localSheetId="20" hidden="1">{#N/A,#N/A,FALSE,"SCA";#N/A,#N/A,FALSE,"NCA";#N/A,#N/A,FALSE,"SAZ";#N/A,#N/A,FALSE,"CAZ";#N/A,#N/A,FALSE,"SNV";#N/A,#N/A,FALSE,"NNV";#N/A,#N/A,FALSE,"PP";#N/A,#N/A,FALSE,"SA"}</definedName>
    <definedName name="_new58_2" hidden="1">{#N/A,#N/A,FALSE,"SCA";#N/A,#N/A,FALSE,"NCA";#N/A,#N/A,FALSE,"SAZ";#N/A,#N/A,FALSE,"CAZ";#N/A,#N/A,FALSE,"SNV";#N/A,#N/A,FALSE,"NNV";#N/A,#N/A,FALSE,"PP";#N/A,#N/A,FALSE,"SA"}</definedName>
    <definedName name="_new6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1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1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2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2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2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2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" hidden="1">{#N/A,#N/A,FALSE,"SCA";#N/A,#N/A,FALSE,"NCA";#N/A,#N/A,FALSE,"SAZ";#N/A,#N/A,FALSE,"CAZ";#N/A,#N/A,FALSE,"SNV";#N/A,#N/A,FALSE,"NNV";#N/A,#N/A,FALSE,"PP";#N/A,#N/A,FALSE,"SA"}</definedName>
    <definedName name="_new71" localSheetId="13" hidden="1">{#N/A,#N/A,FALSE,"SCA";#N/A,#N/A,FALSE,"NCA";#N/A,#N/A,FALSE,"SAZ";#N/A,#N/A,FALSE,"CAZ";#N/A,#N/A,FALSE,"SNV";#N/A,#N/A,FALSE,"NNV";#N/A,#N/A,FALSE,"PP";#N/A,#N/A,FALSE,"SA"}</definedName>
    <definedName name="_new71" localSheetId="18" hidden="1">{#N/A,#N/A,FALSE,"SCA";#N/A,#N/A,FALSE,"NCA";#N/A,#N/A,FALSE,"SAZ";#N/A,#N/A,FALSE,"CAZ";#N/A,#N/A,FALSE,"SNV";#N/A,#N/A,FALSE,"NNV";#N/A,#N/A,FALSE,"PP";#N/A,#N/A,FALSE,"SA"}</definedName>
    <definedName name="_new71" localSheetId="20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1_1" localSheetId="1" hidden="1">{#N/A,#N/A,FALSE,"SCA";#N/A,#N/A,FALSE,"NCA";#N/A,#N/A,FALSE,"SAZ";#N/A,#N/A,FALSE,"CAZ";#N/A,#N/A,FALSE,"SNV";#N/A,#N/A,FALSE,"NNV";#N/A,#N/A,FALSE,"PP";#N/A,#N/A,FALSE,"SA"}</definedName>
    <definedName name="_new71_1" localSheetId="13" hidden="1">{#N/A,#N/A,FALSE,"SCA";#N/A,#N/A,FALSE,"NCA";#N/A,#N/A,FALSE,"SAZ";#N/A,#N/A,FALSE,"CAZ";#N/A,#N/A,FALSE,"SNV";#N/A,#N/A,FALSE,"NNV";#N/A,#N/A,FALSE,"PP";#N/A,#N/A,FALSE,"SA"}</definedName>
    <definedName name="_new71_1" localSheetId="18" hidden="1">{#N/A,#N/A,FALSE,"SCA";#N/A,#N/A,FALSE,"NCA";#N/A,#N/A,FALSE,"SAZ";#N/A,#N/A,FALSE,"CAZ";#N/A,#N/A,FALSE,"SNV";#N/A,#N/A,FALSE,"NNV";#N/A,#N/A,FALSE,"PP";#N/A,#N/A,FALSE,"SA"}</definedName>
    <definedName name="_new71_1" localSheetId="20" hidden="1">{#N/A,#N/A,FALSE,"SCA";#N/A,#N/A,FALSE,"NCA";#N/A,#N/A,FALSE,"SAZ";#N/A,#N/A,FALSE,"CAZ";#N/A,#N/A,FALSE,"SNV";#N/A,#N/A,FALSE,"NNV";#N/A,#N/A,FALSE,"PP";#N/A,#N/A,FALSE,"SA"}</definedName>
    <definedName name="_new71_1" hidden="1">{#N/A,#N/A,FALSE,"SCA";#N/A,#N/A,FALSE,"NCA";#N/A,#N/A,FALSE,"SAZ";#N/A,#N/A,FALSE,"CAZ";#N/A,#N/A,FALSE,"SNV";#N/A,#N/A,FALSE,"NNV";#N/A,#N/A,FALSE,"PP";#N/A,#N/A,FALSE,"SA"}</definedName>
    <definedName name="_new71_2" localSheetId="1" hidden="1">{#N/A,#N/A,FALSE,"SCA";#N/A,#N/A,FALSE,"NCA";#N/A,#N/A,FALSE,"SAZ";#N/A,#N/A,FALSE,"CAZ";#N/A,#N/A,FALSE,"SNV";#N/A,#N/A,FALSE,"NNV";#N/A,#N/A,FALSE,"PP";#N/A,#N/A,FALSE,"SA"}</definedName>
    <definedName name="_new71_2" localSheetId="13" hidden="1">{#N/A,#N/A,FALSE,"SCA";#N/A,#N/A,FALSE,"NCA";#N/A,#N/A,FALSE,"SAZ";#N/A,#N/A,FALSE,"CAZ";#N/A,#N/A,FALSE,"SNV";#N/A,#N/A,FALSE,"NNV";#N/A,#N/A,FALSE,"PP";#N/A,#N/A,FALSE,"SA"}</definedName>
    <definedName name="_new71_2" localSheetId="18" hidden="1">{#N/A,#N/A,FALSE,"SCA";#N/A,#N/A,FALSE,"NCA";#N/A,#N/A,FALSE,"SAZ";#N/A,#N/A,FALSE,"CAZ";#N/A,#N/A,FALSE,"SNV";#N/A,#N/A,FALSE,"NNV";#N/A,#N/A,FALSE,"PP";#N/A,#N/A,FALSE,"SA"}</definedName>
    <definedName name="_new71_2" localSheetId="20" hidden="1">{#N/A,#N/A,FALSE,"SCA";#N/A,#N/A,FALSE,"NCA";#N/A,#N/A,FALSE,"SAZ";#N/A,#N/A,FALSE,"CAZ";#N/A,#N/A,FALSE,"SNV";#N/A,#N/A,FALSE,"NNV";#N/A,#N/A,FALSE,"PP";#N/A,#N/A,FALSE,"SA"}</definedName>
    <definedName name="_new71_2" hidden="1">{#N/A,#N/A,FALSE,"SCA";#N/A,#N/A,FALSE,"NCA";#N/A,#N/A,FALSE,"SAZ";#N/A,#N/A,FALSE,"CAZ";#N/A,#N/A,FALSE,"SNV";#N/A,#N/A,FALSE,"NNV";#N/A,#N/A,FALSE,"PP";#N/A,#N/A,FALSE,"SA"}</definedName>
    <definedName name="_new72" localSheetId="1" hidden="1">{#N/A,#N/A,FALSE,"SCA";#N/A,#N/A,FALSE,"NCA";#N/A,#N/A,FALSE,"SAZ";#N/A,#N/A,FALSE,"CAZ";#N/A,#N/A,FALSE,"SNV";#N/A,#N/A,FALSE,"NNV";#N/A,#N/A,FALSE,"PP";#N/A,#N/A,FALSE,"SA"}</definedName>
    <definedName name="_new72" localSheetId="13" hidden="1">{#N/A,#N/A,FALSE,"SCA";#N/A,#N/A,FALSE,"NCA";#N/A,#N/A,FALSE,"SAZ";#N/A,#N/A,FALSE,"CAZ";#N/A,#N/A,FALSE,"SNV";#N/A,#N/A,FALSE,"NNV";#N/A,#N/A,FALSE,"PP";#N/A,#N/A,FALSE,"SA"}</definedName>
    <definedName name="_new72" localSheetId="18" hidden="1">{#N/A,#N/A,FALSE,"SCA";#N/A,#N/A,FALSE,"NCA";#N/A,#N/A,FALSE,"SAZ";#N/A,#N/A,FALSE,"CAZ";#N/A,#N/A,FALSE,"SNV";#N/A,#N/A,FALSE,"NNV";#N/A,#N/A,FALSE,"PP";#N/A,#N/A,FALSE,"SA"}</definedName>
    <definedName name="_new72" localSheetId="20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2_1" localSheetId="1" hidden="1">{#N/A,#N/A,FALSE,"SCA";#N/A,#N/A,FALSE,"NCA";#N/A,#N/A,FALSE,"SAZ";#N/A,#N/A,FALSE,"CAZ";#N/A,#N/A,FALSE,"SNV";#N/A,#N/A,FALSE,"NNV";#N/A,#N/A,FALSE,"PP";#N/A,#N/A,FALSE,"SA"}</definedName>
    <definedName name="_new72_1" localSheetId="13" hidden="1">{#N/A,#N/A,FALSE,"SCA";#N/A,#N/A,FALSE,"NCA";#N/A,#N/A,FALSE,"SAZ";#N/A,#N/A,FALSE,"CAZ";#N/A,#N/A,FALSE,"SNV";#N/A,#N/A,FALSE,"NNV";#N/A,#N/A,FALSE,"PP";#N/A,#N/A,FALSE,"SA"}</definedName>
    <definedName name="_new72_1" localSheetId="18" hidden="1">{#N/A,#N/A,FALSE,"SCA";#N/A,#N/A,FALSE,"NCA";#N/A,#N/A,FALSE,"SAZ";#N/A,#N/A,FALSE,"CAZ";#N/A,#N/A,FALSE,"SNV";#N/A,#N/A,FALSE,"NNV";#N/A,#N/A,FALSE,"PP";#N/A,#N/A,FALSE,"SA"}</definedName>
    <definedName name="_new72_1" localSheetId="20" hidden="1">{#N/A,#N/A,FALSE,"SCA";#N/A,#N/A,FALSE,"NCA";#N/A,#N/A,FALSE,"SAZ";#N/A,#N/A,FALSE,"CAZ";#N/A,#N/A,FALSE,"SNV";#N/A,#N/A,FALSE,"NNV";#N/A,#N/A,FALSE,"PP";#N/A,#N/A,FALSE,"SA"}</definedName>
    <definedName name="_new72_1" hidden="1">{#N/A,#N/A,FALSE,"SCA";#N/A,#N/A,FALSE,"NCA";#N/A,#N/A,FALSE,"SAZ";#N/A,#N/A,FALSE,"CAZ";#N/A,#N/A,FALSE,"SNV";#N/A,#N/A,FALSE,"NNV";#N/A,#N/A,FALSE,"PP";#N/A,#N/A,FALSE,"SA"}</definedName>
    <definedName name="_new72_2" localSheetId="1" hidden="1">{#N/A,#N/A,FALSE,"SCA";#N/A,#N/A,FALSE,"NCA";#N/A,#N/A,FALSE,"SAZ";#N/A,#N/A,FALSE,"CAZ";#N/A,#N/A,FALSE,"SNV";#N/A,#N/A,FALSE,"NNV";#N/A,#N/A,FALSE,"PP";#N/A,#N/A,FALSE,"SA"}</definedName>
    <definedName name="_new72_2" localSheetId="13" hidden="1">{#N/A,#N/A,FALSE,"SCA";#N/A,#N/A,FALSE,"NCA";#N/A,#N/A,FALSE,"SAZ";#N/A,#N/A,FALSE,"CAZ";#N/A,#N/A,FALSE,"SNV";#N/A,#N/A,FALSE,"NNV";#N/A,#N/A,FALSE,"PP";#N/A,#N/A,FALSE,"SA"}</definedName>
    <definedName name="_new72_2" localSheetId="18" hidden="1">{#N/A,#N/A,FALSE,"SCA";#N/A,#N/A,FALSE,"NCA";#N/A,#N/A,FALSE,"SAZ";#N/A,#N/A,FALSE,"CAZ";#N/A,#N/A,FALSE,"SNV";#N/A,#N/A,FALSE,"NNV";#N/A,#N/A,FALSE,"PP";#N/A,#N/A,FALSE,"SA"}</definedName>
    <definedName name="_new72_2" localSheetId="20" hidden="1">{#N/A,#N/A,FALSE,"SCA";#N/A,#N/A,FALSE,"NCA";#N/A,#N/A,FALSE,"SAZ";#N/A,#N/A,FALSE,"CAZ";#N/A,#N/A,FALSE,"SNV";#N/A,#N/A,FALSE,"NNV";#N/A,#N/A,FALSE,"PP";#N/A,#N/A,FALSE,"SA"}</definedName>
    <definedName name="_new72_2" hidden="1">{#N/A,#N/A,FALSE,"SCA";#N/A,#N/A,FALSE,"NCA";#N/A,#N/A,FALSE,"SAZ";#N/A,#N/A,FALSE,"CAZ";#N/A,#N/A,FALSE,"SNV";#N/A,#N/A,FALSE,"NNV";#N/A,#N/A,FALSE,"PP";#N/A,#N/A,FALSE,"SA"}</definedName>
    <definedName name="_new7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1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1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1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1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2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2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1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1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2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2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2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2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1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1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2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2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2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2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b1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1" localSheetId="1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1" localSheetId="18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1" localSheetId="20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2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2" localSheetId="13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2" localSheetId="18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2" localSheetId="20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3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3" localSheetId="1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3" localSheetId="18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3" localSheetId="20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Regression_Int" hidden="1">1</definedName>
    <definedName name="_Regression_Out" localSheetId="1" hidden="1">#REF!</definedName>
    <definedName name="_Regression_Out" localSheetId="18" hidden="1">#REF!</definedName>
    <definedName name="_Regression_Out" localSheetId="20" hidden="1">#REF!</definedName>
    <definedName name="_Regression_Out" hidden="1">#REF!</definedName>
    <definedName name="_Regression_X" localSheetId="1" hidden="1">#REF!</definedName>
    <definedName name="_Regression_X" localSheetId="20" hidden="1">#REF!</definedName>
    <definedName name="_Regression_X" hidden="1">#REF!</definedName>
    <definedName name="_Regression_Y" localSheetId="1" hidden="1">#REF!</definedName>
    <definedName name="_Regression_Y" localSheetId="20" hidden="1">#REF!</definedName>
    <definedName name="_Regression_Y" hidden="1">#REF!</definedName>
    <definedName name="_RIV005c2ee721d345ed8951036c75152377" localSheetId="1" hidden="1">#REF!</definedName>
    <definedName name="_RIV005c2ee721d345ed8951036c75152377" localSheetId="20" hidden="1">#REF!</definedName>
    <definedName name="_RIV005c2ee721d345ed8951036c75152377" hidden="1">#REF!</definedName>
    <definedName name="_RIV0072b721ae484643890a89dab5ad0d2d" localSheetId="1" hidden="1">#REF!</definedName>
    <definedName name="_RIV0072b721ae484643890a89dab5ad0d2d" localSheetId="13" hidden="1">'[19]Com.StkHldr''s Equity'!#REF!</definedName>
    <definedName name="_RIV0072b721ae484643890a89dab5ad0d2d" localSheetId="18" hidden="1">'[19]Com.StkHldr''s Equity'!#REF!</definedName>
    <definedName name="_RIV0072b721ae484643890a89dab5ad0d2d" localSheetId="20" hidden="1">#REF!</definedName>
    <definedName name="_RIV0072b721ae484643890a89dab5ad0d2d" hidden="1">#REF!</definedName>
    <definedName name="_RIV0074229f1fcb4931886d2c288885b54e" localSheetId="1" hidden="1">#REF!</definedName>
    <definedName name="_RIV0074229f1fcb4931886d2c288885b54e" localSheetId="20" hidden="1">#REF!</definedName>
    <definedName name="_RIV0074229f1fcb4931886d2c288885b54e" hidden="1">#REF!</definedName>
    <definedName name="_RIV00e0be4f1a704f84aae8cb831f6f29b3" localSheetId="1" hidden="1">#REF!</definedName>
    <definedName name="_RIV00e0be4f1a704f84aae8cb831f6f29b3" localSheetId="20" hidden="1">#REF!</definedName>
    <definedName name="_RIV00e0be4f1a704f84aae8cb831f6f29b3" hidden="1">#REF!</definedName>
    <definedName name="_RIV0106a807759a4054ae84476159ee4b75" localSheetId="1" hidden="1">#REF!</definedName>
    <definedName name="_RIV0106a807759a4054ae84476159ee4b75" localSheetId="20" hidden="1">#REF!</definedName>
    <definedName name="_RIV0106a807759a4054ae84476159ee4b75" hidden="1">#REF!</definedName>
    <definedName name="_RIV017a0405f28748659b44f4a4c6f71b98" localSheetId="1" hidden="1">#REF!</definedName>
    <definedName name="_RIV017a0405f28748659b44f4a4c6f71b98" localSheetId="20" hidden="1">#REF!</definedName>
    <definedName name="_RIV017a0405f28748659b44f4a4c6f71b98" hidden="1">#REF!</definedName>
    <definedName name="_RIV020234cf8b2e4c57a85120102e5d629f" localSheetId="1" hidden="1">#REF!</definedName>
    <definedName name="_RIV020234cf8b2e4c57a85120102e5d629f" localSheetId="13" hidden="1">[20]Pension!#REF!</definedName>
    <definedName name="_RIV020234cf8b2e4c57a85120102e5d629f" localSheetId="18" hidden="1">[20]Pension!#REF!</definedName>
    <definedName name="_RIV020234cf8b2e4c57a85120102e5d629f" localSheetId="20" hidden="1">#REF!</definedName>
    <definedName name="_RIV020234cf8b2e4c57a85120102e5d629f" hidden="1">#REF!</definedName>
    <definedName name="_RIV02272a84deef4fa98df388b738c16668" localSheetId="13" hidden="1">'[21]Options Expense'!#REF!</definedName>
    <definedName name="_RIV02272a84deef4fa98df388b738c16668" localSheetId="18" hidden="1">'[21]Options Expense'!#REF!</definedName>
    <definedName name="_RIV02272a84deef4fa98df388b738c16668" hidden="1">#REF!</definedName>
    <definedName name="_RIV0246791984604ff28973000e62f818b8" localSheetId="13" hidden="1">'[19]Comprehensive Income'!#REF!</definedName>
    <definedName name="_RIV0246791984604ff28973000e62f818b8" localSheetId="18" hidden="1">'[19]Comprehensive Income'!#REF!</definedName>
    <definedName name="_RIV0246791984604ff28973000e62f818b8" hidden="1">#REF!</definedName>
    <definedName name="_RIV0247d986dbda4cf886ac107c91078d35" localSheetId="1" hidden="1">#REF!</definedName>
    <definedName name="_RIV0247d986dbda4cf886ac107c91078d35" localSheetId="20" hidden="1">#REF!</definedName>
    <definedName name="_RIV0247d986dbda4cf886ac107c91078d35" hidden="1">#REF!</definedName>
    <definedName name="_RIV024c7763e12a4981968ec738d99a6034" localSheetId="1" hidden="1">#REF!</definedName>
    <definedName name="_RIV024c7763e12a4981968ec738d99a6034" localSheetId="20" hidden="1">#REF!</definedName>
    <definedName name="_RIV024c7763e12a4981968ec738d99a6034" hidden="1">#REF!</definedName>
    <definedName name="_RIV02943894958e4e2b9a21df506fea2243" localSheetId="1" hidden="1">#REF!</definedName>
    <definedName name="_RIV02943894958e4e2b9a21df506fea2243" localSheetId="13" hidden="1">'[19]5YrDebt'!#REF!</definedName>
    <definedName name="_RIV02943894958e4e2b9a21df506fea2243" localSheetId="18" hidden="1">'[19]5YrDebt'!#REF!</definedName>
    <definedName name="_RIV02943894958e4e2b9a21df506fea2243" localSheetId="20" hidden="1">#REF!</definedName>
    <definedName name="_RIV02943894958e4e2b9a21df506fea2243" hidden="1">#REF!</definedName>
    <definedName name="_RIV02c78606da8948659e7b07310f833004" localSheetId="1" hidden="1">#REF!</definedName>
    <definedName name="_RIV02c78606da8948659e7b07310f833004" localSheetId="20" hidden="1">#REF!</definedName>
    <definedName name="_RIV02c78606da8948659e7b07310f833004" hidden="1">#REF!</definedName>
    <definedName name="_RIV0314eecdaf1c478a8fc3ce795c7517e6" localSheetId="1" hidden="1">#REF!</definedName>
    <definedName name="_RIV0314eecdaf1c478a8fc3ce795c7517e6" localSheetId="20" hidden="1">#REF!</definedName>
    <definedName name="_RIV0314eecdaf1c478a8fc3ce795c7517e6" hidden="1">#REF!</definedName>
    <definedName name="_RIV031717f7a6a0472ea2a9f0efe1559eb7" localSheetId="1" hidden="1">#REF!</definedName>
    <definedName name="_RIV031717f7a6a0472ea2a9f0efe1559eb7" localSheetId="20" hidden="1">#REF!</definedName>
    <definedName name="_RIV031717f7a6a0472ea2a9f0efe1559eb7" hidden="1">#REF!</definedName>
    <definedName name="_RIV0331d7df9bd84afc9d236c998aa3dde1" localSheetId="1" hidden="1">#REF!</definedName>
    <definedName name="_RIV0331d7df9bd84afc9d236c998aa3dde1" localSheetId="13" hidden="1">[19]Commitments!#REF!</definedName>
    <definedName name="_RIV0331d7df9bd84afc9d236c998aa3dde1" localSheetId="18" hidden="1">[19]Commitments!#REF!</definedName>
    <definedName name="_RIV0331d7df9bd84afc9d236c998aa3dde1" localSheetId="20" hidden="1">#REF!</definedName>
    <definedName name="_RIV0331d7df9bd84afc9d236c998aa3dde1" hidden="1">#REF!</definedName>
    <definedName name="_RIV034c6ed9831b4ba690f152d56e2a8864" localSheetId="13" hidden="1">[20]conbalancesheet!#REF!</definedName>
    <definedName name="_RIV034c6ed9831b4ba690f152d56e2a8864" localSheetId="18" hidden="1">[20]conbalancesheet!#REF!</definedName>
    <definedName name="_RIV034c6ed9831b4ba690f152d56e2a8864" hidden="1">#REF!</definedName>
    <definedName name="_RIV0365f9a135b14ac6a7a2bd73fb0a5ac4" localSheetId="13" hidden="1">'[21]RS Expense'!#REF!</definedName>
    <definedName name="_RIV0365f9a135b14ac6a7a2bd73fb0a5ac4" localSheetId="18" hidden="1">'[21]RS Expense'!#REF!</definedName>
    <definedName name="_RIV0365f9a135b14ac6a7a2bd73fb0a5ac4" hidden="1">#REF!</definedName>
    <definedName name="_RIV038e06b263b8462a892a4f895898eb16" localSheetId="13" hidden="1">[19]Costs!#REF!</definedName>
    <definedName name="_RIV038e06b263b8462a892a4f895898eb16" localSheetId="18" hidden="1">[19]Costs!#REF!</definedName>
    <definedName name="_RIV038e06b263b8462a892a4f895898eb16" hidden="1">#REF!</definedName>
    <definedName name="_RIV03f434e8e05942269d4a868a9ed6eb63" localSheetId="13" hidden="1">[19]RspActivity!#REF!</definedName>
    <definedName name="_RIV03f434e8e05942269d4a868a9ed6eb63" localSheetId="18" hidden="1">[19]RspActivity!#REF!</definedName>
    <definedName name="_RIV03f434e8e05942269d4a868a9ed6eb63" hidden="1">#REF!</definedName>
    <definedName name="_RIV04141b8288294b269f22deb1eeacc563" localSheetId="13" hidden="1">[19]Assumptions_B!#REF!</definedName>
    <definedName name="_RIV04141b8288294b269f22deb1eeacc563" localSheetId="18" hidden="1">[19]Assumptions_B!#REF!</definedName>
    <definedName name="_RIV04141b8288294b269f22deb1eeacc563" hidden="1">#REF!</definedName>
    <definedName name="_RIV0473d84780984041ade1ff57c4ce058c" localSheetId="13" hidden="1">'[20]RSU Expense'!#REF!</definedName>
    <definedName name="_RIV0473d84780984041ade1ff57c4ce058c" localSheetId="18" hidden="1">'[20]RSU Expense'!#REF!</definedName>
    <definedName name="_RIV0473d84780984041ade1ff57c4ce058c" hidden="1">#REF!</definedName>
    <definedName name="_RIV04e6f4012622471b9ee840ebbb6dad1d" localSheetId="1" hidden="1">#REF!</definedName>
    <definedName name="_RIV04e6f4012622471b9ee840ebbb6dad1d" localSheetId="20" hidden="1">#REF!</definedName>
    <definedName name="_RIV04e6f4012622471b9ee840ebbb6dad1d" hidden="1">#REF!</definedName>
    <definedName name="_RIV05a38102687042e0b4553e2cbf1d8a71" localSheetId="1" hidden="1">#REF!</definedName>
    <definedName name="_RIV05a38102687042e0b4553e2cbf1d8a71" localSheetId="20" hidden="1">#REF!</definedName>
    <definedName name="_RIV05a38102687042e0b4553e2cbf1d8a71" hidden="1">#REF!</definedName>
    <definedName name="_RIV065fb6f51f934e00bb8cf945ff9c890a" localSheetId="1" hidden="1">#REF!</definedName>
    <definedName name="_RIV065fb6f51f934e00bb8cf945ff9c890a" localSheetId="20" hidden="1">#REF!</definedName>
    <definedName name="_RIV065fb6f51f934e00bb8cf945ff9c890a" hidden="1">#REF!</definedName>
    <definedName name="_RIV069f966e0d5342938cf53e767d9bf6cb" localSheetId="1" hidden="1">#REF!</definedName>
    <definedName name="_RIV069f966e0d5342938cf53e767d9bf6cb" localSheetId="20" hidden="1">#REF!</definedName>
    <definedName name="_RIV069f966e0d5342938cf53e767d9bf6cb" hidden="1">#REF!</definedName>
    <definedName name="_RIV06d9cf3d7ac841059582ef3a956bc356" localSheetId="1" hidden="1">#REF!</definedName>
    <definedName name="_RIV06d9cf3d7ac841059582ef3a956bc356" localSheetId="20" hidden="1">#REF!</definedName>
    <definedName name="_RIV06d9cf3d7ac841059582ef3a956bc356" hidden="1">#REF!</definedName>
    <definedName name="_RIV0729ab1f51bf43e5a3fe9c551329387f" localSheetId="1" hidden="1">#REF!</definedName>
    <definedName name="_RIV0729ab1f51bf43e5a3fe9c551329387f" localSheetId="13" hidden="1">'[19]Operating Results'!#REF!</definedName>
    <definedName name="_RIV0729ab1f51bf43e5a3fe9c551329387f" localSheetId="18" hidden="1">'[19]Operating Results'!#REF!</definedName>
    <definedName name="_RIV0729ab1f51bf43e5a3fe9c551329387f" localSheetId="20" hidden="1">#REF!</definedName>
    <definedName name="_RIV0729ab1f51bf43e5a3fe9c551329387f" hidden="1">#REF!</definedName>
    <definedName name="_RIV07336fbe72694af3a9aba9b2ef19388a" localSheetId="1" hidden="1">#REF!</definedName>
    <definedName name="_RIV07336fbe72694af3a9aba9b2ef19388a" localSheetId="20" hidden="1">#REF!</definedName>
    <definedName name="_RIV07336fbe72694af3a9aba9b2ef19388a" hidden="1">#REF!</definedName>
    <definedName name="_RIV07556d25a3c4482fa9c6a8b78acf919b" localSheetId="1" hidden="1">#REF!</definedName>
    <definedName name="_RIV07556d25a3c4482fa9c6a8b78acf919b" localSheetId="13" hidden="1">'[21]DISCO FN (IS)'!#REF!</definedName>
    <definedName name="_RIV07556d25a3c4482fa9c6a8b78acf919b" localSheetId="18" hidden="1">'[21]DISCO FN (IS)'!#REF!</definedName>
    <definedName name="_RIV07556d25a3c4482fa9c6a8b78acf919b" localSheetId="20" hidden="1">#REF!</definedName>
    <definedName name="_RIV07556d25a3c4482fa9c6a8b78acf919b" hidden="1">#REF!</definedName>
    <definedName name="_RIV07869ba3c1564e8d8a734e829530d3a5" localSheetId="13" hidden="1">'[19]Parent STD'!#REF!</definedName>
    <definedName name="_RIV07869ba3c1564e8d8a734e829530d3a5" localSheetId="18" hidden="1">'[19]Parent STD'!#REF!</definedName>
    <definedName name="_RIV07869ba3c1564e8d8a734e829530d3a5" hidden="1">#REF!</definedName>
    <definedName name="_RIV08937f491d734abc942414ef87badc3c" localSheetId="1" hidden="1">#REF!</definedName>
    <definedName name="_RIV08937f491d734abc942414ef87badc3c" localSheetId="20" hidden="1">#REF!</definedName>
    <definedName name="_RIV08937f491d734abc942414ef87badc3c" hidden="1">#REF!</definedName>
    <definedName name="_RIV089bea914be04286be25a83e16c30dac" localSheetId="1" hidden="1">#REF!</definedName>
    <definedName name="_RIV089bea914be04286be25a83e16c30dac" localSheetId="20" hidden="1">#REF!</definedName>
    <definedName name="_RIV089bea914be04286be25a83e16c30dac" hidden="1">#REF!</definedName>
    <definedName name="_RIV08b82a24bba24494b53fc41a5366b754" localSheetId="1" hidden="1">#REF!</definedName>
    <definedName name="_RIV08b82a24bba24494b53fc41a5366b754" localSheetId="13" hidden="1">'[19]Parent BS'!#REF!</definedName>
    <definedName name="_RIV08b82a24bba24494b53fc41a5366b754" localSheetId="18" hidden="1">'[19]Parent BS'!#REF!</definedName>
    <definedName name="_RIV08b82a24bba24494b53fc41a5366b754" localSheetId="20" hidden="1">#REF!</definedName>
    <definedName name="_RIV08b82a24bba24494b53fc41a5366b754" hidden="1">#REF!</definedName>
    <definedName name="_RIV0a26822515784658aa40f8a7f1c849ae" localSheetId="13" hidden="1">'[22]PSU FV '!#REF!</definedName>
    <definedName name="_RIV0a26822515784658aa40f8a7f1c849ae" localSheetId="18" hidden="1">'[22]PSU FV '!#REF!</definedName>
    <definedName name="_RIV0a26822515784658aa40f8a7f1c849ae" hidden="1">#REF!</definedName>
    <definedName name="_RIV0a3395109e3543d799678478e3b840d5" localSheetId="1" hidden="1">#REF!</definedName>
    <definedName name="_RIV0a3395109e3543d799678478e3b840d5" localSheetId="20" hidden="1">#REF!</definedName>
    <definedName name="_RIV0a3395109e3543d799678478e3b840d5" hidden="1">#REF!</definedName>
    <definedName name="_RIV0a8a6336b235432ba69c137c78aba477" localSheetId="1" hidden="1">#REF!</definedName>
    <definedName name="_RIV0a8a6336b235432ba69c137c78aba477" localSheetId="13" hidden="1">[19]FedIncomeTax!#REF!</definedName>
    <definedName name="_RIV0a8a6336b235432ba69c137c78aba477" localSheetId="18" hidden="1">[19]FedIncomeTax!#REF!</definedName>
    <definedName name="_RIV0a8a6336b235432ba69c137c78aba477" localSheetId="20" hidden="1">#REF!</definedName>
    <definedName name="_RIV0a8a6336b235432ba69c137c78aba477" hidden="1">#REF!</definedName>
    <definedName name="_RIV0aa00ff039ff491697fea89bedac4342" localSheetId="1" hidden="1">#REF!</definedName>
    <definedName name="_RIV0aa00ff039ff491697fea89bedac4342" localSheetId="20" hidden="1">#REF!</definedName>
    <definedName name="_RIV0aa00ff039ff491697fea89bedac4342" hidden="1">#REF!</definedName>
    <definedName name="_RIV0ad6339c692a4a388d3ec3d7876da152" localSheetId="1" hidden="1">#REF!</definedName>
    <definedName name="_RIV0ad6339c692a4a388d3ec3d7876da152" localSheetId="13" hidden="1">'[23]2014'!#REF!</definedName>
    <definedName name="_RIV0ad6339c692a4a388d3ec3d7876da152" localSheetId="18" hidden="1">'[23]2014'!#REF!</definedName>
    <definedName name="_RIV0ad6339c692a4a388d3ec3d7876da152" localSheetId="20" hidden="1">#REF!</definedName>
    <definedName name="_RIV0ad6339c692a4a388d3ec3d7876da152" hidden="1">#REF!</definedName>
    <definedName name="_RIV0b00b6a900c34960a1a1347c298c653c" localSheetId="1" hidden="1">#REF!</definedName>
    <definedName name="_RIV0b00b6a900c34960a1a1347c298c653c" localSheetId="20" hidden="1">#REF!</definedName>
    <definedName name="_RIV0b00b6a900c34960a1a1347c298c653c" hidden="1">#REF!</definedName>
    <definedName name="_RIV0b39b90660344f8b8e4c2ca2d33dd388" localSheetId="1" hidden="1">#REF!</definedName>
    <definedName name="_RIV0b39b90660344f8b8e4c2ca2d33dd388" localSheetId="13" hidden="1">'[19]PSU RF'!#REF!</definedName>
    <definedName name="_RIV0b39b90660344f8b8e4c2ca2d33dd388" localSheetId="18" hidden="1">'[19]PSU RF'!#REF!</definedName>
    <definedName name="_RIV0b39b90660344f8b8e4c2ca2d33dd388" localSheetId="20" hidden="1">#REF!</definedName>
    <definedName name="_RIV0b39b90660344f8b8e4c2ca2d33dd388" hidden="1">#REF!</definedName>
    <definedName name="_RIV0bb4d70edb124a29a17ec73d5426c71a" localSheetId="1" hidden="1">#REF!</definedName>
    <definedName name="_RIV0bb4d70edb124a29a17ec73d5426c71a" localSheetId="20" hidden="1">#REF!</definedName>
    <definedName name="_RIV0bb4d70edb124a29a17ec73d5426c71a" hidden="1">#REF!</definedName>
    <definedName name="_RIV0ce6f8c4abcf4d90bb1832b4757c4ae0" localSheetId="1" hidden="1">#REF!</definedName>
    <definedName name="_RIV0ce6f8c4abcf4d90bb1832b4757c4ae0" localSheetId="13" hidden="1">[19]Assumptions_B!#REF!</definedName>
    <definedName name="_RIV0ce6f8c4abcf4d90bb1832b4757c4ae0" localSheetId="18" hidden="1">[19]Assumptions_B!#REF!</definedName>
    <definedName name="_RIV0ce6f8c4abcf4d90bb1832b4757c4ae0" localSheetId="20" hidden="1">#REF!</definedName>
    <definedName name="_RIV0ce6f8c4abcf4d90bb1832b4757c4ae0" hidden="1">#REF!</definedName>
    <definedName name="_RIV0cfd949b8c0b4956a46f2fc5e95e5b1f" localSheetId="1" hidden="1">#REF!</definedName>
    <definedName name="_RIV0cfd949b8c0b4956a46f2fc5e95e5b1f" localSheetId="20" hidden="1">#REF!</definedName>
    <definedName name="_RIV0cfd949b8c0b4956a46f2fc5e95e5b1f" hidden="1">#REF!</definedName>
    <definedName name="_RIV0de7af89b26c42c1a8be926e87f33b99" localSheetId="1" hidden="1">#REF!</definedName>
    <definedName name="_RIV0de7af89b26c42c1a8be926e87f33b99" localSheetId="20" hidden="1">#REF!</definedName>
    <definedName name="_RIV0de7af89b26c42c1a8be926e87f33b99" hidden="1">#REF!</definedName>
    <definedName name="_RIV0e6d8ac2c8554cbdaab4f883686e0f49" localSheetId="1" hidden="1">#REF!</definedName>
    <definedName name="_RIV0e6d8ac2c8554cbdaab4f883686e0f49" localSheetId="20" hidden="1">#REF!</definedName>
    <definedName name="_RIV0e6d8ac2c8554cbdaab4f883686e0f49" hidden="1">#REF!</definedName>
    <definedName name="_RIV0ea23125c96346f487377cb3aecde561" localSheetId="1" hidden="1">#REF!</definedName>
    <definedName name="_RIV0ea23125c96346f487377cb3aecde561" localSheetId="13" hidden="1">[19]OtherTaxes!#REF!</definedName>
    <definedName name="_RIV0ea23125c96346f487377cb3aecde561" localSheetId="18" hidden="1">[19]OtherTaxes!#REF!</definedName>
    <definedName name="_RIV0ea23125c96346f487377cb3aecde561" localSheetId="20" hidden="1">#REF!</definedName>
    <definedName name="_RIV0ea23125c96346f487377cb3aecde561" hidden="1">#REF!</definedName>
    <definedName name="_RIV0eb66df48f20415da19e27ec56de9ffd" localSheetId="13" hidden="1">[20]PSUs!#REF!</definedName>
    <definedName name="_RIV0eb66df48f20415da19e27ec56de9ffd" localSheetId="18" hidden="1">[20]PSUs!#REF!</definedName>
    <definedName name="_RIV0eb66df48f20415da19e27ec56de9ffd" hidden="1">#REF!</definedName>
    <definedName name="_RIV0f50b1e5f9b9449f9b6abd6420123db3" localSheetId="13" hidden="1">[19]ChangesInAOCI!#REF!</definedName>
    <definedName name="_RIV0f50b1e5f9b9449f9b6abd6420123db3" localSheetId="18" hidden="1">[19]ChangesInAOCI!#REF!</definedName>
    <definedName name="_RIV0f50b1e5f9b9449f9b6abd6420123db3" hidden="1">#REF!</definedName>
    <definedName name="_RIV0f81cf37828c44688a44b2c03aa6e2a3" localSheetId="13" hidden="1">'[19]Fourth Quarter'!#REF!</definedName>
    <definedName name="_RIV0f81cf37828c44688a44b2c03aa6e2a3" localSheetId="18" hidden="1">'[19]Fourth Quarter'!#REF!</definedName>
    <definedName name="_RIV0f81cf37828c44688a44b2c03aa6e2a3" hidden="1">#REF!</definedName>
    <definedName name="_RIV0fc550eb2f8f4b62982033694d9262a8" localSheetId="13" hidden="1">'[19]Operating Results'!#REF!</definedName>
    <definedName name="_RIV0fc550eb2f8f4b62982033694d9262a8" localSheetId="18" hidden="1">'[19]Operating Results'!#REF!</definedName>
    <definedName name="_RIV0fc550eb2f8f4b62982033694d9262a8" hidden="1">#REF!</definedName>
    <definedName name="_RIV0ffcdadc69bb47f7b810ac12fcea368a" localSheetId="13" hidden="1">'[19]Comprehensive Income'!#REF!</definedName>
    <definedName name="_RIV0ffcdadc69bb47f7b810ac12fcea368a" localSheetId="18" hidden="1">'[19]Comprehensive Income'!#REF!</definedName>
    <definedName name="_RIV0ffcdadc69bb47f7b810ac12fcea368a" hidden="1">#REF!</definedName>
    <definedName name="_RIV105d82b5cc3a46b4b0abb4688c978809" localSheetId="1" hidden="1">#REF!</definedName>
    <definedName name="_RIV105d82b5cc3a46b4b0abb4688c978809" localSheetId="20" hidden="1">#REF!</definedName>
    <definedName name="_RIV105d82b5cc3a46b4b0abb4688c978809" hidden="1">#REF!</definedName>
    <definedName name="_RIV1068379457fb49f7a54c0f34a13c58e8" localSheetId="1" hidden="1">#REF!</definedName>
    <definedName name="_RIV1068379457fb49f7a54c0f34a13c58e8" localSheetId="13" hidden="1">'[20]CONINCOME YTD'!#REF!</definedName>
    <definedName name="_RIV1068379457fb49f7a54c0f34a13c58e8" localSheetId="18" hidden="1">'[20]CONINCOME YTD'!#REF!</definedName>
    <definedName name="_RIV1068379457fb49f7a54c0f34a13c58e8" localSheetId="20" hidden="1">#REF!</definedName>
    <definedName name="_RIV1068379457fb49f7a54c0f34a13c58e8" hidden="1">#REF!</definedName>
    <definedName name="_RIV1069bd215b154bcab5a14ff8643c28ff" localSheetId="13" hidden="1">'[20]Option summary'!#REF!</definedName>
    <definedName name="_RIV1069bd215b154bcab5a14ff8643c28ff" localSheetId="18" hidden="1">'[20]Option summary'!#REF!</definedName>
    <definedName name="_RIV1069bd215b154bcab5a14ff8643c28ff" hidden="1">#REF!</definedName>
    <definedName name="_RIV10a2e3a91ed741ce85c3da7e5b10b6fb" localSheetId="1" hidden="1">#REF!</definedName>
    <definedName name="_RIV10a2e3a91ed741ce85c3da7e5b10b6fb" localSheetId="20" hidden="1">#REF!</definedName>
    <definedName name="_RIV10a2e3a91ed741ce85c3da7e5b10b6fb" hidden="1">#REF!</definedName>
    <definedName name="_RIV10c8c5bd7c644f49adce89bfcb000bd3" localSheetId="1" hidden="1">#REF!</definedName>
    <definedName name="_RIV10c8c5bd7c644f49adce89bfcb000bd3" localSheetId="13" hidden="1">'[19]Com.StkHldr''s Equity'!#REF!</definedName>
    <definedName name="_RIV10c8c5bd7c644f49adce89bfcb000bd3" localSheetId="18" hidden="1">'[19]Com.StkHldr''s Equity'!#REF!</definedName>
    <definedName name="_RIV10c8c5bd7c644f49adce89bfcb000bd3" localSheetId="20" hidden="1">#REF!</definedName>
    <definedName name="_RIV10c8c5bd7c644f49adce89bfcb000bd3" hidden="1">#REF!</definedName>
    <definedName name="_RIV114de26eecc246bb9296b2bbf5f81231" localSheetId="13" hidden="1">'[19]DISCO FN (IS)'!#REF!</definedName>
    <definedName name="_RIV114de26eecc246bb9296b2bbf5f81231" localSheetId="18" hidden="1">'[19]DISCO FN (IS)'!#REF!</definedName>
    <definedName name="_RIV114de26eecc246bb9296b2bbf5f81231" hidden="1">#REF!</definedName>
    <definedName name="_RIV116a6ef5e4e7415aa5bdd5e4e0f6fed2" localSheetId="1" hidden="1">#REF!</definedName>
    <definedName name="_RIV116a6ef5e4e7415aa5bdd5e4e0f6fed2" localSheetId="20" hidden="1">#REF!</definedName>
    <definedName name="_RIV116a6ef5e4e7415aa5bdd5e4e0f6fed2" hidden="1">#REF!</definedName>
    <definedName name="_RIV118c1006496f42a5ae4f32b6ed155361" localSheetId="1" hidden="1">#REF!</definedName>
    <definedName name="_RIV118c1006496f42a5ae4f32b6ed155361" localSheetId="13" hidden="1">[19]ContractualObligs!#REF!</definedName>
    <definedName name="_RIV118c1006496f42a5ae4f32b6ed155361" localSheetId="18" hidden="1">[19]ContractualObligs!#REF!</definedName>
    <definedName name="_RIV118c1006496f42a5ae4f32b6ed155361" localSheetId="20" hidden="1">#REF!</definedName>
    <definedName name="_RIV118c1006496f42a5ae4f32b6ed155361" hidden="1">#REF!</definedName>
    <definedName name="_RIV11a144c372fe4081931774a7634c5765" localSheetId="13" hidden="1">'[19]Stmt of Capitalization'!#REF!</definedName>
    <definedName name="_RIV11a144c372fe4081931774a7634c5765" localSheetId="18" hidden="1">'[19]Stmt of Capitalization'!#REF!</definedName>
    <definedName name="_RIV11a144c372fe4081931774a7634c5765" hidden="1">#REF!</definedName>
    <definedName name="_RIV11cea7f26afd413da7e789df8fbccde0" localSheetId="13" hidden="1">[19]Commitments!#REF!</definedName>
    <definedName name="_RIV11cea7f26afd413da7e789df8fbccde0" localSheetId="18" hidden="1">[19]Commitments!#REF!</definedName>
    <definedName name="_RIV11cea7f26afd413da7e789df8fbccde0" hidden="1">#REF!</definedName>
    <definedName name="_RIV1242967815ea4a31b446096abe9da624" localSheetId="13" hidden="1">'[20]segments assets'!#REF!</definedName>
    <definedName name="_RIV1242967815ea4a31b446096abe9da624" localSheetId="18" hidden="1">'[20]segments assets'!#REF!</definedName>
    <definedName name="_RIV1242967815ea4a31b446096abe9da624" hidden="1">#REF!</definedName>
    <definedName name="_RIV12fbcc62c59e4e4da5ebc326293670fd" localSheetId="1" hidden="1">#REF!</definedName>
    <definedName name="_RIV12fbcc62c59e4e4da5ebc326293670fd" localSheetId="20" hidden="1">#REF!</definedName>
    <definedName name="_RIV12fbcc62c59e4e4da5ebc326293670fd" hidden="1">#REF!</definedName>
    <definedName name="_RIV131d087c4e6d4997bec164d49303f84c" localSheetId="1" hidden="1">#REF!</definedName>
    <definedName name="_RIV131d087c4e6d4997bec164d49303f84c" localSheetId="20" hidden="1">#REF!</definedName>
    <definedName name="_RIV131d087c4e6d4997bec164d49303f84c" hidden="1">#REF!</definedName>
    <definedName name="_RIV13213fb8163d42f4a707f6a8c88b79e2" localSheetId="1" hidden="1">#REF!</definedName>
    <definedName name="_RIV13213fb8163d42f4a707f6a8c88b79e2" localSheetId="13" hidden="1">'[19]RSUs RF'!#REF!</definedName>
    <definedName name="_RIV13213fb8163d42f4a707f6a8c88b79e2" localSheetId="18" hidden="1">'[19]RSUs RF'!#REF!</definedName>
    <definedName name="_RIV13213fb8163d42f4a707f6a8c88b79e2" localSheetId="20" hidden="1">#REF!</definedName>
    <definedName name="_RIV13213fb8163d42f4a707f6a8c88b79e2" hidden="1">#REF!</definedName>
    <definedName name="_RIV134e9357d3ef4287820c7dab33a205e5" localSheetId="13" hidden="1">[19]Assumptions_B!#REF!</definedName>
    <definedName name="_RIV134e9357d3ef4287820c7dab33a205e5" localSheetId="18" hidden="1">[19]Assumptions_B!#REF!</definedName>
    <definedName name="_RIV134e9357d3ef4287820c7dab33a205e5" hidden="1">#REF!</definedName>
    <definedName name="_RIV139591a25a894ca6a51776629f7b90ac" localSheetId="13" hidden="1">[19]ContractualObligs!#REF!</definedName>
    <definedName name="_RIV139591a25a894ca6a51776629f7b90ac" localSheetId="18" hidden="1">[19]ContractualObligs!#REF!</definedName>
    <definedName name="_RIV139591a25a894ca6a51776629f7b90ac" hidden="1">#REF!</definedName>
    <definedName name="_RIV13b1cca9430d467088d0a202abd2e343" localSheetId="13" hidden="1">'[19]Comprehensive Income'!#REF!</definedName>
    <definedName name="_RIV13b1cca9430d467088d0a202abd2e343" localSheetId="18" hidden="1">'[19]Comprehensive Income'!#REF!</definedName>
    <definedName name="_RIV13b1cca9430d467088d0a202abd2e343" hidden="1">#REF!</definedName>
    <definedName name="_RIV13ee3e1cc4e843bfa08432d2f993c71d" localSheetId="13" hidden="1">'[19]Comprehensive Income'!#REF!</definedName>
    <definedName name="_RIV13ee3e1cc4e843bfa08432d2f993c71d" localSheetId="18" hidden="1">'[19]Comprehensive Income'!#REF!</definedName>
    <definedName name="_RIV13ee3e1cc4e843bfa08432d2f993c71d" hidden="1">#REF!</definedName>
    <definedName name="_RIV1464ff6444e94049836e58400b013e9b" localSheetId="1" hidden="1">#REF!</definedName>
    <definedName name="_RIV1464ff6444e94049836e58400b013e9b" localSheetId="20" hidden="1">#REF!</definedName>
    <definedName name="_RIV1464ff6444e94049836e58400b013e9b" hidden="1">#REF!</definedName>
    <definedName name="_RIV146f10e780cd4172b729baaf62a1430c" localSheetId="1" hidden="1">#REF!</definedName>
    <definedName name="_RIV146f10e780cd4172b729baaf62a1430c" localSheetId="20" hidden="1">#REF!</definedName>
    <definedName name="_RIV146f10e780cd4172b729baaf62a1430c" hidden="1">#REF!</definedName>
    <definedName name="_RIV1499e471d5e34e5fb0fcaa606bfeeff3" localSheetId="1" hidden="1">#REF!</definedName>
    <definedName name="_RIV1499e471d5e34e5fb0fcaa606bfeeff3" localSheetId="20" hidden="1">#REF!</definedName>
    <definedName name="_RIV1499e471d5e34e5fb0fcaa606bfeeff3" hidden="1">#REF!</definedName>
    <definedName name="_RIV14b0a2534f4a47ca857e4c23be7ca0f8" localSheetId="1" hidden="1">#REF!</definedName>
    <definedName name="_RIV14b0a2534f4a47ca857e4c23be7ca0f8" localSheetId="13" hidden="1">[19]Costs!#REF!</definedName>
    <definedName name="_RIV14b0a2534f4a47ca857e4c23be7ca0f8" localSheetId="18" hidden="1">[19]Costs!#REF!</definedName>
    <definedName name="_RIV14b0a2534f4a47ca857e4c23be7ca0f8" localSheetId="20" hidden="1">#REF!</definedName>
    <definedName name="_RIV14b0a2534f4a47ca857e4c23be7ca0f8" hidden="1">#REF!</definedName>
    <definedName name="_RIV14bd32581a1441f58c58c3db0dd66027" localSheetId="1" hidden="1">#REF!</definedName>
    <definedName name="_RIV14bd32581a1441f58c58c3db0dd66027" localSheetId="20" hidden="1">#REF!</definedName>
    <definedName name="_RIV14bd32581a1441f58c58c3db0dd66027" hidden="1">#REF!</definedName>
    <definedName name="_RIV14f8627731004846925731ec7c754454" localSheetId="1" hidden="1">#REF!</definedName>
    <definedName name="_RIV14f8627731004846925731ec7c754454" localSheetId="20" hidden="1">#REF!</definedName>
    <definedName name="_RIV14f8627731004846925731ec7c754454" hidden="1">#REF!</definedName>
    <definedName name="_RIV15047361f415423a93062cb08f47f518" localSheetId="1" hidden="1">#REF!</definedName>
    <definedName name="_RIV15047361f415423a93062cb08f47f518" localSheetId="13" hidden="1">'[20]Equity Purchases'!#REF!</definedName>
    <definedName name="_RIV15047361f415423a93062cb08f47f518" localSheetId="18" hidden="1">'[20]Equity Purchases'!#REF!</definedName>
    <definedName name="_RIV15047361f415423a93062cb08f47f518" localSheetId="20" hidden="1">#REF!</definedName>
    <definedName name="_RIV15047361f415423a93062cb08f47f518" hidden="1">#REF!</definedName>
    <definedName name="_RIV15761c6e11b04c1db786f8a1c72210d6" localSheetId="13" hidden="1">[19]AcctsReceiv!#REF!</definedName>
    <definedName name="_RIV15761c6e11b04c1db786f8a1c72210d6" localSheetId="18" hidden="1">[19]AcctsReceiv!#REF!</definedName>
    <definedName name="_RIV15761c6e11b04c1db786f8a1c72210d6" hidden="1">#REF!</definedName>
    <definedName name="_RIV15b2c4f4890a416e89e7ecf7625b7d5b" localSheetId="1" hidden="1">#REF!</definedName>
    <definedName name="_RIV15b2c4f4890a416e89e7ecf7625b7d5b" localSheetId="20" hidden="1">#REF!</definedName>
    <definedName name="_RIV15b2c4f4890a416e89e7ecf7625b7d5b" hidden="1">#REF!</definedName>
    <definedName name="_RIV16413a826bf240858af5a52c8e33da8c" localSheetId="1" hidden="1">#REF!</definedName>
    <definedName name="_RIV16413a826bf240858af5a52c8e33da8c" localSheetId="13" hidden="1">'[21]Equity Purchases'!#REF!</definedName>
    <definedName name="_RIV16413a826bf240858af5a52c8e33da8c" localSheetId="18" hidden="1">'[21]Equity Purchases'!#REF!</definedName>
    <definedName name="_RIV16413a826bf240858af5a52c8e33da8c" localSheetId="20" hidden="1">#REF!</definedName>
    <definedName name="_RIV16413a826bf240858af5a52c8e33da8c" hidden="1">#REF!</definedName>
    <definedName name="_RIV167912725a424320a4467a0696b733d6" localSheetId="1" hidden="1">#REF!</definedName>
    <definedName name="_RIV167912725a424320a4467a0696b733d6" localSheetId="20" hidden="1">#REF!</definedName>
    <definedName name="_RIV167912725a424320a4467a0696b733d6" hidden="1">#REF!</definedName>
    <definedName name="_RIV16bc0f26b2774be7ad25b7e6e5294b0c" localSheetId="1" hidden="1">#REF!</definedName>
    <definedName name="_RIV16bc0f26b2774be7ad25b7e6e5294b0c" localSheetId="13" hidden="1">'[19]Options RF'!#REF!</definedName>
    <definedName name="_RIV16bc0f26b2774be7ad25b7e6e5294b0c" localSheetId="18" hidden="1">'[19]Options RF'!#REF!</definedName>
    <definedName name="_RIV16bc0f26b2774be7ad25b7e6e5294b0c" localSheetId="20" hidden="1">#REF!</definedName>
    <definedName name="_RIV16bc0f26b2774be7ad25b7e6e5294b0c" hidden="1">#REF!</definedName>
    <definedName name="_RIV171ccc7276374fdfb3c049892fc42641" localSheetId="13" hidden="1">'[19]PSU RF'!#REF!</definedName>
    <definedName name="_RIV171ccc7276374fdfb3c049892fc42641" localSheetId="18" hidden="1">'[19]PSU RF'!#REF!</definedName>
    <definedName name="_RIV171ccc7276374fdfb3c049892fc42641" hidden="1">#REF!</definedName>
    <definedName name="_RIV172495b896c645218d0f4e6a0dfbd3b7" localSheetId="1" hidden="1">#REF!</definedName>
    <definedName name="_RIV172495b896c645218d0f4e6a0dfbd3b7" localSheetId="20" hidden="1">#REF!</definedName>
    <definedName name="_RIV172495b896c645218d0f4e6a0dfbd3b7" hidden="1">#REF!</definedName>
    <definedName name="_RIV17505b3aac904df9a4ec1626e8b12383" localSheetId="1" hidden="1">#REF!</definedName>
    <definedName name="_RIV17505b3aac904df9a4ec1626e8b12383" localSheetId="13" hidden="1">'[19]Regulatory Assets'!#REF!</definedName>
    <definedName name="_RIV17505b3aac904df9a4ec1626e8b12383" localSheetId="18" hidden="1">'[19]Regulatory Assets'!#REF!</definedName>
    <definedName name="_RIV17505b3aac904df9a4ec1626e8b12383" localSheetId="20" hidden="1">#REF!</definedName>
    <definedName name="_RIV17505b3aac904df9a4ec1626e8b12383" hidden="1">#REF!</definedName>
    <definedName name="_RIV18028246d6f24c6eb42cc92bb7a60053" localSheetId="1" hidden="1">#REF!</definedName>
    <definedName name="_RIV18028246d6f24c6eb42cc92bb7a60053" localSheetId="20" hidden="1">#REF!</definedName>
    <definedName name="_RIV18028246d6f24c6eb42cc92bb7a60053" hidden="1">#REF!</definedName>
    <definedName name="_RIV1815bddd08fb46d3bbb21fb7cd4f9ebf" localSheetId="1" hidden="1">#REF!</definedName>
    <definedName name="_RIV1815bddd08fb46d3bbb21fb7cd4f9ebf" localSheetId="13" hidden="1">'[19]Options RF'!#REF!</definedName>
    <definedName name="_RIV1815bddd08fb46d3bbb21fb7cd4f9ebf" localSheetId="18" hidden="1">'[19]Options RF'!#REF!</definedName>
    <definedName name="_RIV1815bddd08fb46d3bbb21fb7cd4f9ebf" localSheetId="20" hidden="1">#REF!</definedName>
    <definedName name="_RIV1815bddd08fb46d3bbb21fb7cd4f9ebf" hidden="1">#REF!</definedName>
    <definedName name="_RIV1843a74b18514405b18eff1060682c1b" localSheetId="13" hidden="1">'[19]Com.StkHldr''s Equity'!#REF!</definedName>
    <definedName name="_RIV1843a74b18514405b18eff1060682c1b" localSheetId="18" hidden="1">'[19]Com.StkHldr''s Equity'!#REF!</definedName>
    <definedName name="_RIV1843a74b18514405b18eff1060682c1b" hidden="1">#REF!</definedName>
    <definedName name="_RIV18734e55109447019d699dba2f007c09" localSheetId="1" hidden="1">#REF!</definedName>
    <definedName name="_RIV18734e55109447019d699dba2f007c09" localSheetId="20" hidden="1">#REF!</definedName>
    <definedName name="_RIV18734e55109447019d699dba2f007c09" hidden="1">#REF!</definedName>
    <definedName name="_RIV192c7d0ffb0a47eaa688ced01485eb78" localSheetId="1" hidden="1">#REF!</definedName>
    <definedName name="_RIV192c7d0ffb0a47eaa688ced01485eb78" localSheetId="20" hidden="1">#REF!</definedName>
    <definedName name="_RIV192c7d0ffb0a47eaa688ced01485eb78" hidden="1">#REF!</definedName>
    <definedName name="_RIV193c1ac41ce44150bd4e691f6bdb9657" localSheetId="1" hidden="1">#REF!</definedName>
    <definedName name="_RIV193c1ac41ce44150bd4e691f6bdb9657" localSheetId="13" hidden="1">'[19]Parent CF'!#REF!</definedName>
    <definedName name="_RIV193c1ac41ce44150bd4e691f6bdb9657" localSheetId="18" hidden="1">'[19]Parent CF'!#REF!</definedName>
    <definedName name="_RIV193c1ac41ce44150bd4e691f6bdb9657" localSheetId="20" hidden="1">#REF!</definedName>
    <definedName name="_RIV193c1ac41ce44150bd4e691f6bdb9657" hidden="1">#REF!</definedName>
    <definedName name="_RIV193d3e1c0a8f40328efe062674ebb365" localSheetId="13" hidden="1">[20]segments!#REF!</definedName>
    <definedName name="_RIV193d3e1c0a8f40328efe062674ebb365" localSheetId="18" hidden="1">[20]segments!#REF!</definedName>
    <definedName name="_RIV193d3e1c0a8f40328efe062674ebb365" hidden="1">#REF!</definedName>
    <definedName name="_RIV195a64dff3e54a8cb482c1359e24e384" localSheetId="1" hidden="1">#REF!</definedName>
    <definedName name="_RIV195a64dff3e54a8cb482c1359e24e384" localSheetId="20" hidden="1">#REF!</definedName>
    <definedName name="_RIV195a64dff3e54a8cb482c1359e24e384" hidden="1">#REF!</definedName>
    <definedName name="_RIV197842b63f494c44b41a49334a609f7a" localSheetId="1" hidden="1">#REF!</definedName>
    <definedName name="_RIV197842b63f494c44b41a49334a609f7a" localSheetId="13" hidden="1">'[19]Balance Sheet'!#REF!</definedName>
    <definedName name="_RIV197842b63f494c44b41a49334a609f7a" localSheetId="18" hidden="1">'[19]Balance Sheet'!#REF!</definedName>
    <definedName name="_RIV197842b63f494c44b41a49334a609f7a" localSheetId="20" hidden="1">#REF!</definedName>
    <definedName name="_RIV197842b63f494c44b41a49334a609f7a" hidden="1">#REF!</definedName>
    <definedName name="_RIV1a305115292b4a4dbf0f097bcf56dbe2" localSheetId="13" hidden="1">[21]CONINCOME!#REF!</definedName>
    <definedName name="_RIV1a305115292b4a4dbf0f097bcf56dbe2" localSheetId="18" hidden="1">[21]CONINCOME!#REF!</definedName>
    <definedName name="_RIV1a305115292b4a4dbf0f097bcf56dbe2" hidden="1">#REF!</definedName>
    <definedName name="_RIV1a8483df38e04c9a97482ab4065d0d7a" localSheetId="1" hidden="1">#REF!</definedName>
    <definedName name="_RIV1a8483df38e04c9a97482ab4065d0d7a" localSheetId="20" hidden="1">#REF!</definedName>
    <definedName name="_RIV1a8483df38e04c9a97482ab4065d0d7a" hidden="1">#REF!</definedName>
    <definedName name="_RIV1b27932389154ae89a5f94738a7a2f9f" localSheetId="1" hidden="1">#REF!</definedName>
    <definedName name="_RIV1b27932389154ae89a5f94738a7a2f9f" localSheetId="13" hidden="1">'[21]DISCO FN (IS)'!#REF!</definedName>
    <definedName name="_RIV1b27932389154ae89a5f94738a7a2f9f" localSheetId="18" hidden="1">'[21]DISCO FN (IS)'!#REF!</definedName>
    <definedName name="_RIV1b27932389154ae89a5f94738a7a2f9f" localSheetId="20" hidden="1">#REF!</definedName>
    <definedName name="_RIV1b27932389154ae89a5f94738a7a2f9f" hidden="1">#REF!</definedName>
    <definedName name="_RIV1b3899dd421e41399424225926cecf7f" localSheetId="13" hidden="1">[19]DeferAssetLiab!#REF!</definedName>
    <definedName name="_RIV1b3899dd421e41399424225926cecf7f" localSheetId="18" hidden="1">[19]DeferAssetLiab!#REF!</definedName>
    <definedName name="_RIV1b3899dd421e41399424225926cecf7f" hidden="1">#REF!</definedName>
    <definedName name="_RIV1b40bbc13ed04122934750d898b10d8b" localSheetId="13" hidden="1">'[19]Balance Sheet'!#REF!</definedName>
    <definedName name="_RIV1b40bbc13ed04122934750d898b10d8b" localSheetId="18" hidden="1">'[19]Balance Sheet'!#REF!</definedName>
    <definedName name="_RIV1b40bbc13ed04122934750d898b10d8b" hidden="1">#REF!</definedName>
    <definedName name="_RIV1bb05b52a1e84c3588a1b1ef9bd95225" localSheetId="13" hidden="1">'[20]DISCO FN (BS)'!#REF!</definedName>
    <definedName name="_RIV1bb05b52a1e84c3588a1b1ef9bd95225" localSheetId="18" hidden="1">'[20]DISCO FN (BS)'!#REF!</definedName>
    <definedName name="_RIV1bb05b52a1e84c3588a1b1ef9bd95225" hidden="1">#REF!</definedName>
    <definedName name="_RIV1bd8ddfd530244e5bd5c4e0d696bd1b2" localSheetId="1" hidden="1">#REF!</definedName>
    <definedName name="_RIV1bd8ddfd530244e5bd5c4e0d696bd1b2" localSheetId="20" hidden="1">#REF!</definedName>
    <definedName name="_RIV1bd8ddfd530244e5bd5c4e0d696bd1b2" hidden="1">#REF!</definedName>
    <definedName name="_RIV1bea44b7b43143d48bc175914465e5ea" localSheetId="1" hidden="1">#REF!</definedName>
    <definedName name="_RIV1bea44b7b43143d48bc175914465e5ea" localSheetId="13" hidden="1">'[19]Com.StkHldr''s Equity'!#REF!</definedName>
    <definedName name="_RIV1bea44b7b43143d48bc175914465e5ea" localSheetId="18" hidden="1">'[19]Com.StkHldr''s Equity'!#REF!</definedName>
    <definedName name="_RIV1bea44b7b43143d48bc175914465e5ea" localSheetId="20" hidden="1">#REF!</definedName>
    <definedName name="_RIV1bea44b7b43143d48bc175914465e5ea" hidden="1">#REF!</definedName>
    <definedName name="_RIV1c07d234922b49c6b9a8220c631bad7f" localSheetId="1" hidden="1">#REF!</definedName>
    <definedName name="_RIV1c07d234922b49c6b9a8220c631bad7f" localSheetId="20" hidden="1">#REF!</definedName>
    <definedName name="_RIV1c07d234922b49c6b9a8220c631bad7f" hidden="1">#REF!</definedName>
    <definedName name="_RIV1c22ff0c068b46118e2ed42a4b8a5bd3" localSheetId="1" hidden="1">#REF!</definedName>
    <definedName name="_RIV1c22ff0c068b46118e2ed42a4b8a5bd3" localSheetId="20" hidden="1">#REF!</definedName>
    <definedName name="_RIV1c22ff0c068b46118e2ed42a4b8a5bd3" hidden="1">#REF!</definedName>
    <definedName name="_RIV1c618ddbf7f24534b412fe1da58ab7a1" localSheetId="1" hidden="1">#REF!</definedName>
    <definedName name="_RIV1c618ddbf7f24534b412fe1da58ab7a1" localSheetId="13" hidden="1">'[19]Stmt of Capitalization'!#REF!</definedName>
    <definedName name="_RIV1c618ddbf7f24534b412fe1da58ab7a1" localSheetId="18" hidden="1">'[19]Stmt of Capitalization'!#REF!</definedName>
    <definedName name="_RIV1c618ddbf7f24534b412fe1da58ab7a1" localSheetId="20" hidden="1">#REF!</definedName>
    <definedName name="_RIV1c618ddbf7f24534b412fe1da58ab7a1" hidden="1">#REF!</definedName>
    <definedName name="_RIV1ccb1ca05307462385f6bb1b9fbbbd13" localSheetId="13" hidden="1">'[19]Parent IS'!#REF!</definedName>
    <definedName name="_RIV1ccb1ca05307462385f6bb1b9fbbbd13" localSheetId="18" hidden="1">'[19]Parent IS'!#REF!</definedName>
    <definedName name="_RIV1ccb1ca05307462385f6bb1b9fbbbd13" hidden="1">#REF!</definedName>
    <definedName name="_RIV1ccc4f42748f4a67a8c22cfd5851cc7f" localSheetId="13" hidden="1">[19]Summary!#REF!</definedName>
    <definedName name="_RIV1ccc4f42748f4a67a8c22cfd5851cc7f" localSheetId="18" hidden="1">[19]Summary!#REF!</definedName>
    <definedName name="_RIV1ccc4f42748f4a67a8c22cfd5851cc7f" hidden="1">#REF!</definedName>
    <definedName name="_RIV1cefb27e1cf94c2895b7cbd373170d3b" localSheetId="13" hidden="1">'[22]PSU FV '!#REF!</definedName>
    <definedName name="_RIV1cefb27e1cf94c2895b7cbd373170d3b" localSheetId="18" hidden="1">'[22]PSU FV '!#REF!</definedName>
    <definedName name="_RIV1cefb27e1cf94c2895b7cbd373170d3b" hidden="1">#REF!</definedName>
    <definedName name="_RIV1cffb39fd6eb4136ab2fffb44ce5bbcf" localSheetId="13" hidden="1">'[19]Balance Sheet'!#REF!</definedName>
    <definedName name="_RIV1cffb39fd6eb4136ab2fffb44ce5bbcf" localSheetId="18" hidden="1">'[19]Balance Sheet'!#REF!</definedName>
    <definedName name="_RIV1cffb39fd6eb4136ab2fffb44ce5bbcf" hidden="1">#REF!</definedName>
    <definedName name="_RIV1d1292f53a4b433a93cd157fdbd783fc" localSheetId="13" hidden="1">[19]SelectedQtrFinData!#REF!</definedName>
    <definedName name="_RIV1d1292f53a4b433a93cd157fdbd783fc" localSheetId="18" hidden="1">[19]SelectedQtrFinData!#REF!</definedName>
    <definedName name="_RIV1d1292f53a4b433a93cd157fdbd783fc" hidden="1">#REF!</definedName>
    <definedName name="_RIV1d50c4d6e8d741dcb8fec91fcedfba69" localSheetId="13" hidden="1">'[20]Options Expense'!#REF!</definedName>
    <definedName name="_RIV1d50c4d6e8d741dcb8fec91fcedfba69" localSheetId="18" hidden="1">'[20]Options Expense'!#REF!</definedName>
    <definedName name="_RIV1d50c4d6e8d741dcb8fec91fcedfba69" hidden="1">#REF!</definedName>
    <definedName name="_RIV1d5b48a7ee59407d95767f4acafb176c" localSheetId="1" hidden="1">#REF!</definedName>
    <definedName name="_RIV1d5b48a7ee59407d95767f4acafb176c" localSheetId="20" hidden="1">#REF!</definedName>
    <definedName name="_RIV1d5b48a7ee59407d95767f4acafb176c" hidden="1">#REF!</definedName>
    <definedName name="_RIV1de105a8655245f9ae37c0d91665c102" localSheetId="1" hidden="1">#REF!</definedName>
    <definedName name="_RIV1de105a8655245f9ae37c0d91665c102" localSheetId="20" hidden="1">#REF!</definedName>
    <definedName name="_RIV1de105a8655245f9ae37c0d91665c102" hidden="1">#REF!</definedName>
    <definedName name="_RIV1dec0486ee394345a3156147f0482333" localSheetId="1" hidden="1">#REF!</definedName>
    <definedName name="_RIV1dec0486ee394345a3156147f0482333" localSheetId="13" hidden="1">[20]Pension!#REF!</definedName>
    <definedName name="_RIV1dec0486ee394345a3156147f0482333" localSheetId="18" hidden="1">[20]Pension!#REF!</definedName>
    <definedName name="_RIV1dec0486ee394345a3156147f0482333" localSheetId="20" hidden="1">#REF!</definedName>
    <definedName name="_RIV1dec0486ee394345a3156147f0482333" hidden="1">#REF!</definedName>
    <definedName name="_RIV1e29db6a008b42d48c19a46ce71f9443" localSheetId="13" hidden="1">'[19]Com.StkHldr''s Equity'!#REF!</definedName>
    <definedName name="_RIV1e29db6a008b42d48c19a46ce71f9443" localSheetId="18" hidden="1">'[19]Com.StkHldr''s Equity'!#REF!</definedName>
    <definedName name="_RIV1e29db6a008b42d48c19a46ce71f9443" hidden="1">#REF!</definedName>
    <definedName name="_RIV1e4ca969982840efb5b4db3d990a9f37" localSheetId="13" hidden="1">'[20]Restricted Stk'!#REF!</definedName>
    <definedName name="_RIV1e4ca969982840efb5b4db3d990a9f37" localSheetId="18" hidden="1">'[20]Restricted Stk'!#REF!</definedName>
    <definedName name="_RIV1e4ca969982840efb5b4db3d990a9f37" hidden="1">#REF!</definedName>
    <definedName name="_RIV1e6374a1573849d9a4f349e42db0ec8a" localSheetId="13" hidden="1">'[20]PSU Expense'!#REF!</definedName>
    <definedName name="_RIV1e6374a1573849d9a4f349e42db0ec8a" localSheetId="18" hidden="1">'[20]PSU Expense'!#REF!</definedName>
    <definedName name="_RIV1e6374a1573849d9a4f349e42db0ec8a" hidden="1">#REF!</definedName>
    <definedName name="_RIV1e6535baa0b94ef9a1e6c8f3f99f008b" localSheetId="13" hidden="1">'[19]FV_Prior Year'!#REF!</definedName>
    <definedName name="_RIV1e6535baa0b94ef9a1e6c8f3f99f008b" localSheetId="18" hidden="1">'[19]FV_Prior Year'!#REF!</definedName>
    <definedName name="_RIV1e6535baa0b94ef9a1e6c8f3f99f008b" hidden="1">#REF!</definedName>
    <definedName name="_RIV1ebe04143779401e9fd1c869dd598649" localSheetId="13" hidden="1">'[19]Operating Results'!#REF!</definedName>
    <definedName name="_RIV1ebe04143779401e9fd1c869dd598649" localSheetId="18" hidden="1">'[19]Operating Results'!#REF!</definedName>
    <definedName name="_RIV1ebe04143779401e9fd1c869dd598649" hidden="1">#REF!</definedName>
    <definedName name="_RIV1ee2dfeb622f4480991dae04af61bd94" localSheetId="13" hidden="1">[19]PensOPEBObligations!#REF!</definedName>
    <definedName name="_RIV1ee2dfeb622f4480991dae04af61bd94" localSheetId="18" hidden="1">[19]PensOPEBObligations!#REF!</definedName>
    <definedName name="_RIV1ee2dfeb622f4480991dae04af61bd94" hidden="1">#REF!</definedName>
    <definedName name="_RIV1f660c6bacf4497892b2bebaa9c10451" localSheetId="1" hidden="1">#REF!</definedName>
    <definedName name="_RIV1f660c6bacf4497892b2bebaa9c10451" localSheetId="20" hidden="1">#REF!</definedName>
    <definedName name="_RIV1f660c6bacf4497892b2bebaa9c10451" hidden="1">#REF!</definedName>
    <definedName name="_RIV1fea2ce5d7ea4c65ab21b095c2091bed" localSheetId="1" hidden="1">#REF!</definedName>
    <definedName name="_RIV1fea2ce5d7ea4c65ab21b095c2091bed" localSheetId="13" hidden="1">'[19]PBO - ABO'!#REF!</definedName>
    <definedName name="_RIV1fea2ce5d7ea4c65ab21b095c2091bed" localSheetId="18" hidden="1">'[19]PBO - ABO'!#REF!</definedName>
    <definedName name="_RIV1fea2ce5d7ea4c65ab21b095c2091bed" localSheetId="20" hidden="1">#REF!</definedName>
    <definedName name="_RIV1fea2ce5d7ea4c65ab21b095c2091bed" hidden="1">#REF!</definedName>
    <definedName name="_RIV2078aab5ce484917808084a9325cf08f" localSheetId="13" hidden="1">'[19]Com.StkHldr''s Equity'!#REF!</definedName>
    <definedName name="_RIV2078aab5ce484917808084a9325cf08f" localSheetId="18" hidden="1">'[19]Com.StkHldr''s Equity'!#REF!</definedName>
    <definedName name="_RIV2078aab5ce484917808084a9325cf08f" hidden="1">#REF!</definedName>
    <definedName name="_RIV2084a7a9843244c2b8d657bd760c2dc3" localSheetId="13" hidden="1">'[19]Stmt of Capitalization'!#REF!</definedName>
    <definedName name="_RIV2084a7a9843244c2b8d657bd760c2dc3" localSheetId="18" hidden="1">'[19]Stmt of Capitalization'!#REF!</definedName>
    <definedName name="_RIV2084a7a9843244c2b8d657bd760c2dc3" hidden="1">#REF!</definedName>
    <definedName name="_RIV209490ce5efc406f9302185eda8a64ff" localSheetId="13" hidden="1">'[19]Operating Results'!#REF!</definedName>
    <definedName name="_RIV209490ce5efc406f9302185eda8a64ff" localSheetId="18" hidden="1">'[19]Operating Results'!#REF!</definedName>
    <definedName name="_RIV209490ce5efc406f9302185eda8a64ff" hidden="1">#REF!</definedName>
    <definedName name="_RIV20a70d16e96e45579f1aa6c6a6078335" localSheetId="13" hidden="1">'[19]Comprehensive Income'!#REF!</definedName>
    <definedName name="_RIV20a70d16e96e45579f1aa6c6a6078335" localSheetId="18" hidden="1">'[19]Comprehensive Income'!#REF!</definedName>
    <definedName name="_RIV20a70d16e96e45579f1aa6c6a6078335" hidden="1">#REF!</definedName>
    <definedName name="_RIV20d23c676352415eb460fdfa8a636bed" localSheetId="13" hidden="1">[19]ContractualObligs!#REF!</definedName>
    <definedName name="_RIV20d23c676352415eb460fdfa8a636bed" localSheetId="18" hidden="1">[19]ContractualObligs!#REF!</definedName>
    <definedName name="_RIV20d23c676352415eb460fdfa8a636bed" hidden="1">#REF!</definedName>
    <definedName name="_RIV2102dcc0947f4edca7ba0807772b15a1" localSheetId="13" hidden="1">'[21]other taxes'!#REF!</definedName>
    <definedName name="_RIV2102dcc0947f4edca7ba0807772b15a1" localSheetId="18" hidden="1">'[21]other taxes'!#REF!</definedName>
    <definedName name="_RIV2102dcc0947f4edca7ba0807772b15a1" hidden="1">#REF!</definedName>
    <definedName name="_RIV21be14891b0441e3a3f4c649a756bf6c" localSheetId="1" hidden="1">#REF!</definedName>
    <definedName name="_RIV21be14891b0441e3a3f4c649a756bf6c" localSheetId="20" hidden="1">#REF!</definedName>
    <definedName name="_RIV21be14891b0441e3a3f4c649a756bf6c" hidden="1">#REF!</definedName>
    <definedName name="_RIV21d54ebaae294d58934f401f4c856a5e" localSheetId="1" hidden="1">#REF!</definedName>
    <definedName name="_RIV21d54ebaae294d58934f401f4c856a5e" localSheetId="13" hidden="1">'[19]Operating Results'!#REF!</definedName>
    <definedName name="_RIV21d54ebaae294d58934f401f4c856a5e" localSheetId="18" hidden="1">'[19]Operating Results'!#REF!</definedName>
    <definedName name="_RIV21d54ebaae294d58934f401f4c856a5e" localSheetId="20" hidden="1">#REF!</definedName>
    <definedName name="_RIV21d54ebaae294d58934f401f4c856a5e" hidden="1">#REF!</definedName>
    <definedName name="_RIV21f77659bc234bfabfbb60d55fdf8100" localSheetId="1" hidden="1">#REF!</definedName>
    <definedName name="_RIV21f77659bc234bfabfbb60d55fdf8100" localSheetId="20" hidden="1">#REF!</definedName>
    <definedName name="_RIV21f77659bc234bfabfbb60d55fdf8100" hidden="1">#REF!</definedName>
    <definedName name="_RIV22dc0b0b27604a2380d4fdb11cda42ce" localSheetId="1" hidden="1">#REF!</definedName>
    <definedName name="_RIV22dc0b0b27604a2380d4fdb11cda42ce" localSheetId="13" hidden="1">'[19]Com.StkHldr''s Equity'!#REF!</definedName>
    <definedName name="_RIV22dc0b0b27604a2380d4fdb11cda42ce" localSheetId="18" hidden="1">'[19]Com.StkHldr''s Equity'!#REF!</definedName>
    <definedName name="_RIV22dc0b0b27604a2380d4fdb11cda42ce" localSheetId="20" hidden="1">#REF!</definedName>
    <definedName name="_RIV22dc0b0b27604a2380d4fdb11cda42ce" hidden="1">#REF!</definedName>
    <definedName name="_RIV2476222797e8400dad247788ca9dde32" localSheetId="1" hidden="1">#REF!</definedName>
    <definedName name="_RIV2476222797e8400dad247788ca9dde32" localSheetId="20" hidden="1">#REF!</definedName>
    <definedName name="_RIV2476222797e8400dad247788ca9dde32" hidden="1">#REF!</definedName>
    <definedName name="_RIV24897cd807a349b891dbe0b2c55b3482" localSheetId="1" hidden="1">#REF!</definedName>
    <definedName name="_RIV24897cd807a349b891dbe0b2c55b3482" localSheetId="20" hidden="1">#REF!</definedName>
    <definedName name="_RIV24897cd807a349b891dbe0b2c55b3482" hidden="1">#REF!</definedName>
    <definedName name="_RIV2543013897bc4cfcbb2736db05a729d3" localSheetId="1" hidden="1">#REF!</definedName>
    <definedName name="_RIV2543013897bc4cfcbb2736db05a729d3" localSheetId="13" hidden="1">[19]OptionsExOS!#REF!</definedName>
    <definedName name="_RIV2543013897bc4cfcbb2736db05a729d3" localSheetId="18" hidden="1">[19]OptionsExOS!#REF!</definedName>
    <definedName name="_RIV2543013897bc4cfcbb2736db05a729d3" localSheetId="20" hidden="1">#REF!</definedName>
    <definedName name="_RIV2543013897bc4cfcbb2736db05a729d3" hidden="1">#REF!</definedName>
    <definedName name="_RIV25c127887d7f467181402edb608ad668" localSheetId="13" hidden="1">'[19]Income Stmt'!#REF!</definedName>
    <definedName name="_RIV25c127887d7f467181402edb608ad668" localSheetId="18" hidden="1">'[19]Income Stmt'!#REF!</definedName>
    <definedName name="_RIV25c127887d7f467181402edb608ad668" hidden="1">#REF!</definedName>
    <definedName name="_RIV25fe518ae9dd4e848da41639a902bfb1" localSheetId="1" hidden="1">#REF!</definedName>
    <definedName name="_RIV25fe518ae9dd4e848da41639a902bfb1" localSheetId="20" hidden="1">#REF!</definedName>
    <definedName name="_RIV25fe518ae9dd4e848da41639a902bfb1" hidden="1">#REF!</definedName>
    <definedName name="_RIV2615e93416074c46a2ff4aa278907970" localSheetId="1" hidden="1">#REF!</definedName>
    <definedName name="_RIV2615e93416074c46a2ff4aa278907970" localSheetId="20" hidden="1">#REF!</definedName>
    <definedName name="_RIV2615e93416074c46a2ff4aa278907970" hidden="1">#REF!</definedName>
    <definedName name="_RIV2622475cd6144a9c8e14ec51ebc60e59" localSheetId="1" hidden="1">#REF!</definedName>
    <definedName name="_RIV2622475cd6144a9c8e14ec51ebc60e59" localSheetId="13" hidden="1">'[21]Comprehensive Income'!#REF!</definedName>
    <definedName name="_RIV2622475cd6144a9c8e14ec51ebc60e59" localSheetId="18" hidden="1">'[21]Comprehensive Income'!#REF!</definedName>
    <definedName name="_RIV2622475cd6144a9c8e14ec51ebc60e59" localSheetId="20" hidden="1">#REF!</definedName>
    <definedName name="_RIV2622475cd6144a9c8e14ec51ebc60e59" hidden="1">#REF!</definedName>
    <definedName name="_RIV265c23f4a50e4581914b29b736642a87" localSheetId="13" hidden="1">'[19]Parent IS'!#REF!</definedName>
    <definedName name="_RIV265c23f4a50e4581914b29b736642a87" localSheetId="18" hidden="1">'[19]Parent IS'!#REF!</definedName>
    <definedName name="_RIV265c23f4a50e4581914b29b736642a87" hidden="1">#REF!</definedName>
    <definedName name="_RIV266c16e5f0884dba9dd58530643f1650" localSheetId="1" hidden="1">#REF!</definedName>
    <definedName name="_RIV266c16e5f0884dba9dd58530643f1650" localSheetId="20" hidden="1">#REF!</definedName>
    <definedName name="_RIV266c16e5f0884dba9dd58530643f1650" hidden="1">#REF!</definedName>
    <definedName name="_RIV26907cbb267b46b499fcf401a66e17b9" localSheetId="1" hidden="1">#REF!</definedName>
    <definedName name="_RIV26907cbb267b46b499fcf401a66e17b9" localSheetId="20" hidden="1">#REF!</definedName>
    <definedName name="_RIV26907cbb267b46b499fcf401a66e17b9" hidden="1">#REF!</definedName>
    <definedName name="_RIV26d54fad898f432f82df2322cf7c1554" localSheetId="1" hidden="1">#REF!</definedName>
    <definedName name="_RIV26d54fad898f432f82df2322cf7c1554" localSheetId="13" hidden="1">[19]OtherTaxes!#REF!</definedName>
    <definedName name="_RIV26d54fad898f432f82df2322cf7c1554" localSheetId="18" hidden="1">[19]OtherTaxes!#REF!</definedName>
    <definedName name="_RIV26d54fad898f432f82df2322cf7c1554" localSheetId="20" hidden="1">#REF!</definedName>
    <definedName name="_RIV26d54fad898f432f82df2322cf7c1554" hidden="1">#REF!</definedName>
    <definedName name="_RIV272f7cc0fecf4195b1ec242f8d363ab2" localSheetId="13" hidden="1">'[21]CONINCOME YTD'!#REF!</definedName>
    <definedName name="_RIV272f7cc0fecf4195b1ec242f8d363ab2" localSheetId="18" hidden="1">'[21]CONINCOME YTD'!#REF!</definedName>
    <definedName name="_RIV272f7cc0fecf4195b1ec242f8d363ab2" hidden="1">#REF!</definedName>
    <definedName name="_RIV275c18401de2444fa751cdbe68e7db61" localSheetId="13" hidden="1">'[19]Com.StkHldr''s Equity'!#REF!</definedName>
    <definedName name="_RIV275c18401de2444fa751cdbe68e7db61" localSheetId="18" hidden="1">'[19]Com.StkHldr''s Equity'!#REF!</definedName>
    <definedName name="_RIV275c18401de2444fa751cdbe68e7db61" hidden="1">#REF!</definedName>
    <definedName name="_RIV27759c36718942269de1eae19941bf7a" localSheetId="13" hidden="1">'[19]PBO - ABO'!#REF!</definedName>
    <definedName name="_RIV27759c36718942269de1eae19941bf7a" localSheetId="18" hidden="1">'[19]PBO - ABO'!#REF!</definedName>
    <definedName name="_RIV27759c36718942269de1eae19941bf7a" hidden="1">#REF!</definedName>
    <definedName name="_RIV277c8a9b9ace41008a661f40afd8318d" localSheetId="1" hidden="1">#REF!</definedName>
    <definedName name="_RIV277c8a9b9ace41008a661f40afd8318d" localSheetId="20" hidden="1">#REF!</definedName>
    <definedName name="_RIV277c8a9b9ace41008a661f40afd8318d" hidden="1">#REF!</definedName>
    <definedName name="_RIV281e8d94bef14a619d83847fd4f86bc1" localSheetId="1" hidden="1">#REF!</definedName>
    <definedName name="_RIV281e8d94bef14a619d83847fd4f86bc1" localSheetId="13" hidden="1">[19]Summary!#REF!</definedName>
    <definedName name="_RIV281e8d94bef14a619d83847fd4f86bc1" localSheetId="18" hidden="1">[19]Summary!#REF!</definedName>
    <definedName name="_RIV281e8d94bef14a619d83847fd4f86bc1" localSheetId="20" hidden="1">#REF!</definedName>
    <definedName name="_RIV281e8d94bef14a619d83847fd4f86bc1" hidden="1">#REF!</definedName>
    <definedName name="_RIV287616a15d0349568ac04d2b3dd899f7" localSheetId="13" hidden="1">'[19]Com.StkHldr''s Equity'!#REF!</definedName>
    <definedName name="_RIV287616a15d0349568ac04d2b3dd899f7" localSheetId="18" hidden="1">'[19]Com.StkHldr''s Equity'!#REF!</definedName>
    <definedName name="_RIV287616a15d0349568ac04d2b3dd899f7" hidden="1">#REF!</definedName>
    <definedName name="_RIV28e3f842824f42ef98a7ad8e2eaa57d5" localSheetId="13" hidden="1">[19]FedIncomeTax!#REF!</definedName>
    <definedName name="_RIV28e3f842824f42ef98a7ad8e2eaa57d5" localSheetId="18" hidden="1">[19]FedIncomeTax!#REF!</definedName>
    <definedName name="_RIV28e3f842824f42ef98a7ad8e2eaa57d5" hidden="1">#REF!</definedName>
    <definedName name="_RIV28f7d4aedbbf4888b2395a1a6a94cae6" localSheetId="1" hidden="1">#REF!</definedName>
    <definedName name="_RIV28f7d4aedbbf4888b2395a1a6a94cae6" localSheetId="20" hidden="1">#REF!</definedName>
    <definedName name="_RIV28f7d4aedbbf4888b2395a1a6a94cae6" hidden="1">#REF!</definedName>
    <definedName name="_RIV2924c1beafa6453f86ab2eae32fbad6b" localSheetId="1" hidden="1">#REF!</definedName>
    <definedName name="_RIV2924c1beafa6453f86ab2eae32fbad6b" localSheetId="20" hidden="1">#REF!</definedName>
    <definedName name="_RIV2924c1beafa6453f86ab2eae32fbad6b" hidden="1">#REF!</definedName>
    <definedName name="_RIV294de77fd4be437d990fbe5506649110" localSheetId="1" hidden="1">#REF!</definedName>
    <definedName name="_RIV294de77fd4be437d990fbe5506649110" localSheetId="20" hidden="1">#REF!</definedName>
    <definedName name="_RIV294de77fd4be437d990fbe5506649110" hidden="1">#REF!</definedName>
    <definedName name="_RIV2951abbac6dd4464b2876b4ed7eb6678" localSheetId="1" hidden="1">#REF!</definedName>
    <definedName name="_RIV2951abbac6dd4464b2876b4ed7eb6678" localSheetId="20" hidden="1">#REF!</definedName>
    <definedName name="_RIV2951abbac6dd4464b2876b4ed7eb6678" hidden="1">#REF!</definedName>
    <definedName name="_RIV2964c871a4d842199ad811b4e5179134" localSheetId="1" hidden="1">#REF!</definedName>
    <definedName name="_RIV2964c871a4d842199ad811b4e5179134" localSheetId="20" hidden="1">#REF!</definedName>
    <definedName name="_RIV2964c871a4d842199ad811b4e5179134" hidden="1">#REF!</definedName>
    <definedName name="_RIV299a7543d1d64a27a68e751caba934d9" localSheetId="1" hidden="1">#REF!</definedName>
    <definedName name="_RIV299a7543d1d64a27a68e751caba934d9" localSheetId="20" hidden="1">#REF!</definedName>
    <definedName name="_RIV299a7543d1d64a27a68e751caba934d9" hidden="1">#REF!</definedName>
    <definedName name="_RIV2a13406b35a342f5b1eedc6b741f5839" localSheetId="1" hidden="1">#REF!</definedName>
    <definedName name="_RIV2a13406b35a342f5b1eedc6b741f5839" localSheetId="13" hidden="1">'[19] Assumptions_A'!#REF!</definedName>
    <definedName name="_RIV2a13406b35a342f5b1eedc6b741f5839" localSheetId="18" hidden="1">'[19] Assumptions_A'!#REF!</definedName>
    <definedName name="_RIV2a13406b35a342f5b1eedc6b741f5839" localSheetId="20" hidden="1">#REF!</definedName>
    <definedName name="_RIV2a13406b35a342f5b1eedc6b741f5839" hidden="1">#REF!</definedName>
    <definedName name="_RIV2a479e01fdd64414b7ff84f58ad43ee7" localSheetId="1" hidden="1">#REF!</definedName>
    <definedName name="_RIV2a479e01fdd64414b7ff84f58ad43ee7" localSheetId="20" hidden="1">#REF!</definedName>
    <definedName name="_RIV2a479e01fdd64414b7ff84f58ad43ee7" hidden="1">#REF!</definedName>
    <definedName name="_RIV2a8c8c5ae6aa467ea3328de67b1d61f6" localSheetId="1" hidden="1">#REF!</definedName>
    <definedName name="_RIV2a8c8c5ae6aa467ea3328de67b1d61f6" localSheetId="20" hidden="1">#REF!</definedName>
    <definedName name="_RIV2a8c8c5ae6aa467ea3328de67b1d61f6" hidden="1">#REF!</definedName>
    <definedName name="_RIV2afc485cd5c8413f8c2db7fbd0235f75" localSheetId="1" hidden="1">#REF!</definedName>
    <definedName name="_RIV2afc485cd5c8413f8c2db7fbd0235f75" localSheetId="20" hidden="1">#REF!</definedName>
    <definedName name="_RIV2afc485cd5c8413f8c2db7fbd0235f75" hidden="1">#REF!</definedName>
    <definedName name="_RIV2b158ad5d842475c9ef86824698ce04b" localSheetId="1" hidden="1">#REF!</definedName>
    <definedName name="_RIV2b158ad5d842475c9ef86824698ce04b" localSheetId="20" hidden="1">#REF!</definedName>
    <definedName name="_RIV2b158ad5d842475c9ef86824698ce04b" hidden="1">#REF!</definedName>
    <definedName name="_RIV2b7fa20ce4c94b41a9394539e6364db3" localSheetId="1" hidden="1">#REF!</definedName>
    <definedName name="_RIV2b7fa20ce4c94b41a9394539e6364db3" localSheetId="20" hidden="1">#REF!</definedName>
    <definedName name="_RIV2b7fa20ce4c94b41a9394539e6364db3" hidden="1">#REF!</definedName>
    <definedName name="_RIV2ba750a1f6f2472583cf597b4f0a4598" localSheetId="1" hidden="1">#REF!</definedName>
    <definedName name="_RIV2ba750a1f6f2472583cf597b4f0a4598" localSheetId="13" hidden="1">[19]Commitments!#REF!</definedName>
    <definedName name="_RIV2ba750a1f6f2472583cf597b4f0a4598" localSheetId="18" hidden="1">[19]Commitments!#REF!</definedName>
    <definedName name="_RIV2ba750a1f6f2472583cf597b4f0a4598" localSheetId="20" hidden="1">#REF!</definedName>
    <definedName name="_RIV2ba750a1f6f2472583cf597b4f0a4598" hidden="1">#REF!</definedName>
    <definedName name="_RIV2bc29b2c5c184f9182f146ade0130703" localSheetId="13" hidden="1">'[19]Com.StkHldr''s Equity'!#REF!</definedName>
    <definedName name="_RIV2bc29b2c5c184f9182f146ade0130703" localSheetId="18" hidden="1">'[19]Com.StkHldr''s Equity'!#REF!</definedName>
    <definedName name="_RIV2bc29b2c5c184f9182f146ade0130703" hidden="1">#REF!</definedName>
    <definedName name="_RIV2be733d9f1ea4019a11a55a67508ca1f" localSheetId="13" hidden="1">[19]SelectedQtrFinData!#REF!</definedName>
    <definedName name="_RIV2be733d9f1ea4019a11a55a67508ca1f" localSheetId="18" hidden="1">[19]SelectedQtrFinData!#REF!</definedName>
    <definedName name="_RIV2be733d9f1ea4019a11a55a67508ca1f" hidden="1">#REF!</definedName>
    <definedName name="_RIV2bf41afdb5974cd0a357ad4e9bdfd651" localSheetId="13" hidden="1">[19]Assumptions_B!#REF!</definedName>
    <definedName name="_RIV2bf41afdb5974cd0a357ad4e9bdfd651" localSheetId="18" hidden="1">[19]Assumptions_B!#REF!</definedName>
    <definedName name="_RIV2bf41afdb5974cd0a357ad4e9bdfd651" hidden="1">#REF!</definedName>
    <definedName name="_RIV2c168ca0ffa34280be8c482a5905cef6" localSheetId="1" hidden="1">#REF!</definedName>
    <definedName name="_RIV2c168ca0ffa34280be8c482a5905cef6" localSheetId="20" hidden="1">#REF!</definedName>
    <definedName name="_RIV2c168ca0ffa34280be8c482a5905cef6" hidden="1">#REF!</definedName>
    <definedName name="_RIV2c178580573d49bebb8b5ec398c88128" localSheetId="1" hidden="1">#REF!</definedName>
    <definedName name="_RIV2c178580573d49bebb8b5ec398c88128" localSheetId="13" hidden="1">[19]Goodwill!#REF!</definedName>
    <definedName name="_RIV2c178580573d49bebb8b5ec398c88128" localSheetId="18" hidden="1">[19]Goodwill!#REF!</definedName>
    <definedName name="_RIV2c178580573d49bebb8b5ec398c88128" localSheetId="20" hidden="1">#REF!</definedName>
    <definedName name="_RIV2c178580573d49bebb8b5ec398c88128" hidden="1">#REF!</definedName>
    <definedName name="_RIV2c297c0349554a66975e402916a2310b" localSheetId="1" hidden="1">#REF!</definedName>
    <definedName name="_RIV2c297c0349554a66975e402916a2310b" localSheetId="20" hidden="1">#REF!</definedName>
    <definedName name="_RIV2c297c0349554a66975e402916a2310b" hidden="1">#REF!</definedName>
    <definedName name="_RIV2c7471a8be164382ae48c26734e0c06c" localSheetId="1" hidden="1">#REF!</definedName>
    <definedName name="_RIV2c7471a8be164382ae48c26734e0c06c" localSheetId="13" hidden="1">[20]concapital!#REF!</definedName>
    <definedName name="_RIV2c7471a8be164382ae48c26734e0c06c" localSheetId="18" hidden="1">[20]concapital!#REF!</definedName>
    <definedName name="_RIV2c7471a8be164382ae48c26734e0c06c" localSheetId="20" hidden="1">#REF!</definedName>
    <definedName name="_RIV2c7471a8be164382ae48c26734e0c06c" hidden="1">#REF!</definedName>
    <definedName name="_RIV2c9154aec2124235add530a407997dcf" localSheetId="1" hidden="1">#REF!</definedName>
    <definedName name="_RIV2c9154aec2124235add530a407997dcf" localSheetId="20" hidden="1">#REF!</definedName>
    <definedName name="_RIV2c9154aec2124235add530a407997dcf" hidden="1">#REF!</definedName>
    <definedName name="_RIV2cae327b708340bcb8662fb44f9f958f" localSheetId="1" hidden="1">#REF!</definedName>
    <definedName name="_RIV2cae327b708340bcb8662fb44f9f958f" localSheetId="13" hidden="1">[19]PensOPEBObligations!#REF!</definedName>
    <definedName name="_RIV2cae327b708340bcb8662fb44f9f958f" localSheetId="18" hidden="1">[19]PensOPEBObligations!#REF!</definedName>
    <definedName name="_RIV2cae327b708340bcb8662fb44f9f958f" localSheetId="20" hidden="1">#REF!</definedName>
    <definedName name="_RIV2cae327b708340bcb8662fb44f9f958f" hidden="1">#REF!</definedName>
    <definedName name="_RIV2d2ac2302e4e4b14b62fce0577cac0d8" localSheetId="1" hidden="1">#REF!</definedName>
    <definedName name="_RIV2d2ac2302e4e4b14b62fce0577cac0d8" localSheetId="20" hidden="1">#REF!</definedName>
    <definedName name="_RIV2d2ac2302e4e4b14b62fce0577cac0d8" hidden="1">#REF!</definedName>
    <definedName name="_RIV2e7107e56b064214ad53eb59f9ff2ab1" localSheetId="1" hidden="1">#REF!</definedName>
    <definedName name="_RIV2e7107e56b064214ad53eb59f9ff2ab1" localSheetId="13" hidden="1">'[19]FV_Prior Year'!#REF!</definedName>
    <definedName name="_RIV2e7107e56b064214ad53eb59f9ff2ab1" localSheetId="18" hidden="1">'[19]FV_Prior Year'!#REF!</definedName>
    <definedName name="_RIV2e7107e56b064214ad53eb59f9ff2ab1" localSheetId="20" hidden="1">#REF!</definedName>
    <definedName name="_RIV2e7107e56b064214ad53eb59f9ff2ab1" hidden="1">#REF!</definedName>
    <definedName name="_RIV2e7a8e40b4f447bea98af6b357e303b4" localSheetId="1" hidden="1">#REF!</definedName>
    <definedName name="_RIV2e7a8e40b4f447bea98af6b357e303b4" localSheetId="20" hidden="1">#REF!</definedName>
    <definedName name="_RIV2e7a8e40b4f447bea98af6b357e303b4" hidden="1">#REF!</definedName>
    <definedName name="_RIV2eaf3693b18b43f8aaedff2ebc33cd9b" localSheetId="1" hidden="1">#REF!</definedName>
    <definedName name="_RIV2eaf3693b18b43f8aaedff2ebc33cd9b" localSheetId="13" hidden="1">'[19]Income Stmt'!#REF!</definedName>
    <definedName name="_RIV2eaf3693b18b43f8aaedff2ebc33cd9b" localSheetId="18" hidden="1">'[19]Income Stmt'!#REF!</definedName>
    <definedName name="_RIV2eaf3693b18b43f8aaedff2ebc33cd9b" localSheetId="20" hidden="1">#REF!</definedName>
    <definedName name="_RIV2eaf3693b18b43f8aaedff2ebc33cd9b" hidden="1">#REF!</definedName>
    <definedName name="_RIV2ec8f26e7b884e29ac96781b9c5a6dac" localSheetId="13" hidden="1">[21]RSUs!#REF!</definedName>
    <definedName name="_RIV2ec8f26e7b884e29ac96781b9c5a6dac" localSheetId="18" hidden="1">[21]RSUs!#REF!</definedName>
    <definedName name="_RIV2ec8f26e7b884e29ac96781b9c5a6dac" hidden="1">#REF!</definedName>
    <definedName name="_RIV2f051ecf24d340beafefd50ab4b1340e" localSheetId="1" hidden="1">#REF!</definedName>
    <definedName name="_RIV2f051ecf24d340beafefd50ab4b1340e" localSheetId="20" hidden="1">#REF!</definedName>
    <definedName name="_RIV2f051ecf24d340beafefd50ab4b1340e" hidden="1">#REF!</definedName>
    <definedName name="_RIV2f56e58564984005bb02b0b9039dc006" localSheetId="1" hidden="1">#REF!</definedName>
    <definedName name="_RIV2f56e58564984005bb02b0b9039dc006" localSheetId="20" hidden="1">#REF!</definedName>
    <definedName name="_RIV2f56e58564984005bb02b0b9039dc006" hidden="1">#REF!</definedName>
    <definedName name="_RIV2f7075f352124edf82c02ec5b79c3954" localSheetId="1" hidden="1">#REF!</definedName>
    <definedName name="_RIV2f7075f352124edf82c02ec5b79c3954" localSheetId="13" hidden="1">'[19]Parent IS'!#REF!</definedName>
    <definedName name="_RIV2f7075f352124edf82c02ec5b79c3954" localSheetId="18" hidden="1">'[19]Parent IS'!#REF!</definedName>
    <definedName name="_RIV2f7075f352124edf82c02ec5b79c3954" localSheetId="20" hidden="1">#REF!</definedName>
    <definedName name="_RIV2f7075f352124edf82c02ec5b79c3954" hidden="1">#REF!</definedName>
    <definedName name="_RIV2f77067e5ea7404f8e2fdfab57b50c68" localSheetId="13" hidden="1">'[19]Com.StkHldr''s Equity'!#REF!</definedName>
    <definedName name="_RIV2f77067e5ea7404f8e2fdfab57b50c68" localSheetId="18" hidden="1">'[19]Com.StkHldr''s Equity'!#REF!</definedName>
    <definedName name="_RIV2f77067e5ea7404f8e2fdfab57b50c68" hidden="1">#REF!</definedName>
    <definedName name="_RIV2f9d6bf9eb354704bb58c873747382a6" localSheetId="1" hidden="1">#REF!</definedName>
    <definedName name="_RIV2f9d6bf9eb354704bb58c873747382a6" localSheetId="20" hidden="1">#REF!</definedName>
    <definedName name="_RIV2f9d6bf9eb354704bb58c873747382a6" hidden="1">#REF!</definedName>
    <definedName name="_RIV2fb2d7d66a3d4dfb9a87cc6568268b1d" localSheetId="1" hidden="1">#REF!</definedName>
    <definedName name="_RIV2fb2d7d66a3d4dfb9a87cc6568268b1d" localSheetId="20" hidden="1">#REF!</definedName>
    <definedName name="_RIV2fb2d7d66a3d4dfb9a87cc6568268b1d" hidden="1">#REF!</definedName>
    <definedName name="_RIV2fb601e416d249a798fddd939602d222" localSheetId="1" hidden="1">#REF!</definedName>
    <definedName name="_RIV2fb601e416d249a798fddd939602d222" localSheetId="20" hidden="1">#REF!</definedName>
    <definedName name="_RIV2fb601e416d249a798fddd939602d222" hidden="1">#REF!</definedName>
    <definedName name="_RIV2fdad1aa2a07426e9a3b3f19f94bb229" localSheetId="1" hidden="1">#REF!</definedName>
    <definedName name="_RIV2fdad1aa2a07426e9a3b3f19f94bb229" localSheetId="13" hidden="1">'[19]Options RF'!#REF!</definedName>
    <definedName name="_RIV2fdad1aa2a07426e9a3b3f19f94bb229" localSheetId="18" hidden="1">'[19]Options RF'!#REF!</definedName>
    <definedName name="_RIV2fdad1aa2a07426e9a3b3f19f94bb229" localSheetId="20" hidden="1">#REF!</definedName>
    <definedName name="_RIV2fdad1aa2a07426e9a3b3f19f94bb229" hidden="1">#REF!</definedName>
    <definedName name="_RIV300125dc4c274baa805165478c69fa02" localSheetId="13" hidden="1">[20]CONCASHFLOW!#REF!</definedName>
    <definedName name="_RIV300125dc4c274baa805165478c69fa02" localSheetId="18" hidden="1">[20]CONCASHFLOW!#REF!</definedName>
    <definedName name="_RIV300125dc4c274baa805165478c69fa02" hidden="1">#REF!</definedName>
    <definedName name="_RIV300b9128aa1c47d488c9e9baeea0bf93" localSheetId="13" hidden="1">[19]OptionsExOS!#REF!</definedName>
    <definedName name="_RIV300b9128aa1c47d488c9e9baeea0bf93" localSheetId="18" hidden="1">[19]OptionsExOS!#REF!</definedName>
    <definedName name="_RIV300b9128aa1c47d488c9e9baeea0bf93" hidden="1">#REF!</definedName>
    <definedName name="_RIV3027809eff204a33bc4c10068968ce06" localSheetId="13" hidden="1">'[19]Balance Sheet'!#REF!</definedName>
    <definedName name="_RIV3027809eff204a33bc4c10068968ce06" localSheetId="18" hidden="1">'[19]Balance Sheet'!#REF!</definedName>
    <definedName name="_RIV3027809eff204a33bc4c10068968ce06" hidden="1">#REF!</definedName>
    <definedName name="_RIV3144878d28d4445f9cd19ddbe566f8c3" localSheetId="13" hidden="1">'[21]EPS FOOTNOTE'!#REF!</definedName>
    <definedName name="_RIV3144878d28d4445f9cd19ddbe566f8c3" localSheetId="18" hidden="1">'[21]EPS FOOTNOTE'!#REF!</definedName>
    <definedName name="_RIV3144878d28d4445f9cd19ddbe566f8c3" hidden="1">#REF!</definedName>
    <definedName name="_RIV314738a2fe3449d3ac90b1780d404398" localSheetId="13" hidden="1">'[19]PBO - ABO'!#REF!</definedName>
    <definedName name="_RIV314738a2fe3449d3ac90b1780d404398" localSheetId="18" hidden="1">'[19]PBO - ABO'!#REF!</definedName>
    <definedName name="_RIV314738a2fe3449d3ac90b1780d404398" hidden="1">#REF!</definedName>
    <definedName name="_RIV31cb21cc73cb4eaa8d1986fd98d04cac" localSheetId="1" hidden="1">#REF!</definedName>
    <definedName name="_RIV31cb21cc73cb4eaa8d1986fd98d04cac" localSheetId="20" hidden="1">#REF!</definedName>
    <definedName name="_RIV31cb21cc73cb4eaa8d1986fd98d04cac" hidden="1">#REF!</definedName>
    <definedName name="_RIV31d63e1539d349f1a93ddc5926154a5b" localSheetId="1" hidden="1">#REF!</definedName>
    <definedName name="_RIV31d63e1539d349f1a93ddc5926154a5b" localSheetId="20" hidden="1">#REF!</definedName>
    <definedName name="_RIV31d63e1539d349f1a93ddc5926154a5b" hidden="1">#REF!</definedName>
    <definedName name="_RIV3215378318c74099b19f881b45481f9f" localSheetId="1" hidden="1">#REF!</definedName>
    <definedName name="_RIV3215378318c74099b19f881b45481f9f" localSheetId="13" hidden="1">[19]SelectedQtrFinData!#REF!</definedName>
    <definedName name="_RIV3215378318c74099b19f881b45481f9f" localSheetId="18" hidden="1">[19]SelectedQtrFinData!#REF!</definedName>
    <definedName name="_RIV3215378318c74099b19f881b45481f9f" localSheetId="20" hidden="1">#REF!</definedName>
    <definedName name="_RIV3215378318c74099b19f881b45481f9f" hidden="1">#REF!</definedName>
    <definedName name="_RIV32775149b6a548d09a88be0b2c7b5b34" localSheetId="13" hidden="1">'[19]Comprehensive Income'!#REF!</definedName>
    <definedName name="_RIV32775149b6a548d09a88be0b2c7b5b34" localSheetId="18" hidden="1">'[19]Comprehensive Income'!#REF!</definedName>
    <definedName name="_RIV32775149b6a548d09a88be0b2c7b5b34" hidden="1">#REF!</definedName>
    <definedName name="_RIV3280d28dfd1243e4ba0116c764cda9a3" localSheetId="1" hidden="1">#REF!</definedName>
    <definedName name="_RIV3280d28dfd1243e4ba0116c764cda9a3" localSheetId="20" hidden="1">#REF!</definedName>
    <definedName name="_RIV3280d28dfd1243e4ba0116c764cda9a3" hidden="1">#REF!</definedName>
    <definedName name="_RIV32ca6bacf6ea44a8b1c317a30724d1ca" localSheetId="1" hidden="1">#REF!</definedName>
    <definedName name="_RIV32ca6bacf6ea44a8b1c317a30724d1ca" localSheetId="13" hidden="1">'[20]other taxes'!#REF!</definedName>
    <definedName name="_RIV32ca6bacf6ea44a8b1c317a30724d1ca" localSheetId="18" hidden="1">'[20]other taxes'!#REF!</definedName>
    <definedName name="_RIV32ca6bacf6ea44a8b1c317a30724d1ca" localSheetId="20" hidden="1">#REF!</definedName>
    <definedName name="_RIV32ca6bacf6ea44a8b1c317a30724d1ca" hidden="1">#REF!</definedName>
    <definedName name="_RIV33590c8c1f5347f39d7c922f77354895" localSheetId="1" hidden="1">#REF!</definedName>
    <definedName name="_RIV33590c8c1f5347f39d7c922f77354895" localSheetId="20" hidden="1">#REF!</definedName>
    <definedName name="_RIV33590c8c1f5347f39d7c922f77354895" hidden="1">#REF!</definedName>
    <definedName name="_RIV336a8bac8ea747aeb83c54a4217cfc2e" localSheetId="1" hidden="1">#REF!</definedName>
    <definedName name="_RIV336a8bac8ea747aeb83c54a4217cfc2e" localSheetId="20" hidden="1">#REF!</definedName>
    <definedName name="_RIV336a8bac8ea747aeb83c54a4217cfc2e" hidden="1">#REF!</definedName>
    <definedName name="_RIV339b965a24de4939a53f693581ee4b6b" localSheetId="1" hidden="1">#REF!</definedName>
    <definedName name="_RIV339b965a24de4939a53f693581ee4b6b" localSheetId="13" hidden="1">[19]Commitments!#REF!</definedName>
    <definedName name="_RIV339b965a24de4939a53f693581ee4b6b" localSheetId="18" hidden="1">[19]Commitments!#REF!</definedName>
    <definedName name="_RIV339b965a24de4939a53f693581ee4b6b" localSheetId="20" hidden="1">#REF!</definedName>
    <definedName name="_RIV339b965a24de4939a53f693581ee4b6b" hidden="1">#REF!</definedName>
    <definedName name="_RIV33aed2e2156346eda3c549e7f6d70162" localSheetId="1" hidden="1">#REF!</definedName>
    <definedName name="_RIV33aed2e2156346eda3c549e7f6d70162" localSheetId="20" hidden="1">#REF!</definedName>
    <definedName name="_RIV33aed2e2156346eda3c549e7f6d70162" hidden="1">#REF!</definedName>
    <definedName name="_RIV3427f08cf2bc46e1b419a9c34053476c" localSheetId="1" hidden="1">#REF!</definedName>
    <definedName name="_RIV3427f08cf2bc46e1b419a9c34053476c" localSheetId="20" hidden="1">#REF!</definedName>
    <definedName name="_RIV3427f08cf2bc46e1b419a9c34053476c" hidden="1">#REF!</definedName>
    <definedName name="_RIV3436864ffcad48b5ba02247c68aca29f" localSheetId="1" hidden="1">#REF!</definedName>
    <definedName name="_RIV3436864ffcad48b5ba02247c68aca29f" localSheetId="20" hidden="1">#REF!</definedName>
    <definedName name="_RIV3436864ffcad48b5ba02247c68aca29f" hidden="1">#REF!</definedName>
    <definedName name="_RIV345a103947a74838b52ee11c046d81e0" localSheetId="1" hidden="1">#REF!</definedName>
    <definedName name="_RIV345a103947a74838b52ee11c046d81e0" localSheetId="13" hidden="1">[19]ContractualObligs!#REF!</definedName>
    <definedName name="_RIV345a103947a74838b52ee11c046d81e0" localSheetId="18" hidden="1">[19]ContractualObligs!#REF!</definedName>
    <definedName name="_RIV345a103947a74838b52ee11c046d81e0" localSheetId="20" hidden="1">#REF!</definedName>
    <definedName name="_RIV345a103947a74838b52ee11c046d81e0" hidden="1">#REF!</definedName>
    <definedName name="_RIV3482a8d59d0046e8a656c7736ad46827" localSheetId="13" hidden="1">'[19]Comprehensive Income'!#REF!</definedName>
    <definedName name="_RIV3482a8d59d0046e8a656c7736ad46827" localSheetId="18" hidden="1">'[19]Comprehensive Income'!#REF!</definedName>
    <definedName name="_RIV3482a8d59d0046e8a656c7736ad46827" hidden="1">#REF!</definedName>
    <definedName name="_RIV3545ffdc05fb40699a6c4864934c60dd" localSheetId="13" hidden="1">'[19]Parent CF'!#REF!</definedName>
    <definedName name="_RIV3545ffdc05fb40699a6c4864934c60dd" localSheetId="18" hidden="1">'[19]Parent CF'!#REF!</definedName>
    <definedName name="_RIV3545ffdc05fb40699a6c4864934c60dd" hidden="1">#REF!</definedName>
    <definedName name="_RIV3552778135ec4471ae97a455f910ae36" localSheetId="13" hidden="1">'[19]Comprehensive Income'!#REF!</definedName>
    <definedName name="_RIV3552778135ec4471ae97a455f910ae36" localSheetId="18" hidden="1">'[19]Comprehensive Income'!#REF!</definedName>
    <definedName name="_RIV3552778135ec4471ae97a455f910ae36" hidden="1">#REF!</definedName>
    <definedName name="_RIV361d41f2631b401eb5e93da74cadc293" localSheetId="13" hidden="1">'[19]DISCO FN (IS)'!#REF!</definedName>
    <definedName name="_RIV361d41f2631b401eb5e93da74cadc293" localSheetId="18" hidden="1">'[19]DISCO FN (IS)'!#REF!</definedName>
    <definedName name="_RIV361d41f2631b401eb5e93da74cadc293" hidden="1">#REF!</definedName>
    <definedName name="_RIV367a90a0265f4791b0f4bce9474e3527" localSheetId="1" hidden="1">#REF!</definedName>
    <definedName name="_RIV367a90a0265f4791b0f4bce9474e3527" localSheetId="20" hidden="1">#REF!</definedName>
    <definedName name="_RIV367a90a0265f4791b0f4bce9474e3527" hidden="1">#REF!</definedName>
    <definedName name="_RIV36d592bf1d8c43f580e4efca84060e4b" localSheetId="1" hidden="1">#REF!</definedName>
    <definedName name="_RIV36d592bf1d8c43f580e4efca84060e4b" localSheetId="20" hidden="1">#REF!</definedName>
    <definedName name="_RIV36d592bf1d8c43f580e4efca84060e4b" hidden="1">#REF!</definedName>
    <definedName name="_RIV37e229ec17c24bb78f67f9ff7f73418f" localSheetId="1" hidden="1">#REF!</definedName>
    <definedName name="_RIV37e229ec17c24bb78f67f9ff7f73418f" localSheetId="20" hidden="1">#REF!</definedName>
    <definedName name="_RIV37e229ec17c24bb78f67f9ff7f73418f" hidden="1">#REF!</definedName>
    <definedName name="_RIV381f81b4d1844dc1b52c2301614113f7" localSheetId="1" hidden="1">#REF!</definedName>
    <definedName name="_RIV381f81b4d1844dc1b52c2301614113f7" localSheetId="13" hidden="1">'[19]Com.StkHldr''s Equity'!#REF!</definedName>
    <definedName name="_RIV381f81b4d1844dc1b52c2301614113f7" localSheetId="18" hidden="1">'[19]Com.StkHldr''s Equity'!#REF!</definedName>
    <definedName name="_RIV381f81b4d1844dc1b52c2301614113f7" localSheetId="20" hidden="1">#REF!</definedName>
    <definedName name="_RIV381f81b4d1844dc1b52c2301614113f7" hidden="1">#REF!</definedName>
    <definedName name="_RIV382e52036c5346fc8c3cd597a00e5ac3" localSheetId="1" hidden="1">#REF!</definedName>
    <definedName name="_RIV382e52036c5346fc8c3cd597a00e5ac3" localSheetId="20" hidden="1">#REF!</definedName>
    <definedName name="_RIV382e52036c5346fc8c3cd597a00e5ac3" hidden="1">#REF!</definedName>
    <definedName name="_RIV38318a373d3d41a0bb8059fdc5406948" localSheetId="1" hidden="1">#REF!</definedName>
    <definedName name="_RIV38318a373d3d41a0bb8059fdc5406948" localSheetId="13" hidden="1">[19]RspActivity!#REF!</definedName>
    <definedName name="_RIV38318a373d3d41a0bb8059fdc5406948" localSheetId="18" hidden="1">[19]RspActivity!#REF!</definedName>
    <definedName name="_RIV38318a373d3d41a0bb8059fdc5406948" localSheetId="20" hidden="1">#REF!</definedName>
    <definedName name="_RIV38318a373d3d41a0bb8059fdc5406948" hidden="1">#REF!</definedName>
    <definedName name="_RIV38c6a2914b854e228e4a25a9afaff861" localSheetId="13" hidden="1">'[21]ST EQUITY'!#REF!</definedName>
    <definedName name="_RIV38c6a2914b854e228e4a25a9afaff861" localSheetId="18" hidden="1">'[21]ST EQUITY'!#REF!</definedName>
    <definedName name="_RIV38c6a2914b854e228e4a25a9afaff861" hidden="1">#REF!</definedName>
    <definedName name="_RIV38da16d3bc5548b085867e17adb0b6f6" localSheetId="1" hidden="1">#REF!</definedName>
    <definedName name="_RIV38da16d3bc5548b085867e17adb0b6f6" localSheetId="20" hidden="1">#REF!</definedName>
    <definedName name="_RIV38da16d3bc5548b085867e17adb0b6f6" hidden="1">#REF!</definedName>
    <definedName name="_RIV392a6f371f8c4db2bd566f409e73b38c" localSheetId="1" hidden="1">#REF!</definedName>
    <definedName name="_RIV392a6f371f8c4db2bd566f409e73b38c" localSheetId="20" hidden="1">#REF!</definedName>
    <definedName name="_RIV392a6f371f8c4db2bd566f409e73b38c" hidden="1">#REF!</definedName>
    <definedName name="_RIV3969368d02464467bb255a6d96948638" localSheetId="1" hidden="1">#REF!</definedName>
    <definedName name="_RIV3969368d02464467bb255a6d96948638" localSheetId="20" hidden="1">#REF!</definedName>
    <definedName name="_RIV3969368d02464467bb255a6d96948638" hidden="1">#REF!</definedName>
    <definedName name="_RIV39d9c23e2b1643fca9713fa6d5baf529" localSheetId="1" hidden="1">#REF!</definedName>
    <definedName name="_RIV39d9c23e2b1643fca9713fa6d5baf529" localSheetId="20" hidden="1">#REF!</definedName>
    <definedName name="_RIV39d9c23e2b1643fca9713fa6d5baf529" hidden="1">#REF!</definedName>
    <definedName name="_RIV3a3e66fe5e634d91a809a0dffe57ad57" localSheetId="1" hidden="1">#REF!</definedName>
    <definedName name="_RIV3a3e66fe5e634d91a809a0dffe57ad57" localSheetId="13" hidden="1">'[19]Com.StkHldr''s Equity'!#REF!</definedName>
    <definedName name="_RIV3a3e66fe5e634d91a809a0dffe57ad57" localSheetId="18" hidden="1">'[19]Com.StkHldr''s Equity'!#REF!</definedName>
    <definedName name="_RIV3a3e66fe5e634d91a809a0dffe57ad57" localSheetId="20" hidden="1">#REF!</definedName>
    <definedName name="_RIV3a3e66fe5e634d91a809a0dffe57ad57" hidden="1">#REF!</definedName>
    <definedName name="_RIV3a93edb879154e318e4aecc18fb3ce54" localSheetId="13" hidden="1">[21]segments!#REF!</definedName>
    <definedName name="_RIV3a93edb879154e318e4aecc18fb3ce54" localSheetId="18" hidden="1">[21]segments!#REF!</definedName>
    <definedName name="_RIV3a93edb879154e318e4aecc18fb3ce54" hidden="1">#REF!</definedName>
    <definedName name="_RIV3ad2db1cb0aa4fcf832aef3c55ec095d" localSheetId="1" hidden="1">#REF!</definedName>
    <definedName name="_RIV3ad2db1cb0aa4fcf832aef3c55ec095d" localSheetId="20" hidden="1">#REF!</definedName>
    <definedName name="_RIV3ad2db1cb0aa4fcf832aef3c55ec095d" hidden="1">#REF!</definedName>
    <definedName name="_RIV3b79ca8948994e29818c39241790ee30" localSheetId="1" hidden="1">#REF!</definedName>
    <definedName name="_RIV3b79ca8948994e29818c39241790ee30" localSheetId="20" hidden="1">#REF!</definedName>
    <definedName name="_RIV3b79ca8948994e29818c39241790ee30" hidden="1">#REF!</definedName>
    <definedName name="_RIV3cb3587859e74f55ad27a1ccc98839b6" localSheetId="1" hidden="1">#REF!</definedName>
    <definedName name="_RIV3cb3587859e74f55ad27a1ccc98839b6" localSheetId="20" hidden="1">#REF!</definedName>
    <definedName name="_RIV3cb3587859e74f55ad27a1ccc98839b6" hidden="1">#REF!</definedName>
    <definedName name="_RIV3d2abcdbbf5c48d58b5d563697c99ef0" localSheetId="1" hidden="1">#REF!</definedName>
    <definedName name="_RIV3d2abcdbbf5c48d58b5d563697c99ef0" localSheetId="20" hidden="1">#REF!</definedName>
    <definedName name="_RIV3d2abcdbbf5c48d58b5d563697c99ef0" hidden="1">#REF!</definedName>
    <definedName name="_RIV3dcc3314278d461f8e0a1fb2cb4cd87b" localSheetId="1" hidden="1">#REF!</definedName>
    <definedName name="_RIV3dcc3314278d461f8e0a1fb2cb4cd87b" localSheetId="20" hidden="1">#REF!</definedName>
    <definedName name="_RIV3dcc3314278d461f8e0a1fb2cb4cd87b" hidden="1">#REF!</definedName>
    <definedName name="_RIV3ecb19de126c4844b44a158f90c1d156" localSheetId="1" hidden="1">#REF!</definedName>
    <definedName name="_RIV3ecb19de126c4844b44a158f90c1d156" localSheetId="13" hidden="1">'[19]Com.StkHldr''s Equity'!#REF!</definedName>
    <definedName name="_RIV3ecb19de126c4844b44a158f90c1d156" localSheetId="18" hidden="1">'[19]Com.StkHldr''s Equity'!#REF!</definedName>
    <definedName name="_RIV3ecb19de126c4844b44a158f90c1d156" localSheetId="20" hidden="1">#REF!</definedName>
    <definedName name="_RIV3ecb19de126c4844b44a158f90c1d156" hidden="1">#REF!</definedName>
    <definedName name="_RIV3f4f2ee7a78049fdb3204815afac6962" localSheetId="1" hidden="1">#REF!</definedName>
    <definedName name="_RIV3f4f2ee7a78049fdb3204815afac6962" localSheetId="20" hidden="1">#REF!</definedName>
    <definedName name="_RIV3f4f2ee7a78049fdb3204815afac6962" hidden="1">#REF!</definedName>
    <definedName name="_RIV3f812a39c0fb4d458e2755eb93d89c08" localSheetId="1" hidden="1">#REF!</definedName>
    <definedName name="_RIV3f812a39c0fb4d458e2755eb93d89c08" localSheetId="13" hidden="1">[19]TrendRates!#REF!</definedName>
    <definedName name="_RIV3f812a39c0fb4d458e2755eb93d89c08" localSheetId="18" hidden="1">[19]TrendRates!#REF!</definedName>
    <definedName name="_RIV3f812a39c0fb4d458e2755eb93d89c08" localSheetId="20" hidden="1">#REF!</definedName>
    <definedName name="_RIV3f812a39c0fb4d458e2755eb93d89c08" hidden="1">#REF!</definedName>
    <definedName name="_RIV3f9ead2714d44095a11f190dd64804e5" localSheetId="13" hidden="1">'[22]options FV'!#REF!</definedName>
    <definedName name="_RIV3f9ead2714d44095a11f190dd64804e5" localSheetId="18" hidden="1">'[22]options FV'!#REF!</definedName>
    <definedName name="_RIV3f9ead2714d44095a11f190dd64804e5" hidden="1">#REF!</definedName>
    <definedName name="_RIV405bc31710e5492ca906e861a6ccf67e" localSheetId="13" hidden="1">[19]TrendRates!#REF!</definedName>
    <definedName name="_RIV405bc31710e5492ca906e861a6ccf67e" localSheetId="18" hidden="1">[19]TrendRates!#REF!</definedName>
    <definedName name="_RIV405bc31710e5492ca906e861a6ccf67e" hidden="1">#REF!</definedName>
    <definedName name="_RIV406da5338ad449b99af059d78f7e653c" localSheetId="13" hidden="1">'[19]Com.StkHldr''s Equity'!#REF!</definedName>
    <definedName name="_RIV406da5338ad449b99af059d78f7e653c" localSheetId="18" hidden="1">'[19]Com.StkHldr''s Equity'!#REF!</definedName>
    <definedName name="_RIV406da5338ad449b99af059d78f7e653c" hidden="1">#REF!</definedName>
    <definedName name="_RIV40ecef0bb91f465eab767d371ad285ad" localSheetId="13" hidden="1">[19]OptionsExOS!#REF!</definedName>
    <definedName name="_RIV40ecef0bb91f465eab767d371ad285ad" localSheetId="18" hidden="1">[19]OptionsExOS!#REF!</definedName>
    <definedName name="_RIV40ecef0bb91f465eab767d371ad285ad" hidden="1">#REF!</definedName>
    <definedName name="_RIV413b618983d94d858123897391e8e864" localSheetId="13" hidden="1">'[20]EPS FOOTNOTE'!#REF!</definedName>
    <definedName name="_RIV413b618983d94d858123897391e8e864" localSheetId="18" hidden="1">'[20]EPS FOOTNOTE'!#REF!</definedName>
    <definedName name="_RIV413b618983d94d858123897391e8e864" hidden="1">#REF!</definedName>
    <definedName name="_RIV4194c8a7a0e3490a8f5d4ba8f9ee5ca1" localSheetId="13" hidden="1">'[19]Comprehensive Income'!#REF!</definedName>
    <definedName name="_RIV4194c8a7a0e3490a8f5d4ba8f9ee5ca1" localSheetId="18" hidden="1">'[19]Comprehensive Income'!#REF!</definedName>
    <definedName name="_RIV4194c8a7a0e3490a8f5d4ba8f9ee5ca1" hidden="1">#REF!</definedName>
    <definedName name="_RIV41b22e67f250490e9408fe5da0199632" localSheetId="1" hidden="1">#REF!</definedName>
    <definedName name="_RIV41b22e67f250490e9408fe5da0199632" localSheetId="20" hidden="1">#REF!</definedName>
    <definedName name="_RIV41b22e67f250490e9408fe5da0199632" hidden="1">#REF!</definedName>
    <definedName name="_RIV41b48cc9b1474817ab1b56d3c1a4984b" localSheetId="1" hidden="1">#REF!</definedName>
    <definedName name="_RIV41b48cc9b1474817ab1b56d3c1a4984b" localSheetId="20" hidden="1">#REF!</definedName>
    <definedName name="_RIV41b48cc9b1474817ab1b56d3c1a4984b" hidden="1">#REF!</definedName>
    <definedName name="_RIV41f6945be6194191b6be0dbf89149c70" localSheetId="1" hidden="1">#REF!</definedName>
    <definedName name="_RIV41f6945be6194191b6be0dbf89149c70" localSheetId="13" hidden="1">'[19] Assumptions_A'!#REF!</definedName>
    <definedName name="_RIV41f6945be6194191b6be0dbf89149c70" localSheetId="18" hidden="1">'[19] Assumptions_A'!#REF!</definedName>
    <definedName name="_RIV41f6945be6194191b6be0dbf89149c70" localSheetId="20" hidden="1">#REF!</definedName>
    <definedName name="_RIV41f6945be6194191b6be0dbf89149c70" hidden="1">#REF!</definedName>
    <definedName name="_RIV4318c75fdbf4444e87f4d9ccdcd3282b" localSheetId="1" hidden="1">#REF!</definedName>
    <definedName name="_RIV4318c75fdbf4444e87f4d9ccdcd3282b" localSheetId="20" hidden="1">#REF!</definedName>
    <definedName name="_RIV4318c75fdbf4444e87f4d9ccdcd3282b" hidden="1">#REF!</definedName>
    <definedName name="_RIV4362035f6e8245b6817abdbb53b474c0" localSheetId="1" hidden="1">#REF!</definedName>
    <definedName name="_RIV4362035f6e8245b6817abdbb53b474c0" localSheetId="13" hidden="1">[19]PensOPEBObligations!#REF!</definedName>
    <definedName name="_RIV4362035f6e8245b6817abdbb53b474c0" localSheetId="18" hidden="1">[19]PensOPEBObligations!#REF!</definedName>
    <definedName name="_RIV4362035f6e8245b6817abdbb53b474c0" localSheetId="20" hidden="1">#REF!</definedName>
    <definedName name="_RIV4362035f6e8245b6817abdbb53b474c0" hidden="1">#REF!</definedName>
    <definedName name="_RIV436c1a56ff504dc7b7d52163f6a85443" localSheetId="13" hidden="1">[19]Prop_Plant_Equip!#REF!</definedName>
    <definedName name="_RIV436c1a56ff504dc7b7d52163f6a85443" localSheetId="18" hidden="1">[19]Prop_Plant_Equip!#REF!</definedName>
    <definedName name="_RIV436c1a56ff504dc7b7d52163f6a85443" hidden="1">#REF!</definedName>
    <definedName name="_RIV438cded9530f415f92b1a8435134614b" localSheetId="13" hidden="1">'[19]Stmt of Capitalization'!#REF!</definedName>
    <definedName name="_RIV438cded9530f415f92b1a8435134614b" localSheetId="18" hidden="1">'[19]Stmt of Capitalization'!#REF!</definedName>
    <definedName name="_RIV438cded9530f415f92b1a8435134614b" hidden="1">#REF!</definedName>
    <definedName name="_RIV441c2378049248778fd02e6404303334" localSheetId="13" hidden="1">'[19]Com.StkHldr''s Equity'!#REF!</definedName>
    <definedName name="_RIV441c2378049248778fd02e6404303334" localSheetId="18" hidden="1">'[19]Com.StkHldr''s Equity'!#REF!</definedName>
    <definedName name="_RIV441c2378049248778fd02e6404303334" hidden="1">#REF!</definedName>
    <definedName name="_RIV443c187246f24ad39178c4e698d95d71" localSheetId="1" hidden="1">#REF!</definedName>
    <definedName name="_RIV443c187246f24ad39178c4e698d95d71" localSheetId="20" hidden="1">#REF!</definedName>
    <definedName name="_RIV443c187246f24ad39178c4e698d95d71" hidden="1">#REF!</definedName>
    <definedName name="_RIV446c82f17664476d8a5e02717f9d539a" localSheetId="1" hidden="1">#REF!</definedName>
    <definedName name="_RIV446c82f17664476d8a5e02717f9d539a" localSheetId="13" hidden="1">'[20]DISCO FN (IS)'!#REF!</definedName>
    <definedName name="_RIV446c82f17664476d8a5e02717f9d539a" localSheetId="18" hidden="1">'[20]DISCO FN (IS)'!#REF!</definedName>
    <definedName name="_RIV446c82f17664476d8a5e02717f9d539a" localSheetId="20" hidden="1">#REF!</definedName>
    <definedName name="_RIV446c82f17664476d8a5e02717f9d539a" hidden="1">#REF!</definedName>
    <definedName name="_RIV4499d8175a1b478c8fb004b12fb9e360" localSheetId="1" hidden="1">#REF!</definedName>
    <definedName name="_RIV4499d8175a1b478c8fb004b12fb9e360" localSheetId="20" hidden="1">#REF!</definedName>
    <definedName name="_RIV4499d8175a1b478c8fb004b12fb9e360" hidden="1">#REF!</definedName>
    <definedName name="_RIV44fa1e31746d435d95fe22c1f8a79ac0" localSheetId="1" hidden="1">#REF!</definedName>
    <definedName name="_RIV44fa1e31746d435d95fe22c1f8a79ac0" localSheetId="13" hidden="1">'[19]Fourth Quarter'!#REF!</definedName>
    <definedName name="_RIV44fa1e31746d435d95fe22c1f8a79ac0" localSheetId="18" hidden="1">'[19]Fourth Quarter'!#REF!</definedName>
    <definedName name="_RIV44fa1e31746d435d95fe22c1f8a79ac0" localSheetId="20" hidden="1">#REF!</definedName>
    <definedName name="_RIV44fa1e31746d435d95fe22c1f8a79ac0" hidden="1">#REF!</definedName>
    <definedName name="_RIV4518686699794c66b5198cc6febae60a" localSheetId="1" hidden="1">#REF!</definedName>
    <definedName name="_RIV4518686699794c66b5198cc6febae60a" localSheetId="20" hidden="1">#REF!</definedName>
    <definedName name="_RIV4518686699794c66b5198cc6febae60a" hidden="1">#REF!</definedName>
    <definedName name="_RIV45d3e82417f946b3971f335985b862da" localSheetId="1" hidden="1">#REF!</definedName>
    <definedName name="_RIV45d3e82417f946b3971f335985b862da" localSheetId="13" hidden="1">'[19]Cash Flow Stmt'!#REF!</definedName>
    <definedName name="_RIV45d3e82417f946b3971f335985b862da" localSheetId="18" hidden="1">'[19]Cash Flow Stmt'!#REF!</definedName>
    <definedName name="_RIV45d3e82417f946b3971f335985b862da" localSheetId="20" hidden="1">#REF!</definedName>
    <definedName name="_RIV45d3e82417f946b3971f335985b862da" hidden="1">#REF!</definedName>
    <definedName name="_RIV45f66a5f89944ff8ace5b21aa4d431f0" localSheetId="1" hidden="1">#REF!</definedName>
    <definedName name="_RIV45f66a5f89944ff8ace5b21aa4d431f0" localSheetId="20" hidden="1">#REF!</definedName>
    <definedName name="_RIV45f66a5f89944ff8ace5b21aa4d431f0" hidden="1">#REF!</definedName>
    <definedName name="_RIV463d0b4906e049fcb17af350d610c665" localSheetId="1" hidden="1">#REF!</definedName>
    <definedName name="_RIV463d0b4906e049fcb17af350d610c665" localSheetId="13" hidden="1">[19]Prop_Plant_Equip!#REF!</definedName>
    <definedName name="_RIV463d0b4906e049fcb17af350d610c665" localSheetId="18" hidden="1">[19]Prop_Plant_Equip!#REF!</definedName>
    <definedName name="_RIV463d0b4906e049fcb17af350d610c665" localSheetId="20" hidden="1">#REF!</definedName>
    <definedName name="_RIV463d0b4906e049fcb17af350d610c665" hidden="1">#REF!</definedName>
    <definedName name="_RIV464351cafd424c7db742ec76255f6c5d" localSheetId="13" hidden="1">'[19]RSP Intrinsic FV'!#REF!</definedName>
    <definedName name="_RIV464351cafd424c7db742ec76255f6c5d" localSheetId="18" hidden="1">'[19]RSP Intrinsic FV'!#REF!</definedName>
    <definedName name="_RIV464351cafd424c7db742ec76255f6c5d" hidden="1">#REF!</definedName>
    <definedName name="_RIV464a73d0eef44291b3f5991c45156b0a" localSheetId="1" hidden="1">#REF!</definedName>
    <definedName name="_RIV464a73d0eef44291b3f5991c45156b0a" localSheetId="20" hidden="1">#REF!</definedName>
    <definedName name="_RIV464a73d0eef44291b3f5991c45156b0a" hidden="1">#REF!</definedName>
    <definedName name="_RIV4657df6912f642d09dd1e42673c2621b" localSheetId="1" hidden="1">#REF!</definedName>
    <definedName name="_RIV4657df6912f642d09dd1e42673c2621b" localSheetId="20" hidden="1">#REF!</definedName>
    <definedName name="_RIV4657df6912f642d09dd1e42673c2621b" hidden="1">#REF!</definedName>
    <definedName name="_RIV47195a64a20944fa984e99e06af6cb0b" localSheetId="1" hidden="1">#REF!</definedName>
    <definedName name="_RIV47195a64a20944fa984e99e06af6cb0b" localSheetId="13" hidden="1">'[20]DISCO FN (BS)'!#REF!</definedName>
    <definedName name="_RIV47195a64a20944fa984e99e06af6cb0b" localSheetId="18" hidden="1">'[20]DISCO FN (BS)'!#REF!</definedName>
    <definedName name="_RIV47195a64a20944fa984e99e06af6cb0b" localSheetId="20" hidden="1">#REF!</definedName>
    <definedName name="_RIV47195a64a20944fa984e99e06af6cb0b" hidden="1">#REF!</definedName>
    <definedName name="_RIV472716d1a5f448c0926fece7ec3641b3" localSheetId="13" hidden="1">'[21]DISCO FN (IS)'!#REF!</definedName>
    <definedName name="_RIV472716d1a5f448c0926fece7ec3641b3" localSheetId="18" hidden="1">'[21]DISCO FN (IS)'!#REF!</definedName>
    <definedName name="_RIV472716d1a5f448c0926fece7ec3641b3" hidden="1">#REF!</definedName>
    <definedName name="_RIV476fe9c7c7d24c648320b433f4440c21" localSheetId="13" hidden="1">[19]PensOPEBObligations!#REF!</definedName>
    <definedName name="_RIV476fe9c7c7d24c648320b433f4440c21" localSheetId="18" hidden="1">[19]PensOPEBObligations!#REF!</definedName>
    <definedName name="_RIV476fe9c7c7d24c648320b433f4440c21" hidden="1">#REF!</definedName>
    <definedName name="_RIV47cd8a6f4d3342eebbae021878bf8059" localSheetId="1" hidden="1">#REF!</definedName>
    <definedName name="_RIV47cd8a6f4d3342eebbae021878bf8059" localSheetId="20" hidden="1">#REF!</definedName>
    <definedName name="_RIV47cd8a6f4d3342eebbae021878bf8059" hidden="1">#REF!</definedName>
    <definedName name="_RIV47cf520ba5e141978f679bac9f92c943" localSheetId="1" hidden="1">#REF!</definedName>
    <definedName name="_RIV47cf520ba5e141978f679bac9f92c943" localSheetId="20" hidden="1">#REF!</definedName>
    <definedName name="_RIV47cf520ba5e141978f679bac9f92c943" hidden="1">#REF!</definedName>
    <definedName name="_RIV4806e25bfe284159ad94b2fd791167d6" localSheetId="1" hidden="1">#REF!</definedName>
    <definedName name="_RIV4806e25bfe284159ad94b2fd791167d6" localSheetId="20" hidden="1">#REF!</definedName>
    <definedName name="_RIV4806e25bfe284159ad94b2fd791167d6" hidden="1">#REF!</definedName>
    <definedName name="_RIV485ddb54534947c0bd7f41b0ad6dffc4" localSheetId="1" hidden="1">#REF!</definedName>
    <definedName name="_RIV485ddb54534947c0bd7f41b0ad6dffc4" localSheetId="20" hidden="1">#REF!</definedName>
    <definedName name="_RIV485ddb54534947c0bd7f41b0ad6dffc4" hidden="1">#REF!</definedName>
    <definedName name="_RIV48780b2707ab43f7ad564b0d98716c15" localSheetId="1" hidden="1">#REF!</definedName>
    <definedName name="_RIV48780b2707ab43f7ad564b0d98716c15" localSheetId="13" hidden="1">[19]Commitments!#REF!</definedName>
    <definedName name="_RIV48780b2707ab43f7ad564b0d98716c15" localSheetId="18" hidden="1">[19]Commitments!#REF!</definedName>
    <definedName name="_RIV48780b2707ab43f7ad564b0d98716c15" localSheetId="20" hidden="1">#REF!</definedName>
    <definedName name="_RIV48780b2707ab43f7ad564b0d98716c15" hidden="1">#REF!</definedName>
    <definedName name="_RIV4895ea7d063d49c6bf997b64afbfbb83" localSheetId="1" hidden="1">#REF!</definedName>
    <definedName name="_RIV4895ea7d063d49c6bf997b64afbfbb83" localSheetId="20" hidden="1">#REF!</definedName>
    <definedName name="_RIV4895ea7d063d49c6bf997b64afbfbb83" hidden="1">#REF!</definedName>
    <definedName name="_RIV489fa61441d843f8b181563533ee8b95" localSheetId="1" hidden="1">#REF!</definedName>
    <definedName name="_RIV489fa61441d843f8b181563533ee8b95" localSheetId="13" hidden="1">'[19]DISCO FN (BS)'!#REF!</definedName>
    <definedName name="_RIV489fa61441d843f8b181563533ee8b95" localSheetId="18" hidden="1">'[19]DISCO FN (BS)'!#REF!</definedName>
    <definedName name="_RIV489fa61441d843f8b181563533ee8b95" localSheetId="20" hidden="1">#REF!</definedName>
    <definedName name="_RIV489fa61441d843f8b181563533ee8b95" hidden="1">#REF!</definedName>
    <definedName name="_RIV48b7a2ff1cac4d409859b8c7d63bbda6" localSheetId="13" hidden="1">'[19]Parent IS'!#REF!</definedName>
    <definedName name="_RIV48b7a2ff1cac4d409859b8c7d63bbda6" localSheetId="18" hidden="1">'[19]Parent IS'!#REF!</definedName>
    <definedName name="_RIV48b7a2ff1cac4d409859b8c7d63bbda6" hidden="1">#REF!</definedName>
    <definedName name="_RIV48ea9c5f9fa7478e8b768af17890b0bd" localSheetId="13" hidden="1">[19]OptionsExOS!#REF!</definedName>
    <definedName name="_RIV48ea9c5f9fa7478e8b768af17890b0bd" localSheetId="18" hidden="1">[19]OptionsExOS!#REF!</definedName>
    <definedName name="_RIV48ea9c5f9fa7478e8b768af17890b0bd" hidden="1">#REF!</definedName>
    <definedName name="_RIV497985c8378a4bc6a12d052521bd0c9b" localSheetId="1" hidden="1">#REF!</definedName>
    <definedName name="_RIV497985c8378a4bc6a12d052521bd0c9b" localSheetId="20" hidden="1">#REF!</definedName>
    <definedName name="_RIV497985c8378a4bc6a12d052521bd0c9b" hidden="1">#REF!</definedName>
    <definedName name="_RIV49e233401f5a4ed583bb75af1f1f3c9d" localSheetId="1" hidden="1">#REF!</definedName>
    <definedName name="_RIV49e233401f5a4ed583bb75af1f1f3c9d" localSheetId="20" hidden="1">#REF!</definedName>
    <definedName name="_RIV49e233401f5a4ed583bb75af1f1f3c9d" hidden="1">#REF!</definedName>
    <definedName name="_RIV4a1ab312ca41415aa804ef43de5d3004" localSheetId="1" hidden="1">#REF!</definedName>
    <definedName name="_RIV4a1ab312ca41415aa804ef43de5d3004" localSheetId="20" hidden="1">#REF!</definedName>
    <definedName name="_RIV4a1ab312ca41415aa804ef43de5d3004" hidden="1">#REF!</definedName>
    <definedName name="_RIV4a61fd11c8f54b698767906711143d17" localSheetId="1" hidden="1">#REF!</definedName>
    <definedName name="_RIV4a61fd11c8f54b698767906711143d17" localSheetId="20" hidden="1">#REF!</definedName>
    <definedName name="_RIV4a61fd11c8f54b698767906711143d17" hidden="1">#REF!</definedName>
    <definedName name="_RIV4a9c5f0e09c9458c8dc5149432b183e3" localSheetId="1" hidden="1">#REF!</definedName>
    <definedName name="_RIV4a9c5f0e09c9458c8dc5149432b183e3" localSheetId="13" hidden="1">[20]segments!#REF!</definedName>
    <definedName name="_RIV4a9c5f0e09c9458c8dc5149432b183e3" localSheetId="18" hidden="1">[20]segments!#REF!</definedName>
    <definedName name="_RIV4a9c5f0e09c9458c8dc5149432b183e3" localSheetId="20" hidden="1">#REF!</definedName>
    <definedName name="_RIV4a9c5f0e09c9458c8dc5149432b183e3" hidden="1">#REF!</definedName>
    <definedName name="_RIV4aac63c7c8f3428db5e5ebad5865af55" localSheetId="1" hidden="1">#REF!</definedName>
    <definedName name="_RIV4aac63c7c8f3428db5e5ebad5865af55" localSheetId="20" hidden="1">#REF!</definedName>
    <definedName name="_RIV4aac63c7c8f3428db5e5ebad5865af55" hidden="1">#REF!</definedName>
    <definedName name="_RIV4af35e26358f46c395f80b0629015475" localSheetId="1" hidden="1">#REF!</definedName>
    <definedName name="_RIV4af35e26358f46c395f80b0629015475" localSheetId="20" hidden="1">#REF!</definedName>
    <definedName name="_RIV4af35e26358f46c395f80b0629015475" hidden="1">#REF!</definedName>
    <definedName name="_RIV4b1d55d3eb504a63b65aa16e12b92e5b" localSheetId="1" hidden="1">#REF!</definedName>
    <definedName name="_RIV4b1d55d3eb504a63b65aa16e12b92e5b" localSheetId="13" hidden="1">'[19]DISCO FN (BS)'!#REF!</definedName>
    <definedName name="_RIV4b1d55d3eb504a63b65aa16e12b92e5b" localSheetId="18" hidden="1">'[19]DISCO FN (BS)'!#REF!</definedName>
    <definedName name="_RIV4b1d55d3eb504a63b65aa16e12b92e5b" localSheetId="20" hidden="1">#REF!</definedName>
    <definedName name="_RIV4b1d55d3eb504a63b65aa16e12b92e5b" hidden="1">#REF!</definedName>
    <definedName name="_RIV4b780e5909a84e6fb6bcd290ba71cae9" localSheetId="13" hidden="1">'[19] Assumptions_A'!#REF!</definedName>
    <definedName name="_RIV4b780e5909a84e6fb6bcd290ba71cae9" localSheetId="18" hidden="1">'[19] Assumptions_A'!#REF!</definedName>
    <definedName name="_RIV4b780e5909a84e6fb6bcd290ba71cae9" hidden="1">#REF!</definedName>
    <definedName name="_RIV4d8480ad91c54f87b7c237f3f13f17e9" localSheetId="13" hidden="1">[19]FairValue!#REF!</definedName>
    <definedName name="_RIV4d8480ad91c54f87b7c237f3f13f17e9" localSheetId="18" hidden="1">[19]FairValue!#REF!</definedName>
    <definedName name="_RIV4d8480ad91c54f87b7c237f3f13f17e9" hidden="1">#REF!</definedName>
    <definedName name="_RIV4da46942b2e04bd39119a4b80dd7fda0" localSheetId="1" hidden="1">#REF!</definedName>
    <definedName name="_RIV4da46942b2e04bd39119a4b80dd7fda0" localSheetId="20" hidden="1">#REF!</definedName>
    <definedName name="_RIV4da46942b2e04bd39119a4b80dd7fda0" hidden="1">#REF!</definedName>
    <definedName name="_RIV4ea7d679656f4fc4bde9bee80518d40c" localSheetId="1" hidden="1">#REF!</definedName>
    <definedName name="_RIV4ea7d679656f4fc4bde9bee80518d40c" localSheetId="20" hidden="1">#REF!</definedName>
    <definedName name="_RIV4ea7d679656f4fc4bde9bee80518d40c" hidden="1">#REF!</definedName>
    <definedName name="_RIV4ec989ba5f9f4c84b9702fa7e54a4b9d" localSheetId="1" hidden="1">#REF!</definedName>
    <definedName name="_RIV4ec989ba5f9f4c84b9702fa7e54a4b9d" localSheetId="13" hidden="1">'[20]DISCO FN (BS)'!#REF!</definedName>
    <definedName name="_RIV4ec989ba5f9f4c84b9702fa7e54a4b9d" localSheetId="18" hidden="1">'[20]DISCO FN (BS)'!#REF!</definedName>
    <definedName name="_RIV4ec989ba5f9f4c84b9702fa7e54a4b9d" localSheetId="20" hidden="1">#REF!</definedName>
    <definedName name="_RIV4ec989ba5f9f4c84b9702fa7e54a4b9d" hidden="1">#REF!</definedName>
    <definedName name="_RIV4f09240df6fa4dfe81461297624e3a12" localSheetId="1" hidden="1">#REF!</definedName>
    <definedName name="_RIV4f09240df6fa4dfe81461297624e3a12" localSheetId="20" hidden="1">#REF!</definedName>
    <definedName name="_RIV4f09240df6fa4dfe81461297624e3a12" hidden="1">#REF!</definedName>
    <definedName name="_RIV4f0da480ae8d4a39896e238207abe0f5" localSheetId="1" hidden="1">#REF!</definedName>
    <definedName name="_RIV4f0da480ae8d4a39896e238207abe0f5" localSheetId="13" hidden="1">[19]Prop_Plant_Equip!#REF!</definedName>
    <definedName name="_RIV4f0da480ae8d4a39896e238207abe0f5" localSheetId="18" hidden="1">[19]Prop_Plant_Equip!#REF!</definedName>
    <definedName name="_RIV4f0da480ae8d4a39896e238207abe0f5" localSheetId="20" hidden="1">#REF!</definedName>
    <definedName name="_RIV4f0da480ae8d4a39896e238207abe0f5" hidden="1">#REF!</definedName>
    <definedName name="_RIV4f1efb2bb18d4fd3b7592441e51a48d3" localSheetId="1" hidden="1">#REF!</definedName>
    <definedName name="_RIV4f1efb2bb18d4fd3b7592441e51a48d3" localSheetId="20" hidden="1">#REF!</definedName>
    <definedName name="_RIV4f1efb2bb18d4fd3b7592441e51a48d3" hidden="1">#REF!</definedName>
    <definedName name="_RIV4f517fbb5edb43e88c000fd62928e662" localSheetId="1" hidden="1">#REF!</definedName>
    <definedName name="_RIV4f517fbb5edb43e88c000fd62928e662" localSheetId="13" hidden="1">'[19]Com.StkHldr''s Equity'!#REF!</definedName>
    <definedName name="_RIV4f517fbb5edb43e88c000fd62928e662" localSheetId="18" hidden="1">'[19]Com.StkHldr''s Equity'!#REF!</definedName>
    <definedName name="_RIV4f517fbb5edb43e88c000fd62928e662" localSheetId="20" hidden="1">#REF!</definedName>
    <definedName name="_RIV4f517fbb5edb43e88c000fd62928e662" hidden="1">#REF!</definedName>
    <definedName name="_RIV4f83b14b27284199a066cce7a7987e50" localSheetId="13" hidden="1">[20]CONCASHFLOW!#REF!</definedName>
    <definedName name="_RIV4f83b14b27284199a066cce7a7987e50" localSheetId="18" hidden="1">[20]CONCASHFLOW!#REF!</definedName>
    <definedName name="_RIV4f83b14b27284199a066cce7a7987e50" hidden="1">#REF!</definedName>
    <definedName name="_RIV4f98fd71338542729e962f9110e3e0cc" localSheetId="13" hidden="1">[19]Goodwill!#REF!</definedName>
    <definedName name="_RIV4f98fd71338542729e962f9110e3e0cc" localSheetId="18" hidden="1">[19]Goodwill!#REF!</definedName>
    <definedName name="_RIV4f98fd71338542729e962f9110e3e0cc" hidden="1">#REF!</definedName>
    <definedName name="_RIV4fa18d66aa8a49e68cacfb317196f487" localSheetId="13" hidden="1">'[19]Comprehensive Income'!#REF!</definedName>
    <definedName name="_RIV4fa18d66aa8a49e68cacfb317196f487" localSheetId="18" hidden="1">'[19]Comprehensive Income'!#REF!</definedName>
    <definedName name="_RIV4fa18d66aa8a49e68cacfb317196f487" hidden="1">#REF!</definedName>
    <definedName name="_RIV4fe1f0bc23ab48c5ac85ba0f0b8f9dd8" localSheetId="1" hidden="1">#REF!</definedName>
    <definedName name="_RIV4fe1f0bc23ab48c5ac85ba0f0b8f9dd8" localSheetId="20" hidden="1">#REF!</definedName>
    <definedName name="_RIV4fe1f0bc23ab48c5ac85ba0f0b8f9dd8" hidden="1">#REF!</definedName>
    <definedName name="_RIV4fe2aed6c1b44785abea66e385f734a8" localSheetId="1" hidden="1">#REF!</definedName>
    <definedName name="_RIV4fe2aed6c1b44785abea66e385f734a8" localSheetId="13" hidden="1">'[19]Comprehensive Income'!#REF!</definedName>
    <definedName name="_RIV4fe2aed6c1b44785abea66e385f734a8" localSheetId="18" hidden="1">'[19]Comprehensive Income'!#REF!</definedName>
    <definedName name="_RIV4fe2aed6c1b44785abea66e385f734a8" localSheetId="20" hidden="1">#REF!</definedName>
    <definedName name="_RIV4fe2aed6c1b44785abea66e385f734a8" hidden="1">#REF!</definedName>
    <definedName name="_RIV501344dd9cbd4c1b959cf913c1ec6a71" localSheetId="13" hidden="1">[19]OptionsExOS!#REF!</definedName>
    <definedName name="_RIV501344dd9cbd4c1b959cf913c1ec6a71" localSheetId="18" hidden="1">[19]OptionsExOS!#REF!</definedName>
    <definedName name="_RIV501344dd9cbd4c1b959cf913c1ec6a71" hidden="1">#REF!</definedName>
    <definedName name="_RIV505818b25d2740d08d389a467709f17c" localSheetId="1" hidden="1">#REF!</definedName>
    <definedName name="_RIV505818b25d2740d08d389a467709f17c" localSheetId="20" hidden="1">#REF!</definedName>
    <definedName name="_RIV505818b25d2740d08d389a467709f17c" hidden="1">#REF!</definedName>
    <definedName name="_RIV509fd498a5174263bb09538dde532813" localSheetId="1" hidden="1">#REF!</definedName>
    <definedName name="_RIV509fd498a5174263bb09538dde532813" localSheetId="13" hidden="1">'[19]Com.StkHldr''s Equity'!#REF!</definedName>
    <definedName name="_RIV509fd498a5174263bb09538dde532813" localSheetId="18" hidden="1">'[19]Com.StkHldr''s Equity'!#REF!</definedName>
    <definedName name="_RIV509fd498a5174263bb09538dde532813" localSheetId="20" hidden="1">#REF!</definedName>
    <definedName name="_RIV509fd498a5174263bb09538dde532813" hidden="1">#REF!</definedName>
    <definedName name="_RIV50d0a778d35e4b899bb98b77215e26c1" localSheetId="13" hidden="1">'[19]Parent LTD'!#REF!</definedName>
    <definedName name="_RIV50d0a778d35e4b899bb98b77215e26c1" localSheetId="18" hidden="1">'[19]Parent LTD'!#REF!</definedName>
    <definedName name="_RIV50d0a778d35e4b899bb98b77215e26c1" hidden="1">#REF!</definedName>
    <definedName name="_RIV50f0185da5e14107a5d6e5ec6a6ddfe0" localSheetId="13" hidden="1">'[19]PSU RF'!#REF!</definedName>
    <definedName name="_RIV50f0185da5e14107a5d6e5ec6a6ddfe0" localSheetId="18" hidden="1">'[19]PSU RF'!#REF!</definedName>
    <definedName name="_RIV50f0185da5e14107a5d6e5ec6a6ddfe0" hidden="1">#REF!</definedName>
    <definedName name="_RIV51243b75f71147c389ab2db39453b5a9" localSheetId="1" hidden="1">#REF!</definedName>
    <definedName name="_RIV51243b75f71147c389ab2db39453b5a9" localSheetId="20" hidden="1">#REF!</definedName>
    <definedName name="_RIV51243b75f71147c389ab2db39453b5a9" hidden="1">#REF!</definedName>
    <definedName name="_RIV5199b555fc00476c8443bc95b9632038" localSheetId="1" hidden="1">#REF!</definedName>
    <definedName name="_RIV5199b555fc00476c8443bc95b9632038" localSheetId="20" hidden="1">#REF!</definedName>
    <definedName name="_RIV5199b555fc00476c8443bc95b9632038" hidden="1">#REF!</definedName>
    <definedName name="_RIV51bfd0fd081540bdb6dfc40498a5c4eb" localSheetId="1" hidden="1">#REF!</definedName>
    <definedName name="_RIV51bfd0fd081540bdb6dfc40498a5c4eb" localSheetId="20" hidden="1">#REF!</definedName>
    <definedName name="_RIV51bfd0fd081540bdb6dfc40498a5c4eb" hidden="1">#REF!</definedName>
    <definedName name="_RIV51ccf7ef230546d09d3f6cf4f1623da4" localSheetId="1" hidden="1">#REF!</definedName>
    <definedName name="_RIV51ccf7ef230546d09d3f6cf4f1623da4" localSheetId="20" hidden="1">#REF!</definedName>
    <definedName name="_RIV51ccf7ef230546d09d3f6cf4f1623da4" hidden="1">#REF!</definedName>
    <definedName name="_RIV521f916f697d49b7926be186e2c4d41d" localSheetId="1" hidden="1">#REF!</definedName>
    <definedName name="_RIV521f916f697d49b7926be186e2c4d41d" localSheetId="20" hidden="1">#REF!</definedName>
    <definedName name="_RIV521f916f697d49b7926be186e2c4d41d" hidden="1">#REF!</definedName>
    <definedName name="_RIV5270d8665be44ff293e23d7454cfc3ef" localSheetId="1" hidden="1">#REF!</definedName>
    <definedName name="_RIV5270d8665be44ff293e23d7454cfc3ef" localSheetId="20" hidden="1">#REF!</definedName>
    <definedName name="_RIV5270d8665be44ff293e23d7454cfc3ef" hidden="1">#REF!</definedName>
    <definedName name="_RIV52a6c5a77e9e4b668638e94c337e8266" localSheetId="1" hidden="1">#REF!</definedName>
    <definedName name="_RIV52a6c5a77e9e4b668638e94c337e8266" localSheetId="20" hidden="1">#REF!</definedName>
    <definedName name="_RIV52a6c5a77e9e4b668638e94c337e8266" hidden="1">#REF!</definedName>
    <definedName name="_RIV5316649e755942d681f63b733a66ed60" localSheetId="1" hidden="1">#REF!</definedName>
    <definedName name="_RIV5316649e755942d681f63b733a66ed60" localSheetId="13" hidden="1">'[19] Assumptions_A'!#REF!</definedName>
    <definedName name="_RIV5316649e755942d681f63b733a66ed60" localSheetId="18" hidden="1">'[19] Assumptions_A'!#REF!</definedName>
    <definedName name="_RIV5316649e755942d681f63b733a66ed60" localSheetId="20" hidden="1">#REF!</definedName>
    <definedName name="_RIV5316649e755942d681f63b733a66ed60" hidden="1">#REF!</definedName>
    <definedName name="_RIV531c28aa20c847fc899971d3a9da74b5" localSheetId="13" hidden="1">'[19] Assumptions_A'!#REF!</definedName>
    <definedName name="_RIV531c28aa20c847fc899971d3a9da74b5" localSheetId="18" hidden="1">'[19] Assumptions_A'!#REF!</definedName>
    <definedName name="_RIV531c28aa20c847fc899971d3a9da74b5" hidden="1">#REF!</definedName>
    <definedName name="_RIV53a76f4dbf1841aca937f65190cc072b" localSheetId="1" hidden="1">#REF!</definedName>
    <definedName name="_RIV53a76f4dbf1841aca937f65190cc072b" localSheetId="20" hidden="1">#REF!</definedName>
    <definedName name="_RIV53a76f4dbf1841aca937f65190cc072b" hidden="1">#REF!</definedName>
    <definedName name="_RIV53d94b8563f446798e5dd1c9cf4159b9" localSheetId="1" hidden="1">#REF!</definedName>
    <definedName name="_RIV53d94b8563f446798e5dd1c9cf4159b9" localSheetId="13" hidden="1">'[19]Parent IS'!#REF!</definedName>
    <definedName name="_RIV53d94b8563f446798e5dd1c9cf4159b9" localSheetId="18" hidden="1">'[19]Parent IS'!#REF!</definedName>
    <definedName name="_RIV53d94b8563f446798e5dd1c9cf4159b9" localSheetId="20" hidden="1">#REF!</definedName>
    <definedName name="_RIV53d94b8563f446798e5dd1c9cf4159b9" hidden="1">#REF!</definedName>
    <definedName name="_RIV54791486da3940049761c017b6ae037c" localSheetId="13" hidden="1">'[19]Stmt of Capitalization'!#REF!</definedName>
    <definedName name="_RIV54791486da3940049761c017b6ae037c" localSheetId="18" hidden="1">'[19]Stmt of Capitalization'!#REF!</definedName>
    <definedName name="_RIV54791486da3940049761c017b6ae037c" hidden="1">#REF!</definedName>
    <definedName name="_RIV547a7658ea8f4640a129efa3e30998a9" localSheetId="1" hidden="1">#REF!</definedName>
    <definedName name="_RIV547a7658ea8f4640a129efa3e30998a9" localSheetId="20" hidden="1">#REF!</definedName>
    <definedName name="_RIV547a7658ea8f4640a129efa3e30998a9" hidden="1">#REF!</definedName>
    <definedName name="_RIV54be2dc91534437c9202dcba2358c40e" localSheetId="1" hidden="1">#REF!</definedName>
    <definedName name="_RIV54be2dc91534437c9202dcba2358c40e" localSheetId="20" hidden="1">#REF!</definedName>
    <definedName name="_RIV54be2dc91534437c9202dcba2358c40e" hidden="1">#REF!</definedName>
    <definedName name="_RIV54f0e6e95459454f8dd0c5ac3f4f0f34" localSheetId="1" hidden="1">#REF!</definedName>
    <definedName name="_RIV54f0e6e95459454f8dd0c5ac3f4f0f34" localSheetId="13" hidden="1">[19]Segments!#REF!</definedName>
    <definedName name="_RIV54f0e6e95459454f8dd0c5ac3f4f0f34" localSheetId="18" hidden="1">[19]Segments!#REF!</definedName>
    <definedName name="_RIV54f0e6e95459454f8dd0c5ac3f4f0f34" localSheetId="20" hidden="1">#REF!</definedName>
    <definedName name="_RIV54f0e6e95459454f8dd0c5ac3f4f0f34" hidden="1">#REF!</definedName>
    <definedName name="_RIV55c337e9b2c2432e9d0c6505eb4d4da2" localSheetId="1" hidden="1">#REF!</definedName>
    <definedName name="_RIV55c337e9b2c2432e9d0c6505eb4d4da2" localSheetId="20" hidden="1">#REF!</definedName>
    <definedName name="_RIV55c337e9b2c2432e9d0c6505eb4d4da2" hidden="1">#REF!</definedName>
    <definedName name="_RIV55eaf181475947289b4b252a8cb53194" localSheetId="1" hidden="1">#REF!</definedName>
    <definedName name="_RIV55eaf181475947289b4b252a8cb53194" localSheetId="13" hidden="1">'[19]PBO - ABO'!#REF!</definedName>
    <definedName name="_RIV55eaf181475947289b4b252a8cb53194" localSheetId="18" hidden="1">'[19]PBO - ABO'!#REF!</definedName>
    <definedName name="_RIV55eaf181475947289b4b252a8cb53194" localSheetId="20" hidden="1">#REF!</definedName>
    <definedName name="_RIV55eaf181475947289b4b252a8cb53194" hidden="1">#REF!</definedName>
    <definedName name="_RIV57147e1173c2488f9bbb8feb927394ec" localSheetId="13" hidden="1">[19]OptionsExOS!#REF!</definedName>
    <definedName name="_RIV57147e1173c2488f9bbb8feb927394ec" localSheetId="18" hidden="1">[19]OptionsExOS!#REF!</definedName>
    <definedName name="_RIV57147e1173c2488f9bbb8feb927394ec" hidden="1">#REF!</definedName>
    <definedName name="_RIV5756861148d846ce8cff9097d9a267de" localSheetId="13" hidden="1">[19]Costs!#REF!</definedName>
    <definedName name="_RIV5756861148d846ce8cff9097d9a267de" localSheetId="18" hidden="1">[19]Costs!#REF!</definedName>
    <definedName name="_RIV5756861148d846ce8cff9097d9a267de" hidden="1">#REF!</definedName>
    <definedName name="_RIV57e56e11d0504d2cab8804acb3dcf621" localSheetId="13" hidden="1">[19]Costs!#REF!</definedName>
    <definedName name="_RIV57e56e11d0504d2cab8804acb3dcf621" localSheetId="18" hidden="1">[19]Costs!#REF!</definedName>
    <definedName name="_RIV57e56e11d0504d2cab8804acb3dcf621" hidden="1">#REF!</definedName>
    <definedName name="_RIV58444ceed7bf42d796c85a36dfc0a8c6" localSheetId="1" hidden="1">#REF!</definedName>
    <definedName name="_RIV58444ceed7bf42d796c85a36dfc0a8c6" localSheetId="20" hidden="1">#REF!</definedName>
    <definedName name="_RIV58444ceed7bf42d796c85a36dfc0a8c6" hidden="1">#REF!</definedName>
    <definedName name="_RIV594de52d88ec4507a22b5f2253642b29" localSheetId="1" hidden="1">#REF!</definedName>
    <definedName name="_RIV594de52d88ec4507a22b5f2253642b29" localSheetId="13" hidden="1">[19]OptionsExOS!#REF!</definedName>
    <definedName name="_RIV594de52d88ec4507a22b5f2253642b29" localSheetId="18" hidden="1">[19]OptionsExOS!#REF!</definedName>
    <definedName name="_RIV594de52d88ec4507a22b5f2253642b29" localSheetId="20" hidden="1">#REF!</definedName>
    <definedName name="_RIV594de52d88ec4507a22b5f2253642b29" hidden="1">#REF!</definedName>
    <definedName name="_RIV5a36afdf3c3640df9a7439cdba17279d" localSheetId="13" hidden="1">'[19]Com.StkHldr''s Equity'!#REF!</definedName>
    <definedName name="_RIV5a36afdf3c3640df9a7439cdba17279d" localSheetId="18" hidden="1">'[19]Com.StkHldr''s Equity'!#REF!</definedName>
    <definedName name="_RIV5a36afdf3c3640df9a7439cdba17279d" hidden="1">#REF!</definedName>
    <definedName name="_RIV5ab0012d595346f998a8b1de55f48171" localSheetId="13" hidden="1">[21]Pension!#REF!</definedName>
    <definedName name="_RIV5ab0012d595346f998a8b1de55f48171" localSheetId="18" hidden="1">[21]Pension!#REF!</definedName>
    <definedName name="_RIV5ab0012d595346f998a8b1de55f48171" hidden="1">#REF!</definedName>
    <definedName name="_RIV5ae8dfc6d0a041e783ef13d319ccfbff" localSheetId="13" hidden="1">'[19]Com.StkHldr''s Equity'!#REF!</definedName>
    <definedName name="_RIV5ae8dfc6d0a041e783ef13d319ccfbff" localSheetId="18" hidden="1">'[19]Com.StkHldr''s Equity'!#REF!</definedName>
    <definedName name="_RIV5ae8dfc6d0a041e783ef13d319ccfbff" hidden="1">#REF!</definedName>
    <definedName name="_RIV5b0d1e889da947e29cc1c9431439ab24" localSheetId="1" hidden="1">#REF!</definedName>
    <definedName name="_RIV5b0d1e889da947e29cc1c9431439ab24" localSheetId="20" hidden="1">#REF!</definedName>
    <definedName name="_RIV5b0d1e889da947e29cc1c9431439ab24" hidden="1">#REF!</definedName>
    <definedName name="_RIV5b2b18d429fc4e04a8c2cef863be827f" localSheetId="1" hidden="1">#REF!</definedName>
    <definedName name="_RIV5b2b18d429fc4e04a8c2cef863be827f" localSheetId="20" hidden="1">#REF!</definedName>
    <definedName name="_RIV5b2b18d429fc4e04a8c2cef863be827f" hidden="1">#REF!</definedName>
    <definedName name="_RIV5b6b07ae2a8c4c15b1a12dfa77349cb6" localSheetId="1" hidden="1">#REF!</definedName>
    <definedName name="_RIV5b6b07ae2a8c4c15b1a12dfa77349cb6" localSheetId="20" hidden="1">#REF!</definedName>
    <definedName name="_RIV5b6b07ae2a8c4c15b1a12dfa77349cb6" hidden="1">#REF!</definedName>
    <definedName name="_RIV5b98b294799a4a25bb23a401a7aab0b0" localSheetId="1" hidden="1">#REF!</definedName>
    <definedName name="_RIV5b98b294799a4a25bb23a401a7aab0b0" localSheetId="20" hidden="1">#REF!</definedName>
    <definedName name="_RIV5b98b294799a4a25bb23a401a7aab0b0" hidden="1">#REF!</definedName>
    <definedName name="_RIV5b9974c0f2d14e64bd42be2dca75d006" localSheetId="1" hidden="1">#REF!</definedName>
    <definedName name="_RIV5b9974c0f2d14e64bd42be2dca75d006" localSheetId="13" hidden="1">'[20]FV of Debt'!#REF!</definedName>
    <definedName name="_RIV5b9974c0f2d14e64bd42be2dca75d006" localSheetId="18" hidden="1">'[20]FV of Debt'!#REF!</definedName>
    <definedName name="_RIV5b9974c0f2d14e64bd42be2dca75d006" localSheetId="20" hidden="1">#REF!</definedName>
    <definedName name="_RIV5b9974c0f2d14e64bd42be2dca75d006" hidden="1">#REF!</definedName>
    <definedName name="_RIV5bc30b84081944d2a1391a56fae5db5e" localSheetId="13" hidden="1">'[24]Non-GAAP DISCO'!#REF!</definedName>
    <definedName name="_RIV5bc30b84081944d2a1391a56fae5db5e" localSheetId="18" hidden="1">'[24]Non-GAAP DISCO'!#REF!</definedName>
    <definedName name="_RIV5bc30b84081944d2a1391a56fae5db5e" hidden="1">#REF!</definedName>
    <definedName name="_RIV5c1acbbac7e943dc85d676776eae2672" localSheetId="1" hidden="1">#REF!</definedName>
    <definedName name="_RIV5c1acbbac7e943dc85d676776eae2672" localSheetId="20" hidden="1">#REF!</definedName>
    <definedName name="_RIV5c1acbbac7e943dc85d676776eae2672" hidden="1">#REF!</definedName>
    <definedName name="_RIV5c32515bab2744d9b364b1b6ce07d6c7" localSheetId="1" hidden="1">#REF!</definedName>
    <definedName name="_RIV5c32515bab2744d9b364b1b6ce07d6c7" localSheetId="13" hidden="1">'[19]Stmt of Capitalization'!#REF!</definedName>
    <definedName name="_RIV5c32515bab2744d9b364b1b6ce07d6c7" localSheetId="18" hidden="1">'[19]Stmt of Capitalization'!#REF!</definedName>
    <definedName name="_RIV5c32515bab2744d9b364b1b6ce07d6c7" localSheetId="20" hidden="1">#REF!</definedName>
    <definedName name="_RIV5c32515bab2744d9b364b1b6ce07d6c7" hidden="1">#REF!</definedName>
    <definedName name="_RIV5ccb4a2d351d4cd9875e691d07aaecd1" localSheetId="13" hidden="1">'[19]Parent IS'!#REF!</definedName>
    <definedName name="_RIV5ccb4a2d351d4cd9875e691d07aaecd1" localSheetId="18" hidden="1">'[19]Parent IS'!#REF!</definedName>
    <definedName name="_RIV5ccb4a2d351d4cd9875e691d07aaecd1" hidden="1">#REF!</definedName>
    <definedName name="_RIV5d787ebdba7044e7950cc15f1a5f0590" localSheetId="13" hidden="1">'[19]PBO - ABO'!#REF!</definedName>
    <definedName name="_RIV5d787ebdba7044e7950cc15f1a5f0590" localSheetId="18" hidden="1">'[19]PBO - ABO'!#REF!</definedName>
    <definedName name="_RIV5d787ebdba7044e7950cc15f1a5f0590" hidden="1">#REF!</definedName>
    <definedName name="_RIV5d90497ff84b4f3c80966c3598cd3d53" localSheetId="1" hidden="1">#REF!</definedName>
    <definedName name="_RIV5d90497ff84b4f3c80966c3598cd3d53" localSheetId="20" hidden="1">#REF!</definedName>
    <definedName name="_RIV5d90497ff84b4f3c80966c3598cd3d53" hidden="1">#REF!</definedName>
    <definedName name="_RIV5df2035194644d7fbaf4bfcfe2f4aafa" localSheetId="1" hidden="1">#REF!</definedName>
    <definedName name="_RIV5df2035194644d7fbaf4bfcfe2f4aafa" localSheetId="20" hidden="1">#REF!</definedName>
    <definedName name="_RIV5df2035194644d7fbaf4bfcfe2f4aafa" hidden="1">#REF!</definedName>
    <definedName name="_RIV5e22b6a618f94200a1532f3f2120697c" localSheetId="1" hidden="1">#REF!</definedName>
    <definedName name="_RIV5e22b6a618f94200a1532f3f2120697c" localSheetId="20" hidden="1">#REF!</definedName>
    <definedName name="_RIV5e22b6a618f94200a1532f3f2120697c" hidden="1">#REF!</definedName>
    <definedName name="_RIV5e2bec4accb5460780b774ad4658226f" localSheetId="1" hidden="1">#REF!</definedName>
    <definedName name="_RIV5e2bec4accb5460780b774ad4658226f" localSheetId="20" hidden="1">#REF!</definedName>
    <definedName name="_RIV5e2bec4accb5460780b774ad4658226f" hidden="1">#REF!</definedName>
    <definedName name="_RIV5ee95be43234409fa8ab2ba6ddb48b45" localSheetId="1" hidden="1">#REF!</definedName>
    <definedName name="_RIV5ee95be43234409fa8ab2ba6ddb48b45" localSheetId="13" hidden="1">[19]ContractualObligs!#REF!</definedName>
    <definedName name="_RIV5ee95be43234409fa8ab2ba6ddb48b45" localSheetId="18" hidden="1">[19]ContractualObligs!#REF!</definedName>
    <definedName name="_RIV5ee95be43234409fa8ab2ba6ddb48b45" localSheetId="20" hidden="1">#REF!</definedName>
    <definedName name="_RIV5ee95be43234409fa8ab2ba6ddb48b45" hidden="1">#REF!</definedName>
    <definedName name="_RIV5ef2268e97b946b28ca56726b950f2d4" localSheetId="1" hidden="1">#REF!</definedName>
    <definedName name="_RIV5ef2268e97b946b28ca56726b950f2d4" localSheetId="20" hidden="1">#REF!</definedName>
    <definedName name="_RIV5ef2268e97b946b28ca56726b950f2d4" hidden="1">#REF!</definedName>
    <definedName name="_RIV5f36850d0ffa46bc84d665765f400f59" localSheetId="1" hidden="1">#REF!</definedName>
    <definedName name="_RIV5f36850d0ffa46bc84d665765f400f59" localSheetId="20" hidden="1">#REF!</definedName>
    <definedName name="_RIV5f36850d0ffa46bc84d665765f400f59" hidden="1">#REF!</definedName>
    <definedName name="_RIV5f385278bcf648faa6d4e020309a8d10" localSheetId="1" hidden="1">#REF!</definedName>
    <definedName name="_RIV5f385278bcf648faa6d4e020309a8d10" localSheetId="20" hidden="1">#REF!</definedName>
    <definedName name="_RIV5f385278bcf648faa6d4e020309a8d10" hidden="1">#REF!</definedName>
    <definedName name="_RIV5f75d47e3c4b40b68e60de19c43aa6df" localSheetId="1" hidden="1">#REF!</definedName>
    <definedName name="_RIV5f75d47e3c4b40b68e60de19c43aa6df" localSheetId="20" hidden="1">#REF!</definedName>
    <definedName name="_RIV5f75d47e3c4b40b68e60de19c43aa6df" hidden="1">#REF!</definedName>
    <definedName name="_RIV5fdfe715a6a14ec6af75296d23b591ba" localSheetId="1" hidden="1">#REF!</definedName>
    <definedName name="_RIV5fdfe715a6a14ec6af75296d23b591ba" localSheetId="13" hidden="1">'[19]Com.StkHldr''s Equity'!#REF!</definedName>
    <definedName name="_RIV5fdfe715a6a14ec6af75296d23b591ba" localSheetId="18" hidden="1">'[19]Com.StkHldr''s Equity'!#REF!</definedName>
    <definedName name="_RIV5fdfe715a6a14ec6af75296d23b591ba" localSheetId="20" hidden="1">#REF!</definedName>
    <definedName name="_RIV5fdfe715a6a14ec6af75296d23b591ba" hidden="1">#REF!</definedName>
    <definedName name="_RIV5ffd51f4c4a84f86a8f79b6c04e636d6" localSheetId="13" hidden="1">'[19]Stmt of Capitalization'!#REF!</definedName>
    <definedName name="_RIV5ffd51f4c4a84f86a8f79b6c04e636d6" localSheetId="18" hidden="1">'[19]Stmt of Capitalization'!#REF!</definedName>
    <definedName name="_RIV5ffd51f4c4a84f86a8f79b6c04e636d6" hidden="1">#REF!</definedName>
    <definedName name="_RIV601e0ba9404e4af7bba0bf3b23d2e58d" localSheetId="13" hidden="1">[19]AssetMix!#REF!</definedName>
    <definedName name="_RIV601e0ba9404e4af7bba0bf3b23d2e58d" localSheetId="18" hidden="1">[19]AssetMix!#REF!</definedName>
    <definedName name="_RIV601e0ba9404e4af7bba0bf3b23d2e58d" hidden="1">#REF!</definedName>
    <definedName name="_RIV60534517e2b34b2cbfc812a40950f13e" localSheetId="13" hidden="1">'[19]XBRL ONLY LINKING'!#REF!</definedName>
    <definedName name="_RIV60534517e2b34b2cbfc812a40950f13e" localSheetId="18" hidden="1">'[19]XBRL ONLY LINKING'!#REF!</definedName>
    <definedName name="_RIV60534517e2b34b2cbfc812a40950f13e" hidden="1">#REF!</definedName>
    <definedName name="_RIV606b0533e80c4ce887b54304c928787b" localSheetId="13" hidden="1">'[19]Parent IS'!#REF!</definedName>
    <definedName name="_RIV606b0533e80c4ce887b54304c928787b" localSheetId="18" hidden="1">'[19]Parent IS'!#REF!</definedName>
    <definedName name="_RIV606b0533e80c4ce887b54304c928787b" hidden="1">#REF!</definedName>
    <definedName name="_RIV6125afc3edfd42d09ec47aa5c14fc3d8" localSheetId="1" hidden="1">#REF!</definedName>
    <definedName name="_RIV6125afc3edfd42d09ec47aa5c14fc3d8" localSheetId="20" hidden="1">#REF!</definedName>
    <definedName name="_RIV6125afc3edfd42d09ec47aa5c14fc3d8" hidden="1">#REF!</definedName>
    <definedName name="_RIV615eb972f9054518a02ff44ac571f7b5" localSheetId="1" hidden="1">#REF!</definedName>
    <definedName name="_RIV615eb972f9054518a02ff44ac571f7b5" localSheetId="13" hidden="1">[21]conbalancesheet!#REF!</definedName>
    <definedName name="_RIV615eb972f9054518a02ff44ac571f7b5" localSheetId="18" hidden="1">[21]conbalancesheet!#REF!</definedName>
    <definedName name="_RIV615eb972f9054518a02ff44ac571f7b5" localSheetId="20" hidden="1">#REF!</definedName>
    <definedName name="_RIV615eb972f9054518a02ff44ac571f7b5" hidden="1">#REF!</definedName>
    <definedName name="_RIV61e4da9b81a441ec8cb1f1d1d27254f3" localSheetId="13" hidden="1">'[19]Com.StkHldr''s Equity'!#REF!</definedName>
    <definedName name="_RIV61e4da9b81a441ec8cb1f1d1d27254f3" localSheetId="18" hidden="1">'[19]Com.StkHldr''s Equity'!#REF!</definedName>
    <definedName name="_RIV61e4da9b81a441ec8cb1f1d1d27254f3" hidden="1">#REF!</definedName>
    <definedName name="_RIV61e809a223774161b8388223eda97ce5" localSheetId="1" hidden="1">#REF!</definedName>
    <definedName name="_RIV61e809a223774161b8388223eda97ce5" localSheetId="20" hidden="1">#REF!</definedName>
    <definedName name="_RIV61e809a223774161b8388223eda97ce5" hidden="1">#REF!</definedName>
    <definedName name="_RIV620951b976d14959bfe13c4fede77134" localSheetId="1" hidden="1">#REF!</definedName>
    <definedName name="_RIV620951b976d14959bfe13c4fede77134" localSheetId="13" hidden="1">[19]Assumptions_B!#REF!</definedName>
    <definedName name="_RIV620951b976d14959bfe13c4fede77134" localSheetId="18" hidden="1">[19]Assumptions_B!#REF!</definedName>
    <definedName name="_RIV620951b976d14959bfe13c4fede77134" localSheetId="20" hidden="1">#REF!</definedName>
    <definedName name="_RIV620951b976d14959bfe13c4fede77134" hidden="1">#REF!</definedName>
    <definedName name="_RIV625e66ffd6d04df2926da4d1573561da" localSheetId="1" hidden="1">#REF!</definedName>
    <definedName name="_RIV625e66ffd6d04df2926da4d1573561da" localSheetId="20" hidden="1">#REF!</definedName>
    <definedName name="_RIV625e66ffd6d04df2926da4d1573561da" hidden="1">#REF!</definedName>
    <definedName name="_RIV62c8c8c5fd204424bd24d649fe85770f" localSheetId="1" hidden="1">#REF!</definedName>
    <definedName name="_RIV62c8c8c5fd204424bd24d649fe85770f" localSheetId="13" hidden="1">[19]OtherTaxes!#REF!</definedName>
    <definedName name="_RIV62c8c8c5fd204424bd24d649fe85770f" localSheetId="18" hidden="1">[19]OtherTaxes!#REF!</definedName>
    <definedName name="_RIV62c8c8c5fd204424bd24d649fe85770f" localSheetId="20" hidden="1">#REF!</definedName>
    <definedName name="_RIV62c8c8c5fd204424bd24d649fe85770f" hidden="1">#REF!</definedName>
    <definedName name="_RIV62d0704e9c2844889c0fb8fb86bbb281" localSheetId="13" hidden="1">'[19]5 Yr CF_Div_CapEx_Acq'!#REF!</definedName>
    <definedName name="_RIV62d0704e9c2844889c0fb8fb86bbb281" localSheetId="18" hidden="1">'[19]5 Yr CF_Div_CapEx_Acq'!#REF!</definedName>
    <definedName name="_RIV62d0704e9c2844889c0fb8fb86bbb281" hidden="1">#REF!</definedName>
    <definedName name="_RIV62e401246dd24d9d80341572e1edb30e" localSheetId="13" hidden="1">[19]TrendRates!#REF!</definedName>
    <definedName name="_RIV62e401246dd24d9d80341572e1edb30e" localSheetId="18" hidden="1">[19]TrendRates!#REF!</definedName>
    <definedName name="_RIV62e401246dd24d9d80341572e1edb30e" hidden="1">#REF!</definedName>
    <definedName name="_RIV630068675b854335b1bd3daa04c109c5" localSheetId="13" hidden="1">'[19]Balance Sheet'!#REF!</definedName>
    <definedName name="_RIV630068675b854335b1bd3daa04c109c5" localSheetId="18" hidden="1">'[19]Balance Sheet'!#REF!</definedName>
    <definedName name="_RIV630068675b854335b1bd3daa04c109c5" hidden="1">#REF!</definedName>
    <definedName name="_RIV63db91d279704bc08442a1dffe54c611" localSheetId="13" hidden="1">[19]Commitments!#REF!</definedName>
    <definedName name="_RIV63db91d279704bc08442a1dffe54c611" localSheetId="18" hidden="1">[19]Commitments!#REF!</definedName>
    <definedName name="_RIV63db91d279704bc08442a1dffe54c611" hidden="1">#REF!</definedName>
    <definedName name="_RIV63e36ec4a4bd4dc88872e6a09094ed5b" localSheetId="13" hidden="1">[19]DeferAssetLiab!#REF!</definedName>
    <definedName name="_RIV63e36ec4a4bd4dc88872e6a09094ed5b" localSheetId="18" hidden="1">[19]DeferAssetLiab!#REF!</definedName>
    <definedName name="_RIV63e36ec4a4bd4dc88872e6a09094ed5b" hidden="1">#REF!</definedName>
    <definedName name="_RIV63ea3b070ace4540a17f0ad372d132f8" localSheetId="1" hidden="1">#REF!</definedName>
    <definedName name="_RIV63ea3b070ace4540a17f0ad372d132f8" localSheetId="20" hidden="1">#REF!</definedName>
    <definedName name="_RIV63ea3b070ace4540a17f0ad372d132f8" hidden="1">#REF!</definedName>
    <definedName name="_RIV6420fc4a02c94e46a27c1536fa181062" localSheetId="1" hidden="1">#REF!</definedName>
    <definedName name="_RIV6420fc4a02c94e46a27c1536fa181062" localSheetId="20" hidden="1">#REF!</definedName>
    <definedName name="_RIV6420fc4a02c94e46a27c1536fa181062" hidden="1">#REF!</definedName>
    <definedName name="_RIV643b4f42c91a48c8ac278882c73c0fd3" localSheetId="1" hidden="1">#REF!</definedName>
    <definedName name="_RIV643b4f42c91a48c8ac278882c73c0fd3" localSheetId="20" hidden="1">#REF!</definedName>
    <definedName name="_RIV643b4f42c91a48c8ac278882c73c0fd3" hidden="1">#REF!</definedName>
    <definedName name="_RIV652dab62ea8d4b5fa6797aa079f32ea5" localSheetId="1" hidden="1">#REF!</definedName>
    <definedName name="_RIV652dab62ea8d4b5fa6797aa079f32ea5" localSheetId="13" hidden="1">'[19]Comprehensive Income'!#REF!</definedName>
    <definedName name="_RIV652dab62ea8d4b5fa6797aa079f32ea5" localSheetId="18" hidden="1">'[19]Comprehensive Income'!#REF!</definedName>
    <definedName name="_RIV652dab62ea8d4b5fa6797aa079f32ea5" localSheetId="20" hidden="1">#REF!</definedName>
    <definedName name="_RIV652dab62ea8d4b5fa6797aa079f32ea5" hidden="1">#REF!</definedName>
    <definedName name="_RIV659af03bf5174c18ba51fd4c55adf866" localSheetId="13" hidden="1">'[19]Stmt of Capitalization'!#REF!</definedName>
    <definedName name="_RIV659af03bf5174c18ba51fd4c55adf866" localSheetId="18" hidden="1">'[19]Stmt of Capitalization'!#REF!</definedName>
    <definedName name="_RIV659af03bf5174c18ba51fd4c55adf866" hidden="1">#REF!</definedName>
    <definedName name="_RIV66dc188583194dc4a94bce5cfadfb11b" localSheetId="13" hidden="1">[20]Pension!#REF!</definedName>
    <definedName name="_RIV66dc188583194dc4a94bce5cfadfb11b" localSheetId="18" hidden="1">[20]Pension!#REF!</definedName>
    <definedName name="_RIV66dc188583194dc4a94bce5cfadfb11b" hidden="1">#REF!</definedName>
    <definedName name="_RIV66f9e5a1814042e1801892d0ccad4323" localSheetId="1" hidden="1">#REF!</definedName>
    <definedName name="_RIV66f9e5a1814042e1801892d0ccad4323" localSheetId="20" hidden="1">#REF!</definedName>
    <definedName name="_RIV66f9e5a1814042e1801892d0ccad4323" hidden="1">#REF!</definedName>
    <definedName name="_RIV67089da41a5e4f42b09c7f7a747f9585" localSheetId="1" hidden="1">#REF!</definedName>
    <definedName name="_RIV67089da41a5e4f42b09c7f7a747f9585" localSheetId="20" hidden="1">#REF!</definedName>
    <definedName name="_RIV67089da41a5e4f42b09c7f7a747f9585" hidden="1">#REF!</definedName>
    <definedName name="_RIV67466837a55547099445322a99d339bc" localSheetId="1" hidden="1">#REF!</definedName>
    <definedName name="_RIV67466837a55547099445322a99d339bc" localSheetId="13" hidden="1">'[19]Parent CF'!#REF!</definedName>
    <definedName name="_RIV67466837a55547099445322a99d339bc" localSheetId="18" hidden="1">'[19]Parent CF'!#REF!</definedName>
    <definedName name="_RIV67466837a55547099445322a99d339bc" localSheetId="20" hidden="1">#REF!</definedName>
    <definedName name="_RIV67466837a55547099445322a99d339bc" hidden="1">#REF!</definedName>
    <definedName name="_RIV6776b380e6bc4c7bb393c13a4e120f2e" localSheetId="13" hidden="1">[19]BalsheetPension!#REF!</definedName>
    <definedName name="_RIV6776b380e6bc4c7bb393c13a4e120f2e" localSheetId="18" hidden="1">[19]BalsheetPension!#REF!</definedName>
    <definedName name="_RIV6776b380e6bc4c7bb393c13a4e120f2e" hidden="1">#REF!</definedName>
    <definedName name="_RIV67f0aef19a2e4a82b408561d0f9429c6" localSheetId="1" hidden="1">#REF!</definedName>
    <definedName name="_RIV67f0aef19a2e4a82b408561d0f9429c6" localSheetId="20" hidden="1">#REF!</definedName>
    <definedName name="_RIV67f0aef19a2e4a82b408561d0f9429c6" hidden="1">#REF!</definedName>
    <definedName name="_RIV682062cad83f472bae9247853dee3e55" localSheetId="1" hidden="1">#REF!</definedName>
    <definedName name="_RIV682062cad83f472bae9247853dee3e55" localSheetId="20" hidden="1">#REF!</definedName>
    <definedName name="_RIV682062cad83f472bae9247853dee3e55" hidden="1">#REF!</definedName>
    <definedName name="_RIV6867cb27b54047519e2a4ef323512829" localSheetId="1" hidden="1">#REF!</definedName>
    <definedName name="_RIV6867cb27b54047519e2a4ef323512829" localSheetId="20" hidden="1">#REF!</definedName>
    <definedName name="_RIV6867cb27b54047519e2a4ef323512829" hidden="1">#REF!</definedName>
    <definedName name="_RIV690cf2203a654fe9ab5b8d9a35fc0106" localSheetId="1" hidden="1">#REF!</definedName>
    <definedName name="_RIV690cf2203a654fe9ab5b8d9a35fc0106" localSheetId="13" hidden="1">[19]Prop_Plant_Equip!#REF!</definedName>
    <definedName name="_RIV690cf2203a654fe9ab5b8d9a35fc0106" localSheetId="18" hidden="1">[19]Prop_Plant_Equip!#REF!</definedName>
    <definedName name="_RIV690cf2203a654fe9ab5b8d9a35fc0106" localSheetId="20" hidden="1">#REF!</definedName>
    <definedName name="_RIV690cf2203a654fe9ab5b8d9a35fc0106" hidden="1">#REF!</definedName>
    <definedName name="_RIV6991a594a95c43438879380cd2361814" localSheetId="13" hidden="1">'[19] Assumptions_A'!#REF!</definedName>
    <definedName name="_RIV6991a594a95c43438879380cd2361814" localSheetId="18" hidden="1">'[19] Assumptions_A'!#REF!</definedName>
    <definedName name="_RIV6991a594a95c43438879380cd2361814" hidden="1">#REF!</definedName>
    <definedName name="_RIV69c270dd6b554dbf9d0f80aa7b62bea5" localSheetId="13" hidden="1">[21]concapital!#REF!</definedName>
    <definedName name="_RIV69c270dd6b554dbf9d0f80aa7b62bea5" localSheetId="18" hidden="1">[21]concapital!#REF!</definedName>
    <definedName name="_RIV69c270dd6b554dbf9d0f80aa7b62bea5" hidden="1">#REF!</definedName>
    <definedName name="_RIV6a568938dcdc42e4a69fa202c6b84c6f" localSheetId="1" hidden="1">#REF!</definedName>
    <definedName name="_RIV6a568938dcdc42e4a69fa202c6b84c6f" localSheetId="20" hidden="1">#REF!</definedName>
    <definedName name="_RIV6a568938dcdc42e4a69fa202c6b84c6f" hidden="1">#REF!</definedName>
    <definedName name="_RIV6b0236b993d34b129683379f8777c4e2" localSheetId="1" hidden="1">#REF!</definedName>
    <definedName name="_RIV6b0236b993d34b129683379f8777c4e2" localSheetId="20" hidden="1">#REF!</definedName>
    <definedName name="_RIV6b0236b993d34b129683379f8777c4e2" hidden="1">#REF!</definedName>
    <definedName name="_RIV6b65944783794361997256f030f6a73e" localSheetId="1" hidden="1">#REF!</definedName>
    <definedName name="_RIV6b65944783794361997256f030f6a73e" localSheetId="20" hidden="1">#REF!</definedName>
    <definedName name="_RIV6b65944783794361997256f030f6a73e" hidden="1">#REF!</definedName>
    <definedName name="_RIV6b727908bb404535af3139698dc584e3" localSheetId="1" hidden="1">#REF!</definedName>
    <definedName name="_RIV6b727908bb404535af3139698dc584e3" localSheetId="13" hidden="1">'[19]PBO - ABO'!#REF!</definedName>
    <definedName name="_RIV6b727908bb404535af3139698dc584e3" localSheetId="18" hidden="1">'[19]PBO - ABO'!#REF!</definedName>
    <definedName name="_RIV6b727908bb404535af3139698dc584e3" localSheetId="20" hidden="1">#REF!</definedName>
    <definedName name="_RIV6b727908bb404535af3139698dc584e3" hidden="1">#REF!</definedName>
    <definedName name="_RIV6bf2271a9c6b40b69ef4a81b1f1d9c52" localSheetId="13" hidden="1">'[19]5 Yr CF_Div_CapEx_Acq'!#REF!</definedName>
    <definedName name="_RIV6bf2271a9c6b40b69ef4a81b1f1d9c52" localSheetId="18" hidden="1">'[19]5 Yr CF_Div_CapEx_Acq'!#REF!</definedName>
    <definedName name="_RIV6bf2271a9c6b40b69ef4a81b1f1d9c52" hidden="1">#REF!</definedName>
    <definedName name="_RIV6c66c372caef4ad7b25d684465c34f44" localSheetId="13" hidden="1">[19]AcctsReceiv!#REF!</definedName>
    <definedName name="_RIV6c66c372caef4ad7b25d684465c34f44" localSheetId="18" hidden="1">[19]AcctsReceiv!#REF!</definedName>
    <definedName name="_RIV6c66c372caef4ad7b25d684465c34f44" hidden="1">#REF!</definedName>
    <definedName name="_RIV6cee09a16c57483484111357b5384daa" localSheetId="1" hidden="1">#REF!</definedName>
    <definedName name="_RIV6cee09a16c57483484111357b5384daa" localSheetId="20" hidden="1">#REF!</definedName>
    <definedName name="_RIV6cee09a16c57483484111357b5384daa" hidden="1">#REF!</definedName>
    <definedName name="_RIV6d5d535d83554f1abb5eed3b42dc344a" localSheetId="1" hidden="1">#REF!</definedName>
    <definedName name="_RIV6d5d535d83554f1abb5eed3b42dc344a" localSheetId="13" hidden="1">'[19]Com.StkHldr''s Equity'!#REF!</definedName>
    <definedName name="_RIV6d5d535d83554f1abb5eed3b42dc344a" localSheetId="18" hidden="1">'[19]Com.StkHldr''s Equity'!#REF!</definedName>
    <definedName name="_RIV6d5d535d83554f1abb5eed3b42dc344a" localSheetId="20" hidden="1">#REF!</definedName>
    <definedName name="_RIV6d5d535d83554f1abb5eed3b42dc344a" hidden="1">#REF!</definedName>
    <definedName name="_RIV6dcf99b8f9a4446db490c90418a7742c" localSheetId="1" hidden="1">#REF!</definedName>
    <definedName name="_RIV6dcf99b8f9a4446db490c90418a7742c" localSheetId="20" hidden="1">#REF!</definedName>
    <definedName name="_RIV6dcf99b8f9a4446db490c90418a7742c" hidden="1">#REF!</definedName>
    <definedName name="_RIV6dd9434af1e94a7b988e2d2d14a74aa7" localSheetId="1" hidden="1">#REF!</definedName>
    <definedName name="_RIV6dd9434af1e94a7b988e2d2d14a74aa7" localSheetId="20" hidden="1">#REF!</definedName>
    <definedName name="_RIV6dd9434af1e94a7b988e2d2d14a74aa7" hidden="1">#REF!</definedName>
    <definedName name="_RIV6e02e2430c124eddad78301c42f00f5f" localSheetId="1" hidden="1">#REF!</definedName>
    <definedName name="_RIV6e02e2430c124eddad78301c42f00f5f" localSheetId="20" hidden="1">#REF!</definedName>
    <definedName name="_RIV6e02e2430c124eddad78301c42f00f5f" hidden="1">#REF!</definedName>
    <definedName name="_RIV6e387948dccd482097ef776a4abffd02" localSheetId="1" hidden="1">#REF!</definedName>
    <definedName name="_RIV6e387948dccd482097ef776a4abffd02" localSheetId="13" hidden="1">'[19]Parent IS'!#REF!</definedName>
    <definedName name="_RIV6e387948dccd482097ef776a4abffd02" localSheetId="18" hidden="1">'[19]Parent IS'!#REF!</definedName>
    <definedName name="_RIV6e387948dccd482097ef776a4abffd02" localSheetId="20" hidden="1">#REF!</definedName>
    <definedName name="_RIV6e387948dccd482097ef776a4abffd02" hidden="1">#REF!</definedName>
    <definedName name="_RIV6e5672f77b2f4f50a89d969d3058c67c" localSheetId="1" hidden="1">#REF!</definedName>
    <definedName name="_RIV6e5672f77b2f4f50a89d969d3058c67c" localSheetId="20" hidden="1">#REF!</definedName>
    <definedName name="_RIV6e5672f77b2f4f50a89d969d3058c67c" hidden="1">#REF!</definedName>
    <definedName name="_RIV6e8a7cd0e6e3458fbaa452667dd3eb17" localSheetId="1" hidden="1">#REF!</definedName>
    <definedName name="_RIV6e8a7cd0e6e3458fbaa452667dd3eb17" localSheetId="20" hidden="1">#REF!</definedName>
    <definedName name="_RIV6e8a7cd0e6e3458fbaa452667dd3eb17" hidden="1">#REF!</definedName>
    <definedName name="_RIV6ed229c50f024a9e9a1641ce648aed6b" localSheetId="1" hidden="1">#REF!</definedName>
    <definedName name="_RIV6ed229c50f024a9e9a1641ce648aed6b" localSheetId="20" hidden="1">#REF!</definedName>
    <definedName name="_RIV6ed229c50f024a9e9a1641ce648aed6b" hidden="1">#REF!</definedName>
    <definedName name="_RIV6ef50bbc5f8941f6b6405cb5aed54e03" localSheetId="1" hidden="1">#REF!</definedName>
    <definedName name="_RIV6ef50bbc5f8941f6b6405cb5aed54e03" localSheetId="13" hidden="1">'[19]Operating Results'!#REF!</definedName>
    <definedName name="_RIV6ef50bbc5f8941f6b6405cb5aed54e03" localSheetId="18" hidden="1">'[19]Operating Results'!#REF!</definedName>
    <definedName name="_RIV6ef50bbc5f8941f6b6405cb5aed54e03" localSheetId="20" hidden="1">#REF!</definedName>
    <definedName name="_RIV6ef50bbc5f8941f6b6405cb5aed54e03" hidden="1">#REF!</definedName>
    <definedName name="_RIV6fb39f77e9df422d98cb12150dedce64" localSheetId="1" hidden="1">#REF!</definedName>
    <definedName name="_RIV6fb39f77e9df422d98cb12150dedce64" localSheetId="20" hidden="1">#REF!</definedName>
    <definedName name="_RIV6fb39f77e9df422d98cb12150dedce64" hidden="1">#REF!</definedName>
    <definedName name="_RIV6fdc7d305a434fc39e1c1afdb5c89944" localSheetId="1" hidden="1">#REF!</definedName>
    <definedName name="_RIV6fdc7d305a434fc39e1c1afdb5c89944" localSheetId="13" hidden="1">'[19]DISCO FN (IS)'!#REF!</definedName>
    <definedName name="_RIV6fdc7d305a434fc39e1c1afdb5c89944" localSheetId="18" hidden="1">'[19]DISCO FN (IS)'!#REF!</definedName>
    <definedName name="_RIV6fdc7d305a434fc39e1c1afdb5c89944" localSheetId="20" hidden="1">#REF!</definedName>
    <definedName name="_RIV6fdc7d305a434fc39e1c1afdb5c89944" hidden="1">#REF!</definedName>
    <definedName name="_RIV703c07c576a944409e039fb1f3ed4ab7" localSheetId="1" hidden="1">#REF!</definedName>
    <definedName name="_RIV703c07c576a944409e039fb1f3ed4ab7" localSheetId="20" hidden="1">#REF!</definedName>
    <definedName name="_RIV703c07c576a944409e039fb1f3ed4ab7" hidden="1">#REF!</definedName>
    <definedName name="_RIV708f6894232d4646bdc7821c38f36a33" localSheetId="1" hidden="1">#REF!</definedName>
    <definedName name="_RIV708f6894232d4646bdc7821c38f36a33" localSheetId="13" hidden="1">'[19]Com.StkHldr''s Equity'!#REF!</definedName>
    <definedName name="_RIV708f6894232d4646bdc7821c38f36a33" localSheetId="18" hidden="1">'[19]Com.StkHldr''s Equity'!#REF!</definedName>
    <definedName name="_RIV708f6894232d4646bdc7821c38f36a33" localSheetId="20" hidden="1">#REF!</definedName>
    <definedName name="_RIV708f6894232d4646bdc7821c38f36a33" hidden="1">#REF!</definedName>
    <definedName name="_RIV70a6de546146449a976ecefa900e262c" localSheetId="1" hidden="1">#REF!</definedName>
    <definedName name="_RIV70a6de546146449a976ecefa900e262c" localSheetId="20" hidden="1">#REF!</definedName>
    <definedName name="_RIV70a6de546146449a976ecefa900e262c" hidden="1">#REF!</definedName>
    <definedName name="_RIV711b687ef9604c5ebd5c6e196572f631" localSheetId="1" hidden="1">#REF!</definedName>
    <definedName name="_RIV711b687ef9604c5ebd5c6e196572f631" localSheetId="13" hidden="1">'[21]Non-GAAP'!#REF!</definedName>
    <definedName name="_RIV711b687ef9604c5ebd5c6e196572f631" localSheetId="18" hidden="1">'[21]Non-GAAP'!#REF!</definedName>
    <definedName name="_RIV711b687ef9604c5ebd5c6e196572f631" localSheetId="20" hidden="1">#REF!</definedName>
    <definedName name="_RIV711b687ef9604c5ebd5c6e196572f631" hidden="1">#REF!</definedName>
    <definedName name="_RIV711e3ff4c8e54abcbba381acd7a58b7d" localSheetId="1" hidden="1">#REF!</definedName>
    <definedName name="_RIV711e3ff4c8e54abcbba381acd7a58b7d" localSheetId="20" hidden="1">#REF!</definedName>
    <definedName name="_RIV711e3ff4c8e54abcbba381acd7a58b7d" hidden="1">#REF!</definedName>
    <definedName name="_RIV714e5344451c49dfb7cad530216c2dd6" localSheetId="1" hidden="1">#REF!</definedName>
    <definedName name="_RIV714e5344451c49dfb7cad530216c2dd6" localSheetId="20" hidden="1">#REF!</definedName>
    <definedName name="_RIV714e5344451c49dfb7cad530216c2dd6" hidden="1">#REF!</definedName>
    <definedName name="_RIV717deeda0cc04627a234c67447102e77" localSheetId="1" hidden="1">#REF!</definedName>
    <definedName name="_RIV717deeda0cc04627a234c67447102e77" localSheetId="20" hidden="1">#REF!</definedName>
    <definedName name="_RIV717deeda0cc04627a234c67447102e77" hidden="1">#REF!</definedName>
    <definedName name="_RIV71cd6f60a46843f5a1190108c3313070" localSheetId="1" hidden="1">#REF!</definedName>
    <definedName name="_RIV71cd6f60a46843f5a1190108c3313070" localSheetId="20" hidden="1">#REF!</definedName>
    <definedName name="_RIV71cd6f60a46843f5a1190108c3313070" hidden="1">#REF!</definedName>
    <definedName name="_RIV723cbb467f484b79b37d82110ad93675" localSheetId="1" hidden="1">#REF!</definedName>
    <definedName name="_RIV723cbb467f484b79b37d82110ad93675" localSheetId="13" hidden="1">[19]DeferAssetLiab!#REF!</definedName>
    <definedName name="_RIV723cbb467f484b79b37d82110ad93675" localSheetId="18" hidden="1">[19]DeferAssetLiab!#REF!</definedName>
    <definedName name="_RIV723cbb467f484b79b37d82110ad93675" localSheetId="20" hidden="1">#REF!</definedName>
    <definedName name="_RIV723cbb467f484b79b37d82110ad93675" hidden="1">#REF!</definedName>
    <definedName name="_RIV7315ad9825504c6c956f9acc829a00c3" localSheetId="1" hidden="1">#REF!</definedName>
    <definedName name="_RIV7315ad9825504c6c956f9acc829a00c3" localSheetId="20" hidden="1">#REF!</definedName>
    <definedName name="_RIV7315ad9825504c6c956f9acc829a00c3" hidden="1">#REF!</definedName>
    <definedName name="_RIV73186c7fd67e4931b707a748eec6ba94" localSheetId="1" hidden="1">#REF!</definedName>
    <definedName name="_RIV73186c7fd67e4931b707a748eec6ba94" localSheetId="20" hidden="1">#REF!</definedName>
    <definedName name="_RIV73186c7fd67e4931b707a748eec6ba94" hidden="1">#REF!</definedName>
    <definedName name="_RIV732b8be71da745328c779f31c73372b5" localSheetId="1" hidden="1">#REF!</definedName>
    <definedName name="_RIV732b8be71da745328c779f31c73372b5" localSheetId="13" hidden="1">'[19]Comprehensive Income'!#REF!</definedName>
    <definedName name="_RIV732b8be71da745328c779f31c73372b5" localSheetId="18" hidden="1">'[19]Comprehensive Income'!#REF!</definedName>
    <definedName name="_RIV732b8be71da745328c779f31c73372b5" localSheetId="20" hidden="1">#REF!</definedName>
    <definedName name="_RIV732b8be71da745328c779f31c73372b5" hidden="1">#REF!</definedName>
    <definedName name="_RIV733739c49fdf47929842e7cef378d0ee" localSheetId="1" hidden="1">#REF!</definedName>
    <definedName name="_RIV733739c49fdf47929842e7cef378d0ee" localSheetId="20" hidden="1">#REF!</definedName>
    <definedName name="_RIV733739c49fdf47929842e7cef378d0ee" hidden="1">#REF!</definedName>
    <definedName name="_RIV73542e393a0b4f19bc07427731d93dc7" localSheetId="1" hidden="1">#REF!</definedName>
    <definedName name="_RIV73542e393a0b4f19bc07427731d93dc7" localSheetId="13" hidden="1">'[19] Assumptions_A'!#REF!</definedName>
    <definedName name="_RIV73542e393a0b4f19bc07427731d93dc7" localSheetId="18" hidden="1">'[19] Assumptions_A'!#REF!</definedName>
    <definedName name="_RIV73542e393a0b4f19bc07427731d93dc7" localSheetId="20" hidden="1">#REF!</definedName>
    <definedName name="_RIV73542e393a0b4f19bc07427731d93dc7" hidden="1">#REF!</definedName>
    <definedName name="_RIV73984a91ace948d59a8d76ac72b5b1ab" localSheetId="13" hidden="1">[20]concapital!#REF!</definedName>
    <definedName name="_RIV73984a91ace948d59a8d76ac72b5b1ab" localSheetId="18" hidden="1">[20]concapital!#REF!</definedName>
    <definedName name="_RIV73984a91ace948d59a8d76ac72b5b1ab" hidden="1">#REF!</definedName>
    <definedName name="_RIV73a520414f914dd085f78bbd86d6ccbe" localSheetId="13" hidden="1">[19]ContractualObligs!#REF!</definedName>
    <definedName name="_RIV73a520414f914dd085f78bbd86d6ccbe" localSheetId="18" hidden="1">[19]ContractualObligs!#REF!</definedName>
    <definedName name="_RIV73a520414f914dd085f78bbd86d6ccbe" hidden="1">#REF!</definedName>
    <definedName name="_RIV73c728b5d9474fe8a1807ff34bd1c666" localSheetId="1" hidden="1">#REF!</definedName>
    <definedName name="_RIV73c728b5d9474fe8a1807ff34bd1c666" localSheetId="20" hidden="1">#REF!</definedName>
    <definedName name="_RIV73c728b5d9474fe8a1807ff34bd1c666" hidden="1">#REF!</definedName>
    <definedName name="_RIV75aa6f794df3444f9d561a92715e5a8f" localSheetId="1" hidden="1">#REF!</definedName>
    <definedName name="_RIV75aa6f794df3444f9d561a92715e5a8f" localSheetId="20" hidden="1">#REF!</definedName>
    <definedName name="_RIV75aa6f794df3444f9d561a92715e5a8f" hidden="1">#REF!</definedName>
    <definedName name="_RIV761d1261a1ed4a7bbe4b85f674f9ca3e" localSheetId="1" hidden="1">#REF!</definedName>
    <definedName name="_RIV761d1261a1ed4a7bbe4b85f674f9ca3e" localSheetId="20" hidden="1">#REF!</definedName>
    <definedName name="_RIV761d1261a1ed4a7bbe4b85f674f9ca3e" hidden="1">#REF!</definedName>
    <definedName name="_RIV7653299fc28744b386ad2764c45926b4" localSheetId="1" hidden="1">#REF!</definedName>
    <definedName name="_RIV7653299fc28744b386ad2764c45926b4" localSheetId="20" hidden="1">#REF!</definedName>
    <definedName name="_RIV7653299fc28744b386ad2764c45926b4" hidden="1">#REF!</definedName>
    <definedName name="_RIV7669b0f4944c4d8aa88282d19af974f2" localSheetId="1" hidden="1">#REF!</definedName>
    <definedName name="_RIV7669b0f4944c4d8aa88282d19af974f2" localSheetId="13" hidden="1">'[19]Options Expense'!#REF!</definedName>
    <definedName name="_RIV7669b0f4944c4d8aa88282d19af974f2" localSheetId="18" hidden="1">'[19]Options Expense'!#REF!</definedName>
    <definedName name="_RIV7669b0f4944c4d8aa88282d19af974f2" localSheetId="20" hidden="1">#REF!</definedName>
    <definedName name="_RIV7669b0f4944c4d8aa88282d19af974f2" hidden="1">#REF!</definedName>
    <definedName name="_RIV767d2f8a65814d2e81bb057cac1e47b2" localSheetId="1" hidden="1">#REF!</definedName>
    <definedName name="_RIV767d2f8a65814d2e81bb057cac1e47b2" localSheetId="20" hidden="1">#REF!</definedName>
    <definedName name="_RIV767d2f8a65814d2e81bb057cac1e47b2" hidden="1">#REF!</definedName>
    <definedName name="_RIV768a929c03ce43a6a5b7017d9fdcf8bb" localSheetId="1" hidden="1">#REF!</definedName>
    <definedName name="_RIV768a929c03ce43a6a5b7017d9fdcf8bb" localSheetId="13" hidden="1">'[19]Balance Sheet'!#REF!</definedName>
    <definedName name="_RIV768a929c03ce43a6a5b7017d9fdcf8bb" localSheetId="18" hidden="1">'[19]Balance Sheet'!#REF!</definedName>
    <definedName name="_RIV768a929c03ce43a6a5b7017d9fdcf8bb" localSheetId="20" hidden="1">#REF!</definedName>
    <definedName name="_RIV768a929c03ce43a6a5b7017d9fdcf8bb" hidden="1">#REF!</definedName>
    <definedName name="_RIV76fdd1af7c8e43a1bd685f314119197b" localSheetId="1" hidden="1">#REF!</definedName>
    <definedName name="_RIV76fdd1af7c8e43a1bd685f314119197b" localSheetId="20" hidden="1">#REF!</definedName>
    <definedName name="_RIV76fdd1af7c8e43a1bd685f314119197b" hidden="1">#REF!</definedName>
    <definedName name="_RIV771b8c5481e54cb18a45b198c7849389" localSheetId="1" hidden="1">#REF!</definedName>
    <definedName name="_RIV771b8c5481e54cb18a45b198c7849389" localSheetId="20" hidden="1">#REF!</definedName>
    <definedName name="_RIV771b8c5481e54cb18a45b198c7849389" hidden="1">#REF!</definedName>
    <definedName name="_RIV7761466bf5294670ab9c0241ff1d42a0" localSheetId="1" hidden="1">#REF!</definedName>
    <definedName name="_RIV7761466bf5294670ab9c0241ff1d42a0" localSheetId="13" hidden="1">'[19]Comprehensive Income'!#REF!</definedName>
    <definedName name="_RIV7761466bf5294670ab9c0241ff1d42a0" localSheetId="18" hidden="1">'[19]Comprehensive Income'!#REF!</definedName>
    <definedName name="_RIV7761466bf5294670ab9c0241ff1d42a0" localSheetId="20" hidden="1">#REF!</definedName>
    <definedName name="_RIV7761466bf5294670ab9c0241ff1d42a0" hidden="1">#REF!</definedName>
    <definedName name="_RIV777cd8d540be4c2a8cb3363175816cb8" localSheetId="1" hidden="1">#REF!</definedName>
    <definedName name="_RIV777cd8d540be4c2a8cb3363175816cb8" localSheetId="20" hidden="1">#REF!</definedName>
    <definedName name="_RIV777cd8d540be4c2a8cb3363175816cb8" hidden="1">#REF!</definedName>
    <definedName name="_RIV779ca5143c2f4556b9ca3ca2aa34bc45" localSheetId="1" hidden="1">#REF!</definedName>
    <definedName name="_RIV779ca5143c2f4556b9ca3ca2aa34bc45" localSheetId="20" hidden="1">#REF!</definedName>
    <definedName name="_RIV779ca5143c2f4556b9ca3ca2aa34bc45" hidden="1">#REF!</definedName>
    <definedName name="_RIV77a8bda6c87943bca8b7e220cdaa877a" localSheetId="1" hidden="1">#REF!</definedName>
    <definedName name="_RIV77a8bda6c87943bca8b7e220cdaa877a" localSheetId="20" hidden="1">#REF!</definedName>
    <definedName name="_RIV77a8bda6c87943bca8b7e220cdaa877a" hidden="1">#REF!</definedName>
    <definedName name="_RIV77be0da0b69e4f2bb0908a96f54b1062" localSheetId="1" hidden="1">#REF!</definedName>
    <definedName name="_RIV77be0da0b69e4f2bb0908a96f54b1062" localSheetId="20" hidden="1">#REF!</definedName>
    <definedName name="_RIV77be0da0b69e4f2bb0908a96f54b1062" hidden="1">#REF!</definedName>
    <definedName name="_RIV7810b3d1bc0c4c94aa195cddb72f7ba9" localSheetId="1" hidden="1">#REF!</definedName>
    <definedName name="_RIV7810b3d1bc0c4c94aa195cddb72f7ba9" localSheetId="20" hidden="1">#REF!</definedName>
    <definedName name="_RIV7810b3d1bc0c4c94aa195cddb72f7ba9" hidden="1">#REF!</definedName>
    <definedName name="_RIV787deb7f27934ac5a59149d5076a6023" localSheetId="1" hidden="1">#REF!</definedName>
    <definedName name="_RIV787deb7f27934ac5a59149d5076a6023" localSheetId="20" hidden="1">#REF!</definedName>
    <definedName name="_RIV787deb7f27934ac5a59149d5076a6023" hidden="1">#REF!</definedName>
    <definedName name="_RIV78915e7c76be46918659c860bb9dbe1a" localSheetId="1" hidden="1">#REF!</definedName>
    <definedName name="_RIV78915e7c76be46918659c860bb9dbe1a" localSheetId="13" hidden="1">[19]Segments!#REF!</definedName>
    <definedName name="_RIV78915e7c76be46918659c860bb9dbe1a" localSheetId="18" hidden="1">[19]Segments!#REF!</definedName>
    <definedName name="_RIV78915e7c76be46918659c860bb9dbe1a" localSheetId="20" hidden="1">#REF!</definedName>
    <definedName name="_RIV78915e7c76be46918659c860bb9dbe1a" hidden="1">#REF!</definedName>
    <definedName name="_RIV78bde9f3fe644127b6c7a64f1e54d4a3" localSheetId="13" hidden="1">'[19]RSUs RF'!#REF!</definedName>
    <definedName name="_RIV78bde9f3fe644127b6c7a64f1e54d4a3" localSheetId="18" hidden="1">'[19]RSUs RF'!#REF!</definedName>
    <definedName name="_RIV78bde9f3fe644127b6c7a64f1e54d4a3" hidden="1">#REF!</definedName>
    <definedName name="_RIV791effe2ad2b451aae1bdb507f7f0847" localSheetId="13" hidden="1">'[19]Stmt of Capitalization'!#REF!</definedName>
    <definedName name="_RIV791effe2ad2b451aae1bdb507f7f0847" localSheetId="18" hidden="1">'[19]Stmt of Capitalization'!#REF!</definedName>
    <definedName name="_RIV791effe2ad2b451aae1bdb507f7f0847" hidden="1">#REF!</definedName>
    <definedName name="_RIV796763bcde5f4c95a8bc0bc56b2befc8" localSheetId="13" hidden="1">'[19] Assumptions_A'!#REF!</definedName>
    <definedName name="_RIV796763bcde5f4c95a8bc0bc56b2befc8" localSheetId="18" hidden="1">'[19] Assumptions_A'!#REF!</definedName>
    <definedName name="_RIV796763bcde5f4c95a8bc0bc56b2befc8" hidden="1">#REF!</definedName>
    <definedName name="_RIV79696be18ebc4dbc9947ba52c3216c30" localSheetId="1" hidden="1">#REF!</definedName>
    <definedName name="_RIV79696be18ebc4dbc9947ba52c3216c30" localSheetId="20" hidden="1">#REF!</definedName>
    <definedName name="_RIV79696be18ebc4dbc9947ba52c3216c30" hidden="1">#REF!</definedName>
    <definedName name="_RIV79855cab95e04c559d975e93a8d76705" localSheetId="1" hidden="1">#REF!</definedName>
    <definedName name="_RIV79855cab95e04c559d975e93a8d76705" localSheetId="20" hidden="1">#REF!</definedName>
    <definedName name="_RIV79855cab95e04c559d975e93a8d76705" hidden="1">#REF!</definedName>
    <definedName name="_RIV798cf74a93c84b8797bfa9d62361c735" localSheetId="1" hidden="1">#REF!</definedName>
    <definedName name="_RIV798cf74a93c84b8797bfa9d62361c735" localSheetId="20" hidden="1">#REF!</definedName>
    <definedName name="_RIV798cf74a93c84b8797bfa9d62361c735" hidden="1">#REF!</definedName>
    <definedName name="_RIV79a8a81db2bd4c468c003172a98ea5a2" localSheetId="1" hidden="1">#REF!</definedName>
    <definedName name="_RIV79a8a81db2bd4c468c003172a98ea5a2" localSheetId="20" hidden="1">#REF!</definedName>
    <definedName name="_RIV79a8a81db2bd4c468c003172a98ea5a2" hidden="1">#REF!</definedName>
    <definedName name="_RIV7a29a49a283d4e15981e6c5f6c06ce14" localSheetId="1" hidden="1">#REF!</definedName>
    <definedName name="_RIV7a29a49a283d4e15981e6c5f6c06ce14" localSheetId="20" hidden="1">#REF!</definedName>
    <definedName name="_RIV7a29a49a283d4e15981e6c5f6c06ce14" hidden="1">#REF!</definedName>
    <definedName name="_RIV7a9a0584fc1b470f954172491cd36385" localSheetId="1" hidden="1">#REF!</definedName>
    <definedName name="_RIV7a9a0584fc1b470f954172491cd36385" localSheetId="13" hidden="1">[20]Pension!#REF!</definedName>
    <definedName name="_RIV7a9a0584fc1b470f954172491cd36385" localSheetId="18" hidden="1">[20]Pension!#REF!</definedName>
    <definedName name="_RIV7a9a0584fc1b470f954172491cd36385" localSheetId="20" hidden="1">#REF!</definedName>
    <definedName name="_RIV7a9a0584fc1b470f954172491cd36385" hidden="1">#REF!</definedName>
    <definedName name="_RIV7acb35e2d83c4a1e9868f93208145bdc" localSheetId="13" hidden="1">'[19]RSUs RF'!#REF!</definedName>
    <definedName name="_RIV7acb35e2d83c4a1e9868f93208145bdc" localSheetId="18" hidden="1">'[19]RSUs RF'!#REF!</definedName>
    <definedName name="_RIV7acb35e2d83c4a1e9868f93208145bdc" hidden="1">#REF!</definedName>
    <definedName name="_RIV7acf6d7381034df28525885b9dffef22" localSheetId="1" hidden="1">#REF!</definedName>
    <definedName name="_RIV7acf6d7381034df28525885b9dffef22" localSheetId="20" hidden="1">#REF!</definedName>
    <definedName name="_RIV7acf6d7381034df28525885b9dffef22" hidden="1">#REF!</definedName>
    <definedName name="_RIV7b786c9b4944499d88a9a75f9765cfdf" localSheetId="1" hidden="1">#REF!</definedName>
    <definedName name="_RIV7b786c9b4944499d88a9a75f9765cfdf" localSheetId="13" hidden="1">'[19]Com.StkHldr''s Equity'!#REF!</definedName>
    <definedName name="_RIV7b786c9b4944499d88a9a75f9765cfdf" localSheetId="18" hidden="1">'[19]Com.StkHldr''s Equity'!#REF!</definedName>
    <definedName name="_RIV7b786c9b4944499d88a9a75f9765cfdf" localSheetId="20" hidden="1">#REF!</definedName>
    <definedName name="_RIV7b786c9b4944499d88a9a75f9765cfdf" hidden="1">#REF!</definedName>
    <definedName name="_RIV7b85360c00444bcbb4b3394437380015" localSheetId="1" hidden="1">#REF!</definedName>
    <definedName name="_RIV7b85360c00444bcbb4b3394437380015" localSheetId="20" hidden="1">#REF!</definedName>
    <definedName name="_RIV7b85360c00444bcbb4b3394437380015" hidden="1">#REF!</definedName>
    <definedName name="_RIV7bdfa5a6f5a7401aab3c398a292ac8b0" localSheetId="1" hidden="1">#REF!</definedName>
    <definedName name="_RIV7bdfa5a6f5a7401aab3c398a292ac8b0" localSheetId="13" hidden="1">[19]Goodwill!#REF!</definedName>
    <definedName name="_RIV7bdfa5a6f5a7401aab3c398a292ac8b0" localSheetId="18" hidden="1">[19]Goodwill!#REF!</definedName>
    <definedName name="_RIV7bdfa5a6f5a7401aab3c398a292ac8b0" localSheetId="20" hidden="1">#REF!</definedName>
    <definedName name="_RIV7bdfa5a6f5a7401aab3c398a292ac8b0" hidden="1">#REF!</definedName>
    <definedName name="_RIV7beb9e484ca34cb5a1fbc6207b0a6c03" localSheetId="13" hidden="1">'[21]Equity Purchases'!#REF!</definedName>
    <definedName name="_RIV7beb9e484ca34cb5a1fbc6207b0a6c03" localSheetId="18" hidden="1">'[21]Equity Purchases'!#REF!</definedName>
    <definedName name="_RIV7beb9e484ca34cb5a1fbc6207b0a6c03" hidden="1">#REF!</definedName>
    <definedName name="_RIV7cc20503875e441887146b512eada7e9" localSheetId="13" hidden="1">[20]Pension!#REF!</definedName>
    <definedName name="_RIV7cc20503875e441887146b512eada7e9" localSheetId="18" hidden="1">[20]Pension!#REF!</definedName>
    <definedName name="_RIV7cc20503875e441887146b512eada7e9" hidden="1">#REF!</definedName>
    <definedName name="_RIV7cf1da9e187a4b4d94ae99694b02cd26" localSheetId="1" hidden="1">#REF!</definedName>
    <definedName name="_RIV7cf1da9e187a4b4d94ae99694b02cd26" localSheetId="20" hidden="1">#REF!</definedName>
    <definedName name="_RIV7cf1da9e187a4b4d94ae99694b02cd26" hidden="1">#REF!</definedName>
    <definedName name="_RIV7d1b4ad5b0444dba9c9d5eb8ecec47bc" localSheetId="1" hidden="1">#REF!</definedName>
    <definedName name="_RIV7d1b4ad5b0444dba9c9d5eb8ecec47bc" localSheetId="20" hidden="1">#REF!</definedName>
    <definedName name="_RIV7d1b4ad5b0444dba9c9d5eb8ecec47bc" hidden="1">#REF!</definedName>
    <definedName name="_RIV7d985bdf5ab94a7683cc86ebd1fe8318" localSheetId="1" hidden="1">#REF!</definedName>
    <definedName name="_RIV7d985bdf5ab94a7683cc86ebd1fe8318" localSheetId="13" hidden="1">[21]PSUs!#REF!</definedName>
    <definedName name="_RIV7d985bdf5ab94a7683cc86ebd1fe8318" localSheetId="18" hidden="1">[21]PSUs!#REF!</definedName>
    <definedName name="_RIV7d985bdf5ab94a7683cc86ebd1fe8318" localSheetId="20" hidden="1">#REF!</definedName>
    <definedName name="_RIV7d985bdf5ab94a7683cc86ebd1fe8318" hidden="1">#REF!</definedName>
    <definedName name="_RIV7da52168a5384b758653899eb1958fed" localSheetId="13" hidden="1">[19]NetIncomePerCommonShare!#REF!</definedName>
    <definedName name="_RIV7da52168a5384b758653899eb1958fed" localSheetId="18" hidden="1">[19]NetIncomePerCommonShare!#REF!</definedName>
    <definedName name="_RIV7da52168a5384b758653899eb1958fed" hidden="1">#REF!</definedName>
    <definedName name="_RIV7dec908a8d474350b4c41d54a6b47731" localSheetId="1" hidden="1">#REF!</definedName>
    <definedName name="_RIV7dec908a8d474350b4c41d54a6b47731" localSheetId="20" hidden="1">#REF!</definedName>
    <definedName name="_RIV7dec908a8d474350b4c41d54a6b47731" hidden="1">#REF!</definedName>
    <definedName name="_RIV7e246fa71aab492ea40cd442560c2078" localSheetId="1" hidden="1">#REF!</definedName>
    <definedName name="_RIV7e246fa71aab492ea40cd442560c2078" localSheetId="20" hidden="1">#REF!</definedName>
    <definedName name="_RIV7e246fa71aab492ea40cd442560c2078" hidden="1">#REF!</definedName>
    <definedName name="_RIV7e262832f9ab432fac27039d22697682" localSheetId="1" hidden="1">#REF!</definedName>
    <definedName name="_RIV7e262832f9ab432fac27039d22697682" localSheetId="20" hidden="1">#REF!</definedName>
    <definedName name="_RIV7e262832f9ab432fac27039d22697682" hidden="1">#REF!</definedName>
    <definedName name="_RIV7e313b3f2bbb4d059ec1b1425a55a5cb" localSheetId="1" hidden="1">#REF!</definedName>
    <definedName name="_RIV7e313b3f2bbb4d059ec1b1425a55a5cb" localSheetId="20" hidden="1">#REF!</definedName>
    <definedName name="_RIV7e313b3f2bbb4d059ec1b1425a55a5cb" hidden="1">#REF!</definedName>
    <definedName name="_RIV7e6c18fb2dac4a3ea5a29a19f1f5bb08" localSheetId="1" hidden="1">#REF!</definedName>
    <definedName name="_RIV7e6c18fb2dac4a3ea5a29a19f1f5bb08" localSheetId="13" hidden="1">'[19]Parent BS'!#REF!</definedName>
    <definedName name="_RIV7e6c18fb2dac4a3ea5a29a19f1f5bb08" localSheetId="18" hidden="1">'[19]Parent BS'!#REF!</definedName>
    <definedName name="_RIV7e6c18fb2dac4a3ea5a29a19f1f5bb08" localSheetId="20" hidden="1">#REF!</definedName>
    <definedName name="_RIV7e6c18fb2dac4a3ea5a29a19f1f5bb08" hidden="1">#REF!</definedName>
    <definedName name="_RIV7edae84ad2434494ab3bcb834263c3c1" localSheetId="13" hidden="1">'[19]PBO - ABO'!#REF!</definedName>
    <definedName name="_RIV7edae84ad2434494ab3bcb834263c3c1" localSheetId="18" hidden="1">'[19]PBO - ABO'!#REF!</definedName>
    <definedName name="_RIV7edae84ad2434494ab3bcb834263c3c1" hidden="1">#REF!</definedName>
    <definedName name="_RIV80029e5f27a74bcbb4e2bcd7aba0c3df" localSheetId="1" hidden="1">#REF!</definedName>
    <definedName name="_RIV80029e5f27a74bcbb4e2bcd7aba0c3df" localSheetId="20" hidden="1">#REF!</definedName>
    <definedName name="_RIV80029e5f27a74bcbb4e2bcd7aba0c3df" hidden="1">#REF!</definedName>
    <definedName name="_RIV8042108eb2d140e9b73ed5b34fa4c495" localSheetId="1" hidden="1">#REF!</definedName>
    <definedName name="_RIV8042108eb2d140e9b73ed5b34fa4c495" localSheetId="13" hidden="1">'[19]Com.StkHldr''s Equity'!#REF!</definedName>
    <definedName name="_RIV8042108eb2d140e9b73ed5b34fa4c495" localSheetId="18" hidden="1">'[19]Com.StkHldr''s Equity'!#REF!</definedName>
    <definedName name="_RIV8042108eb2d140e9b73ed5b34fa4c495" localSheetId="20" hidden="1">#REF!</definedName>
    <definedName name="_RIV8042108eb2d140e9b73ed5b34fa4c495" hidden="1">#REF!</definedName>
    <definedName name="_RIV8077abf9df1240f4830bd33ab5bcbcb0" localSheetId="13" hidden="1">[19]Costs!#REF!</definedName>
    <definedName name="_RIV8077abf9df1240f4830bd33ab5bcbcb0" localSheetId="18" hidden="1">[19]Costs!#REF!</definedName>
    <definedName name="_RIV8077abf9df1240f4830bd33ab5bcbcb0" hidden="1">#REF!</definedName>
    <definedName name="_RIV80b5ecb7c11b4ae899f818be21b7ca42" localSheetId="1" hidden="1">#REF!</definedName>
    <definedName name="_RIV80b5ecb7c11b4ae899f818be21b7ca42" localSheetId="20" hidden="1">#REF!</definedName>
    <definedName name="_RIV80b5ecb7c11b4ae899f818be21b7ca42" hidden="1">#REF!</definedName>
    <definedName name="_RIV8151892a55b9420aaa1cd6f81d1f8470" localSheetId="1" hidden="1">#REF!</definedName>
    <definedName name="_RIV8151892a55b9420aaa1cd6f81d1f8470" localSheetId="13" hidden="1">[19]FedIncomeTax!#REF!</definedName>
    <definedName name="_RIV8151892a55b9420aaa1cd6f81d1f8470" localSheetId="18" hidden="1">[19]FedIncomeTax!#REF!</definedName>
    <definedName name="_RIV8151892a55b9420aaa1cd6f81d1f8470" localSheetId="20" hidden="1">#REF!</definedName>
    <definedName name="_RIV8151892a55b9420aaa1cd6f81d1f8470" hidden="1">#REF!</definedName>
    <definedName name="_RIV8159dc6928024e19be0aa9b5f3e651e9" localSheetId="1" hidden="1">#REF!</definedName>
    <definedName name="_RIV8159dc6928024e19be0aa9b5f3e651e9" localSheetId="20" hidden="1">#REF!</definedName>
    <definedName name="_RIV8159dc6928024e19be0aa9b5f3e651e9" hidden="1">#REF!</definedName>
    <definedName name="_RIV816e230a379d4b558674a96c34c1703d" localSheetId="1" hidden="1">#REF!</definedName>
    <definedName name="_RIV816e230a379d4b558674a96c34c1703d" localSheetId="20" hidden="1">#REF!</definedName>
    <definedName name="_RIV816e230a379d4b558674a96c34c1703d" hidden="1">#REF!</definedName>
    <definedName name="_RIV81e581b7b5b24fb2bcffc1132db05a30" localSheetId="1" hidden="1">#REF!</definedName>
    <definedName name="_RIV81e581b7b5b24fb2bcffc1132db05a30" localSheetId="20" hidden="1">#REF!</definedName>
    <definedName name="_RIV81e581b7b5b24fb2bcffc1132db05a30" hidden="1">#REF!</definedName>
    <definedName name="_RIV81fd50abeb6d4281acbfd9cd682d1f14" localSheetId="1" hidden="1">#REF!</definedName>
    <definedName name="_RIV81fd50abeb6d4281acbfd9cd682d1f14" localSheetId="13" hidden="1">'[19]Operating Results'!#REF!</definedName>
    <definedName name="_RIV81fd50abeb6d4281acbfd9cd682d1f14" localSheetId="18" hidden="1">'[19]Operating Results'!#REF!</definedName>
    <definedName name="_RIV81fd50abeb6d4281acbfd9cd682d1f14" localSheetId="20" hidden="1">#REF!</definedName>
    <definedName name="_RIV81fd50abeb6d4281acbfd9cd682d1f14" hidden="1">#REF!</definedName>
    <definedName name="_RIV8246452a8a9c447881edbaf0e4a457dd" localSheetId="13" hidden="1">'[19]Fourth Quarter'!#REF!</definedName>
    <definedName name="_RIV8246452a8a9c447881edbaf0e4a457dd" localSheetId="18" hidden="1">'[19]Fourth Quarter'!#REF!</definedName>
    <definedName name="_RIV8246452a8a9c447881edbaf0e4a457dd" hidden="1">#REF!</definedName>
    <definedName name="_RIV8259fe1d3e284bb69673858e06225f3d" localSheetId="13" hidden="1">'[19] Assumptions_A'!#REF!</definedName>
    <definedName name="_RIV8259fe1d3e284bb69673858e06225f3d" localSheetId="18" hidden="1">'[19] Assumptions_A'!#REF!</definedName>
    <definedName name="_RIV8259fe1d3e284bb69673858e06225f3d" hidden="1">#REF!</definedName>
    <definedName name="_RIV827157a1e1024ef2929e647bae198865" localSheetId="1" hidden="1">#REF!</definedName>
    <definedName name="_RIV827157a1e1024ef2929e647bae198865" localSheetId="20" hidden="1">#REF!</definedName>
    <definedName name="_RIV827157a1e1024ef2929e647bae198865" hidden="1">#REF!</definedName>
    <definedName name="_RIV82935313f5194305a1683c0b5a7fc9bc" localSheetId="1" hidden="1">#REF!</definedName>
    <definedName name="_RIV82935313f5194305a1683c0b5a7fc9bc" localSheetId="13" hidden="1">'[21]CONINCOME YTD'!#REF!</definedName>
    <definedName name="_RIV82935313f5194305a1683c0b5a7fc9bc" localSheetId="18" hidden="1">'[21]CONINCOME YTD'!#REF!</definedName>
    <definedName name="_RIV82935313f5194305a1683c0b5a7fc9bc" localSheetId="20" hidden="1">#REF!</definedName>
    <definedName name="_RIV82935313f5194305a1683c0b5a7fc9bc" hidden="1">#REF!</definedName>
    <definedName name="_RIV8297a2ca577e452789f16faf165e6b33" localSheetId="13" hidden="1">'[24]Non-GAAP DISCO'!#REF!</definedName>
    <definedName name="_RIV8297a2ca577e452789f16faf165e6b33" localSheetId="18" hidden="1">'[24]Non-GAAP DISCO'!#REF!</definedName>
    <definedName name="_RIV8297a2ca577e452789f16faf165e6b33" hidden="1">#REF!</definedName>
    <definedName name="_RIV82e05fa76b9f4749a5e7d7f4aef37e54" localSheetId="13" hidden="1">'[19]RSUs RF'!#REF!</definedName>
    <definedName name="_RIV82e05fa76b9f4749a5e7d7f4aef37e54" localSheetId="18" hidden="1">'[19]RSUs RF'!#REF!</definedName>
    <definedName name="_RIV82e05fa76b9f4749a5e7d7f4aef37e54" hidden="1">#REF!</definedName>
    <definedName name="_RIV82e7800310db4d9e880b70c2379faad7" localSheetId="1" hidden="1">#REF!</definedName>
    <definedName name="_RIV82e7800310db4d9e880b70c2379faad7" localSheetId="20" hidden="1">#REF!</definedName>
    <definedName name="_RIV82e7800310db4d9e880b70c2379faad7" hidden="1">#REF!</definedName>
    <definedName name="_RIV82fac5d0c69e4dd0a48e792f9dda6120" localSheetId="1" hidden="1">#REF!</definedName>
    <definedName name="_RIV82fac5d0c69e4dd0a48e792f9dda6120" localSheetId="13" hidden="1">'[20]DISCO FN (IS)'!#REF!</definedName>
    <definedName name="_RIV82fac5d0c69e4dd0a48e792f9dda6120" localSheetId="18" hidden="1">'[20]DISCO FN (IS)'!#REF!</definedName>
    <definedName name="_RIV82fac5d0c69e4dd0a48e792f9dda6120" localSheetId="20" hidden="1">#REF!</definedName>
    <definedName name="_RIV82fac5d0c69e4dd0a48e792f9dda6120" hidden="1">#REF!</definedName>
    <definedName name="_RIV831a958f64cf48888cabe1afe4cbbaa6" localSheetId="13" hidden="1">[20]Pension!#REF!</definedName>
    <definedName name="_RIV831a958f64cf48888cabe1afe4cbbaa6" localSheetId="18" hidden="1">[20]Pension!#REF!</definedName>
    <definedName name="_RIV831a958f64cf48888cabe1afe4cbbaa6" hidden="1">#REF!</definedName>
    <definedName name="_RIV833fc3ec41414cd09c0841223fd1eba2" localSheetId="1" hidden="1">#REF!</definedName>
    <definedName name="_RIV833fc3ec41414cd09c0841223fd1eba2" localSheetId="20" hidden="1">#REF!</definedName>
    <definedName name="_RIV833fc3ec41414cd09c0841223fd1eba2" hidden="1">#REF!</definedName>
    <definedName name="_RIV8381868131df4269b71fcf09337281dd" localSheetId="1" hidden="1">#REF!</definedName>
    <definedName name="_RIV8381868131df4269b71fcf09337281dd" localSheetId="13" hidden="1">'[19]Com.StkHldr''s Equity'!#REF!</definedName>
    <definedName name="_RIV8381868131df4269b71fcf09337281dd" localSheetId="18" hidden="1">'[19]Com.StkHldr''s Equity'!#REF!</definedName>
    <definedName name="_RIV8381868131df4269b71fcf09337281dd" localSheetId="20" hidden="1">#REF!</definedName>
    <definedName name="_RIV8381868131df4269b71fcf09337281dd" hidden="1">#REF!</definedName>
    <definedName name="_RIV83ebe5856f6d40e2a1b555de0c91884b" localSheetId="13" hidden="1">[21]CONINCOME!#REF!</definedName>
    <definedName name="_RIV83ebe5856f6d40e2a1b555de0c91884b" localSheetId="18" hidden="1">[21]CONINCOME!#REF!</definedName>
    <definedName name="_RIV83ebe5856f6d40e2a1b555de0c91884b" hidden="1">#REF!</definedName>
    <definedName name="_RIV83ec62bcb0a248f29f891b385ff2b630" localSheetId="1" hidden="1">#REF!</definedName>
    <definedName name="_RIV83ec62bcb0a248f29f891b385ff2b630" localSheetId="20" hidden="1">#REF!</definedName>
    <definedName name="_RIV83ec62bcb0a248f29f891b385ff2b630" hidden="1">#REF!</definedName>
    <definedName name="_RIV8430c5d7e3494bfa88884ef01505a09c" localSheetId="1" hidden="1">#REF!</definedName>
    <definedName name="_RIV8430c5d7e3494bfa88884ef01505a09c" localSheetId="20" hidden="1">#REF!</definedName>
    <definedName name="_RIV8430c5d7e3494bfa88884ef01505a09c" hidden="1">#REF!</definedName>
    <definedName name="_RIV8441a57bcc35408c8c0e969e5bc24152" localSheetId="1" hidden="1">#REF!</definedName>
    <definedName name="_RIV8441a57bcc35408c8c0e969e5bc24152" localSheetId="20" hidden="1">#REF!</definedName>
    <definedName name="_RIV8441a57bcc35408c8c0e969e5bc24152" hidden="1">#REF!</definedName>
    <definedName name="_RIV8476e0357bdb4d5a95371afdde95159c" localSheetId="1" hidden="1">#REF!</definedName>
    <definedName name="_RIV8476e0357bdb4d5a95371afdde95159c" localSheetId="13" hidden="1">'[19]DISCO FN (IS)'!#REF!</definedName>
    <definedName name="_RIV8476e0357bdb4d5a95371afdde95159c" localSheetId="18" hidden="1">'[19]DISCO FN (IS)'!#REF!</definedName>
    <definedName name="_RIV8476e0357bdb4d5a95371afdde95159c" localSheetId="20" hidden="1">#REF!</definedName>
    <definedName name="_RIV8476e0357bdb4d5a95371afdde95159c" hidden="1">#REF!</definedName>
    <definedName name="_RIV852b0db8251f41d6b3bea7e25e5e5b72" localSheetId="13" hidden="1">[19]TrendRates!#REF!</definedName>
    <definedName name="_RIV852b0db8251f41d6b3bea7e25e5e5b72" localSheetId="18" hidden="1">[19]TrendRates!#REF!</definedName>
    <definedName name="_RIV852b0db8251f41d6b3bea7e25e5e5b72" hidden="1">#REF!</definedName>
    <definedName name="_RIV8543f825f3714621aa458ab1f2daa736" localSheetId="13" hidden="1">[19]AcctsReceiv!#REF!</definedName>
    <definedName name="_RIV8543f825f3714621aa458ab1f2daa736" localSheetId="18" hidden="1">[19]AcctsReceiv!#REF!</definedName>
    <definedName name="_RIV8543f825f3714621aa458ab1f2daa736" hidden="1">#REF!</definedName>
    <definedName name="_RIV854d1ea8d6644b3b927cb3e06a0e4f42" localSheetId="1" hidden="1">#REF!</definedName>
    <definedName name="_RIV854d1ea8d6644b3b927cb3e06a0e4f42" localSheetId="20" hidden="1">#REF!</definedName>
    <definedName name="_RIV854d1ea8d6644b3b927cb3e06a0e4f42" hidden="1">#REF!</definedName>
    <definedName name="_RIV861b3d3a73cb4ab8b269d92cfa0851a4" localSheetId="1" hidden="1">#REF!</definedName>
    <definedName name="_RIV861b3d3a73cb4ab8b269d92cfa0851a4" localSheetId="20" hidden="1">#REF!</definedName>
    <definedName name="_RIV861b3d3a73cb4ab8b269d92cfa0851a4" hidden="1">#REF!</definedName>
    <definedName name="_RIV864048c8610d446cb5ba9c1488a3ebb0" localSheetId="1" hidden="1">#REF!</definedName>
    <definedName name="_RIV864048c8610d446cb5ba9c1488a3ebb0" localSheetId="13" hidden="1">'[19]Options RF'!#REF!</definedName>
    <definedName name="_RIV864048c8610d446cb5ba9c1488a3ebb0" localSheetId="18" hidden="1">'[19]Options RF'!#REF!</definedName>
    <definedName name="_RIV864048c8610d446cb5ba9c1488a3ebb0" localSheetId="20" hidden="1">#REF!</definedName>
    <definedName name="_RIV864048c8610d446cb5ba9c1488a3ebb0" hidden="1">#REF!</definedName>
    <definedName name="_RIV8644274d05b144a1986f977d2b28b3a8" localSheetId="1" hidden="1">#REF!</definedName>
    <definedName name="_RIV8644274d05b144a1986f977d2b28b3a8" localSheetId="20" hidden="1">#REF!</definedName>
    <definedName name="_RIV8644274d05b144a1986f977d2b28b3a8" hidden="1">#REF!</definedName>
    <definedName name="_RIV86566fef55364598974cc2ecf74ddf9f" localSheetId="1" hidden="1">#REF!</definedName>
    <definedName name="_RIV86566fef55364598974cc2ecf74ddf9f" localSheetId="13" hidden="1">'[19]Options RF'!#REF!</definedName>
    <definedName name="_RIV86566fef55364598974cc2ecf74ddf9f" localSheetId="18" hidden="1">'[19]Options RF'!#REF!</definedName>
    <definedName name="_RIV86566fef55364598974cc2ecf74ddf9f" localSheetId="20" hidden="1">#REF!</definedName>
    <definedName name="_RIV86566fef55364598974cc2ecf74ddf9f" hidden="1">#REF!</definedName>
    <definedName name="_RIV86651567302f4c67a72fe75dea3f6afd" localSheetId="1" hidden="1">#REF!</definedName>
    <definedName name="_RIV86651567302f4c67a72fe75dea3f6afd" localSheetId="20" hidden="1">#REF!</definedName>
    <definedName name="_RIV86651567302f4c67a72fe75dea3f6afd" hidden="1">#REF!</definedName>
    <definedName name="_RIV86b7e3e16ecb42c7900a268737dea825" localSheetId="1" hidden="1">#REF!</definedName>
    <definedName name="_RIV86b7e3e16ecb42c7900a268737dea825" localSheetId="13" hidden="1">'[19]Regulatory Assets'!#REF!</definedName>
    <definedName name="_RIV86b7e3e16ecb42c7900a268737dea825" localSheetId="18" hidden="1">'[19]Regulatory Assets'!#REF!</definedName>
    <definedName name="_RIV86b7e3e16ecb42c7900a268737dea825" localSheetId="20" hidden="1">#REF!</definedName>
    <definedName name="_RIV86b7e3e16ecb42c7900a268737dea825" hidden="1">#REF!</definedName>
    <definedName name="_RIV86bd0adb31724f24a8d568754396d4ac" localSheetId="13" hidden="1">'[19]Balance Sheet'!#REF!</definedName>
    <definedName name="_RIV86bd0adb31724f24a8d568754396d4ac" localSheetId="18" hidden="1">'[19]Balance Sheet'!#REF!</definedName>
    <definedName name="_RIV86bd0adb31724f24a8d568754396d4ac" hidden="1">#REF!</definedName>
    <definedName name="_RIV86e3ff4a694d4ce5971b52144ede13cb" localSheetId="13" hidden="1">'[19]Stmt of Capitalization'!#REF!</definedName>
    <definedName name="_RIV86e3ff4a694d4ce5971b52144ede13cb" localSheetId="18" hidden="1">'[19]Stmt of Capitalization'!#REF!</definedName>
    <definedName name="_RIV86e3ff4a694d4ce5971b52144ede13cb" hidden="1">#REF!</definedName>
    <definedName name="_RIV870448b7199d4913b566a3483e41ff56" localSheetId="13" hidden="1">'[19]RS Expense'!#REF!</definedName>
    <definedName name="_RIV870448b7199d4913b566a3483e41ff56" localSheetId="18" hidden="1">'[19]RS Expense'!#REF!</definedName>
    <definedName name="_RIV870448b7199d4913b566a3483e41ff56" hidden="1">#REF!</definedName>
    <definedName name="_RIV8715712f687a4edca9080ca71460f957" localSheetId="13" hidden="1">'[19]5 Yr CF_Div_CapEx_Acq'!#REF!</definedName>
    <definedName name="_RIV8715712f687a4edca9080ca71460f957" localSheetId="18" hidden="1">'[19]5 Yr CF_Div_CapEx_Acq'!#REF!</definedName>
    <definedName name="_RIV8715712f687a4edca9080ca71460f957" hidden="1">#REF!</definedName>
    <definedName name="_RIV873f69b0110e4bc0bafa987de6390878" localSheetId="1" hidden="1">#REF!</definedName>
    <definedName name="_RIV873f69b0110e4bc0bafa987de6390878" localSheetId="20" hidden="1">#REF!</definedName>
    <definedName name="_RIV873f69b0110e4bc0bafa987de6390878" hidden="1">#REF!</definedName>
    <definedName name="_RIV876addf1cfba4e7698161ea0fb63ff13" localSheetId="1" hidden="1">#REF!</definedName>
    <definedName name="_RIV876addf1cfba4e7698161ea0fb63ff13" localSheetId="20" hidden="1">#REF!</definedName>
    <definedName name="_RIV876addf1cfba4e7698161ea0fb63ff13" hidden="1">#REF!</definedName>
    <definedName name="_RIV8847caca6a544793a2a9f080b5bc1beb" localSheetId="1" hidden="1">#REF!</definedName>
    <definedName name="_RIV8847caca6a544793a2a9f080b5bc1beb" localSheetId="20" hidden="1">#REF!</definedName>
    <definedName name="_RIV8847caca6a544793a2a9f080b5bc1beb" hidden="1">#REF!</definedName>
    <definedName name="_RIV887af7c149e34b63b6a1ce6785b3fffa" localSheetId="1" hidden="1">#REF!</definedName>
    <definedName name="_RIV887af7c149e34b63b6a1ce6785b3fffa" localSheetId="13" hidden="1">'[19]DISCO FN (BS)'!#REF!</definedName>
    <definedName name="_RIV887af7c149e34b63b6a1ce6785b3fffa" localSheetId="18" hidden="1">'[19]DISCO FN (BS)'!#REF!</definedName>
    <definedName name="_RIV887af7c149e34b63b6a1ce6785b3fffa" localSheetId="20" hidden="1">#REF!</definedName>
    <definedName name="_RIV887af7c149e34b63b6a1ce6785b3fffa" hidden="1">#REF!</definedName>
    <definedName name="_RIV8896b3f786194b86b5f91f84e0d77826" localSheetId="13" hidden="1">'[19]Com.StkHldr''s Equity'!#REF!</definedName>
    <definedName name="_RIV8896b3f786194b86b5f91f84e0d77826" localSheetId="18" hidden="1">'[19]Com.StkHldr''s Equity'!#REF!</definedName>
    <definedName name="_RIV8896b3f786194b86b5f91f84e0d77826" hidden="1">#REF!</definedName>
    <definedName name="_RIV889dc14315024db6a3c14ecdf9e3bd68" localSheetId="13" hidden="1">[19]ContractualObligs!#REF!</definedName>
    <definedName name="_RIV889dc14315024db6a3c14ecdf9e3bd68" localSheetId="18" hidden="1">[19]ContractualObligs!#REF!</definedName>
    <definedName name="_RIV889dc14315024db6a3c14ecdf9e3bd68" hidden="1">#REF!</definedName>
    <definedName name="_RIV88c0339ba5f74c1996aa605717bc2572" localSheetId="13" hidden="1">[19]PensOPEBObligations!#REF!</definedName>
    <definedName name="_RIV88c0339ba5f74c1996aa605717bc2572" localSheetId="18" hidden="1">[19]PensOPEBObligations!#REF!</definedName>
    <definedName name="_RIV88c0339ba5f74c1996aa605717bc2572" hidden="1">#REF!</definedName>
    <definedName name="_RIV8909943956154732ac756999484de070" localSheetId="1" hidden="1">#REF!</definedName>
    <definedName name="_RIV8909943956154732ac756999484de070" localSheetId="20" hidden="1">#REF!</definedName>
    <definedName name="_RIV8909943956154732ac756999484de070" hidden="1">#REF!</definedName>
    <definedName name="_RIV89267e9aba004cf4af2349baafb5a79a" localSheetId="1" hidden="1">#REF!</definedName>
    <definedName name="_RIV89267e9aba004cf4af2349baafb5a79a" localSheetId="20" hidden="1">#REF!</definedName>
    <definedName name="_RIV89267e9aba004cf4af2349baafb5a79a" hidden="1">#REF!</definedName>
    <definedName name="_RIV89a1af7e26364bfd945546f11a14e757" localSheetId="1" hidden="1">#REF!</definedName>
    <definedName name="_RIV89a1af7e26364bfd945546f11a14e757" localSheetId="13" hidden="1">'[19]Com.StkHldr''s Equity'!#REF!</definedName>
    <definedName name="_RIV89a1af7e26364bfd945546f11a14e757" localSheetId="18" hidden="1">'[19]Com.StkHldr''s Equity'!#REF!</definedName>
    <definedName name="_RIV89a1af7e26364bfd945546f11a14e757" localSheetId="20" hidden="1">#REF!</definedName>
    <definedName name="_RIV89a1af7e26364bfd945546f11a14e757" hidden="1">#REF!</definedName>
    <definedName name="_RIV89ccbaee53304247b046fe487cfc1287" localSheetId="1" hidden="1">#REF!</definedName>
    <definedName name="_RIV89ccbaee53304247b046fe487cfc1287" localSheetId="20" hidden="1">#REF!</definedName>
    <definedName name="_RIV89ccbaee53304247b046fe487cfc1287" hidden="1">#REF!</definedName>
    <definedName name="_RIV89f1078fbd484941a68450f166c966f8" localSheetId="1" hidden="1">#REF!</definedName>
    <definedName name="_RIV89f1078fbd484941a68450f166c966f8" localSheetId="13" hidden="1">[21]conbalancesheet!#REF!</definedName>
    <definedName name="_RIV89f1078fbd484941a68450f166c966f8" localSheetId="18" hidden="1">[21]conbalancesheet!#REF!</definedName>
    <definedName name="_RIV89f1078fbd484941a68450f166c966f8" localSheetId="20" hidden="1">#REF!</definedName>
    <definedName name="_RIV89f1078fbd484941a68450f166c966f8" hidden="1">#REF!</definedName>
    <definedName name="_RIV8a56908d263147d18d5a0472b231f681" localSheetId="1" hidden="1">#REF!</definedName>
    <definedName name="_RIV8a56908d263147d18d5a0472b231f681" localSheetId="20" hidden="1">#REF!</definedName>
    <definedName name="_RIV8a56908d263147d18d5a0472b231f681" hidden="1">#REF!</definedName>
    <definedName name="_RIV8a6e8eb7d51e44528d44b9eae44b226f" localSheetId="1" hidden="1">#REF!</definedName>
    <definedName name="_RIV8a6e8eb7d51e44528d44b9eae44b226f" localSheetId="13" hidden="1">'[20]Comprehensive Income'!#REF!</definedName>
    <definedName name="_RIV8a6e8eb7d51e44528d44b9eae44b226f" localSheetId="18" hidden="1">'[20]Comprehensive Income'!#REF!</definedName>
    <definedName name="_RIV8a6e8eb7d51e44528d44b9eae44b226f" localSheetId="20" hidden="1">#REF!</definedName>
    <definedName name="_RIV8a6e8eb7d51e44528d44b9eae44b226f" hidden="1">#REF!</definedName>
    <definedName name="_RIV8a81d3c7d6a6423f826c5c2282c971c3" localSheetId="1" hidden="1">#REF!</definedName>
    <definedName name="_RIV8a81d3c7d6a6423f826c5c2282c971c3" localSheetId="20" hidden="1">#REF!</definedName>
    <definedName name="_RIV8a81d3c7d6a6423f826c5c2282c971c3" hidden="1">#REF!</definedName>
    <definedName name="_RIV8ac289db912940f69ae581c253ccf8e8" localSheetId="1" hidden="1">#REF!</definedName>
    <definedName name="_RIV8ac289db912940f69ae581c253ccf8e8" localSheetId="20" hidden="1">#REF!</definedName>
    <definedName name="_RIV8ac289db912940f69ae581c253ccf8e8" hidden="1">#REF!</definedName>
    <definedName name="_RIV8b073bcd606b4020b894da5141fd9aab" localSheetId="1" hidden="1">#REF!</definedName>
    <definedName name="_RIV8b073bcd606b4020b894da5141fd9aab" localSheetId="13" hidden="1">[19]Goodwill!#REF!</definedName>
    <definedName name="_RIV8b073bcd606b4020b894da5141fd9aab" localSheetId="18" hidden="1">[19]Goodwill!#REF!</definedName>
    <definedName name="_RIV8b073bcd606b4020b894da5141fd9aab" localSheetId="20" hidden="1">#REF!</definedName>
    <definedName name="_RIV8b073bcd606b4020b894da5141fd9aab" hidden="1">#REF!</definedName>
    <definedName name="_RIV8b097c31b89d4098b06e535fa6f2633c" localSheetId="1" hidden="1">#REF!</definedName>
    <definedName name="_RIV8b097c31b89d4098b06e535fa6f2633c" localSheetId="20" hidden="1">#REF!</definedName>
    <definedName name="_RIV8b097c31b89d4098b06e535fa6f2633c" hidden="1">#REF!</definedName>
    <definedName name="_RIV8b25bf2c20df4d89a836980f51d96495" localSheetId="1" hidden="1">#REF!</definedName>
    <definedName name="_RIV8b25bf2c20df4d89a836980f51d96495" localSheetId="20" hidden="1">#REF!</definedName>
    <definedName name="_RIV8b25bf2c20df4d89a836980f51d96495" hidden="1">#REF!</definedName>
    <definedName name="_RIV8b6d6ba6fccb4abba73c0c693df7ddcc" localSheetId="1" hidden="1">#REF!</definedName>
    <definedName name="_RIV8b6d6ba6fccb4abba73c0c693df7ddcc" localSheetId="20" hidden="1">#REF!</definedName>
    <definedName name="_RIV8b6d6ba6fccb4abba73c0c693df7ddcc" hidden="1">#REF!</definedName>
    <definedName name="_RIV8b91da3f677045e0a5ff22b4f352c6bf" localSheetId="1" hidden="1">#REF!</definedName>
    <definedName name="_RIV8b91da3f677045e0a5ff22b4f352c6bf" localSheetId="13" hidden="1">'[19]Com.StkHldr''s Equity'!#REF!</definedName>
    <definedName name="_RIV8b91da3f677045e0a5ff22b4f352c6bf" localSheetId="18" hidden="1">'[19]Com.StkHldr''s Equity'!#REF!</definedName>
    <definedName name="_RIV8b91da3f677045e0a5ff22b4f352c6bf" localSheetId="20" hidden="1">#REF!</definedName>
    <definedName name="_RIV8b91da3f677045e0a5ff22b4f352c6bf" hidden="1">#REF!</definedName>
    <definedName name="_RIV8bb8da63d6924666ae9120886023e1e6" localSheetId="1" hidden="1">#REF!</definedName>
    <definedName name="_RIV8bb8da63d6924666ae9120886023e1e6" localSheetId="20" hidden="1">#REF!</definedName>
    <definedName name="_RIV8bb8da63d6924666ae9120886023e1e6" hidden="1">#REF!</definedName>
    <definedName name="_RIV8c273eaa135c469da14709c8a8681acf" localSheetId="1" hidden="1">#REF!</definedName>
    <definedName name="_RIV8c273eaa135c469da14709c8a8681acf" localSheetId="13" hidden="1">[20]goodwill!#REF!</definedName>
    <definedName name="_RIV8c273eaa135c469da14709c8a8681acf" localSheetId="18" hidden="1">[20]goodwill!#REF!</definedName>
    <definedName name="_RIV8c273eaa135c469da14709c8a8681acf" localSheetId="20" hidden="1">#REF!</definedName>
    <definedName name="_RIV8c273eaa135c469da14709c8a8681acf" hidden="1">#REF!</definedName>
    <definedName name="_RIV8c370a43f5f5465eb5a270f442adb5c6" localSheetId="13" hidden="1">'[19]Cash Flow Stmt'!#REF!</definedName>
    <definedName name="_RIV8c370a43f5f5465eb5a270f442adb5c6" localSheetId="18" hidden="1">'[19]Cash Flow Stmt'!#REF!</definedName>
    <definedName name="_RIV8c370a43f5f5465eb5a270f442adb5c6" hidden="1">#REF!</definedName>
    <definedName name="_RIV8cb137af7ea3414bae0b4b91ca154a64" localSheetId="13" hidden="1">[19]DeferAssetLiab!#REF!</definedName>
    <definedName name="_RIV8cb137af7ea3414bae0b4b91ca154a64" localSheetId="18" hidden="1">[19]DeferAssetLiab!#REF!</definedName>
    <definedName name="_RIV8cb137af7ea3414bae0b4b91ca154a64" hidden="1">#REF!</definedName>
    <definedName name="_RIV8ccfafbbf9df402bbec6332c37f5ba73" localSheetId="1" hidden="1">#REF!</definedName>
    <definedName name="_RIV8ccfafbbf9df402bbec6332c37f5ba73" localSheetId="20" hidden="1">#REF!</definedName>
    <definedName name="_RIV8ccfafbbf9df402bbec6332c37f5ba73" hidden="1">#REF!</definedName>
    <definedName name="_RIV8cd1d28307fa45c686f0854b28240ff6" localSheetId="1" hidden="1">#REF!</definedName>
    <definedName name="_RIV8cd1d28307fa45c686f0854b28240ff6" localSheetId="20" hidden="1">#REF!</definedName>
    <definedName name="_RIV8cd1d28307fa45c686f0854b28240ff6" hidden="1">#REF!</definedName>
    <definedName name="_RIV8cdaa99b04804ea19ab592d87db33b21" localSheetId="1" hidden="1">#REF!</definedName>
    <definedName name="_RIV8cdaa99b04804ea19ab592d87db33b21" localSheetId="20" hidden="1">#REF!</definedName>
    <definedName name="_RIV8cdaa99b04804ea19ab592d87db33b21" hidden="1">#REF!</definedName>
    <definedName name="_RIV8cee9b2e402b4c90a66fe89893a18ef2" localSheetId="1" hidden="1">#REF!</definedName>
    <definedName name="_RIV8cee9b2e402b4c90a66fe89893a18ef2" localSheetId="20" hidden="1">#REF!</definedName>
    <definedName name="_RIV8cee9b2e402b4c90a66fe89893a18ef2" hidden="1">#REF!</definedName>
    <definedName name="_RIV8d7a4b9bad6347f4b59db580a5b630c8" localSheetId="1" hidden="1">#REF!</definedName>
    <definedName name="_RIV8d7a4b9bad6347f4b59db580a5b630c8" localSheetId="20" hidden="1">#REF!</definedName>
    <definedName name="_RIV8d7a4b9bad6347f4b59db580a5b630c8" hidden="1">#REF!</definedName>
    <definedName name="_RIV8da51cfc1c8a47a1ab9f2feba3ec2b32" localSheetId="1" hidden="1">#REF!</definedName>
    <definedName name="_RIV8da51cfc1c8a47a1ab9f2feba3ec2b32" localSheetId="13" hidden="1">'[19]Com.StkHldr''s Equity'!#REF!</definedName>
    <definedName name="_RIV8da51cfc1c8a47a1ab9f2feba3ec2b32" localSheetId="18" hidden="1">'[19]Com.StkHldr''s Equity'!#REF!</definedName>
    <definedName name="_RIV8da51cfc1c8a47a1ab9f2feba3ec2b32" localSheetId="20" hidden="1">#REF!</definedName>
    <definedName name="_RIV8da51cfc1c8a47a1ab9f2feba3ec2b32" hidden="1">#REF!</definedName>
    <definedName name="_RIV8ea12f67a9b1417fa0129f8eeac855f2" localSheetId="13" hidden="1">'[22]options FV'!#REF!</definedName>
    <definedName name="_RIV8ea12f67a9b1417fa0129f8eeac855f2" localSheetId="18" hidden="1">'[22]options FV'!#REF!</definedName>
    <definedName name="_RIV8ea12f67a9b1417fa0129f8eeac855f2" hidden="1">#REF!</definedName>
    <definedName name="_RIV8eb38b07b1384398955292064a76c78c" localSheetId="1" hidden="1">#REF!</definedName>
    <definedName name="_RIV8eb38b07b1384398955292064a76c78c" localSheetId="20" hidden="1">#REF!</definedName>
    <definedName name="_RIV8eb38b07b1384398955292064a76c78c" hidden="1">#REF!</definedName>
    <definedName name="_RIV8f0c74f414fe4390b6ceed8c465a5b1e" localSheetId="1" hidden="1">#REF!</definedName>
    <definedName name="_RIV8f0c74f414fe4390b6ceed8c465a5b1e" localSheetId="20" hidden="1">#REF!</definedName>
    <definedName name="_RIV8f0c74f414fe4390b6ceed8c465a5b1e" hidden="1">#REF!</definedName>
    <definedName name="_RIV8f160461103847719e0857a08c1cedd6" localSheetId="1" hidden="1">#REF!</definedName>
    <definedName name="_RIV8f160461103847719e0857a08c1cedd6" localSheetId="20" hidden="1">#REF!</definedName>
    <definedName name="_RIV8f160461103847719e0857a08c1cedd6" hidden="1">#REF!</definedName>
    <definedName name="_RIV8f601255e81e457d9da42ecba78df2f8" localSheetId="1" hidden="1">#REF!</definedName>
    <definedName name="_RIV8f601255e81e457d9da42ecba78df2f8" localSheetId="13" hidden="1">'[19]DISCO FN (IS)'!#REF!</definedName>
    <definedName name="_RIV8f601255e81e457d9da42ecba78df2f8" localSheetId="18" hidden="1">'[19]DISCO FN (IS)'!#REF!</definedName>
    <definedName name="_RIV8f601255e81e457d9da42ecba78df2f8" localSheetId="20" hidden="1">#REF!</definedName>
    <definedName name="_RIV8f601255e81e457d9da42ecba78df2f8" hidden="1">#REF!</definedName>
    <definedName name="_RIV8f7a3671c2c94f7688e37b559de4f4b2" localSheetId="1" hidden="1">#REF!</definedName>
    <definedName name="_RIV8f7a3671c2c94f7688e37b559de4f4b2" localSheetId="20" hidden="1">#REF!</definedName>
    <definedName name="_RIV8f7a3671c2c94f7688e37b559de4f4b2" hidden="1">#REF!</definedName>
    <definedName name="_RIV8fbb72fda8d84e2ca08f922d4285ba27" localSheetId="1" hidden="1">#REF!</definedName>
    <definedName name="_RIV8fbb72fda8d84e2ca08f922d4285ba27" localSheetId="13" hidden="1">[19]DeferAssetLiab!#REF!</definedName>
    <definedName name="_RIV8fbb72fda8d84e2ca08f922d4285ba27" localSheetId="18" hidden="1">[19]DeferAssetLiab!#REF!</definedName>
    <definedName name="_RIV8fbb72fda8d84e2ca08f922d4285ba27" localSheetId="20" hidden="1">#REF!</definedName>
    <definedName name="_RIV8fbb72fda8d84e2ca08f922d4285ba27" hidden="1">#REF!</definedName>
    <definedName name="_RIV8fe9d025aa1a4de4ae29fdd475930fb6" localSheetId="1" hidden="1">#REF!</definedName>
    <definedName name="_RIV8fe9d025aa1a4de4ae29fdd475930fb6" localSheetId="20" hidden="1">#REF!</definedName>
    <definedName name="_RIV8fe9d025aa1a4de4ae29fdd475930fb6" hidden="1">#REF!</definedName>
    <definedName name="_RIV90408f7aa3d6450aaeaa4969e8d8af3b" localSheetId="1" hidden="1">#REF!</definedName>
    <definedName name="_RIV90408f7aa3d6450aaeaa4969e8d8af3b" localSheetId="20" hidden="1">#REF!</definedName>
    <definedName name="_RIV90408f7aa3d6450aaeaa4969e8d8af3b" hidden="1">#REF!</definedName>
    <definedName name="_RIV90acc768e09d4c82825f78bd00875d9c" localSheetId="1" hidden="1">#REF!</definedName>
    <definedName name="_RIV90acc768e09d4c82825f78bd00875d9c" localSheetId="13" hidden="1">[19]ContractualObligs!#REF!</definedName>
    <definedName name="_RIV90acc768e09d4c82825f78bd00875d9c" localSheetId="18" hidden="1">[19]ContractualObligs!#REF!</definedName>
    <definedName name="_RIV90acc768e09d4c82825f78bd00875d9c" localSheetId="20" hidden="1">#REF!</definedName>
    <definedName name="_RIV90acc768e09d4c82825f78bd00875d9c" hidden="1">#REF!</definedName>
    <definedName name="_RIV90ecc94b05df42b59802167341dbbace" localSheetId="1" hidden="1">#REF!</definedName>
    <definedName name="_RIV90ecc94b05df42b59802167341dbbace" localSheetId="20" hidden="1">#REF!</definedName>
    <definedName name="_RIV90ecc94b05df42b59802167341dbbace" hidden="1">#REF!</definedName>
    <definedName name="_RIV919fe4531b9c42d493cd0af784cc309c" localSheetId="1" hidden="1">#REF!</definedName>
    <definedName name="_RIV919fe4531b9c42d493cd0af784cc309c" localSheetId="20" hidden="1">#REF!</definedName>
    <definedName name="_RIV919fe4531b9c42d493cd0af784cc309c" hidden="1">#REF!</definedName>
    <definedName name="_RIV924803e7bf2941bfbec184b3f7d3b17f" localSheetId="1" hidden="1">#REF!</definedName>
    <definedName name="_RIV924803e7bf2941bfbec184b3f7d3b17f" localSheetId="20" hidden="1">#REF!</definedName>
    <definedName name="_RIV924803e7bf2941bfbec184b3f7d3b17f" hidden="1">#REF!</definedName>
    <definedName name="_RIV9277fe7023764cabb666467968d5a708" localSheetId="1" hidden="1">#REF!</definedName>
    <definedName name="_RIV9277fe7023764cabb666467968d5a708" localSheetId="13" hidden="1">'[19]Com.StkHldr''s Equity'!#REF!</definedName>
    <definedName name="_RIV9277fe7023764cabb666467968d5a708" localSheetId="18" hidden="1">'[19]Com.StkHldr''s Equity'!#REF!</definedName>
    <definedName name="_RIV9277fe7023764cabb666467968d5a708" localSheetId="20" hidden="1">#REF!</definedName>
    <definedName name="_RIV9277fe7023764cabb666467968d5a708" hidden="1">#REF!</definedName>
    <definedName name="_RIV928747b46eca4b1e96858ee1eea9230a" localSheetId="13" hidden="1">[19]SelectedQtrFinData!#REF!</definedName>
    <definedName name="_RIV928747b46eca4b1e96858ee1eea9230a" localSheetId="18" hidden="1">[19]SelectedQtrFinData!#REF!</definedName>
    <definedName name="_RIV928747b46eca4b1e96858ee1eea9230a" hidden="1">#REF!</definedName>
    <definedName name="_RIV9317ef742a2f413fb9b93e109274555b" localSheetId="1" hidden="1">#REF!</definedName>
    <definedName name="_RIV9317ef742a2f413fb9b93e109274555b" localSheetId="20" hidden="1">#REF!</definedName>
    <definedName name="_RIV9317ef742a2f413fb9b93e109274555b" hidden="1">#REF!</definedName>
    <definedName name="_RIV933fc1feb08b4263ae85c96e2d892866" localSheetId="1" hidden="1">#REF!</definedName>
    <definedName name="_RIV933fc1feb08b4263ae85c96e2d892866" localSheetId="13" hidden="1">'[19]Benefit Payments'!#REF!</definedName>
    <definedName name="_RIV933fc1feb08b4263ae85c96e2d892866" localSheetId="18" hidden="1">'[19]Benefit Payments'!#REF!</definedName>
    <definedName name="_RIV933fc1feb08b4263ae85c96e2d892866" localSheetId="20" hidden="1">#REF!</definedName>
    <definedName name="_RIV933fc1feb08b4263ae85c96e2d892866" hidden="1">#REF!</definedName>
    <definedName name="_RIV93bfe6261d7e444581d5533377c2d64d" localSheetId="1" hidden="1">#REF!</definedName>
    <definedName name="_RIV93bfe6261d7e444581d5533377c2d64d" localSheetId="20" hidden="1">#REF!</definedName>
    <definedName name="_RIV93bfe6261d7e444581d5533377c2d64d" hidden="1">#REF!</definedName>
    <definedName name="_RIV9431895009bc44aeb46b744675cd5ecc" localSheetId="1" hidden="1">#REF!</definedName>
    <definedName name="_RIV9431895009bc44aeb46b744675cd5ecc" localSheetId="13" hidden="1">'[19]Stmt of Capitalization'!#REF!</definedName>
    <definedName name="_RIV9431895009bc44aeb46b744675cd5ecc" localSheetId="18" hidden="1">'[19]Stmt of Capitalization'!#REF!</definedName>
    <definedName name="_RIV9431895009bc44aeb46b744675cd5ecc" localSheetId="20" hidden="1">#REF!</definedName>
    <definedName name="_RIV9431895009bc44aeb46b744675cd5ecc" hidden="1">#REF!</definedName>
    <definedName name="_RIV943eb9ff139b4e7f9ee3ec42c1cde245" localSheetId="13" hidden="1">'[19]Com.StkHldr''s Equity'!#REF!</definedName>
    <definedName name="_RIV943eb9ff139b4e7f9ee3ec42c1cde245" localSheetId="18" hidden="1">'[19]Com.StkHldr''s Equity'!#REF!</definedName>
    <definedName name="_RIV943eb9ff139b4e7f9ee3ec42c1cde245" hidden="1">#REF!</definedName>
    <definedName name="_RIV946f8480d14b455ab85094ca81d756d8" localSheetId="1" hidden="1">#REF!</definedName>
    <definedName name="_RIV946f8480d14b455ab85094ca81d756d8" localSheetId="20" hidden="1">#REF!</definedName>
    <definedName name="_RIV946f8480d14b455ab85094ca81d756d8" hidden="1">#REF!</definedName>
    <definedName name="_RIV9572aa4e56bd4e258ca9d4e9945669f4" localSheetId="1" hidden="1">#REF!</definedName>
    <definedName name="_RIV9572aa4e56bd4e258ca9d4e9945669f4" localSheetId="20" hidden="1">#REF!</definedName>
    <definedName name="_RIV9572aa4e56bd4e258ca9d4e9945669f4" hidden="1">#REF!</definedName>
    <definedName name="_RIV9573edf8891a42cead45257b12a893ca" localSheetId="1" hidden="1">#REF!</definedName>
    <definedName name="_RIV9573edf8891a42cead45257b12a893ca" localSheetId="13" hidden="1">'[21]Option summary'!#REF!</definedName>
    <definedName name="_RIV9573edf8891a42cead45257b12a893ca" localSheetId="18" hidden="1">'[21]Option summary'!#REF!</definedName>
    <definedName name="_RIV9573edf8891a42cead45257b12a893ca" localSheetId="20" hidden="1">#REF!</definedName>
    <definedName name="_RIV9573edf8891a42cead45257b12a893ca" hidden="1">#REF!</definedName>
    <definedName name="_RIV9591da7e3c5140f59e2cc49446793b73" localSheetId="1" hidden="1">#REF!</definedName>
    <definedName name="_RIV9591da7e3c5140f59e2cc49446793b73" localSheetId="20" hidden="1">#REF!</definedName>
    <definedName name="_RIV9591da7e3c5140f59e2cc49446793b73" hidden="1">#REF!</definedName>
    <definedName name="_RIV9627b6208ce74e7bbfb8ebcef067349f" localSheetId="1" hidden="1">#REF!</definedName>
    <definedName name="_RIV9627b6208ce74e7bbfb8ebcef067349f" localSheetId="13" hidden="1">'[19]Stmt of Capitalization'!#REF!</definedName>
    <definedName name="_RIV9627b6208ce74e7bbfb8ebcef067349f" localSheetId="18" hidden="1">'[19]Stmt of Capitalization'!#REF!</definedName>
    <definedName name="_RIV9627b6208ce74e7bbfb8ebcef067349f" localSheetId="20" hidden="1">#REF!</definedName>
    <definedName name="_RIV9627b6208ce74e7bbfb8ebcef067349f" hidden="1">#REF!</definedName>
    <definedName name="_RIV964de0f465624fc88895bc887157bfeb" localSheetId="13" hidden="1">'[19] Assumptions_A'!#REF!</definedName>
    <definedName name="_RIV964de0f465624fc88895bc887157bfeb" localSheetId="18" hidden="1">'[19] Assumptions_A'!#REF!</definedName>
    <definedName name="_RIV964de0f465624fc88895bc887157bfeb" hidden="1">#REF!</definedName>
    <definedName name="_RIV965f2d56228140b18f08e1d713deb683" localSheetId="1" hidden="1">#REF!</definedName>
    <definedName name="_RIV965f2d56228140b18f08e1d713deb683" localSheetId="20" hidden="1">#REF!</definedName>
    <definedName name="_RIV965f2d56228140b18f08e1d713deb683" hidden="1">#REF!</definedName>
    <definedName name="_RIV9701286e58fa4f0fa7bcd244557f99f4" localSheetId="1" hidden="1">#REF!</definedName>
    <definedName name="_RIV9701286e58fa4f0fa7bcd244557f99f4" localSheetId="20" hidden="1">#REF!</definedName>
    <definedName name="_RIV9701286e58fa4f0fa7bcd244557f99f4" hidden="1">#REF!</definedName>
    <definedName name="_RIV9779f5c544104ed69fbf4b16558c90d5" localSheetId="1" hidden="1">#REF!</definedName>
    <definedName name="_RIV9779f5c544104ed69fbf4b16558c90d5" localSheetId="13" hidden="1">'[19]Stmt of Capitalization'!#REF!</definedName>
    <definedName name="_RIV9779f5c544104ed69fbf4b16558c90d5" localSheetId="18" hidden="1">'[19]Stmt of Capitalization'!#REF!</definedName>
    <definedName name="_RIV9779f5c544104ed69fbf4b16558c90d5" localSheetId="20" hidden="1">#REF!</definedName>
    <definedName name="_RIV9779f5c544104ed69fbf4b16558c90d5" hidden="1">#REF!</definedName>
    <definedName name="_RIV97b4f72fbfca433ebeb7ed4077d7c97b" localSheetId="1" hidden="1">#REF!</definedName>
    <definedName name="_RIV97b4f72fbfca433ebeb7ed4077d7c97b" localSheetId="20" hidden="1">#REF!</definedName>
    <definedName name="_RIV97b4f72fbfca433ebeb7ed4077d7c97b" hidden="1">#REF!</definedName>
    <definedName name="_RIV980d6fe6816d464a90cab49551b79814" localSheetId="1" hidden="1">#REF!</definedName>
    <definedName name="_RIV980d6fe6816d464a90cab49551b79814" localSheetId="13" hidden="1">'[19]Parent IS'!#REF!</definedName>
    <definedName name="_RIV980d6fe6816d464a90cab49551b79814" localSheetId="18" hidden="1">'[19]Parent IS'!#REF!</definedName>
    <definedName name="_RIV980d6fe6816d464a90cab49551b79814" localSheetId="20" hidden="1">#REF!</definedName>
    <definedName name="_RIV980d6fe6816d464a90cab49551b79814" hidden="1">#REF!</definedName>
    <definedName name="_RIV9853b0e910804833ad8c2c82c1bbcf77" localSheetId="1" hidden="1">#REF!</definedName>
    <definedName name="_RIV9853b0e910804833ad8c2c82c1bbcf77" localSheetId="20" hidden="1">#REF!</definedName>
    <definedName name="_RIV9853b0e910804833ad8c2c82c1bbcf77" hidden="1">#REF!</definedName>
    <definedName name="_RIV996305142c0b4d53aef562a14ada5f8e" localSheetId="1" hidden="1">#REF!</definedName>
    <definedName name="_RIV996305142c0b4d53aef562a14ada5f8e" localSheetId="13" hidden="1">[19]ChangesInAOCI!#REF!</definedName>
    <definedName name="_RIV996305142c0b4d53aef562a14ada5f8e" localSheetId="18" hidden="1">[19]ChangesInAOCI!#REF!</definedName>
    <definedName name="_RIV996305142c0b4d53aef562a14ada5f8e" localSheetId="20" hidden="1">#REF!</definedName>
    <definedName name="_RIV996305142c0b4d53aef562a14ada5f8e" hidden="1">#REF!</definedName>
    <definedName name="_RIV997509bdb1894b9da4525234a988f2bf" localSheetId="1" hidden="1">#REF!</definedName>
    <definedName name="_RIV997509bdb1894b9da4525234a988f2bf" localSheetId="20" hidden="1">#REF!</definedName>
    <definedName name="_RIV997509bdb1894b9da4525234a988f2bf" hidden="1">#REF!</definedName>
    <definedName name="_RIV99f6de3298574507b9e4b8c6c0826f50" localSheetId="1" hidden="1">#REF!</definedName>
    <definedName name="_RIV99f6de3298574507b9e4b8c6c0826f50" localSheetId="20" hidden="1">#REF!</definedName>
    <definedName name="_RIV99f6de3298574507b9e4b8c6c0826f50" hidden="1">#REF!</definedName>
    <definedName name="_RIV9a893dd1a99c447f84eb893157becbc5" localSheetId="1" hidden="1">#REF!</definedName>
    <definedName name="_RIV9a893dd1a99c447f84eb893157becbc5" localSheetId="13" hidden="1">'[19]Balance Sheet'!#REF!</definedName>
    <definedName name="_RIV9a893dd1a99c447f84eb893157becbc5" localSheetId="18" hidden="1">'[19]Balance Sheet'!#REF!</definedName>
    <definedName name="_RIV9a893dd1a99c447f84eb893157becbc5" localSheetId="20" hidden="1">#REF!</definedName>
    <definedName name="_RIV9a893dd1a99c447f84eb893157becbc5" hidden="1">#REF!</definedName>
    <definedName name="_RIV9accec5e22f44ec5a81342b435ba4296" localSheetId="1" hidden="1">#REF!</definedName>
    <definedName name="_RIV9accec5e22f44ec5a81342b435ba4296" localSheetId="20" hidden="1">#REF!</definedName>
    <definedName name="_RIV9accec5e22f44ec5a81342b435ba4296" hidden="1">#REF!</definedName>
    <definedName name="_RIV9ace8043e0e04e21a8a7e504436c56d7" localSheetId="1" hidden="1">#REF!</definedName>
    <definedName name="_RIV9ace8043e0e04e21a8a7e504436c56d7" localSheetId="13" hidden="1">'[19]Regulatory Assets'!#REF!</definedName>
    <definedName name="_RIV9ace8043e0e04e21a8a7e504436c56d7" localSheetId="18" hidden="1">'[19]Regulatory Assets'!#REF!</definedName>
    <definedName name="_RIV9ace8043e0e04e21a8a7e504436c56d7" localSheetId="20" hidden="1">#REF!</definedName>
    <definedName name="_RIV9ace8043e0e04e21a8a7e504436c56d7" hidden="1">#REF!</definedName>
    <definedName name="_RIV9aeb3e59afc944db97f01a886e246b9f" localSheetId="1" hidden="1">#REF!</definedName>
    <definedName name="_RIV9aeb3e59afc944db97f01a886e246b9f" localSheetId="20" hidden="1">#REF!</definedName>
    <definedName name="_RIV9aeb3e59afc944db97f01a886e246b9f" hidden="1">#REF!</definedName>
    <definedName name="_RIV9b33fe6a8a784620a7cc7d0a30575c66" localSheetId="1" hidden="1">#REF!</definedName>
    <definedName name="_RIV9b33fe6a8a784620a7cc7d0a30575c66" localSheetId="20" hidden="1">#REF!</definedName>
    <definedName name="_RIV9b33fe6a8a784620a7cc7d0a30575c66" hidden="1">#REF!</definedName>
    <definedName name="_RIV9b3f1e7599284ed5b779a8ed2d1bdc6c" localSheetId="1" hidden="1">#REF!</definedName>
    <definedName name="_RIV9b3f1e7599284ed5b779a8ed2d1bdc6c" localSheetId="13" hidden="1">'[19] Assumptions_A'!#REF!</definedName>
    <definedName name="_RIV9b3f1e7599284ed5b779a8ed2d1bdc6c" localSheetId="18" hidden="1">'[19] Assumptions_A'!#REF!</definedName>
    <definedName name="_RIV9b3f1e7599284ed5b779a8ed2d1bdc6c" localSheetId="20" hidden="1">#REF!</definedName>
    <definedName name="_RIV9b3f1e7599284ed5b779a8ed2d1bdc6c" hidden="1">#REF!</definedName>
    <definedName name="_RIV9b476ad4d9784a5aa8ab9eb1f0f99928" localSheetId="13" hidden="1">'[19]Operating Results'!#REF!</definedName>
    <definedName name="_RIV9b476ad4d9784a5aa8ab9eb1f0f99928" localSheetId="18" hidden="1">'[19]Operating Results'!#REF!</definedName>
    <definedName name="_RIV9b476ad4d9784a5aa8ab9eb1f0f99928" hidden="1">#REF!</definedName>
    <definedName name="_RIV9c144dc037ca4658be42817dba978c13" localSheetId="1" hidden="1">#REF!</definedName>
    <definedName name="_RIV9c144dc037ca4658be42817dba978c13" localSheetId="20" hidden="1">#REF!</definedName>
    <definedName name="_RIV9c144dc037ca4658be42817dba978c13" hidden="1">#REF!</definedName>
    <definedName name="_RIV9c31785789854a68ab2f5253aaa40e0e" localSheetId="1" hidden="1">#REF!</definedName>
    <definedName name="_RIV9c31785789854a68ab2f5253aaa40e0e" localSheetId="20" hidden="1">#REF!</definedName>
    <definedName name="_RIV9c31785789854a68ab2f5253aaa40e0e" hidden="1">#REF!</definedName>
    <definedName name="_RIV9c400cbb87f445c4822d9ecb0fc12135" localSheetId="1" hidden="1">#REF!</definedName>
    <definedName name="_RIV9c400cbb87f445c4822d9ecb0fc12135" localSheetId="20" hidden="1">#REF!</definedName>
    <definedName name="_RIV9c400cbb87f445c4822d9ecb0fc12135" hidden="1">#REF!</definedName>
    <definedName name="_RIV9c96906427c94309825b11d997879f17" localSheetId="1" hidden="1">#REF!</definedName>
    <definedName name="_RIV9c96906427c94309825b11d997879f17" localSheetId="20" hidden="1">#REF!</definedName>
    <definedName name="_RIV9c96906427c94309825b11d997879f17" hidden="1">#REF!</definedName>
    <definedName name="_RIV9ca5389e132343febeb4167f6f925f7e" localSheetId="1" hidden="1">#REF!</definedName>
    <definedName name="_RIV9ca5389e132343febeb4167f6f925f7e" localSheetId="20" hidden="1">#REF!</definedName>
    <definedName name="_RIV9ca5389e132343febeb4167f6f925f7e" hidden="1">#REF!</definedName>
    <definedName name="_RIV9d24ff45587c455e81596ae9cc04727a" localSheetId="1" hidden="1">#REF!</definedName>
    <definedName name="_RIV9d24ff45587c455e81596ae9cc04727a" localSheetId="13" hidden="1">'[19]DISCO FN (BS)'!#REF!</definedName>
    <definedName name="_RIV9d24ff45587c455e81596ae9cc04727a" localSheetId="18" hidden="1">'[19]DISCO FN (BS)'!#REF!</definedName>
    <definedName name="_RIV9d24ff45587c455e81596ae9cc04727a" localSheetId="20" hidden="1">#REF!</definedName>
    <definedName name="_RIV9d24ff45587c455e81596ae9cc04727a" hidden="1">#REF!</definedName>
    <definedName name="_RIV9d8e76aab9b642cc88e57cefddd31e6d" localSheetId="13" hidden="1">[20]segments!#REF!</definedName>
    <definedName name="_RIV9d8e76aab9b642cc88e57cefddd31e6d" localSheetId="18" hidden="1">[20]segments!#REF!</definedName>
    <definedName name="_RIV9d8e76aab9b642cc88e57cefddd31e6d" hidden="1">#REF!</definedName>
    <definedName name="_RIV9db2e839e1194493b08bf76c1683ecc2" localSheetId="13" hidden="1">'[19]Operating Results'!#REF!</definedName>
    <definedName name="_RIV9db2e839e1194493b08bf76c1683ecc2" localSheetId="18" hidden="1">'[19]Operating Results'!#REF!</definedName>
    <definedName name="_RIV9db2e839e1194493b08bf76c1683ecc2" hidden="1">#REF!</definedName>
    <definedName name="_RIV9dc0acd7de4147e89f57ffcc24c1d364" localSheetId="13" hidden="1">'[19] Assumptions_A'!#REF!</definedName>
    <definedName name="_RIV9dc0acd7de4147e89f57ffcc24c1d364" localSheetId="18" hidden="1">'[19] Assumptions_A'!#REF!</definedName>
    <definedName name="_RIV9dc0acd7de4147e89f57ffcc24c1d364" hidden="1">#REF!</definedName>
    <definedName name="_RIV9e25fa0b9dd74805b74a9f4fce5b8080" localSheetId="1" hidden="1">#REF!</definedName>
    <definedName name="_RIV9e25fa0b9dd74805b74a9f4fce5b8080" localSheetId="20" hidden="1">#REF!</definedName>
    <definedName name="_RIV9e25fa0b9dd74805b74a9f4fce5b8080" hidden="1">#REF!</definedName>
    <definedName name="_RIV9e4b93bc57c04cf996faf68cf4ae5931" localSheetId="1" hidden="1">#REF!</definedName>
    <definedName name="_RIV9e4b93bc57c04cf996faf68cf4ae5931" localSheetId="20" hidden="1">#REF!</definedName>
    <definedName name="_RIV9e4b93bc57c04cf996faf68cf4ae5931" hidden="1">#REF!</definedName>
    <definedName name="_RIV9f32d3055b1843b5bd86f9814127e6c0" localSheetId="1" hidden="1">#REF!</definedName>
    <definedName name="_RIV9f32d3055b1843b5bd86f9814127e6c0" localSheetId="20" hidden="1">#REF!</definedName>
    <definedName name="_RIV9f32d3055b1843b5bd86f9814127e6c0" hidden="1">#REF!</definedName>
    <definedName name="_RIV9f34847b6b5e4e8f83c5a7432200e767" localSheetId="1" hidden="1">#REF!</definedName>
    <definedName name="_RIV9f34847b6b5e4e8f83c5a7432200e767" localSheetId="13" hidden="1">'[19]Com.StkHldr''s Equity'!#REF!</definedName>
    <definedName name="_RIV9f34847b6b5e4e8f83c5a7432200e767" localSheetId="18" hidden="1">'[19]Com.StkHldr''s Equity'!#REF!</definedName>
    <definedName name="_RIV9f34847b6b5e4e8f83c5a7432200e767" localSheetId="20" hidden="1">#REF!</definedName>
    <definedName name="_RIV9f34847b6b5e4e8f83c5a7432200e767" hidden="1">#REF!</definedName>
    <definedName name="_RIV9f397e7195a148df8c9cbb325fabe50d" localSheetId="13" hidden="1">'[19]Intrinsic and FV'!#REF!</definedName>
    <definedName name="_RIV9f397e7195a148df8c9cbb325fabe50d" localSheetId="18" hidden="1">'[19]Intrinsic and FV'!#REF!</definedName>
    <definedName name="_RIV9f397e7195a148df8c9cbb325fabe50d" hidden="1">#REF!</definedName>
    <definedName name="_RIV9f52146a93084b82a188725a06cbb79a" localSheetId="13" hidden="1">'[19]OH Acquisition'!#REF!</definedName>
    <definedName name="_RIV9f52146a93084b82a188725a06cbb79a" localSheetId="18" hidden="1">'[19]OH Acquisition'!#REF!</definedName>
    <definedName name="_RIV9f52146a93084b82a188725a06cbb79a" hidden="1">#REF!</definedName>
    <definedName name="_RIV9f69309accc247b4a8a627efbd9c37cc" localSheetId="13" hidden="1">'[21]segments assets'!#REF!</definedName>
    <definedName name="_RIV9f69309accc247b4a8a627efbd9c37cc" localSheetId="18" hidden="1">'[21]segments assets'!#REF!</definedName>
    <definedName name="_RIV9f69309accc247b4a8a627efbd9c37cc" hidden="1">#REF!</definedName>
    <definedName name="_RIV9fb39411ef1640159a520a0bb96b6ec9" localSheetId="13" hidden="1">[19]FedIncomeTax!#REF!</definedName>
    <definedName name="_RIV9fb39411ef1640159a520a0bb96b6ec9" localSheetId="18" hidden="1">[19]FedIncomeTax!#REF!</definedName>
    <definedName name="_RIV9fb39411ef1640159a520a0bb96b6ec9" hidden="1">#REF!</definedName>
    <definedName name="_RIV9fba925180a5416e887305790416337b" localSheetId="1" hidden="1">#REF!</definedName>
    <definedName name="_RIV9fba925180a5416e887305790416337b" localSheetId="20" hidden="1">#REF!</definedName>
    <definedName name="_RIV9fba925180a5416e887305790416337b" hidden="1">#REF!</definedName>
    <definedName name="_RIV9fd8cca1e00e4bbc856e40293a646945" localSheetId="1" hidden="1">#REF!</definedName>
    <definedName name="_RIV9fd8cca1e00e4bbc856e40293a646945" localSheetId="13" hidden="1">'[19]Regulatory Assets'!#REF!</definedName>
    <definedName name="_RIV9fd8cca1e00e4bbc856e40293a646945" localSheetId="18" hidden="1">'[19]Regulatory Assets'!#REF!</definedName>
    <definedName name="_RIV9fd8cca1e00e4bbc856e40293a646945" localSheetId="20" hidden="1">#REF!</definedName>
    <definedName name="_RIV9fd8cca1e00e4bbc856e40293a646945" hidden="1">#REF!</definedName>
    <definedName name="_RIV9fe8e610b97a4d9b84e690f402a5d8c6" localSheetId="13" hidden="1">'[19]DISCO FN (BS)'!#REF!</definedName>
    <definedName name="_RIV9fe8e610b97a4d9b84e690f402a5d8c6" localSheetId="18" hidden="1">'[19]DISCO FN (BS)'!#REF!</definedName>
    <definedName name="_RIV9fe8e610b97a4d9b84e690f402a5d8c6" hidden="1">#REF!</definedName>
    <definedName name="_RIV9fe9962dbb5b4a68a782a60cdd0cb206" localSheetId="13" hidden="1">'[19]Parent BS'!#REF!</definedName>
    <definedName name="_RIV9fe9962dbb5b4a68a782a60cdd0cb206" localSheetId="18" hidden="1">'[19]Parent BS'!#REF!</definedName>
    <definedName name="_RIV9fe9962dbb5b4a68a782a60cdd0cb206" hidden="1">#REF!</definedName>
    <definedName name="_RIVa022bb18fa9b4ba78580a9f152bcdfa1" localSheetId="1" hidden="1">#REF!</definedName>
    <definedName name="_RIVa022bb18fa9b4ba78580a9f152bcdfa1" localSheetId="20" hidden="1">#REF!</definedName>
    <definedName name="_RIVa022bb18fa9b4ba78580a9f152bcdfa1" hidden="1">#REF!</definedName>
    <definedName name="_RIVa04393ad3a754c528c334be1fc8ac00b" localSheetId="1" hidden="1">#REF!</definedName>
    <definedName name="_RIVa04393ad3a754c528c334be1fc8ac00b" localSheetId="13" hidden="1">'[20]CONINCOME QTR'!#REF!</definedName>
    <definedName name="_RIVa04393ad3a754c528c334be1fc8ac00b" localSheetId="18" hidden="1">'[20]CONINCOME QTR'!#REF!</definedName>
    <definedName name="_RIVa04393ad3a754c528c334be1fc8ac00b" localSheetId="20" hidden="1">#REF!</definedName>
    <definedName name="_RIVa04393ad3a754c528c334be1fc8ac00b" hidden="1">#REF!</definedName>
    <definedName name="_RIVa0a94f99ebbf47fe8ac5f3b113d5689a" localSheetId="1" hidden="1">#REF!</definedName>
    <definedName name="_RIVa0a94f99ebbf47fe8ac5f3b113d5689a" localSheetId="20" hidden="1">#REF!</definedName>
    <definedName name="_RIVa0a94f99ebbf47fe8ac5f3b113d5689a" hidden="1">#REF!</definedName>
    <definedName name="_RIVa0ca3c79bfed421d89a203ca4ba88fa8" localSheetId="1" hidden="1">#REF!</definedName>
    <definedName name="_RIVa0ca3c79bfed421d89a203ca4ba88fa8" localSheetId="20" hidden="1">#REF!</definedName>
    <definedName name="_RIVa0ca3c79bfed421d89a203ca4ba88fa8" hidden="1">#REF!</definedName>
    <definedName name="_RIVa101ffa085af406a9f2675e6c15e74b5" localSheetId="1" hidden="1">#REF!</definedName>
    <definedName name="_RIVa101ffa085af406a9f2675e6c15e74b5" localSheetId="20" hidden="1">#REF!</definedName>
    <definedName name="_RIVa101ffa085af406a9f2675e6c15e74b5" hidden="1">#REF!</definedName>
    <definedName name="_RIVa10754523962478281bd224823ee9770" localSheetId="1" hidden="1">#REF!</definedName>
    <definedName name="_RIVa10754523962478281bd224823ee9770" localSheetId="20" hidden="1">#REF!</definedName>
    <definedName name="_RIVa10754523962478281bd224823ee9770" hidden="1">#REF!</definedName>
    <definedName name="_RIVa10c182da5654a0ca4ac7ff82814058e" localSheetId="1" hidden="1">#REF!</definedName>
    <definedName name="_RIVa10c182da5654a0ca4ac7ff82814058e" localSheetId="13" hidden="1">'[20]other taxes'!#REF!</definedName>
    <definedName name="_RIVa10c182da5654a0ca4ac7ff82814058e" localSheetId="18" hidden="1">'[20]other taxes'!#REF!</definedName>
    <definedName name="_RIVa10c182da5654a0ca4ac7ff82814058e" localSheetId="20" hidden="1">#REF!</definedName>
    <definedName name="_RIVa10c182da5654a0ca4ac7ff82814058e" hidden="1">#REF!</definedName>
    <definedName name="_RIVa149ceb602164c65944d0cacbfffc168" localSheetId="1" hidden="1">#REF!</definedName>
    <definedName name="_RIVa149ceb602164c65944d0cacbfffc168" localSheetId="20" hidden="1">#REF!</definedName>
    <definedName name="_RIVa149ceb602164c65944d0cacbfffc168" hidden="1">#REF!</definedName>
    <definedName name="_RIVa1bd4268cc1b41e08461240ebfed254d" localSheetId="1" hidden="1">#REF!</definedName>
    <definedName name="_RIVa1bd4268cc1b41e08461240ebfed254d" localSheetId="20" hidden="1">#REF!</definedName>
    <definedName name="_RIVa1bd4268cc1b41e08461240ebfed254d" hidden="1">#REF!</definedName>
    <definedName name="_RIVa24378e2351c4c53a99e21795b0fae0f" localSheetId="1" hidden="1">#REF!</definedName>
    <definedName name="_RIVa24378e2351c4c53a99e21795b0fae0f" localSheetId="13" hidden="1">'[19]Com.StkHldr''s Equity'!#REF!</definedName>
    <definedName name="_RIVa24378e2351c4c53a99e21795b0fae0f" localSheetId="18" hidden="1">'[19]Com.StkHldr''s Equity'!#REF!</definedName>
    <definedName name="_RIVa24378e2351c4c53a99e21795b0fae0f" localSheetId="20" hidden="1">#REF!</definedName>
    <definedName name="_RIVa24378e2351c4c53a99e21795b0fae0f" hidden="1">#REF!</definedName>
    <definedName name="_RIVa250eb6bb57848209591795ce0c9eec1" localSheetId="1" hidden="1">#REF!</definedName>
    <definedName name="_RIVa250eb6bb57848209591795ce0c9eec1" localSheetId="20" hidden="1">#REF!</definedName>
    <definedName name="_RIVa250eb6bb57848209591795ce0c9eec1" hidden="1">#REF!</definedName>
    <definedName name="_RIVa2af396868d64b79aec35c50bebf4f58" localSheetId="1" hidden="1">#REF!</definedName>
    <definedName name="_RIVa2af396868d64b79aec35c50bebf4f58" localSheetId="20" hidden="1">#REF!</definedName>
    <definedName name="_RIVa2af396868d64b79aec35c50bebf4f58" hidden="1">#REF!</definedName>
    <definedName name="_RIVa2dc755e027d41949758fdfa16018b75" localSheetId="1" hidden="1">#REF!</definedName>
    <definedName name="_RIVa2dc755e027d41949758fdfa16018b75" localSheetId="13" hidden="1">'[19]Com.StkHldr''s Equity'!#REF!</definedName>
    <definedName name="_RIVa2dc755e027d41949758fdfa16018b75" localSheetId="18" hidden="1">'[19]Com.StkHldr''s Equity'!#REF!</definedName>
    <definedName name="_RIVa2dc755e027d41949758fdfa16018b75" localSheetId="20" hidden="1">#REF!</definedName>
    <definedName name="_RIVa2dc755e027d41949758fdfa16018b75" hidden="1">#REF!</definedName>
    <definedName name="_RIVa34b8d4bbae5441391d32a7d1cdc5821" localSheetId="13" hidden="1">'[19]Com.StkHldr''s Equity'!#REF!</definedName>
    <definedName name="_RIVa34b8d4bbae5441391d32a7d1cdc5821" localSheetId="18" hidden="1">'[19]Com.StkHldr''s Equity'!#REF!</definedName>
    <definedName name="_RIVa34b8d4bbae5441391d32a7d1cdc5821" hidden="1">#REF!</definedName>
    <definedName name="_RIVa356a11ab4754b6cac905851982544c3" localSheetId="13" hidden="1">[19]AcctsReceiv!#REF!</definedName>
    <definedName name="_RIVa356a11ab4754b6cac905851982544c3" localSheetId="18" hidden="1">[19]AcctsReceiv!#REF!</definedName>
    <definedName name="_RIVa356a11ab4754b6cac905851982544c3" hidden="1">#REF!</definedName>
    <definedName name="_RIVa36c53e2c1c24b92975c3158965bd3f4" localSheetId="1" hidden="1">#REF!</definedName>
    <definedName name="_RIVa36c53e2c1c24b92975c3158965bd3f4" localSheetId="20" hidden="1">#REF!</definedName>
    <definedName name="_RIVa36c53e2c1c24b92975c3158965bd3f4" hidden="1">#REF!</definedName>
    <definedName name="_RIVa3a048c3478343389dc80062f5032c7c" localSheetId="1" hidden="1">#REF!</definedName>
    <definedName name="_RIVa3a048c3478343389dc80062f5032c7c" localSheetId="20" hidden="1">#REF!</definedName>
    <definedName name="_RIVa3a048c3478343389dc80062f5032c7c" hidden="1">#REF!</definedName>
    <definedName name="_RIVa3a9cc03508f4a338513aa55bb4e2b37" localSheetId="1" hidden="1">#REF!</definedName>
    <definedName name="_RIVa3a9cc03508f4a338513aa55bb4e2b37" localSheetId="20" hidden="1">#REF!</definedName>
    <definedName name="_RIVa3a9cc03508f4a338513aa55bb4e2b37" hidden="1">#REF!</definedName>
    <definedName name="_RIVa3f20c43478e4cab9c84477648e246d1" localSheetId="1" hidden="1">#REF!</definedName>
    <definedName name="_RIVa3f20c43478e4cab9c84477648e246d1" localSheetId="20" hidden="1">#REF!</definedName>
    <definedName name="_RIVa3f20c43478e4cab9c84477648e246d1" hidden="1">#REF!</definedName>
    <definedName name="_RIVa4c9da3990ce406f818dc3ab49b144f2" localSheetId="1" hidden="1">#REF!</definedName>
    <definedName name="_RIVa4c9da3990ce406f818dc3ab49b144f2" localSheetId="13" hidden="1">'[20]DISCO FN (IS)'!#REF!</definedName>
    <definedName name="_RIVa4c9da3990ce406f818dc3ab49b144f2" localSheetId="18" hidden="1">'[20]DISCO FN (IS)'!#REF!</definedName>
    <definedName name="_RIVa4c9da3990ce406f818dc3ab49b144f2" localSheetId="20" hidden="1">#REF!</definedName>
    <definedName name="_RIVa4c9da3990ce406f818dc3ab49b144f2" hidden="1">#REF!</definedName>
    <definedName name="_RIVa51d1a94d2c24bc0b80274ddf514ae15" localSheetId="13" hidden="1">'[21]PSU Expense'!#REF!</definedName>
    <definedName name="_RIVa51d1a94d2c24bc0b80274ddf514ae15" localSheetId="18" hidden="1">'[21]PSU Expense'!#REF!</definedName>
    <definedName name="_RIVa51d1a94d2c24bc0b80274ddf514ae15" hidden="1">#REF!</definedName>
    <definedName name="_RIVa5235f35b796475483fcf97bd1af6491" localSheetId="13" hidden="1">'[19]RSU Expense'!#REF!</definedName>
    <definedName name="_RIVa5235f35b796475483fcf97bd1af6491" localSheetId="18" hidden="1">'[19]RSU Expense'!#REF!</definedName>
    <definedName name="_RIVa5235f35b796475483fcf97bd1af6491" hidden="1">#REF!</definedName>
    <definedName name="_RIVa52a7414478e4826a3869cd77667a6ea" localSheetId="13" hidden="1">'[19]Com.StkHldr''s Equity'!#REF!</definedName>
    <definedName name="_RIVa52a7414478e4826a3869cd77667a6ea" localSheetId="18" hidden="1">'[19]Com.StkHldr''s Equity'!#REF!</definedName>
    <definedName name="_RIVa52a7414478e4826a3869cd77667a6ea" hidden="1">#REF!</definedName>
    <definedName name="_RIVa52db28c7b564469953470dd4cbcea87" localSheetId="13" hidden="1">'[19]Com.StkHldr''s Equity'!#REF!</definedName>
    <definedName name="_RIVa52db28c7b564469953470dd4cbcea87" localSheetId="18" hidden="1">'[19]Com.StkHldr''s Equity'!#REF!</definedName>
    <definedName name="_RIVa52db28c7b564469953470dd4cbcea87" hidden="1">#REF!</definedName>
    <definedName name="_RIVa5836306fb7647eea52fbf1775cf718a" localSheetId="13" hidden="1">'[20]Option summary'!#REF!</definedName>
    <definedName name="_RIVa5836306fb7647eea52fbf1775cf718a" localSheetId="18" hidden="1">'[20]Option summary'!#REF!</definedName>
    <definedName name="_RIVa5836306fb7647eea52fbf1775cf718a" hidden="1">#REF!</definedName>
    <definedName name="_RIVa606d1efaabb4f4c8d69371200730e7c" localSheetId="1" hidden="1">#REF!</definedName>
    <definedName name="_RIVa606d1efaabb4f4c8d69371200730e7c" localSheetId="20" hidden="1">#REF!</definedName>
    <definedName name="_RIVa606d1efaabb4f4c8d69371200730e7c" hidden="1">#REF!</definedName>
    <definedName name="_RIVa684b217ccd34328b5dc919f973d0702" localSheetId="1" hidden="1">#REF!</definedName>
    <definedName name="_RIVa684b217ccd34328b5dc919f973d0702" localSheetId="13" hidden="1">[19]ChangesInAOCI!#REF!</definedName>
    <definedName name="_RIVa684b217ccd34328b5dc919f973d0702" localSheetId="18" hidden="1">[19]ChangesInAOCI!#REF!</definedName>
    <definedName name="_RIVa684b217ccd34328b5dc919f973d0702" localSheetId="20" hidden="1">#REF!</definedName>
    <definedName name="_RIVa684b217ccd34328b5dc919f973d0702" hidden="1">#REF!</definedName>
    <definedName name="_RIVa68c973e3d0d40d7b2b07d75f379f92b" localSheetId="1" hidden="1">#REF!</definedName>
    <definedName name="_RIVa68c973e3d0d40d7b2b07d75f379f92b" localSheetId="20" hidden="1">#REF!</definedName>
    <definedName name="_RIVa68c973e3d0d40d7b2b07d75f379f92b" hidden="1">#REF!</definedName>
    <definedName name="_RIVa6e6bddd9238407dac3e9085492fc9eb" localSheetId="1" hidden="1">#REF!</definedName>
    <definedName name="_RIVa6e6bddd9238407dac3e9085492fc9eb" localSheetId="13" hidden="1">[19]Costs!#REF!</definedName>
    <definedName name="_RIVa6e6bddd9238407dac3e9085492fc9eb" localSheetId="18" hidden="1">[19]Costs!#REF!</definedName>
    <definedName name="_RIVa6e6bddd9238407dac3e9085492fc9eb" localSheetId="20" hidden="1">#REF!</definedName>
    <definedName name="_RIVa6e6bddd9238407dac3e9085492fc9eb" hidden="1">#REF!</definedName>
    <definedName name="_RIVa70c6c02a03a464ab621abe83194faf8" localSheetId="13" hidden="1">'[19]Com.StkHldr''s Equity'!#REF!</definedName>
    <definedName name="_RIVa70c6c02a03a464ab621abe83194faf8" localSheetId="18" hidden="1">'[19]Com.StkHldr''s Equity'!#REF!</definedName>
    <definedName name="_RIVa70c6c02a03a464ab621abe83194faf8" hidden="1">#REF!</definedName>
    <definedName name="_RIVa750cd8e333e42e0b92e3efb143c77c1" localSheetId="1" hidden="1">#REF!</definedName>
    <definedName name="_RIVa750cd8e333e42e0b92e3efb143c77c1" localSheetId="20" hidden="1">#REF!</definedName>
    <definedName name="_RIVa750cd8e333e42e0b92e3efb143c77c1" hidden="1">#REF!</definedName>
    <definedName name="_RIVa77e20d1c0bb4af6bca02577c8c06632" localSheetId="1" hidden="1">#REF!</definedName>
    <definedName name="_RIVa77e20d1c0bb4af6bca02577c8c06632" localSheetId="20" hidden="1">#REF!</definedName>
    <definedName name="_RIVa77e20d1c0bb4af6bca02577c8c06632" hidden="1">#REF!</definedName>
    <definedName name="_RIVa788ed746eb949cca4f53afbe0d6334b" localSheetId="1" hidden="1">#REF!</definedName>
    <definedName name="_RIVa788ed746eb949cca4f53afbe0d6334b" localSheetId="20" hidden="1">#REF!</definedName>
    <definedName name="_RIVa788ed746eb949cca4f53afbe0d6334b" hidden="1">#REF!</definedName>
    <definedName name="_RIVa7a353c939344c9ea61696f9b14d31da" localSheetId="1" hidden="1">#REF!</definedName>
    <definedName name="_RIVa7a353c939344c9ea61696f9b14d31da" localSheetId="13" hidden="1">[20]conbalancesheet!#REF!</definedName>
    <definedName name="_RIVa7a353c939344c9ea61696f9b14d31da" localSheetId="18" hidden="1">[20]conbalancesheet!#REF!</definedName>
    <definedName name="_RIVa7a353c939344c9ea61696f9b14d31da" localSheetId="20" hidden="1">#REF!</definedName>
    <definedName name="_RIVa7a353c939344c9ea61696f9b14d31da" hidden="1">#REF!</definedName>
    <definedName name="_RIVa81bc9de470f498faee24a0be0c2fb2c" localSheetId="1" hidden="1">#REF!</definedName>
    <definedName name="_RIVa81bc9de470f498faee24a0be0c2fb2c" localSheetId="20" hidden="1">#REF!</definedName>
    <definedName name="_RIVa81bc9de470f498faee24a0be0c2fb2c" hidden="1">#REF!</definedName>
    <definedName name="_RIVa8730e098017444bab3811c6749b3ccb" localSheetId="1" hidden="1">#REF!</definedName>
    <definedName name="_RIVa8730e098017444bab3811c6749b3ccb" localSheetId="13" hidden="1">'[20]RSU Expense'!#REF!</definedName>
    <definedName name="_RIVa8730e098017444bab3811c6749b3ccb" localSheetId="18" hidden="1">'[20]RSU Expense'!#REF!</definedName>
    <definedName name="_RIVa8730e098017444bab3811c6749b3ccb" localSheetId="20" hidden="1">#REF!</definedName>
    <definedName name="_RIVa8730e098017444bab3811c6749b3ccb" hidden="1">#REF!</definedName>
    <definedName name="_RIVa8c28ae6fedb4798993ca4050048c2a7" localSheetId="13" hidden="1">[19]Assumptions_B!#REF!</definedName>
    <definedName name="_RIVa8c28ae6fedb4798993ca4050048c2a7" localSheetId="18" hidden="1">[19]Assumptions_B!#REF!</definedName>
    <definedName name="_RIVa8c28ae6fedb4798993ca4050048c2a7" hidden="1">#REF!</definedName>
    <definedName name="_RIVa8d7081e9e114e4caac445d77ff6b78f" localSheetId="1" hidden="1">#REF!</definedName>
    <definedName name="_RIVa8d7081e9e114e4caac445d77ff6b78f" localSheetId="20" hidden="1">#REF!</definedName>
    <definedName name="_RIVa8d7081e9e114e4caac445d77ff6b78f" hidden="1">#REF!</definedName>
    <definedName name="_RIVa911427624cb452c98f40a470c7a3da3" localSheetId="1" hidden="1">#REF!</definedName>
    <definedName name="_RIVa911427624cb452c98f40a470c7a3da3" localSheetId="20" hidden="1">#REF!</definedName>
    <definedName name="_RIVa911427624cb452c98f40a470c7a3da3" hidden="1">#REF!</definedName>
    <definedName name="_RIVa971a7c702d9425a9b5a07bf412257f0" localSheetId="1" hidden="1">#REF!</definedName>
    <definedName name="_RIVa971a7c702d9425a9b5a07bf412257f0" localSheetId="20" hidden="1">#REF!</definedName>
    <definedName name="_RIVa971a7c702d9425a9b5a07bf412257f0" hidden="1">#REF!</definedName>
    <definedName name="_RIVa9c3713941974bd6bcd3621bafad195f" localSheetId="1" hidden="1">#REF!</definedName>
    <definedName name="_RIVa9c3713941974bd6bcd3621bafad195f" localSheetId="13" hidden="1">[20]Pension!#REF!</definedName>
    <definedName name="_RIVa9c3713941974bd6bcd3621bafad195f" localSheetId="18" hidden="1">[20]Pension!#REF!</definedName>
    <definedName name="_RIVa9c3713941974bd6bcd3621bafad195f" localSheetId="20" hidden="1">#REF!</definedName>
    <definedName name="_RIVa9c3713941974bd6bcd3621bafad195f" hidden="1">#REF!</definedName>
    <definedName name="_RIVa9dc208763ae4d86ad2b731105a9d3f1" localSheetId="1" hidden="1">#REF!</definedName>
    <definedName name="_RIVa9dc208763ae4d86ad2b731105a9d3f1" localSheetId="20" hidden="1">#REF!</definedName>
    <definedName name="_RIVa9dc208763ae4d86ad2b731105a9d3f1" hidden="1">#REF!</definedName>
    <definedName name="_RIVa9f378f1dae74cd1b5afbcdac3da1561" localSheetId="1" hidden="1">#REF!</definedName>
    <definedName name="_RIVa9f378f1dae74cd1b5afbcdac3da1561" localSheetId="20" hidden="1">#REF!</definedName>
    <definedName name="_RIVa9f378f1dae74cd1b5afbcdac3da1561" hidden="1">#REF!</definedName>
    <definedName name="_RIVa9ffcf5af9ef46919219ce861747f809" localSheetId="1" hidden="1">#REF!</definedName>
    <definedName name="_RIVa9ffcf5af9ef46919219ce861747f809" localSheetId="20" hidden="1">#REF!</definedName>
    <definedName name="_RIVa9ffcf5af9ef46919219ce861747f809" hidden="1">#REF!</definedName>
    <definedName name="_RIVaa01f8767f0245f8aeea9b962b9aa12c" localSheetId="1" hidden="1">#REF!</definedName>
    <definedName name="_RIVaa01f8767f0245f8aeea9b962b9aa12c" localSheetId="20" hidden="1">#REF!</definedName>
    <definedName name="_RIVaa01f8767f0245f8aeea9b962b9aa12c" hidden="1">#REF!</definedName>
    <definedName name="_RIVab25769ad4e04257b20a3016e46cac4b" localSheetId="1" hidden="1">#REF!</definedName>
    <definedName name="_RIVab25769ad4e04257b20a3016e46cac4b" localSheetId="20" hidden="1">#REF!</definedName>
    <definedName name="_RIVab25769ad4e04257b20a3016e46cac4b" hidden="1">#REF!</definedName>
    <definedName name="_RIVab9ec757758d44eaabdeb5bcc16c95ec" localSheetId="1" hidden="1">#REF!</definedName>
    <definedName name="_RIVab9ec757758d44eaabdeb5bcc16c95ec" localSheetId="20" hidden="1">#REF!</definedName>
    <definedName name="_RIVab9ec757758d44eaabdeb5bcc16c95ec" hidden="1">#REF!</definedName>
    <definedName name="_RIVabd5893993714aaf8c4df67cf20257a6" localSheetId="1" hidden="1">#REF!</definedName>
    <definedName name="_RIVabd5893993714aaf8c4df67cf20257a6" localSheetId="20" hidden="1">#REF!</definedName>
    <definedName name="_RIVabd5893993714aaf8c4df67cf20257a6" hidden="1">#REF!</definedName>
    <definedName name="_RIVac60602ba15a4f52a8529d09d066ed63" localSheetId="1" hidden="1">#REF!</definedName>
    <definedName name="_RIVac60602ba15a4f52a8529d09d066ed63" localSheetId="20" hidden="1">#REF!</definedName>
    <definedName name="_RIVac60602ba15a4f52a8529d09d066ed63" hidden="1">#REF!</definedName>
    <definedName name="_RIVacbb362510c04e2da8019ba87fc54316" localSheetId="1" hidden="1">#REF!</definedName>
    <definedName name="_RIVacbb362510c04e2da8019ba87fc54316" localSheetId="20" hidden="1">#REF!</definedName>
    <definedName name="_RIVacbb362510c04e2da8019ba87fc54316" hidden="1">#REF!</definedName>
    <definedName name="_RIVacda3641a09146a99644bc4a381bad80" localSheetId="1" hidden="1">#REF!</definedName>
    <definedName name="_RIVacda3641a09146a99644bc4a381bad80" localSheetId="20" hidden="1">#REF!</definedName>
    <definedName name="_RIVacda3641a09146a99644bc4a381bad80" hidden="1">#REF!</definedName>
    <definedName name="_RIVace9ddf0076645fc9c66b04601cd0939" localSheetId="1" hidden="1">#REF!</definedName>
    <definedName name="_RIVace9ddf0076645fc9c66b04601cd0939" localSheetId="20" hidden="1">#REF!</definedName>
    <definedName name="_RIVace9ddf0076645fc9c66b04601cd0939" hidden="1">#REF!</definedName>
    <definedName name="_RIVad51c60c9a534b7fb952d72903931f71" localSheetId="1" hidden="1">#REF!</definedName>
    <definedName name="_RIVad51c60c9a534b7fb952d72903931f71" localSheetId="13" hidden="1">[19]PensOPEBObligations!#REF!</definedName>
    <definedName name="_RIVad51c60c9a534b7fb952d72903931f71" localSheetId="18" hidden="1">[19]PensOPEBObligations!#REF!</definedName>
    <definedName name="_RIVad51c60c9a534b7fb952d72903931f71" localSheetId="20" hidden="1">#REF!</definedName>
    <definedName name="_RIVad51c60c9a534b7fb952d72903931f71" hidden="1">#REF!</definedName>
    <definedName name="_RIVad7ed0f2c035453b863f6255229029c1" localSheetId="13" hidden="1">'[20]Comprehensive Income'!#REF!</definedName>
    <definedName name="_RIVad7ed0f2c035453b863f6255229029c1" localSheetId="18" hidden="1">'[20]Comprehensive Income'!#REF!</definedName>
    <definedName name="_RIVad7ed0f2c035453b863f6255229029c1" hidden="1">#REF!</definedName>
    <definedName name="_RIVad8ab960857141288a11397456142695" localSheetId="13" hidden="1">'[19]Com.StkHldr''s Equity'!#REF!</definedName>
    <definedName name="_RIVad8ab960857141288a11397456142695" localSheetId="18" hidden="1">'[19]Com.StkHldr''s Equity'!#REF!</definedName>
    <definedName name="_RIVad8ab960857141288a11397456142695" hidden="1">#REF!</definedName>
    <definedName name="_RIVadb7cc7ca63d45d6b20be902e58a70c7" localSheetId="1" hidden="1">#REF!</definedName>
    <definedName name="_RIVadb7cc7ca63d45d6b20be902e58a70c7" localSheetId="20" hidden="1">#REF!</definedName>
    <definedName name="_RIVadb7cc7ca63d45d6b20be902e58a70c7" hidden="1">#REF!</definedName>
    <definedName name="_RIVadd41d91df8e4942b42a0450b1e4ddfa" localSheetId="1" hidden="1">#REF!</definedName>
    <definedName name="_RIVadd41d91df8e4942b42a0450b1e4ddfa" localSheetId="20" hidden="1">#REF!</definedName>
    <definedName name="_RIVadd41d91df8e4942b42a0450b1e4ddfa" hidden="1">#REF!</definedName>
    <definedName name="_RIVadfc3e286c424c4cb60af82bffe90d62" localSheetId="1" hidden="1">#REF!</definedName>
    <definedName name="_RIVadfc3e286c424c4cb60af82bffe90d62" localSheetId="13" hidden="1">'[19] Assumptions_A'!#REF!</definedName>
    <definedName name="_RIVadfc3e286c424c4cb60af82bffe90d62" localSheetId="18" hidden="1">'[19] Assumptions_A'!#REF!</definedName>
    <definedName name="_RIVadfc3e286c424c4cb60af82bffe90d62" localSheetId="20" hidden="1">#REF!</definedName>
    <definedName name="_RIVadfc3e286c424c4cb60af82bffe90d62" hidden="1">#REF!</definedName>
    <definedName name="_RIVadfe29a7bc854f14ad4f0a5e527c6c67" localSheetId="1" hidden="1">#REF!</definedName>
    <definedName name="_RIVadfe29a7bc854f14ad4f0a5e527c6c67" localSheetId="20" hidden="1">#REF!</definedName>
    <definedName name="_RIVadfe29a7bc854f14ad4f0a5e527c6c67" hidden="1">#REF!</definedName>
    <definedName name="_RIVae4851813f714c9ba44f8726d6052185" localSheetId="1" hidden="1">#REF!</definedName>
    <definedName name="_RIVae4851813f714c9ba44f8726d6052185" localSheetId="13" hidden="1">'[20]Option summary'!#REF!</definedName>
    <definedName name="_RIVae4851813f714c9ba44f8726d6052185" localSheetId="18" hidden="1">'[20]Option summary'!#REF!</definedName>
    <definedName name="_RIVae4851813f714c9ba44f8726d6052185" localSheetId="20" hidden="1">#REF!</definedName>
    <definedName name="_RIVae4851813f714c9ba44f8726d6052185" hidden="1">#REF!</definedName>
    <definedName name="_RIVae5aedbd36804dabae40aefc8d469252" localSheetId="1" hidden="1">#REF!</definedName>
    <definedName name="_RIVae5aedbd36804dabae40aefc8d469252" localSheetId="20" hidden="1">#REF!</definedName>
    <definedName name="_RIVae5aedbd36804dabae40aefc8d469252" hidden="1">#REF!</definedName>
    <definedName name="_RIVae77c14ae4cd49f089bc4be0dfc76e2f" localSheetId="1" hidden="1">#REF!</definedName>
    <definedName name="_RIVae77c14ae4cd49f089bc4be0dfc76e2f" localSheetId="20" hidden="1">#REF!</definedName>
    <definedName name="_RIVae77c14ae4cd49f089bc4be0dfc76e2f" hidden="1">#REF!</definedName>
    <definedName name="_RIVaeaea7b2b37c49e994686e22f0efec1b" localSheetId="1" hidden="1">#REF!</definedName>
    <definedName name="_RIVaeaea7b2b37c49e994686e22f0efec1b" localSheetId="13" hidden="1">[19]TrendRates!#REF!</definedName>
    <definedName name="_RIVaeaea7b2b37c49e994686e22f0efec1b" localSheetId="18" hidden="1">[19]TrendRates!#REF!</definedName>
    <definedName name="_RIVaeaea7b2b37c49e994686e22f0efec1b" localSheetId="20" hidden="1">#REF!</definedName>
    <definedName name="_RIVaeaea7b2b37c49e994686e22f0efec1b" hidden="1">#REF!</definedName>
    <definedName name="_RIVaed53e2ca9c543f7bffeaac8885f1b91" localSheetId="1" hidden="1">#REF!</definedName>
    <definedName name="_RIVaed53e2ca9c543f7bffeaac8885f1b91" localSheetId="20" hidden="1">#REF!</definedName>
    <definedName name="_RIVaed53e2ca9c543f7bffeaac8885f1b91" hidden="1">#REF!</definedName>
    <definedName name="_RIVaf4047977885496f9cd6a6d886199773" localSheetId="1" hidden="1">#REF!</definedName>
    <definedName name="_RIVaf4047977885496f9cd6a6d886199773" localSheetId="20" hidden="1">#REF!</definedName>
    <definedName name="_RIVaf4047977885496f9cd6a6d886199773" hidden="1">#REF!</definedName>
    <definedName name="_RIVaf63eb6e9f974be3aa367b1d51bd90a6" localSheetId="1" hidden="1">#REF!</definedName>
    <definedName name="_RIVaf63eb6e9f974be3aa367b1d51bd90a6" localSheetId="20" hidden="1">#REF!</definedName>
    <definedName name="_RIVaf63eb6e9f974be3aa367b1d51bd90a6" hidden="1">#REF!</definedName>
    <definedName name="_RIVaf700a8072ee454f8197a61c71e9a563" localSheetId="1" hidden="1">#REF!</definedName>
    <definedName name="_RIVaf700a8072ee454f8197a61c71e9a563" localSheetId="20" hidden="1">#REF!</definedName>
    <definedName name="_RIVaf700a8072ee454f8197a61c71e9a563" hidden="1">#REF!</definedName>
    <definedName name="_RIVaf76a6926ae047a88cf4622cb2c0191e" localSheetId="1" hidden="1">#REF!</definedName>
    <definedName name="_RIVaf76a6926ae047a88cf4622cb2c0191e" localSheetId="13" hidden="1">[21]CONCASHFLOW!#REF!</definedName>
    <definedName name="_RIVaf76a6926ae047a88cf4622cb2c0191e" localSheetId="18" hidden="1">[21]CONCASHFLOW!#REF!</definedName>
    <definedName name="_RIVaf76a6926ae047a88cf4622cb2c0191e" localSheetId="20" hidden="1">#REF!</definedName>
    <definedName name="_RIVaf76a6926ae047a88cf4622cb2c0191e" hidden="1">#REF!</definedName>
    <definedName name="_RIVaf82ce1785244ed8bc15689922098c0c" localSheetId="13" hidden="1">[19]Costs!#REF!</definedName>
    <definedName name="_RIVaf82ce1785244ed8bc15689922098c0c" localSheetId="18" hidden="1">[19]Costs!#REF!</definedName>
    <definedName name="_RIVaf82ce1785244ed8bc15689922098c0c" hidden="1">#REF!</definedName>
    <definedName name="_RIVafb6a6b6319c4e1d912af83fada90427" localSheetId="13" hidden="1">'[19] Assumptions_A'!#REF!</definedName>
    <definedName name="_RIVafb6a6b6319c4e1d912af83fada90427" localSheetId="18" hidden="1">'[19] Assumptions_A'!#REF!</definedName>
    <definedName name="_RIVafb6a6b6319c4e1d912af83fada90427" hidden="1">#REF!</definedName>
    <definedName name="_RIVb06c4db7cfd84f08ba76493ee83d66bd" localSheetId="13" hidden="1">'[24]Non-GAAP DISCO'!#REF!</definedName>
    <definedName name="_RIVb06c4db7cfd84f08ba76493ee83d66bd" localSheetId="18" hidden="1">'[24]Non-GAAP DISCO'!#REF!</definedName>
    <definedName name="_RIVb06c4db7cfd84f08ba76493ee83d66bd" hidden="1">#REF!</definedName>
    <definedName name="_RIVb0f7d036dbc943c4bcfb0e3cb31f685a" localSheetId="1" hidden="1">#REF!</definedName>
    <definedName name="_RIVb0f7d036dbc943c4bcfb0e3cb31f685a" localSheetId="20" hidden="1">#REF!</definedName>
    <definedName name="_RIVb0f7d036dbc943c4bcfb0e3cb31f685a" hidden="1">#REF!</definedName>
    <definedName name="_RIVb107283ae89644f8803fa980bcf5668b" localSheetId="1" hidden="1">#REF!</definedName>
    <definedName name="_RIVb107283ae89644f8803fa980bcf5668b" localSheetId="20" hidden="1">#REF!</definedName>
    <definedName name="_RIVb107283ae89644f8803fa980bcf5668b" hidden="1">#REF!</definedName>
    <definedName name="_RIVb171974230dd4b219b4c7fed499f975d" localSheetId="1" hidden="1">#REF!</definedName>
    <definedName name="_RIVb171974230dd4b219b4c7fed499f975d" localSheetId="20" hidden="1">#REF!</definedName>
    <definedName name="_RIVb171974230dd4b219b4c7fed499f975d" hidden="1">#REF!</definedName>
    <definedName name="_RIVb1a174af64b14084a27bba78ad7026cb" localSheetId="1" hidden="1">#REF!</definedName>
    <definedName name="_RIVb1a174af64b14084a27bba78ad7026cb" localSheetId="13" hidden="1">'[19]FV_Current Year'!#REF!</definedName>
    <definedName name="_RIVb1a174af64b14084a27bba78ad7026cb" localSheetId="18" hidden="1">'[19]FV_Current Year'!#REF!</definedName>
    <definedName name="_RIVb1a174af64b14084a27bba78ad7026cb" localSheetId="20" hidden="1">#REF!</definedName>
    <definedName name="_RIVb1a174af64b14084a27bba78ad7026cb" hidden="1">#REF!</definedName>
    <definedName name="_RIVb2224f635b8942808cee2dd1207d3f00" localSheetId="13" hidden="1">'[19]Com.StkHldr''s Equity'!#REF!</definedName>
    <definedName name="_RIVb2224f635b8942808cee2dd1207d3f00" localSheetId="18" hidden="1">'[19]Com.StkHldr''s Equity'!#REF!</definedName>
    <definedName name="_RIVb2224f635b8942808cee2dd1207d3f00" hidden="1">#REF!</definedName>
    <definedName name="_RIVb247af785c6f43d1b5389db45061525b" localSheetId="13" hidden="1">[20]concapital!#REF!</definedName>
    <definedName name="_RIVb247af785c6f43d1b5389db45061525b" localSheetId="18" hidden="1">[20]concapital!#REF!</definedName>
    <definedName name="_RIVb247af785c6f43d1b5389db45061525b" hidden="1">#REF!</definedName>
    <definedName name="_RIVb291916ab6a445fa9ea768de429d0954" localSheetId="13" hidden="1">'[19]Com.StkHldr''s Equity'!#REF!</definedName>
    <definedName name="_RIVb291916ab6a445fa9ea768de429d0954" localSheetId="18" hidden="1">'[19]Com.StkHldr''s Equity'!#REF!</definedName>
    <definedName name="_RIVb291916ab6a445fa9ea768de429d0954" hidden="1">#REF!</definedName>
    <definedName name="_RIVb3547a6e87f14b40b25a6267953843f0" localSheetId="13" hidden="1">'[20]EPS FOOTNOTE'!#REF!</definedName>
    <definedName name="_RIVb3547a6e87f14b40b25a6267953843f0" localSheetId="18" hidden="1">'[20]EPS FOOTNOTE'!#REF!</definedName>
    <definedName name="_RIVb3547a6e87f14b40b25a6267953843f0" hidden="1">#REF!</definedName>
    <definedName name="_RIVb3b1474682be4f61b9502777ad87c8b8" localSheetId="13" hidden="1">'[19] Assumptions_A'!#REF!</definedName>
    <definedName name="_RIVb3b1474682be4f61b9502777ad87c8b8" localSheetId="18" hidden="1">'[19] Assumptions_A'!#REF!</definedName>
    <definedName name="_RIVb3b1474682be4f61b9502777ad87c8b8" hidden="1">#REF!</definedName>
    <definedName name="_RIVb3b23861d0704315afbd42449da85708" localSheetId="1" hidden="1">#REF!</definedName>
    <definedName name="_RIVb3b23861d0704315afbd42449da85708" localSheetId="20" hidden="1">#REF!</definedName>
    <definedName name="_RIVb3b23861d0704315afbd42449da85708" hidden="1">#REF!</definedName>
    <definedName name="_RIVb3ee631217824025a52a90f4275fb205" localSheetId="1" hidden="1">#REF!</definedName>
    <definedName name="_RIVb3ee631217824025a52a90f4275fb205" localSheetId="20" hidden="1">#REF!</definedName>
    <definedName name="_RIVb3ee631217824025a52a90f4275fb205" hidden="1">#REF!</definedName>
    <definedName name="_RIVb3f23bcfe3c84e77a8bec4207eddff2b" localSheetId="1" hidden="1">#REF!</definedName>
    <definedName name="_RIVb3f23bcfe3c84e77a8bec4207eddff2b" localSheetId="13" hidden="1">'[23]2014'!#REF!</definedName>
    <definedName name="_RIVb3f23bcfe3c84e77a8bec4207eddff2b" localSheetId="18" hidden="1">'[23]2014'!#REF!</definedName>
    <definedName name="_RIVb3f23bcfe3c84e77a8bec4207eddff2b" localSheetId="20" hidden="1">#REF!</definedName>
    <definedName name="_RIVb3f23bcfe3c84e77a8bec4207eddff2b" hidden="1">#REF!</definedName>
    <definedName name="_RIVb3fe12931e504ed1aa30870c1a2a8e3f" localSheetId="13" hidden="1">'[19]Parent CF'!#REF!</definedName>
    <definedName name="_RIVb3fe12931e504ed1aa30870c1a2a8e3f" localSheetId="18" hidden="1">'[19]Parent CF'!#REF!</definedName>
    <definedName name="_RIVb3fe12931e504ed1aa30870c1a2a8e3f" hidden="1">#REF!</definedName>
    <definedName name="_RIVb484ecb4cb2e4b2eb385e1f8dfb4978a" localSheetId="1" hidden="1">#REF!</definedName>
    <definedName name="_RIVb484ecb4cb2e4b2eb385e1f8dfb4978a" localSheetId="20" hidden="1">#REF!</definedName>
    <definedName name="_RIVb484ecb4cb2e4b2eb385e1f8dfb4978a" hidden="1">#REF!</definedName>
    <definedName name="_RIVb54d697ab6894de7a6a2a793d875cae5" localSheetId="1" hidden="1">#REF!</definedName>
    <definedName name="_RIVb54d697ab6894de7a6a2a793d875cae5" localSheetId="13" hidden="1">[19]ChangesInAOCI!#REF!</definedName>
    <definedName name="_RIVb54d697ab6894de7a6a2a793d875cae5" localSheetId="18" hidden="1">[19]ChangesInAOCI!#REF!</definedName>
    <definedName name="_RIVb54d697ab6894de7a6a2a793d875cae5" localSheetId="20" hidden="1">#REF!</definedName>
    <definedName name="_RIVb54d697ab6894de7a6a2a793d875cae5" hidden="1">#REF!</definedName>
    <definedName name="_RIVb556f14c8f044def84c4ea0c55b75246" localSheetId="13" hidden="1">'[19]Operating Results'!#REF!</definedName>
    <definedName name="_RIVb556f14c8f044def84c4ea0c55b75246" localSheetId="18" hidden="1">'[19]Operating Results'!#REF!</definedName>
    <definedName name="_RIVb556f14c8f044def84c4ea0c55b75246" hidden="1">#REF!</definedName>
    <definedName name="_RIVb58c48041e6d4d35b63d7f482ad18d52" localSheetId="1" hidden="1">#REF!</definedName>
    <definedName name="_RIVb58c48041e6d4d35b63d7f482ad18d52" localSheetId="20" hidden="1">#REF!</definedName>
    <definedName name="_RIVb58c48041e6d4d35b63d7f482ad18d52" hidden="1">#REF!</definedName>
    <definedName name="_RIVb6068ccf2fb24e4dad5e158d681fb6b7" localSheetId="1" hidden="1">#REF!</definedName>
    <definedName name="_RIVb6068ccf2fb24e4dad5e158d681fb6b7" localSheetId="20" hidden="1">#REF!</definedName>
    <definedName name="_RIVb6068ccf2fb24e4dad5e158d681fb6b7" hidden="1">#REF!</definedName>
    <definedName name="_RIVb60c1444e0c84aa292facb8d3b3bdb96" localSheetId="1" hidden="1">#REF!</definedName>
    <definedName name="_RIVb60c1444e0c84aa292facb8d3b3bdb96" localSheetId="20" hidden="1">#REF!</definedName>
    <definedName name="_RIVb60c1444e0c84aa292facb8d3b3bdb96" hidden="1">#REF!</definedName>
    <definedName name="_RIVb64972d3f6f740c0a8b2960384f75b10" localSheetId="1" hidden="1">#REF!</definedName>
    <definedName name="_RIVb64972d3f6f740c0a8b2960384f75b10" localSheetId="13" hidden="1">'[24]Non-GAAP DISCO'!#REF!</definedName>
    <definedName name="_RIVb64972d3f6f740c0a8b2960384f75b10" localSheetId="18" hidden="1">'[24]Non-GAAP DISCO'!#REF!</definedName>
    <definedName name="_RIVb64972d3f6f740c0a8b2960384f75b10" localSheetId="20" hidden="1">#REF!</definedName>
    <definedName name="_RIVb64972d3f6f740c0a8b2960384f75b10" hidden="1">#REF!</definedName>
    <definedName name="_RIVb6571e4befba4111b3d50851fd4376d7" localSheetId="13" hidden="1">[19]PensOPEBObligations!#REF!</definedName>
    <definedName name="_RIVb6571e4befba4111b3d50851fd4376d7" localSheetId="18" hidden="1">[19]PensOPEBObligations!#REF!</definedName>
    <definedName name="_RIVb6571e4befba4111b3d50851fd4376d7" hidden="1">#REF!</definedName>
    <definedName name="_RIVb6701ee113d249cb8bd6645c25c93513" localSheetId="1" hidden="1">#REF!</definedName>
    <definedName name="_RIVb6701ee113d249cb8bd6645c25c93513" localSheetId="20" hidden="1">#REF!</definedName>
    <definedName name="_RIVb6701ee113d249cb8bd6645c25c93513" hidden="1">#REF!</definedName>
    <definedName name="_RIVb7fefaf556d64c7394f26fa223de8972" localSheetId="1" hidden="1">#REF!</definedName>
    <definedName name="_RIVb7fefaf556d64c7394f26fa223de8972" localSheetId="13" hidden="1">'[19]Com.StkHldr''s Equity'!#REF!</definedName>
    <definedName name="_RIVb7fefaf556d64c7394f26fa223de8972" localSheetId="18" hidden="1">'[19]Com.StkHldr''s Equity'!#REF!</definedName>
    <definedName name="_RIVb7fefaf556d64c7394f26fa223de8972" localSheetId="20" hidden="1">#REF!</definedName>
    <definedName name="_RIVb7fefaf556d64c7394f26fa223de8972" hidden="1">#REF!</definedName>
    <definedName name="_RIVb86c4fc86fc44cb59dbc6a608c640b9f" localSheetId="1" hidden="1">#REF!</definedName>
    <definedName name="_RIVb86c4fc86fc44cb59dbc6a608c640b9f" localSheetId="20" hidden="1">#REF!</definedName>
    <definedName name="_RIVb86c4fc86fc44cb59dbc6a608c640b9f" hidden="1">#REF!</definedName>
    <definedName name="_RIVb88cc63e07414a81a82cf5214dc8ab16" localSheetId="1" hidden="1">#REF!</definedName>
    <definedName name="_RIVb88cc63e07414a81a82cf5214dc8ab16" localSheetId="20" hidden="1">#REF!</definedName>
    <definedName name="_RIVb88cc63e07414a81a82cf5214dc8ab16" hidden="1">#REF!</definedName>
    <definedName name="_RIVb8996358957a43578ff9c6cab1c82b0b" localSheetId="1" hidden="1">#REF!</definedName>
    <definedName name="_RIVb8996358957a43578ff9c6cab1c82b0b" localSheetId="13" hidden="1">[19]OptionsExOS!#REF!</definedName>
    <definedName name="_RIVb8996358957a43578ff9c6cab1c82b0b" localSheetId="18" hidden="1">[19]OptionsExOS!#REF!</definedName>
    <definedName name="_RIVb8996358957a43578ff9c6cab1c82b0b" localSheetId="20" hidden="1">#REF!</definedName>
    <definedName name="_RIVb8996358957a43578ff9c6cab1c82b0b" hidden="1">#REF!</definedName>
    <definedName name="_RIVb8dda21561b34c79abe7a29928b7b134" localSheetId="13" hidden="1">'[19]Comprehensive Income'!#REF!</definedName>
    <definedName name="_RIVb8dda21561b34c79abe7a29928b7b134" localSheetId="18" hidden="1">'[19]Comprehensive Income'!#REF!</definedName>
    <definedName name="_RIVb8dda21561b34c79abe7a29928b7b134" hidden="1">#REF!</definedName>
    <definedName name="_RIVb8eb75c2769d4ca9aeecc9377fb8743e" localSheetId="13" hidden="1">[19]PensOPEBObligations!#REF!</definedName>
    <definedName name="_RIVb8eb75c2769d4ca9aeecc9377fb8743e" localSheetId="18" hidden="1">[19]PensOPEBObligations!#REF!</definedName>
    <definedName name="_RIVb8eb75c2769d4ca9aeecc9377fb8743e" hidden="1">#REF!</definedName>
    <definedName name="_RIVb9218bf3b85c400b9539e4cc3071fdd6" localSheetId="1" hidden="1">#REF!</definedName>
    <definedName name="_RIVb9218bf3b85c400b9539e4cc3071fdd6" localSheetId="20" hidden="1">#REF!</definedName>
    <definedName name="_RIVb9218bf3b85c400b9539e4cc3071fdd6" hidden="1">#REF!</definedName>
    <definedName name="_RIVb9d539305074451ebf1c6f034b76b213" localSheetId="1" hidden="1">#REF!</definedName>
    <definedName name="_RIVb9d539305074451ebf1c6f034b76b213" localSheetId="13" hidden="1">'[19]Com.StkHldr''s Equity'!#REF!</definedName>
    <definedName name="_RIVb9d539305074451ebf1c6f034b76b213" localSheetId="18" hidden="1">'[19]Com.StkHldr''s Equity'!#REF!</definedName>
    <definedName name="_RIVb9d539305074451ebf1c6f034b76b213" localSheetId="20" hidden="1">#REF!</definedName>
    <definedName name="_RIVb9d539305074451ebf1c6f034b76b213" hidden="1">#REF!</definedName>
    <definedName name="_RIVb9d6151547464a2e8ba572ffbb15a093" localSheetId="1" hidden="1">#REF!</definedName>
    <definedName name="_RIVb9d6151547464a2e8ba572ffbb15a093" localSheetId="20" hidden="1">#REF!</definedName>
    <definedName name="_RIVb9d6151547464a2e8ba572ffbb15a093" hidden="1">#REF!</definedName>
    <definedName name="_RIVb9de59142a094aca8babbec2ad00c5ef" localSheetId="1" hidden="1">#REF!</definedName>
    <definedName name="_RIVb9de59142a094aca8babbec2ad00c5ef" localSheetId="20" hidden="1">#REF!</definedName>
    <definedName name="_RIVb9de59142a094aca8babbec2ad00c5ef" hidden="1">#REF!</definedName>
    <definedName name="_RIVbb8bd70671324ddd89fae8af1eaf5b2e" localSheetId="1" hidden="1">#REF!</definedName>
    <definedName name="_RIVbb8bd70671324ddd89fae8af1eaf5b2e" localSheetId="20" hidden="1">#REF!</definedName>
    <definedName name="_RIVbb8bd70671324ddd89fae8af1eaf5b2e" hidden="1">#REF!</definedName>
    <definedName name="_RIVbd0416e9b5344acbaf0d000bc5306005" localSheetId="1" hidden="1">#REF!</definedName>
    <definedName name="_RIVbd0416e9b5344acbaf0d000bc5306005" localSheetId="20" hidden="1">#REF!</definedName>
    <definedName name="_RIVbd0416e9b5344acbaf0d000bc5306005" hidden="1">#REF!</definedName>
    <definedName name="_RIVbd33b0ddd48548e98d36f1a012e26346" localSheetId="1" hidden="1">#REF!</definedName>
    <definedName name="_RIVbd33b0ddd48548e98d36f1a012e26346" localSheetId="20" hidden="1">#REF!</definedName>
    <definedName name="_RIVbd33b0ddd48548e98d36f1a012e26346" hidden="1">#REF!</definedName>
    <definedName name="_RIVbd7177a154814a68af308aa890458127" localSheetId="1" hidden="1">#REF!</definedName>
    <definedName name="_RIVbd7177a154814a68af308aa890458127" localSheetId="13" hidden="1">'[19] Assumptions_A'!#REF!</definedName>
    <definedName name="_RIVbd7177a154814a68af308aa890458127" localSheetId="18" hidden="1">'[19] Assumptions_A'!#REF!</definedName>
    <definedName name="_RIVbd7177a154814a68af308aa890458127" localSheetId="20" hidden="1">#REF!</definedName>
    <definedName name="_RIVbd7177a154814a68af308aa890458127" hidden="1">#REF!</definedName>
    <definedName name="_RIVbdbd66e1d0324b63b538e6b4fd984ff7" localSheetId="1" hidden="1">#REF!</definedName>
    <definedName name="_RIVbdbd66e1d0324b63b538e6b4fd984ff7" localSheetId="20" hidden="1">#REF!</definedName>
    <definedName name="_RIVbdbd66e1d0324b63b538e6b4fd984ff7" hidden="1">#REF!</definedName>
    <definedName name="_RIVbdfab4b1ca494bcbb4c1d52b3d373e67" localSheetId="1" hidden="1">#REF!</definedName>
    <definedName name="_RIVbdfab4b1ca494bcbb4c1d52b3d373e67" localSheetId="20" hidden="1">#REF!</definedName>
    <definedName name="_RIVbdfab4b1ca494bcbb4c1d52b3d373e67" hidden="1">#REF!</definedName>
    <definedName name="_RIVbe5f2b44b741494dbd0bf8944b458851" localSheetId="1" hidden="1">#REF!</definedName>
    <definedName name="_RIVbe5f2b44b741494dbd0bf8944b458851" localSheetId="20" hidden="1">#REF!</definedName>
    <definedName name="_RIVbe5f2b44b741494dbd0bf8944b458851" hidden="1">#REF!</definedName>
    <definedName name="_RIVbe65de48535a4dcc8e33954f31e9a931" localSheetId="1" hidden="1">#REF!</definedName>
    <definedName name="_RIVbe65de48535a4dcc8e33954f31e9a931" localSheetId="13" hidden="1">'[19]RSU FV'!#REF!</definedName>
    <definedName name="_RIVbe65de48535a4dcc8e33954f31e9a931" localSheetId="18" hidden="1">'[19]RSU FV'!#REF!</definedName>
    <definedName name="_RIVbe65de48535a4dcc8e33954f31e9a931" localSheetId="20" hidden="1">#REF!</definedName>
    <definedName name="_RIVbe65de48535a4dcc8e33954f31e9a931" hidden="1">#REF!</definedName>
    <definedName name="_RIVbf7af6d9ae4e41d1a68a4afb47e9b7e3" localSheetId="1" hidden="1">#REF!</definedName>
    <definedName name="_RIVbf7af6d9ae4e41d1a68a4afb47e9b7e3" localSheetId="20" hidden="1">#REF!</definedName>
    <definedName name="_RIVbf7af6d9ae4e41d1a68a4afb47e9b7e3" hidden="1">#REF!</definedName>
    <definedName name="_RIVbf9eada262414c3b929bb58cfd27f929" localSheetId="1" hidden="1">#REF!</definedName>
    <definedName name="_RIVbf9eada262414c3b929bb58cfd27f929" localSheetId="13" hidden="1">[19]Costs!#REF!</definedName>
    <definedName name="_RIVbf9eada262414c3b929bb58cfd27f929" localSheetId="18" hidden="1">[19]Costs!#REF!</definedName>
    <definedName name="_RIVbf9eada262414c3b929bb58cfd27f929" localSheetId="20" hidden="1">#REF!</definedName>
    <definedName name="_RIVbf9eada262414c3b929bb58cfd27f929" hidden="1">#REF!</definedName>
    <definedName name="_RIVc157123d7a72483995ec8a4e0a0535f6" localSheetId="1" hidden="1">#REF!</definedName>
    <definedName name="_RIVc157123d7a72483995ec8a4e0a0535f6" localSheetId="20" hidden="1">#REF!</definedName>
    <definedName name="_RIVc157123d7a72483995ec8a4e0a0535f6" hidden="1">#REF!</definedName>
    <definedName name="_RIVc18c20bab09a4def913142c2663e4e1b" localSheetId="1" hidden="1">#REF!</definedName>
    <definedName name="_RIVc18c20bab09a4def913142c2663e4e1b" localSheetId="20" hidden="1">#REF!</definedName>
    <definedName name="_RIVc18c20bab09a4def913142c2663e4e1b" hidden="1">#REF!</definedName>
    <definedName name="_RIVc216a7b4209e4383a69f82736b86f30b" localSheetId="1" hidden="1">#REF!</definedName>
    <definedName name="_RIVc216a7b4209e4383a69f82736b86f30b" localSheetId="20" hidden="1">#REF!</definedName>
    <definedName name="_RIVc216a7b4209e4383a69f82736b86f30b" hidden="1">#REF!</definedName>
    <definedName name="_RIVc216e36dd04941a2bc3ca7012127ab92" localSheetId="1" hidden="1">#REF!</definedName>
    <definedName name="_RIVc216e36dd04941a2bc3ca7012127ab92" localSheetId="13" hidden="1">[19]SelectedQtrFinData!#REF!</definedName>
    <definedName name="_RIVc216e36dd04941a2bc3ca7012127ab92" localSheetId="18" hidden="1">[19]SelectedQtrFinData!#REF!</definedName>
    <definedName name="_RIVc216e36dd04941a2bc3ca7012127ab92" localSheetId="20" hidden="1">#REF!</definedName>
    <definedName name="_RIVc216e36dd04941a2bc3ca7012127ab92" hidden="1">#REF!</definedName>
    <definedName name="_RIVc299c8efc706438690f77228039beae7" localSheetId="13" hidden="1">[19]PensOPEBObligations!#REF!</definedName>
    <definedName name="_RIVc299c8efc706438690f77228039beae7" localSheetId="18" hidden="1">[19]PensOPEBObligations!#REF!</definedName>
    <definedName name="_RIVc299c8efc706438690f77228039beae7" hidden="1">#REF!</definedName>
    <definedName name="_RIVc316e1a9ab5b46fda02ff262b35fc8a5" localSheetId="13" hidden="1">'[19]5 Yr CF_Div_CapEx_Acq'!#REF!</definedName>
    <definedName name="_RIVc316e1a9ab5b46fda02ff262b35fc8a5" localSheetId="18" hidden="1">'[19]5 Yr CF_Div_CapEx_Acq'!#REF!</definedName>
    <definedName name="_RIVc316e1a9ab5b46fda02ff262b35fc8a5" hidden="1">#REF!</definedName>
    <definedName name="_RIVc33d7148038442dc9b0d83bb6718f0d0" localSheetId="13" hidden="1">'[19]Fourth Quarter'!#REF!</definedName>
    <definedName name="_RIVc33d7148038442dc9b0d83bb6718f0d0" localSheetId="18" hidden="1">'[19]Fourth Quarter'!#REF!</definedName>
    <definedName name="_RIVc33d7148038442dc9b0d83bb6718f0d0" hidden="1">#REF!</definedName>
    <definedName name="_RIVc355ce82284c4fe297b92fd7905dcef0" localSheetId="1" hidden="1">#REF!</definedName>
    <definedName name="_RIVc355ce82284c4fe297b92fd7905dcef0" localSheetId="20" hidden="1">#REF!</definedName>
    <definedName name="_RIVc355ce82284c4fe297b92fd7905dcef0" hidden="1">#REF!</definedName>
    <definedName name="_RIVc37ac0879fb1430484e69ab4c31e1341" localSheetId="1" hidden="1">#REF!</definedName>
    <definedName name="_RIVc37ac0879fb1430484e69ab4c31e1341" localSheetId="20" hidden="1">#REF!</definedName>
    <definedName name="_RIVc37ac0879fb1430484e69ab4c31e1341" hidden="1">#REF!</definedName>
    <definedName name="_RIVc3bfcbb8d68c416f8179867f010b9067" localSheetId="1" hidden="1">#REF!</definedName>
    <definedName name="_RIVc3bfcbb8d68c416f8179867f010b9067" localSheetId="13" hidden="1">[20]Pension!#REF!</definedName>
    <definedName name="_RIVc3bfcbb8d68c416f8179867f010b9067" localSheetId="18" hidden="1">[20]Pension!#REF!</definedName>
    <definedName name="_RIVc3bfcbb8d68c416f8179867f010b9067" localSheetId="20" hidden="1">#REF!</definedName>
    <definedName name="_RIVc3bfcbb8d68c416f8179867f010b9067" hidden="1">#REF!</definedName>
    <definedName name="_RIVc3f21cf6479841098c05e1e2cd3d78e0" localSheetId="13" hidden="1">'[19]Regulatory Assets'!#REF!</definedName>
    <definedName name="_RIVc3f21cf6479841098c05e1e2cd3d78e0" localSheetId="18" hidden="1">'[19]Regulatory Assets'!#REF!</definedName>
    <definedName name="_RIVc3f21cf6479841098c05e1e2cd3d78e0" hidden="1">#REF!</definedName>
    <definedName name="_RIVc4d6ee8096d9484da47f7bcdf5944710" localSheetId="1" hidden="1">#REF!</definedName>
    <definedName name="_RIVc4d6ee8096d9484da47f7bcdf5944710" localSheetId="20" hidden="1">#REF!</definedName>
    <definedName name="_RIVc4d6ee8096d9484da47f7bcdf5944710" hidden="1">#REF!</definedName>
    <definedName name="_RIVc4d9ff1a81bf44e8a59799770974d097" localSheetId="1" hidden="1">#REF!</definedName>
    <definedName name="_RIVc4d9ff1a81bf44e8a59799770974d097" localSheetId="13" hidden="1">'[19]Com.StkHldr''s Equity'!#REF!</definedName>
    <definedName name="_RIVc4d9ff1a81bf44e8a59799770974d097" localSheetId="18" hidden="1">'[19]Com.StkHldr''s Equity'!#REF!</definedName>
    <definedName name="_RIVc4d9ff1a81bf44e8a59799770974d097" localSheetId="20" hidden="1">#REF!</definedName>
    <definedName name="_RIVc4d9ff1a81bf44e8a59799770974d097" hidden="1">#REF!</definedName>
    <definedName name="_RIVc55d7dc23ebc401da67fd5d985c2f2f0" localSheetId="13" hidden="1">'[19]FV_Current Year'!#REF!</definedName>
    <definedName name="_RIVc55d7dc23ebc401da67fd5d985c2f2f0" localSheetId="18" hidden="1">'[19]FV_Current Year'!#REF!</definedName>
    <definedName name="_RIVc55d7dc23ebc401da67fd5d985c2f2f0" hidden="1">#REF!</definedName>
    <definedName name="_RIVc578e1b3a8ad439db076c80cbafd0e00" localSheetId="13" hidden="1">'[21]OH Acquisition'!#REF!</definedName>
    <definedName name="_RIVc578e1b3a8ad439db076c80cbafd0e00" localSheetId="18" hidden="1">'[21]OH Acquisition'!#REF!</definedName>
    <definedName name="_RIVc578e1b3a8ad439db076c80cbafd0e00" hidden="1">#REF!</definedName>
    <definedName name="_RIVc5b2946714884accb2bcc739ab9e8783" localSheetId="13" hidden="1">[19]Costs!#REF!</definedName>
    <definedName name="_RIVc5b2946714884accb2bcc739ab9e8783" localSheetId="18" hidden="1">[19]Costs!#REF!</definedName>
    <definedName name="_RIVc5b2946714884accb2bcc739ab9e8783" hidden="1">#REF!</definedName>
    <definedName name="_RIVc5bdd66b32204c86a2ea53242f2e970a" localSheetId="13" hidden="1">'[19]Com.StkHldr''s Equity'!#REF!</definedName>
    <definedName name="_RIVc5bdd66b32204c86a2ea53242f2e970a" localSheetId="18" hidden="1">'[19]Com.StkHldr''s Equity'!#REF!</definedName>
    <definedName name="_RIVc5bdd66b32204c86a2ea53242f2e970a" hidden="1">#REF!</definedName>
    <definedName name="_RIVc5dfe0e3e5304ba38b9e3853c91f299c" localSheetId="1" hidden="1">#REF!</definedName>
    <definedName name="_RIVc5dfe0e3e5304ba38b9e3853c91f299c" localSheetId="20" hidden="1">#REF!</definedName>
    <definedName name="_RIVc5dfe0e3e5304ba38b9e3853c91f299c" hidden="1">#REF!</definedName>
    <definedName name="_RIVc618da38ce5a43578b6243c319b202c9" localSheetId="1" hidden="1">#REF!</definedName>
    <definedName name="_RIVc618da38ce5a43578b6243c319b202c9" localSheetId="20" hidden="1">#REF!</definedName>
    <definedName name="_RIVc618da38ce5a43578b6243c319b202c9" hidden="1">#REF!</definedName>
    <definedName name="_RIVc68fa98335274d0b8af8dbcdcfe95b77" localSheetId="1" hidden="1">#REF!</definedName>
    <definedName name="_RIVc68fa98335274d0b8af8dbcdcfe95b77" localSheetId="13" hidden="1">'[19]Com.StkHldr''s Equity'!#REF!</definedName>
    <definedName name="_RIVc68fa98335274d0b8af8dbcdcfe95b77" localSheetId="18" hidden="1">'[19]Com.StkHldr''s Equity'!#REF!</definedName>
    <definedName name="_RIVc68fa98335274d0b8af8dbcdcfe95b77" localSheetId="20" hidden="1">#REF!</definedName>
    <definedName name="_RIVc68fa98335274d0b8af8dbcdcfe95b77" hidden="1">#REF!</definedName>
    <definedName name="_RIVc6c239888930483da8a1215318ab2309" localSheetId="1" hidden="1">#REF!</definedName>
    <definedName name="_RIVc6c239888930483da8a1215318ab2309" localSheetId="20" hidden="1">#REF!</definedName>
    <definedName name="_RIVc6c239888930483da8a1215318ab2309" hidden="1">#REF!</definedName>
    <definedName name="_RIVc6d46faa734e4aeba64222ec66c6f36b" localSheetId="1" hidden="1">#REF!</definedName>
    <definedName name="_RIVc6d46faa734e4aeba64222ec66c6f36b" localSheetId="13" hidden="1">[19]UTP!#REF!</definedName>
    <definedName name="_RIVc6d46faa734e4aeba64222ec66c6f36b" localSheetId="18" hidden="1">[19]UTP!#REF!</definedName>
    <definedName name="_RIVc6d46faa734e4aeba64222ec66c6f36b" localSheetId="20" hidden="1">#REF!</definedName>
    <definedName name="_RIVc6d46faa734e4aeba64222ec66c6f36b" hidden="1">#REF!</definedName>
    <definedName name="_RIVc78e2f0b21b340629fde5f0c90b6d923" localSheetId="1" hidden="1">#REF!</definedName>
    <definedName name="_RIVc78e2f0b21b340629fde5f0c90b6d923" localSheetId="20" hidden="1">#REF!</definedName>
    <definedName name="_RIVc78e2f0b21b340629fde5f0c90b6d923" hidden="1">#REF!</definedName>
    <definedName name="_RIVc7a8c4608e164adda6b8eb2c919836fe" localSheetId="1" hidden="1">#REF!</definedName>
    <definedName name="_RIVc7a8c4608e164adda6b8eb2c919836fe" localSheetId="20" hidden="1">#REF!</definedName>
    <definedName name="_RIVc7a8c4608e164adda6b8eb2c919836fe" hidden="1">#REF!</definedName>
    <definedName name="_RIVc7c3839df67e46a58697dc7e719ef6ec" localSheetId="1" hidden="1">#REF!</definedName>
    <definedName name="_RIVc7c3839df67e46a58697dc7e719ef6ec" localSheetId="13" hidden="1">'[19]XBRL ONLY LINKING'!#REF!</definedName>
    <definedName name="_RIVc7c3839df67e46a58697dc7e719ef6ec" localSheetId="18" hidden="1">'[19]XBRL ONLY LINKING'!#REF!</definedName>
    <definedName name="_RIVc7c3839df67e46a58697dc7e719ef6ec" localSheetId="20" hidden="1">#REF!</definedName>
    <definedName name="_RIVc7c3839df67e46a58697dc7e719ef6ec" hidden="1">#REF!</definedName>
    <definedName name="_RIVc81e310280044789892f4da90b5b4793" localSheetId="1" hidden="1">#REF!</definedName>
    <definedName name="_RIVc81e310280044789892f4da90b5b4793" localSheetId="20" hidden="1">#REF!</definedName>
    <definedName name="_RIVc81e310280044789892f4da90b5b4793" hidden="1">#REF!</definedName>
    <definedName name="_RIVc8361f557fd643958dafb62d77021cda" localSheetId="1" hidden="1">#REF!</definedName>
    <definedName name="_RIVc8361f557fd643958dafb62d77021cda" localSheetId="13" hidden="1">'[19]Parent IS'!#REF!</definedName>
    <definedName name="_RIVc8361f557fd643958dafb62d77021cda" localSheetId="18" hidden="1">'[19]Parent IS'!#REF!</definedName>
    <definedName name="_RIVc8361f557fd643958dafb62d77021cda" localSheetId="20" hidden="1">#REF!</definedName>
    <definedName name="_RIVc8361f557fd643958dafb62d77021cda" hidden="1">#REF!</definedName>
    <definedName name="_RIVc892de51658b4e929c1a3030154b76e5" localSheetId="1" hidden="1">#REF!</definedName>
    <definedName name="_RIVc892de51658b4e929c1a3030154b76e5" localSheetId="20" hidden="1">#REF!</definedName>
    <definedName name="_RIVc892de51658b4e929c1a3030154b76e5" hidden="1">#REF!</definedName>
    <definedName name="_RIVc89782df04074319af6afc5e72da72c3" localSheetId="1" hidden="1">#REF!</definedName>
    <definedName name="_RIVc89782df04074319af6afc5e72da72c3" localSheetId="13" hidden="1">'[21]DISCO FN (BS)'!#REF!</definedName>
    <definedName name="_RIVc89782df04074319af6afc5e72da72c3" localSheetId="18" hidden="1">'[21]DISCO FN (BS)'!#REF!</definedName>
    <definedName name="_RIVc89782df04074319af6afc5e72da72c3" localSheetId="20" hidden="1">#REF!</definedName>
    <definedName name="_RIVc89782df04074319af6afc5e72da72c3" hidden="1">#REF!</definedName>
    <definedName name="_RIVc8e7a54d479b47a48d9be430b660a60a" localSheetId="13" hidden="1">[22]AssetMix!#REF!</definedName>
    <definedName name="_RIVc8e7a54d479b47a48d9be430b660a60a" localSheetId="18" hidden="1">[22]AssetMix!#REF!</definedName>
    <definedName name="_RIVc8e7a54d479b47a48d9be430b660a60a" hidden="1">#REF!</definedName>
    <definedName name="_RIVc906200eb152433bae902fb5edc8bc71" localSheetId="1" hidden="1">#REF!</definedName>
    <definedName name="_RIVc906200eb152433bae902fb5edc8bc71" localSheetId="20" hidden="1">#REF!</definedName>
    <definedName name="_RIVc906200eb152433bae902fb5edc8bc71" hidden="1">#REF!</definedName>
    <definedName name="_RIVc95a18338bf342c289dfaf1fb7146587" localSheetId="1" hidden="1">#REF!</definedName>
    <definedName name="_RIVc95a18338bf342c289dfaf1fb7146587" localSheetId="13" hidden="1">'[19]Com.StkHldr''s Equity'!#REF!</definedName>
    <definedName name="_RIVc95a18338bf342c289dfaf1fb7146587" localSheetId="18" hidden="1">'[19]Com.StkHldr''s Equity'!#REF!</definedName>
    <definedName name="_RIVc95a18338bf342c289dfaf1fb7146587" localSheetId="20" hidden="1">#REF!</definedName>
    <definedName name="_RIVc95a18338bf342c289dfaf1fb7146587" hidden="1">#REF!</definedName>
    <definedName name="_RIVc9748056aade402dbbe731311527343f" localSheetId="1" hidden="1">#REF!</definedName>
    <definedName name="_RIVc9748056aade402dbbe731311527343f" localSheetId="20" hidden="1">#REF!</definedName>
    <definedName name="_RIVc9748056aade402dbbe731311527343f" hidden="1">#REF!</definedName>
    <definedName name="_RIVc9a4c0656f2f4780acee7fd960f81890" localSheetId="1" hidden="1">#REF!</definedName>
    <definedName name="_RIVc9a4c0656f2f4780acee7fd960f81890" localSheetId="20" hidden="1">#REF!</definedName>
    <definedName name="_RIVc9a4c0656f2f4780acee7fd960f81890" hidden="1">#REF!</definedName>
    <definedName name="_RIVcaae0cda4072488ea4dc99298b1e3055" localSheetId="1" hidden="1">#REF!</definedName>
    <definedName name="_RIVcaae0cda4072488ea4dc99298b1e3055" localSheetId="13" hidden="1">'[19]Parent CF'!#REF!</definedName>
    <definedName name="_RIVcaae0cda4072488ea4dc99298b1e3055" localSheetId="18" hidden="1">'[19]Parent CF'!#REF!</definedName>
    <definedName name="_RIVcaae0cda4072488ea4dc99298b1e3055" localSheetId="20" hidden="1">#REF!</definedName>
    <definedName name="_RIVcaae0cda4072488ea4dc99298b1e3055" hidden="1">#REF!</definedName>
    <definedName name="_RIVcacd89ed8c66425384548eaa68cd9e7c" localSheetId="13" hidden="1">'[19]FV_Current Year'!#REF!</definedName>
    <definedName name="_RIVcacd89ed8c66425384548eaa68cd9e7c" localSheetId="18" hidden="1">'[19]FV_Current Year'!#REF!</definedName>
    <definedName name="_RIVcacd89ed8c66425384548eaa68cd9e7c" hidden="1">#REF!</definedName>
    <definedName name="_RIVcb2955f9f4144644a55ddb018fe0e656" localSheetId="13" hidden="1">'[19]Options RF'!#REF!</definedName>
    <definedName name="_RIVcb2955f9f4144644a55ddb018fe0e656" localSheetId="18" hidden="1">'[19]Options RF'!#REF!</definedName>
    <definedName name="_RIVcb2955f9f4144644a55ddb018fe0e656" hidden="1">#REF!</definedName>
    <definedName name="_RIVcb75bdb6dd604458b61f03659d1cc8fd" localSheetId="13" hidden="1">'[19]Stmt of Capitalization'!#REF!</definedName>
    <definedName name="_RIVcb75bdb6dd604458b61f03659d1cc8fd" localSheetId="18" hidden="1">'[19]Stmt of Capitalization'!#REF!</definedName>
    <definedName name="_RIVcb75bdb6dd604458b61f03659d1cc8fd" hidden="1">#REF!</definedName>
    <definedName name="_RIVcb8193a234da42559c11ef3155fb894a" localSheetId="13" hidden="1">'[19]Options Expense'!#REF!</definedName>
    <definedName name="_RIVcb8193a234da42559c11ef3155fb894a" localSheetId="18" hidden="1">'[19]Options Expense'!#REF!</definedName>
    <definedName name="_RIVcb8193a234da42559c11ef3155fb894a" hidden="1">#REF!</definedName>
    <definedName name="_RIVccca5524f2c34ebb8cf77a959a9987ad" localSheetId="13" hidden="1">[19]BalsheetPension!#REF!</definedName>
    <definedName name="_RIVccca5524f2c34ebb8cf77a959a9987ad" localSheetId="18" hidden="1">[19]BalsheetPension!#REF!</definedName>
    <definedName name="_RIVccca5524f2c34ebb8cf77a959a9987ad" hidden="1">#REF!</definedName>
    <definedName name="_RIVccd5c82f9eb842f38a225734749b2ed0" localSheetId="1" hidden="1">#REF!</definedName>
    <definedName name="_RIVccd5c82f9eb842f38a225734749b2ed0" localSheetId="20" hidden="1">#REF!</definedName>
    <definedName name="_RIVccd5c82f9eb842f38a225734749b2ed0" hidden="1">#REF!</definedName>
    <definedName name="_RIVcd03ec5866ec4c4b9d5ad142dc9cf37f" localSheetId="1" hidden="1">#REF!</definedName>
    <definedName name="_RIVcd03ec5866ec4c4b9d5ad142dc9cf37f" localSheetId="20" hidden="1">#REF!</definedName>
    <definedName name="_RIVcd03ec5866ec4c4b9d5ad142dc9cf37f" hidden="1">#REF!</definedName>
    <definedName name="_RIVcd54c2bd76a343d7807fc724df7b2ed0" localSheetId="1" hidden="1">#REF!</definedName>
    <definedName name="_RIVcd54c2bd76a343d7807fc724df7b2ed0" localSheetId="13" hidden="1">'[19]Fourth Quarter'!#REF!</definedName>
    <definedName name="_RIVcd54c2bd76a343d7807fc724df7b2ed0" localSheetId="18" hidden="1">'[19]Fourth Quarter'!#REF!</definedName>
    <definedName name="_RIVcd54c2bd76a343d7807fc724df7b2ed0" localSheetId="20" hidden="1">#REF!</definedName>
    <definedName name="_RIVcd54c2bd76a343d7807fc724df7b2ed0" hidden="1">#REF!</definedName>
    <definedName name="_RIVcd9528b0efba4557b8b4debb8cfc59b0" localSheetId="13" hidden="1">'[19]Parent CF'!#REF!</definedName>
    <definedName name="_RIVcd9528b0efba4557b8b4debb8cfc59b0" localSheetId="18" hidden="1">'[19]Parent CF'!#REF!</definedName>
    <definedName name="_RIVcd9528b0efba4557b8b4debb8cfc59b0" hidden="1">#REF!</definedName>
    <definedName name="_RIVce3099fd96544cc9829beb03235b5b4c" localSheetId="13" hidden="1">'[19]Benefit Payments'!#REF!</definedName>
    <definedName name="_RIVce3099fd96544cc9829beb03235b5b4c" localSheetId="18" hidden="1">'[19]Benefit Payments'!#REF!</definedName>
    <definedName name="_RIVce3099fd96544cc9829beb03235b5b4c" hidden="1">#REF!</definedName>
    <definedName name="_RIVce4bf5cd078e46358bcf32b1fbf7986f" localSheetId="13" hidden="1">'[20]EPS FOOTNOTE'!#REF!</definedName>
    <definedName name="_RIVce4bf5cd078e46358bcf32b1fbf7986f" localSheetId="18" hidden="1">'[20]EPS FOOTNOTE'!#REF!</definedName>
    <definedName name="_RIVce4bf5cd078e46358bcf32b1fbf7986f" hidden="1">#REF!</definedName>
    <definedName name="_RIVce70794be80045689b179f27cc65dd8f" localSheetId="1" hidden="1">#REF!</definedName>
    <definedName name="_RIVce70794be80045689b179f27cc65dd8f" localSheetId="20" hidden="1">#REF!</definedName>
    <definedName name="_RIVce70794be80045689b179f27cc65dd8f" hidden="1">#REF!</definedName>
    <definedName name="_RIVce893a619bf64d62a7f9b73f8e78e182" localSheetId="1" hidden="1">#REF!</definedName>
    <definedName name="_RIVce893a619bf64d62a7f9b73f8e78e182" localSheetId="20" hidden="1">#REF!</definedName>
    <definedName name="_RIVce893a619bf64d62a7f9b73f8e78e182" hidden="1">#REF!</definedName>
    <definedName name="_RIVcf1cfabf858f45d48fb371920ad15e07" localSheetId="1" hidden="1">#REF!</definedName>
    <definedName name="_RIVcf1cfabf858f45d48fb371920ad15e07" localSheetId="20" hidden="1">#REF!</definedName>
    <definedName name="_RIVcf1cfabf858f45d48fb371920ad15e07" hidden="1">#REF!</definedName>
    <definedName name="_RIVcf43b9ee2d5241258629765432b71d01" localSheetId="1" hidden="1">#REF!</definedName>
    <definedName name="_RIVcf43b9ee2d5241258629765432b71d01" localSheetId="13" hidden="1">'[21]FV of Debt'!#REF!</definedName>
    <definedName name="_RIVcf43b9ee2d5241258629765432b71d01" localSheetId="18" hidden="1">'[21]FV of Debt'!#REF!</definedName>
    <definedName name="_RIVcf43b9ee2d5241258629765432b71d01" localSheetId="20" hidden="1">#REF!</definedName>
    <definedName name="_RIVcf43b9ee2d5241258629765432b71d01" hidden="1">#REF!</definedName>
    <definedName name="_RIVcf44030df91c4a389fa21c13ca51a9b7" localSheetId="1" hidden="1">#REF!</definedName>
    <definedName name="_RIVcf44030df91c4a389fa21c13ca51a9b7" localSheetId="20" hidden="1">#REF!</definedName>
    <definedName name="_RIVcf44030df91c4a389fa21c13ca51a9b7" hidden="1">#REF!</definedName>
    <definedName name="_RIVcf835584ad7e4b7da94fceed35b45bd0" localSheetId="1" hidden="1">#REF!</definedName>
    <definedName name="_RIVcf835584ad7e4b7da94fceed35b45bd0" localSheetId="20" hidden="1">#REF!</definedName>
    <definedName name="_RIVcf835584ad7e4b7da94fceed35b45bd0" hidden="1">#REF!</definedName>
    <definedName name="_RIVcfcba899f5684801a080389851940492" localSheetId="1" hidden="1">#REF!</definedName>
    <definedName name="_RIVcfcba899f5684801a080389851940492" localSheetId="20" hidden="1">#REF!</definedName>
    <definedName name="_RIVcfcba899f5684801a080389851940492" hidden="1">#REF!</definedName>
    <definedName name="_RIVd032ef22eb6a4faeae3010a02030e80b" localSheetId="1" hidden="1">#REF!</definedName>
    <definedName name="_RIVd032ef22eb6a4faeae3010a02030e80b" localSheetId="20" hidden="1">#REF!</definedName>
    <definedName name="_RIVd032ef22eb6a4faeae3010a02030e80b" hidden="1">#REF!</definedName>
    <definedName name="_RIVd03e4179511f45a9a6620c7b867bf500" localSheetId="1" hidden="1">#REF!</definedName>
    <definedName name="_RIVd03e4179511f45a9a6620c7b867bf500" localSheetId="13" hidden="1">[19]Segments!#REF!</definedName>
    <definedName name="_RIVd03e4179511f45a9a6620c7b867bf500" localSheetId="18" hidden="1">[19]Segments!#REF!</definedName>
    <definedName name="_RIVd03e4179511f45a9a6620c7b867bf500" localSheetId="20" hidden="1">#REF!</definedName>
    <definedName name="_RIVd03e4179511f45a9a6620c7b867bf500" hidden="1">#REF!</definedName>
    <definedName name="_RIVd0d7e0d1b942466cb25c90a78b579203" localSheetId="13" hidden="1">[19]AcctsReceiv!#REF!</definedName>
    <definedName name="_RIVd0d7e0d1b942466cb25c90a78b579203" localSheetId="18" hidden="1">[19]AcctsReceiv!#REF!</definedName>
    <definedName name="_RIVd0d7e0d1b942466cb25c90a78b579203" hidden="1">#REF!</definedName>
    <definedName name="_RIVd0f1b5c2b4274a908d6afbba16c17512" localSheetId="13" hidden="1">'[19] Assumptions_A'!#REF!</definedName>
    <definedName name="_RIVd0f1b5c2b4274a908d6afbba16c17512" localSheetId="18" hidden="1">'[19] Assumptions_A'!#REF!</definedName>
    <definedName name="_RIVd0f1b5c2b4274a908d6afbba16c17512" hidden="1">#REF!</definedName>
    <definedName name="_RIVd11ddc0adcf045b790f83532eef515d9" localSheetId="1" hidden="1">#REF!</definedName>
    <definedName name="_RIVd11ddc0adcf045b790f83532eef515d9" localSheetId="20" hidden="1">#REF!</definedName>
    <definedName name="_RIVd11ddc0adcf045b790f83532eef515d9" hidden="1">#REF!</definedName>
    <definedName name="_RIVd135beb3912742bea67914915ebeb75e" localSheetId="1" hidden="1">#REF!</definedName>
    <definedName name="_RIVd135beb3912742bea67914915ebeb75e" localSheetId="13" hidden="1">'[19]Comprehensive Income'!#REF!</definedName>
    <definedName name="_RIVd135beb3912742bea67914915ebeb75e" localSheetId="18" hidden="1">'[19]Comprehensive Income'!#REF!</definedName>
    <definedName name="_RIVd135beb3912742bea67914915ebeb75e" localSheetId="20" hidden="1">#REF!</definedName>
    <definedName name="_RIVd135beb3912742bea67914915ebeb75e" hidden="1">#REF!</definedName>
    <definedName name="_RIVd1d503c2674d4697bd828ccc403295e8" localSheetId="13" hidden="1">'[19]Parent IS'!#REF!</definedName>
    <definedName name="_RIVd1d503c2674d4697bd828ccc403295e8" localSheetId="18" hidden="1">'[19]Parent IS'!#REF!</definedName>
    <definedName name="_RIVd1d503c2674d4697bd828ccc403295e8" hidden="1">#REF!</definedName>
    <definedName name="_RIVd1fe381dae4c4b31b668c4111df32a10" localSheetId="1" hidden="1">#REF!</definedName>
    <definedName name="_RIVd1fe381dae4c4b31b668c4111df32a10" localSheetId="20" hidden="1">#REF!</definedName>
    <definedName name="_RIVd1fe381dae4c4b31b668c4111df32a10" hidden="1">#REF!</definedName>
    <definedName name="_RIVd20af0ed450a4715afc08ae0397a8040" localSheetId="1" hidden="1">#REF!</definedName>
    <definedName name="_RIVd20af0ed450a4715afc08ae0397a8040" localSheetId="13" hidden="1">'[19]5 Yr CF_Div_CapEx_Acq'!#REF!</definedName>
    <definedName name="_RIVd20af0ed450a4715afc08ae0397a8040" localSheetId="18" hidden="1">'[19]5 Yr CF_Div_CapEx_Acq'!#REF!</definedName>
    <definedName name="_RIVd20af0ed450a4715afc08ae0397a8040" localSheetId="20" hidden="1">#REF!</definedName>
    <definedName name="_RIVd20af0ed450a4715afc08ae0397a8040" hidden="1">#REF!</definedName>
    <definedName name="_RIVd21eadf67e01467380e11126eb78ba25" localSheetId="13" hidden="1">'[20]other taxes'!#REF!</definedName>
    <definedName name="_RIVd21eadf67e01467380e11126eb78ba25" localSheetId="18" hidden="1">'[20]other taxes'!#REF!</definedName>
    <definedName name="_RIVd21eadf67e01467380e11126eb78ba25" hidden="1">#REF!</definedName>
    <definedName name="_RIVd28da2767d064350a423935efe529683" localSheetId="1" hidden="1">#REF!</definedName>
    <definedName name="_RIVd28da2767d064350a423935efe529683" localSheetId="20" hidden="1">#REF!</definedName>
    <definedName name="_RIVd28da2767d064350a423935efe529683" hidden="1">#REF!</definedName>
    <definedName name="_RIVd29d570a36ca4121af3c3ca746023628" localSheetId="1" hidden="1">#REF!</definedName>
    <definedName name="_RIVd29d570a36ca4121af3c3ca746023628" localSheetId="13" hidden="1">'[19]S-E'!#REF!</definedName>
    <definedName name="_RIVd29d570a36ca4121af3c3ca746023628" localSheetId="18" hidden="1">'[19]S-E'!#REF!</definedName>
    <definedName name="_RIVd29d570a36ca4121af3c3ca746023628" localSheetId="20" hidden="1">#REF!</definedName>
    <definedName name="_RIVd29d570a36ca4121af3c3ca746023628" hidden="1">#REF!</definedName>
    <definedName name="_RIVd37a13119d8e481c9c9c2194004eff74" localSheetId="13" hidden="1">'[20]RS Expense'!#REF!</definedName>
    <definedName name="_RIVd37a13119d8e481c9c9c2194004eff74" localSheetId="18" hidden="1">'[20]RS Expense'!#REF!</definedName>
    <definedName name="_RIVd37a13119d8e481c9c9c2194004eff74" hidden="1">#REF!</definedName>
    <definedName name="_RIVd387e197244c482cbe751f0407979bb8" localSheetId="1" hidden="1">#REF!</definedName>
    <definedName name="_RIVd387e197244c482cbe751f0407979bb8" localSheetId="20" hidden="1">#REF!</definedName>
    <definedName name="_RIVd387e197244c482cbe751f0407979bb8" hidden="1">#REF!</definedName>
    <definedName name="_RIVd4231e98a2404de885581b91ffcdc2f8" localSheetId="1" hidden="1">#REF!</definedName>
    <definedName name="_RIVd4231e98a2404de885581b91ffcdc2f8" localSheetId="20" hidden="1">#REF!</definedName>
    <definedName name="_RIVd4231e98a2404de885581b91ffcdc2f8" hidden="1">#REF!</definedName>
    <definedName name="_RIVd4957a1e75624e2bac30b1f0284b20d7" localSheetId="1" hidden="1">#REF!</definedName>
    <definedName name="_RIVd4957a1e75624e2bac30b1f0284b20d7" localSheetId="13" hidden="1">[20]concapital!#REF!</definedName>
    <definedName name="_RIVd4957a1e75624e2bac30b1f0284b20d7" localSheetId="18" hidden="1">[20]concapital!#REF!</definedName>
    <definedName name="_RIVd4957a1e75624e2bac30b1f0284b20d7" localSheetId="20" hidden="1">#REF!</definedName>
    <definedName name="_RIVd4957a1e75624e2bac30b1f0284b20d7" hidden="1">#REF!</definedName>
    <definedName name="_RIVd4a0a3b6fc114b6cb2fdc89eb36b4a65" localSheetId="1" hidden="1">#REF!</definedName>
    <definedName name="_RIVd4a0a3b6fc114b6cb2fdc89eb36b4a65" localSheetId="20" hidden="1">#REF!</definedName>
    <definedName name="_RIVd4a0a3b6fc114b6cb2fdc89eb36b4a65" hidden="1">#REF!</definedName>
    <definedName name="_RIVd4cab306baaf4169b6326e11f60f36df" localSheetId="1" hidden="1">#REF!</definedName>
    <definedName name="_RIVd4cab306baaf4169b6326e11f60f36df" localSheetId="13" hidden="1">'[19]Fourth Quarter'!#REF!</definedName>
    <definedName name="_RIVd4cab306baaf4169b6326e11f60f36df" localSheetId="18" hidden="1">'[19]Fourth Quarter'!#REF!</definedName>
    <definedName name="_RIVd4cab306baaf4169b6326e11f60f36df" localSheetId="20" hidden="1">#REF!</definedName>
    <definedName name="_RIVd4cab306baaf4169b6326e11f60f36df" hidden="1">#REF!</definedName>
    <definedName name="_RIVd54733d25af14efc9b0199b939af195b" localSheetId="13" hidden="1">'[19]Operating Results'!#REF!</definedName>
    <definedName name="_RIVd54733d25af14efc9b0199b939af195b" localSheetId="18" hidden="1">'[19]Operating Results'!#REF!</definedName>
    <definedName name="_RIVd54733d25af14efc9b0199b939af195b" hidden="1">#REF!</definedName>
    <definedName name="_RIVd548ccc6ad634a0f81e63d11a13adb53" localSheetId="13" hidden="1">'[19]Parent IS'!#REF!</definedName>
    <definedName name="_RIVd548ccc6ad634a0f81e63d11a13adb53" localSheetId="18" hidden="1">'[19]Parent IS'!#REF!</definedName>
    <definedName name="_RIVd548ccc6ad634a0f81e63d11a13adb53" hidden="1">#REF!</definedName>
    <definedName name="_RIVd54eb252c0af4993974b46c42e2395d6" localSheetId="13" hidden="1">'[19]Balance Sheet'!#REF!</definedName>
    <definedName name="_RIVd54eb252c0af4993974b46c42e2395d6" localSheetId="18" hidden="1">'[19]Balance Sheet'!#REF!</definedName>
    <definedName name="_RIVd54eb252c0af4993974b46c42e2395d6" hidden="1">#REF!</definedName>
    <definedName name="_RIVd5f1ea3c72f441ba8452e454f243039f" localSheetId="13" hidden="1">[19]DeferAssetLiab!#REF!</definedName>
    <definedName name="_RIVd5f1ea3c72f441ba8452e454f243039f" localSheetId="18" hidden="1">[19]DeferAssetLiab!#REF!</definedName>
    <definedName name="_RIVd5f1ea3c72f441ba8452e454f243039f" hidden="1">#REF!</definedName>
    <definedName name="_RIVd6038fbed22440ef847eb83c72918bbd" localSheetId="13" hidden="1">'[19] Assumptions_A'!#REF!</definedName>
    <definedName name="_RIVd6038fbed22440ef847eb83c72918bbd" localSheetId="18" hidden="1">'[19] Assumptions_A'!#REF!</definedName>
    <definedName name="_RIVd6038fbed22440ef847eb83c72918bbd" hidden="1">#REF!</definedName>
    <definedName name="_RIVd6817ae86c784136a84227e8cbc62b70" localSheetId="1" hidden="1">#REF!</definedName>
    <definedName name="_RIVd6817ae86c784136a84227e8cbc62b70" localSheetId="20" hidden="1">#REF!</definedName>
    <definedName name="_RIVd6817ae86c784136a84227e8cbc62b70" hidden="1">#REF!</definedName>
    <definedName name="_RIVd6a818bf87884fb28b2b52d703773b94" localSheetId="1" hidden="1">#REF!</definedName>
    <definedName name="_RIVd6a818bf87884fb28b2b52d703773b94" localSheetId="13" hidden="1">'[19] Assumptions_A'!#REF!</definedName>
    <definedName name="_RIVd6a818bf87884fb28b2b52d703773b94" localSheetId="18" hidden="1">'[19] Assumptions_A'!#REF!</definedName>
    <definedName name="_RIVd6a818bf87884fb28b2b52d703773b94" localSheetId="20" hidden="1">#REF!</definedName>
    <definedName name="_RIVd6a818bf87884fb28b2b52d703773b94" hidden="1">#REF!</definedName>
    <definedName name="_RIVd72120c485b64533a3be9594b28045d7" localSheetId="13" hidden="1">[19]OptionsExOS!#REF!</definedName>
    <definedName name="_RIVd72120c485b64533a3be9594b28045d7" localSheetId="18" hidden="1">[19]OptionsExOS!#REF!</definedName>
    <definedName name="_RIVd72120c485b64533a3be9594b28045d7" hidden="1">#REF!</definedName>
    <definedName name="_RIVd72aedb6482b46ceb8b08df6ca4edb73" localSheetId="13" hidden="1">[20]goodwill!#REF!</definedName>
    <definedName name="_RIVd72aedb6482b46ceb8b08df6ca4edb73" localSheetId="18" hidden="1">[20]goodwill!#REF!</definedName>
    <definedName name="_RIVd72aedb6482b46ceb8b08df6ca4edb73" hidden="1">#REF!</definedName>
    <definedName name="_RIVd75535de125249c8900cbca7ee833abf" localSheetId="13" hidden="1">'[19]Com.StkHldr''s Equity'!#REF!</definedName>
    <definedName name="_RIVd75535de125249c8900cbca7ee833abf" localSheetId="18" hidden="1">'[19]Com.StkHldr''s Equity'!#REF!</definedName>
    <definedName name="_RIVd75535de125249c8900cbca7ee833abf" hidden="1">#REF!</definedName>
    <definedName name="_RIVd7d393f41698456a9f36ee1a2fe7ebc7" localSheetId="13" hidden="1">'[19] Assumptions_A'!#REF!</definedName>
    <definedName name="_RIVd7d393f41698456a9f36ee1a2fe7ebc7" localSheetId="18" hidden="1">'[19] Assumptions_A'!#REF!</definedName>
    <definedName name="_RIVd7d393f41698456a9f36ee1a2fe7ebc7" hidden="1">#REF!</definedName>
    <definedName name="_RIVd7dbb7640ada494f85223a52f911d03a" localSheetId="1" hidden="1">#REF!</definedName>
    <definedName name="_RIVd7dbb7640ada494f85223a52f911d03a" localSheetId="20" hidden="1">#REF!</definedName>
    <definedName name="_RIVd7dbb7640ada494f85223a52f911d03a" hidden="1">#REF!</definedName>
    <definedName name="_RIVd81da973b898405bb989a48c913f11cb" localSheetId="1" hidden="1">#REF!</definedName>
    <definedName name="_RIVd81da973b898405bb989a48c913f11cb" localSheetId="13" hidden="1">'[19] Assumptions_A'!#REF!</definedName>
    <definedName name="_RIVd81da973b898405bb989a48c913f11cb" localSheetId="18" hidden="1">'[19] Assumptions_A'!#REF!</definedName>
    <definedName name="_RIVd81da973b898405bb989a48c913f11cb" localSheetId="20" hidden="1">#REF!</definedName>
    <definedName name="_RIVd81da973b898405bb989a48c913f11cb" hidden="1">#REF!</definedName>
    <definedName name="_RIVd8232b2ac9b64e5aa929cc574396f463" localSheetId="1" hidden="1">#REF!</definedName>
    <definedName name="_RIVd8232b2ac9b64e5aa929cc574396f463" localSheetId="20" hidden="1">#REF!</definedName>
    <definedName name="_RIVd8232b2ac9b64e5aa929cc574396f463" hidden="1">#REF!</definedName>
    <definedName name="_RIVd831e6e611054362acc89e9443094141" localSheetId="1" hidden="1">#REF!</definedName>
    <definedName name="_RIVd831e6e611054362acc89e9443094141" localSheetId="13" hidden="1">'[20]PSU Expense'!#REF!</definedName>
    <definedName name="_RIVd831e6e611054362acc89e9443094141" localSheetId="18" hidden="1">'[20]PSU Expense'!#REF!</definedName>
    <definedName name="_RIVd831e6e611054362acc89e9443094141" localSheetId="20" hidden="1">#REF!</definedName>
    <definedName name="_RIVd831e6e611054362acc89e9443094141" hidden="1">#REF!</definedName>
    <definedName name="_RIVd87f6456ffea484c84e82a0f3eb29402" localSheetId="13" hidden="1">'[21]RSU Expense'!#REF!</definedName>
    <definedName name="_RIVd87f6456ffea484c84e82a0f3eb29402" localSheetId="18" hidden="1">'[21]RSU Expense'!#REF!</definedName>
    <definedName name="_RIVd87f6456ffea484c84e82a0f3eb29402" hidden="1">#REF!</definedName>
    <definedName name="_RIVd891c5ea65cf403ba71bc46fded7197e" localSheetId="1" hidden="1">#REF!</definedName>
    <definedName name="_RIVd891c5ea65cf403ba71bc46fded7197e" localSheetId="20" hidden="1">#REF!</definedName>
    <definedName name="_RIVd891c5ea65cf403ba71bc46fded7197e" hidden="1">#REF!</definedName>
    <definedName name="_RIVd8a2cbe5c9af4c36a46c8d3873d14805" localSheetId="1" hidden="1">#REF!</definedName>
    <definedName name="_RIVd8a2cbe5c9af4c36a46c8d3873d14805" localSheetId="13" hidden="1">'[19]Market Risk'!#REF!</definedName>
    <definedName name="_RIVd8a2cbe5c9af4c36a46c8d3873d14805" localSheetId="18" hidden="1">'[19]Market Risk'!#REF!</definedName>
    <definedName name="_RIVd8a2cbe5c9af4c36a46c8d3873d14805" localSheetId="20" hidden="1">#REF!</definedName>
    <definedName name="_RIVd8a2cbe5c9af4c36a46c8d3873d14805" hidden="1">#REF!</definedName>
    <definedName name="_RIVd8de934cdec74509adf32c7d8082575d" localSheetId="1" hidden="1">#REF!</definedName>
    <definedName name="_RIVd8de934cdec74509adf32c7d8082575d" localSheetId="20" hidden="1">#REF!</definedName>
    <definedName name="_RIVd8de934cdec74509adf32c7d8082575d" hidden="1">#REF!</definedName>
    <definedName name="_RIVd91ab0bade65446bae5b4c636070f7e4" localSheetId="1" hidden="1">#REF!</definedName>
    <definedName name="_RIVd91ab0bade65446bae5b4c636070f7e4" localSheetId="20" hidden="1">#REF!</definedName>
    <definedName name="_RIVd91ab0bade65446bae5b4c636070f7e4" hidden="1">#REF!</definedName>
    <definedName name="_RIVd9294ec1bd464edf9e22e68874884412" localSheetId="1" hidden="1">#REF!</definedName>
    <definedName name="_RIVd9294ec1bd464edf9e22e68874884412" localSheetId="13" hidden="1">'[19]Comprehensive Income'!#REF!</definedName>
    <definedName name="_RIVd9294ec1bd464edf9e22e68874884412" localSheetId="18" hidden="1">'[19]Comprehensive Income'!#REF!</definedName>
    <definedName name="_RIVd9294ec1bd464edf9e22e68874884412" localSheetId="20" hidden="1">#REF!</definedName>
    <definedName name="_RIVd9294ec1bd464edf9e22e68874884412" hidden="1">#REF!</definedName>
    <definedName name="_RIVd96ee0acd3d44b27a995bbff23a656ed" localSheetId="13" hidden="1">[20]STEQUITY!#REF!</definedName>
    <definedName name="_RIVd96ee0acd3d44b27a995bbff23a656ed" localSheetId="18" hidden="1">[20]STEQUITY!#REF!</definedName>
    <definedName name="_RIVd96ee0acd3d44b27a995bbff23a656ed" hidden="1">#REF!</definedName>
    <definedName name="_RIVd99fd2f20d164225a04a2c7a76d0bcfd" localSheetId="1" hidden="1">#REF!</definedName>
    <definedName name="_RIVd99fd2f20d164225a04a2c7a76d0bcfd" localSheetId="20" hidden="1">#REF!</definedName>
    <definedName name="_RIVd99fd2f20d164225a04a2c7a76d0bcfd" hidden="1">#REF!</definedName>
    <definedName name="_RIVda81c854f42f4bb893a831fee09a8638" localSheetId="1" hidden="1">#REF!</definedName>
    <definedName name="_RIVda81c854f42f4bb893a831fee09a8638" localSheetId="13" hidden="1">'[21]Restricted Stk'!#REF!</definedName>
    <definedName name="_RIVda81c854f42f4bb893a831fee09a8638" localSheetId="18" hidden="1">'[21]Restricted Stk'!#REF!</definedName>
    <definedName name="_RIVda81c854f42f4bb893a831fee09a8638" localSheetId="20" hidden="1">#REF!</definedName>
    <definedName name="_RIVda81c854f42f4bb893a831fee09a8638" hidden="1">#REF!</definedName>
    <definedName name="_RIVdad8e39e60e444d6adcd8378464b959a" localSheetId="13" hidden="1">'[19]Parent IS'!#REF!</definedName>
    <definedName name="_RIVdad8e39e60e444d6adcd8378464b959a" localSheetId="18" hidden="1">'[19]Parent IS'!#REF!</definedName>
    <definedName name="_RIVdad8e39e60e444d6adcd8378464b959a" hidden="1">#REF!</definedName>
    <definedName name="_RIVdadffbeaf3914d7b8f0c52ce7e7423de" localSheetId="1" hidden="1">#REF!</definedName>
    <definedName name="_RIVdadffbeaf3914d7b8f0c52ce7e7423de" localSheetId="20" hidden="1">#REF!</definedName>
    <definedName name="_RIVdadffbeaf3914d7b8f0c52ce7e7423de" hidden="1">#REF!</definedName>
    <definedName name="_RIVdb57500130a34a26847d744f1c23276c" localSheetId="1" hidden="1">#REF!</definedName>
    <definedName name="_RIVdb57500130a34a26847d744f1c23276c" localSheetId="13" hidden="1">'[19]Operating Results'!#REF!</definedName>
    <definedName name="_RIVdb57500130a34a26847d744f1c23276c" localSheetId="18" hidden="1">'[19]Operating Results'!#REF!</definedName>
    <definedName name="_RIVdb57500130a34a26847d744f1c23276c" localSheetId="20" hidden="1">#REF!</definedName>
    <definedName name="_RIVdb57500130a34a26847d744f1c23276c" hidden="1">#REF!</definedName>
    <definedName name="_RIVdb832088188943f994943806c9effda5" localSheetId="1" hidden="1">#REF!</definedName>
    <definedName name="_RIVdb832088188943f994943806c9effda5" localSheetId="20" hidden="1">#REF!</definedName>
    <definedName name="_RIVdb832088188943f994943806c9effda5" hidden="1">#REF!</definedName>
    <definedName name="_RIVdb8847b766ba4baeab59b6e5d0d0f8c5" localSheetId="1" hidden="1">#REF!</definedName>
    <definedName name="_RIVdb8847b766ba4baeab59b6e5d0d0f8c5" localSheetId="13" hidden="1">'[19]Options RF'!#REF!</definedName>
    <definedName name="_RIVdb8847b766ba4baeab59b6e5d0d0f8c5" localSheetId="18" hidden="1">'[19]Options RF'!#REF!</definedName>
    <definedName name="_RIVdb8847b766ba4baeab59b6e5d0d0f8c5" localSheetId="20" hidden="1">#REF!</definedName>
    <definedName name="_RIVdb8847b766ba4baeab59b6e5d0d0f8c5" hidden="1">#REF!</definedName>
    <definedName name="_RIVdbf1fd85073f420ab3392eee31c14591" localSheetId="1" hidden="1">#REF!</definedName>
    <definedName name="_RIVdbf1fd85073f420ab3392eee31c14591" localSheetId="20" hidden="1">#REF!</definedName>
    <definedName name="_RIVdbf1fd85073f420ab3392eee31c14591" hidden="1">#REF!</definedName>
    <definedName name="_RIVdbfffcc287e54851a38e3d64b9df18ca" localSheetId="1" hidden="1">#REF!</definedName>
    <definedName name="_RIVdbfffcc287e54851a38e3d64b9df18ca" localSheetId="20" hidden="1">#REF!</definedName>
    <definedName name="_RIVdbfffcc287e54851a38e3d64b9df18ca" hidden="1">#REF!</definedName>
    <definedName name="_RIVdc1e4e4d449b4eefb697c959f125d732" localSheetId="1" hidden="1">#REF!</definedName>
    <definedName name="_RIVdc1e4e4d449b4eefb697c959f125d732" localSheetId="20" hidden="1">#REF!</definedName>
    <definedName name="_RIVdc1e4e4d449b4eefb697c959f125d732" hidden="1">#REF!</definedName>
    <definedName name="_RIVdc4201d784ca42cda9fbf51a475ebf60" localSheetId="1" hidden="1">#REF!</definedName>
    <definedName name="_RIVdc4201d784ca42cda9fbf51a475ebf60" localSheetId="20" hidden="1">#REF!</definedName>
    <definedName name="_RIVdc4201d784ca42cda9fbf51a475ebf60" hidden="1">#REF!</definedName>
    <definedName name="_RIVdcdea021014a497f95f239d9b42089fe" localSheetId="1" hidden="1">#REF!</definedName>
    <definedName name="_RIVdcdea021014a497f95f239d9b42089fe" localSheetId="13" hidden="1">[19]AcctsReceiv!#REF!</definedName>
    <definedName name="_RIVdcdea021014a497f95f239d9b42089fe" localSheetId="18" hidden="1">[19]AcctsReceiv!#REF!</definedName>
    <definedName name="_RIVdcdea021014a497f95f239d9b42089fe" localSheetId="20" hidden="1">#REF!</definedName>
    <definedName name="_RIVdcdea021014a497f95f239d9b42089fe" hidden="1">#REF!</definedName>
    <definedName name="_RIVdcee59b97e6b417f85f28bc52f064f51" localSheetId="1" hidden="1">#REF!</definedName>
    <definedName name="_RIVdcee59b97e6b417f85f28bc52f064f51" localSheetId="20" hidden="1">#REF!</definedName>
    <definedName name="_RIVdcee59b97e6b417f85f28bc52f064f51" hidden="1">#REF!</definedName>
    <definedName name="_RIVdd5f6fdfba5848b9b363243f73a0e8f0" localSheetId="1" hidden="1">#REF!</definedName>
    <definedName name="_RIVdd5f6fdfba5848b9b363243f73a0e8f0" localSheetId="13" hidden="1">'[19]PBO - ABO'!#REF!</definedName>
    <definedName name="_RIVdd5f6fdfba5848b9b363243f73a0e8f0" localSheetId="18" hidden="1">'[19]PBO - ABO'!#REF!</definedName>
    <definedName name="_RIVdd5f6fdfba5848b9b363243f73a0e8f0" localSheetId="20" hidden="1">#REF!</definedName>
    <definedName name="_RIVdd5f6fdfba5848b9b363243f73a0e8f0" hidden="1">#REF!</definedName>
    <definedName name="_RIVdd8ff3ae909441f8a869c1f44c3b19de" localSheetId="13" hidden="1">[19]Prop_Plant_Equip!#REF!</definedName>
    <definedName name="_RIVdd8ff3ae909441f8a869c1f44c3b19de" localSheetId="18" hidden="1">[19]Prop_Plant_Equip!#REF!</definedName>
    <definedName name="_RIVdd8ff3ae909441f8a869c1f44c3b19de" hidden="1">#REF!</definedName>
    <definedName name="_RIVddd53e11f7154cbe94571ba5632345ce" localSheetId="1" hidden="1">#REF!</definedName>
    <definedName name="_RIVddd53e11f7154cbe94571ba5632345ce" localSheetId="20" hidden="1">#REF!</definedName>
    <definedName name="_RIVddd53e11f7154cbe94571ba5632345ce" hidden="1">#REF!</definedName>
    <definedName name="_RIVde204a3fd7d24f95be9f98be45fbb345" localSheetId="1" hidden="1">#REF!</definedName>
    <definedName name="_RIVde204a3fd7d24f95be9f98be45fbb345" localSheetId="20" hidden="1">#REF!</definedName>
    <definedName name="_RIVde204a3fd7d24f95be9f98be45fbb345" hidden="1">#REF!</definedName>
    <definedName name="_RIVde399215bc4e47e1901aadb563ee77d9" localSheetId="1" hidden="1">#REF!</definedName>
    <definedName name="_RIVde399215bc4e47e1901aadb563ee77d9" localSheetId="13" hidden="1">'[19]Com.StkHldr''s Equity'!#REF!</definedName>
    <definedName name="_RIVde399215bc4e47e1901aadb563ee77d9" localSheetId="18" hidden="1">'[19]Com.StkHldr''s Equity'!#REF!</definedName>
    <definedName name="_RIVde399215bc4e47e1901aadb563ee77d9" localSheetId="20" hidden="1">#REF!</definedName>
    <definedName name="_RIVde399215bc4e47e1901aadb563ee77d9" hidden="1">#REF!</definedName>
    <definedName name="_RIVde5d681709c04a36bcc88e22be842a3b" localSheetId="13" hidden="1">[22]AssetMix!#REF!</definedName>
    <definedName name="_RIVde5d681709c04a36bcc88e22be842a3b" localSheetId="18" hidden="1">[22]AssetMix!#REF!</definedName>
    <definedName name="_RIVde5d681709c04a36bcc88e22be842a3b" hidden="1">#REF!</definedName>
    <definedName name="_RIVde97b9a6d1ad4eb5aa2b5184f028eb02" localSheetId="13" hidden="1">[19]Costs!#REF!</definedName>
    <definedName name="_RIVde97b9a6d1ad4eb5aa2b5184f028eb02" localSheetId="18" hidden="1">[19]Costs!#REF!</definedName>
    <definedName name="_RIVde97b9a6d1ad4eb5aa2b5184f028eb02" hidden="1">#REF!</definedName>
    <definedName name="_RIVdeaa3e362ada4f14ab2cdc51951f72bf" localSheetId="1" hidden="1">#REF!</definedName>
    <definedName name="_RIVdeaa3e362ada4f14ab2cdc51951f72bf" localSheetId="20" hidden="1">#REF!</definedName>
    <definedName name="_RIVdeaa3e362ada4f14ab2cdc51951f72bf" hidden="1">#REF!</definedName>
    <definedName name="_RIVdecc93965f7f45719d4ba21459890d3a" localSheetId="1" hidden="1">#REF!</definedName>
    <definedName name="_RIVdecc93965f7f45719d4ba21459890d3a" localSheetId="20" hidden="1">#REF!</definedName>
    <definedName name="_RIVdecc93965f7f45719d4ba21459890d3a" hidden="1">#REF!</definedName>
    <definedName name="_RIVdf3c6b276a2c45eb802340a97ca9d332" localSheetId="1" hidden="1">#REF!</definedName>
    <definedName name="_RIVdf3c6b276a2c45eb802340a97ca9d332" localSheetId="20" hidden="1">#REF!</definedName>
    <definedName name="_RIVdf3c6b276a2c45eb802340a97ca9d332" hidden="1">#REF!</definedName>
    <definedName name="_RIVdf5e900a5c694b90a7eaa22dd6ce1f92" localSheetId="1" hidden="1">#REF!</definedName>
    <definedName name="_RIVdf5e900a5c694b90a7eaa22dd6ce1f92" localSheetId="20" hidden="1">#REF!</definedName>
    <definedName name="_RIVdf5e900a5c694b90a7eaa22dd6ce1f92" hidden="1">#REF!</definedName>
    <definedName name="_RIVdf5ec524301d47d4ad3da38ca915abbf" localSheetId="1" hidden="1">#REF!</definedName>
    <definedName name="_RIVdf5ec524301d47d4ad3da38ca915abbf" localSheetId="20" hidden="1">#REF!</definedName>
    <definedName name="_RIVdf5ec524301d47d4ad3da38ca915abbf" hidden="1">#REF!</definedName>
    <definedName name="_RIVdfeaa361364a4684bc0d47987364ea69" localSheetId="1" hidden="1">#REF!</definedName>
    <definedName name="_RIVdfeaa361364a4684bc0d47987364ea69" localSheetId="20" hidden="1">#REF!</definedName>
    <definedName name="_RIVdfeaa361364a4684bc0d47987364ea69" hidden="1">#REF!</definedName>
    <definedName name="_RIVe02d498089674d2a86d20b93c44c1794" localSheetId="1" hidden="1">#REF!</definedName>
    <definedName name="_RIVe02d498089674d2a86d20b93c44c1794" localSheetId="20" hidden="1">#REF!</definedName>
    <definedName name="_RIVe02d498089674d2a86d20b93c44c1794" hidden="1">#REF!</definedName>
    <definedName name="_RIVe034a4fb9e024930a064b87bd99e15f0" localSheetId="1" hidden="1">#REF!</definedName>
    <definedName name="_RIVe034a4fb9e024930a064b87bd99e15f0" localSheetId="20" hidden="1">#REF!</definedName>
    <definedName name="_RIVe034a4fb9e024930a064b87bd99e15f0" hidden="1">#REF!</definedName>
    <definedName name="_RIVe0c4d09988f640aa84cd67f7277bb975" localSheetId="1" hidden="1">#REF!</definedName>
    <definedName name="_RIVe0c4d09988f640aa84cd67f7277bb975" localSheetId="20" hidden="1">#REF!</definedName>
    <definedName name="_RIVe0c4d09988f640aa84cd67f7277bb975" hidden="1">#REF!</definedName>
    <definedName name="_RIVe1377167f86142fbace247fd8159252b" localSheetId="1" hidden="1">#REF!</definedName>
    <definedName name="_RIVe1377167f86142fbace247fd8159252b" localSheetId="20" hidden="1">#REF!</definedName>
    <definedName name="_RIVe1377167f86142fbace247fd8159252b" hidden="1">#REF!</definedName>
    <definedName name="_RIVe1847e9a27f84e3baefbe247080f8363" localSheetId="1" hidden="1">#REF!</definedName>
    <definedName name="_RIVe1847e9a27f84e3baefbe247080f8363" localSheetId="20" hidden="1">#REF!</definedName>
    <definedName name="_RIVe1847e9a27f84e3baefbe247080f8363" hidden="1">#REF!</definedName>
    <definedName name="_RIVe1caabd2481f471a990e0c188866a344" localSheetId="1" hidden="1">#REF!</definedName>
    <definedName name="_RIVe1caabd2481f471a990e0c188866a344" localSheetId="13" hidden="1">'[22]PSU FV '!#REF!</definedName>
    <definedName name="_RIVe1caabd2481f471a990e0c188866a344" localSheetId="18" hidden="1">'[22]PSU FV '!#REF!</definedName>
    <definedName name="_RIVe1caabd2481f471a990e0c188866a344" localSheetId="20" hidden="1">#REF!</definedName>
    <definedName name="_RIVe1caabd2481f471a990e0c188866a344" hidden="1">#REF!</definedName>
    <definedName name="_RIVe1ccb5aaf9fa44209c73015a09817c1d" localSheetId="1" hidden="1">#REF!</definedName>
    <definedName name="_RIVe1ccb5aaf9fa44209c73015a09817c1d" localSheetId="20" hidden="1">#REF!</definedName>
    <definedName name="_RIVe1ccb5aaf9fa44209c73015a09817c1d" hidden="1">#REF!</definedName>
    <definedName name="_RIVe21c4b6dcba642a2b43e94f9d40795e9" localSheetId="1" hidden="1">#REF!</definedName>
    <definedName name="_RIVe21c4b6dcba642a2b43e94f9d40795e9" localSheetId="13" hidden="1">'[19]Debt to Equity'!#REF!</definedName>
    <definedName name="_RIVe21c4b6dcba642a2b43e94f9d40795e9" localSheetId="18" hidden="1">'[19]Debt to Equity'!#REF!</definedName>
    <definedName name="_RIVe21c4b6dcba642a2b43e94f9d40795e9" localSheetId="20" hidden="1">#REF!</definedName>
    <definedName name="_RIVe21c4b6dcba642a2b43e94f9d40795e9" hidden="1">#REF!</definedName>
    <definedName name="_RIVe26e2cc2852c4fe5a4ea52e1789fabec" localSheetId="13" hidden="1">[19]TrendRates!#REF!</definedName>
    <definedName name="_RIVe26e2cc2852c4fe5a4ea52e1789fabec" localSheetId="18" hidden="1">[19]TrendRates!#REF!</definedName>
    <definedName name="_RIVe26e2cc2852c4fe5a4ea52e1789fabec" hidden="1">#REF!</definedName>
    <definedName name="_RIVe276d2e5ea104dbbbd5391aa47a2c166" localSheetId="1" hidden="1">#REF!</definedName>
    <definedName name="_RIVe276d2e5ea104dbbbd5391aa47a2c166" localSheetId="20" hidden="1">#REF!</definedName>
    <definedName name="_RIVe276d2e5ea104dbbbd5391aa47a2c166" hidden="1">#REF!</definedName>
    <definedName name="_RIVe2931e2eb0894691908b8d7bfa0cf060" localSheetId="1" hidden="1">#REF!</definedName>
    <definedName name="_RIVe2931e2eb0894691908b8d7bfa0cf060" localSheetId="13" hidden="1">'[19]Market Risk'!#REF!</definedName>
    <definedName name="_RIVe2931e2eb0894691908b8d7bfa0cf060" localSheetId="18" hidden="1">'[19]Market Risk'!#REF!</definedName>
    <definedName name="_RIVe2931e2eb0894691908b8d7bfa0cf060" localSheetId="20" hidden="1">#REF!</definedName>
    <definedName name="_RIVe2931e2eb0894691908b8d7bfa0cf060" hidden="1">#REF!</definedName>
    <definedName name="_RIVe2c283bc8ddb4a31856bcfb50d9c3bb6" localSheetId="13" hidden="1">'[19]Com.StkHldr''s Equity'!#REF!</definedName>
    <definedName name="_RIVe2c283bc8ddb4a31856bcfb50d9c3bb6" localSheetId="18" hidden="1">'[19]Com.StkHldr''s Equity'!#REF!</definedName>
    <definedName name="_RIVe2c283bc8ddb4a31856bcfb50d9c3bb6" hidden="1">#REF!</definedName>
    <definedName name="_RIVe3ab18d31fcc4067ae0b51ad97931a41" localSheetId="13" hidden="1">'[19]Debt to Equity'!#REF!</definedName>
    <definedName name="_RIVe3ab18d31fcc4067ae0b51ad97931a41" localSheetId="18" hidden="1">'[19]Debt to Equity'!#REF!</definedName>
    <definedName name="_RIVe3ab18d31fcc4067ae0b51ad97931a41" hidden="1">#REF!</definedName>
    <definedName name="_RIVe3fa096d54f444d0a6c4e99120335e69" localSheetId="13" hidden="1">'[19]Options Expense'!#REF!</definedName>
    <definedName name="_RIVe3fa096d54f444d0a6c4e99120335e69" localSheetId="18" hidden="1">'[19]Options Expense'!#REF!</definedName>
    <definedName name="_RIVe3fa096d54f444d0a6c4e99120335e69" hidden="1">#REF!</definedName>
    <definedName name="_RIVe437007c202a419ea1e582d0f72de258" localSheetId="1" hidden="1">#REF!</definedName>
    <definedName name="_RIVe437007c202a419ea1e582d0f72de258" localSheetId="20" hidden="1">#REF!</definedName>
    <definedName name="_RIVe437007c202a419ea1e582d0f72de258" hidden="1">#REF!</definedName>
    <definedName name="_RIVe45b8fecaa994a169ad943d8100fb9c3" localSheetId="1" hidden="1">#REF!</definedName>
    <definedName name="_RIVe45b8fecaa994a169ad943d8100fb9c3" localSheetId="13" hidden="1">[20]Pension!#REF!</definedName>
    <definedName name="_RIVe45b8fecaa994a169ad943d8100fb9c3" localSheetId="18" hidden="1">[20]Pension!#REF!</definedName>
    <definedName name="_RIVe45b8fecaa994a169ad943d8100fb9c3" localSheetId="20" hidden="1">#REF!</definedName>
    <definedName name="_RIVe45b8fecaa994a169ad943d8100fb9c3" hidden="1">#REF!</definedName>
    <definedName name="_RIVe47f9ada9b194f8393257f0b69f8077b" localSheetId="13" hidden="1">'[19]Parent CF'!#REF!</definedName>
    <definedName name="_RIVe47f9ada9b194f8393257f0b69f8077b" localSheetId="18" hidden="1">'[19]Parent CF'!#REF!</definedName>
    <definedName name="_RIVe47f9ada9b194f8393257f0b69f8077b" hidden="1">#REF!</definedName>
    <definedName name="_RIVe4de1c58f5bf4567924589441abeb5c9" localSheetId="13" hidden="1">[19]Assumptions_B!#REF!</definedName>
    <definedName name="_RIVe4de1c58f5bf4567924589441abeb5c9" localSheetId="18" hidden="1">[19]Assumptions_B!#REF!</definedName>
    <definedName name="_RIVe4de1c58f5bf4567924589441abeb5c9" hidden="1">#REF!</definedName>
    <definedName name="_RIVe55d9542be2f4ba996621991983dc75a" localSheetId="13" hidden="1">'[19]Com.StkHldr''s Equity'!#REF!</definedName>
    <definedName name="_RIVe55d9542be2f4ba996621991983dc75a" localSheetId="18" hidden="1">'[19]Com.StkHldr''s Equity'!#REF!</definedName>
    <definedName name="_RIVe55d9542be2f4ba996621991983dc75a" hidden="1">#REF!</definedName>
    <definedName name="_RIVe579ef562fd94121865dd35e530cf247" localSheetId="13" hidden="1">'[19]Com.StkHldr''s Equity'!#REF!</definedName>
    <definedName name="_RIVe579ef562fd94121865dd35e530cf247" localSheetId="18" hidden="1">'[19]Com.StkHldr''s Equity'!#REF!</definedName>
    <definedName name="_RIVe579ef562fd94121865dd35e530cf247" hidden="1">#REF!</definedName>
    <definedName name="_RIVe5fa41bcfd39484f9c0c7e38c92e41ed" localSheetId="13" hidden="1">'[20]Option summary'!#REF!</definedName>
    <definedName name="_RIVe5fa41bcfd39484f9c0c7e38c92e41ed" localSheetId="18" hidden="1">'[20]Option summary'!#REF!</definedName>
    <definedName name="_RIVe5fa41bcfd39484f9c0c7e38c92e41ed" hidden="1">#REF!</definedName>
    <definedName name="_RIVe79b3d7550cb4bd4a5cc2cdee5d07498" localSheetId="1" hidden="1">#REF!</definedName>
    <definedName name="_RIVe79b3d7550cb4bd4a5cc2cdee5d07498" localSheetId="20" hidden="1">#REF!</definedName>
    <definedName name="_RIVe79b3d7550cb4bd4a5cc2cdee5d07498" hidden="1">#REF!</definedName>
    <definedName name="_RIVe809a0acfb90407bbaf2928fca74bbc4" localSheetId="1" hidden="1">#REF!</definedName>
    <definedName name="_RIVe809a0acfb90407bbaf2928fca74bbc4" localSheetId="20" hidden="1">#REF!</definedName>
    <definedName name="_RIVe809a0acfb90407bbaf2928fca74bbc4" hidden="1">#REF!</definedName>
    <definedName name="_RIVe8146ebcacdf49debd23a44f9d5cbe5c" localSheetId="1" hidden="1">#REF!</definedName>
    <definedName name="_RIVe8146ebcacdf49debd23a44f9d5cbe5c" localSheetId="20" hidden="1">#REF!</definedName>
    <definedName name="_RIVe8146ebcacdf49debd23a44f9d5cbe5c" hidden="1">#REF!</definedName>
    <definedName name="_RIVe872db75858442328d3f4342713a8a80" localSheetId="1" hidden="1">#REF!</definedName>
    <definedName name="_RIVe872db75858442328d3f4342713a8a80" localSheetId="13" hidden="1">'[19]Com.StkHldr''s Equity'!#REF!</definedName>
    <definedName name="_RIVe872db75858442328d3f4342713a8a80" localSheetId="18" hidden="1">'[19]Com.StkHldr''s Equity'!#REF!</definedName>
    <definedName name="_RIVe872db75858442328d3f4342713a8a80" localSheetId="20" hidden="1">#REF!</definedName>
    <definedName name="_RIVe872db75858442328d3f4342713a8a80" hidden="1">#REF!</definedName>
    <definedName name="_RIVe8b35db3fda94382b6d3aa4f4754d9f5" localSheetId="13" hidden="1">[19]OptionsExOS!#REF!</definedName>
    <definedName name="_RIVe8b35db3fda94382b6d3aa4f4754d9f5" localSheetId="18" hidden="1">[19]OptionsExOS!#REF!</definedName>
    <definedName name="_RIVe8b35db3fda94382b6d3aa4f4754d9f5" hidden="1">#REF!</definedName>
    <definedName name="_RIVe8c02d54baee4159a0c544186f9936b6" localSheetId="1" hidden="1">#REF!</definedName>
    <definedName name="_RIVe8c02d54baee4159a0c544186f9936b6" localSheetId="20" hidden="1">#REF!</definedName>
    <definedName name="_RIVe8c02d54baee4159a0c544186f9936b6" hidden="1">#REF!</definedName>
    <definedName name="_RIVe8c6b6e680a54332a0c360a872fefa0f" localSheetId="1" hidden="1">#REF!</definedName>
    <definedName name="_RIVe8c6b6e680a54332a0c360a872fefa0f" localSheetId="20" hidden="1">#REF!</definedName>
    <definedName name="_RIVe8c6b6e680a54332a0c360a872fefa0f" hidden="1">#REF!</definedName>
    <definedName name="_RIVe8f508c5eeae4c48b4257c609ac40c25" localSheetId="1" hidden="1">#REF!</definedName>
    <definedName name="_RIVe8f508c5eeae4c48b4257c609ac40c25" localSheetId="13" hidden="1">[19]AcctsReceiv!#REF!</definedName>
    <definedName name="_RIVe8f508c5eeae4c48b4257c609ac40c25" localSheetId="18" hidden="1">[19]AcctsReceiv!#REF!</definedName>
    <definedName name="_RIVe8f508c5eeae4c48b4257c609ac40c25" localSheetId="20" hidden="1">#REF!</definedName>
    <definedName name="_RIVe8f508c5eeae4c48b4257c609ac40c25" hidden="1">#REF!</definedName>
    <definedName name="_RIVe99a0f1cc6774fe28e38c42df2ed8e63" localSheetId="1" hidden="1">#REF!</definedName>
    <definedName name="_RIVe99a0f1cc6774fe28e38c42df2ed8e63" localSheetId="20" hidden="1">#REF!</definedName>
    <definedName name="_RIVe99a0f1cc6774fe28e38c42df2ed8e63" hidden="1">#REF!</definedName>
    <definedName name="_RIVea066953af7c46f59ef034b083bc76f9" localSheetId="1" hidden="1">#REF!</definedName>
    <definedName name="_RIVea066953af7c46f59ef034b083bc76f9" localSheetId="13" hidden="1">'[19]Balance Sheet'!#REF!</definedName>
    <definedName name="_RIVea066953af7c46f59ef034b083bc76f9" localSheetId="18" hidden="1">'[19]Balance Sheet'!#REF!</definedName>
    <definedName name="_RIVea066953af7c46f59ef034b083bc76f9" localSheetId="20" hidden="1">#REF!</definedName>
    <definedName name="_RIVea066953af7c46f59ef034b083bc76f9" hidden="1">#REF!</definedName>
    <definedName name="_RIVea2e85ddcb3f4fe1b67828a21725a47d" localSheetId="1" hidden="1">#REF!</definedName>
    <definedName name="_RIVea2e85ddcb3f4fe1b67828a21725a47d" localSheetId="20" hidden="1">#REF!</definedName>
    <definedName name="_RIVea2e85ddcb3f4fe1b67828a21725a47d" hidden="1">#REF!</definedName>
    <definedName name="_RIVea4ade29864b460f8775673c4ba7d7d5" localSheetId="1" hidden="1">#REF!</definedName>
    <definedName name="_RIVea4ade29864b460f8775673c4ba7d7d5" localSheetId="13" hidden="1">[19]Prop_Plant_Equip!#REF!</definedName>
    <definedName name="_RIVea4ade29864b460f8775673c4ba7d7d5" localSheetId="18" hidden="1">[19]Prop_Plant_Equip!#REF!</definedName>
    <definedName name="_RIVea4ade29864b460f8775673c4ba7d7d5" localSheetId="20" hidden="1">#REF!</definedName>
    <definedName name="_RIVea4ade29864b460f8775673c4ba7d7d5" hidden="1">#REF!</definedName>
    <definedName name="_RIVea50a7a035fc4752bbb0c33ee930a350" localSheetId="1" hidden="1">#REF!</definedName>
    <definedName name="_RIVea50a7a035fc4752bbb0c33ee930a350" localSheetId="20" hidden="1">#REF!</definedName>
    <definedName name="_RIVea50a7a035fc4752bbb0c33ee930a350" hidden="1">#REF!</definedName>
    <definedName name="_RIVea8e2a7ce398428aaa66364dd9f383ec" localSheetId="1" hidden="1">#REF!</definedName>
    <definedName name="_RIVea8e2a7ce398428aaa66364dd9f383ec" localSheetId="20" hidden="1">#REF!</definedName>
    <definedName name="_RIVea8e2a7ce398428aaa66364dd9f383ec" hidden="1">#REF!</definedName>
    <definedName name="_RIVeaf0a87bd5184254b8d16ef36e53b6f9" localSheetId="1" hidden="1">#REF!</definedName>
    <definedName name="_RIVeaf0a87bd5184254b8d16ef36e53b6f9" localSheetId="20" hidden="1">#REF!</definedName>
    <definedName name="_RIVeaf0a87bd5184254b8d16ef36e53b6f9" hidden="1">#REF!</definedName>
    <definedName name="_RIVeb7c858cfd8b47009c23f6c69e31c324" localSheetId="1" hidden="1">#REF!</definedName>
    <definedName name="_RIVeb7c858cfd8b47009c23f6c69e31c324" localSheetId="20" hidden="1">#REF!</definedName>
    <definedName name="_RIVeb7c858cfd8b47009c23f6c69e31c324" hidden="1">#REF!</definedName>
    <definedName name="_RIVeb8cdc34f11a440c86751b530f4e0cd6" localSheetId="1" hidden="1">#REF!</definedName>
    <definedName name="_RIVeb8cdc34f11a440c86751b530f4e0cd6" localSheetId="20" hidden="1">#REF!</definedName>
    <definedName name="_RIVeb8cdc34f11a440c86751b530f4e0cd6" hidden="1">#REF!</definedName>
    <definedName name="_RIVebc222859bc244cfb7fc93b4f9b9f4b6" localSheetId="1" hidden="1">#REF!</definedName>
    <definedName name="_RIVebc222859bc244cfb7fc93b4f9b9f4b6" localSheetId="13" hidden="1">[19]Prop_Plant_Equip!#REF!</definedName>
    <definedName name="_RIVebc222859bc244cfb7fc93b4f9b9f4b6" localSheetId="18" hidden="1">[19]Prop_Plant_Equip!#REF!</definedName>
    <definedName name="_RIVebc222859bc244cfb7fc93b4f9b9f4b6" localSheetId="20" hidden="1">#REF!</definedName>
    <definedName name="_RIVebc222859bc244cfb7fc93b4f9b9f4b6" hidden="1">#REF!</definedName>
    <definedName name="_RIVebd019a6811141fd8a6ba2b64c691957" localSheetId="1" hidden="1">#REF!</definedName>
    <definedName name="_RIVebd019a6811141fd8a6ba2b64c691957" localSheetId="20" hidden="1">#REF!</definedName>
    <definedName name="_RIVebd019a6811141fd8a6ba2b64c691957" hidden="1">#REF!</definedName>
    <definedName name="_RIVebfbee59989d4f398c5276969b45771c" localSheetId="1" hidden="1">#REF!</definedName>
    <definedName name="_RIVebfbee59989d4f398c5276969b45771c" localSheetId="20" hidden="1">#REF!</definedName>
    <definedName name="_RIVebfbee59989d4f398c5276969b45771c" hidden="1">#REF!</definedName>
    <definedName name="_RIVec73f704265d48a49b3a11c932750756" localSheetId="1" hidden="1">#REF!</definedName>
    <definedName name="_RIVec73f704265d48a49b3a11c932750756" localSheetId="13" hidden="1">'[19]Com.StkHldr''s Equity'!#REF!</definedName>
    <definedName name="_RIVec73f704265d48a49b3a11c932750756" localSheetId="18" hidden="1">'[19]Com.StkHldr''s Equity'!#REF!</definedName>
    <definedName name="_RIVec73f704265d48a49b3a11c932750756" localSheetId="20" hidden="1">#REF!</definedName>
    <definedName name="_RIVec73f704265d48a49b3a11c932750756" hidden="1">#REF!</definedName>
    <definedName name="_RIVecab69c41fbc4022ac76ba7d5ebad3ce" localSheetId="13" hidden="1">[19]DeferAssetLiab!#REF!</definedName>
    <definedName name="_RIVecab69c41fbc4022ac76ba7d5ebad3ce" localSheetId="18" hidden="1">[19]DeferAssetLiab!#REF!</definedName>
    <definedName name="_RIVecab69c41fbc4022ac76ba7d5ebad3ce" hidden="1">#REF!</definedName>
    <definedName name="_RIVed559fa5720145809ebfcb57b3c1a569" localSheetId="1" hidden="1">#REF!</definedName>
    <definedName name="_RIVed559fa5720145809ebfcb57b3c1a569" localSheetId="20" hidden="1">#REF!</definedName>
    <definedName name="_RIVed559fa5720145809ebfcb57b3c1a569" hidden="1">#REF!</definedName>
    <definedName name="_RIVed8ead0d12594bbcb025acc403fa933d" localSheetId="1" hidden="1">#REF!</definedName>
    <definedName name="_RIVed8ead0d12594bbcb025acc403fa933d" localSheetId="20" hidden="1">#REF!</definedName>
    <definedName name="_RIVed8ead0d12594bbcb025acc403fa933d" hidden="1">#REF!</definedName>
    <definedName name="_RIVeda5a2f6482d4b508a24741cf3bac8d0" localSheetId="1" hidden="1">#REF!</definedName>
    <definedName name="_RIVeda5a2f6482d4b508a24741cf3bac8d0" localSheetId="20" hidden="1">#REF!</definedName>
    <definedName name="_RIVeda5a2f6482d4b508a24741cf3bac8d0" hidden="1">#REF!</definedName>
    <definedName name="_RIVee11dd49c8f045d9acbc69ca176f696c" localSheetId="1" hidden="1">#REF!</definedName>
    <definedName name="_RIVee11dd49c8f045d9acbc69ca176f696c" localSheetId="13" hidden="1">'[19]Com.StkHldr''s Equity'!#REF!</definedName>
    <definedName name="_RIVee11dd49c8f045d9acbc69ca176f696c" localSheetId="18" hidden="1">'[19]Com.StkHldr''s Equity'!#REF!</definedName>
    <definedName name="_RIVee11dd49c8f045d9acbc69ca176f696c" localSheetId="20" hidden="1">#REF!</definedName>
    <definedName name="_RIVee11dd49c8f045d9acbc69ca176f696c" hidden="1">#REF!</definedName>
    <definedName name="_RIVee33344f11664c83b314899f61c8bb29" localSheetId="13" hidden="1">'[19]Fourth Quarter'!#REF!</definedName>
    <definedName name="_RIVee33344f11664c83b314899f61c8bb29" localSheetId="18" hidden="1">'[19]Fourth Quarter'!#REF!</definedName>
    <definedName name="_RIVee33344f11664c83b314899f61c8bb29" hidden="1">#REF!</definedName>
    <definedName name="_RIVeeadafbde44242e5af2b7e1bf3a0cf25" localSheetId="1" hidden="1">#REF!</definedName>
    <definedName name="_RIVeeadafbde44242e5af2b7e1bf3a0cf25" localSheetId="20" hidden="1">#REF!</definedName>
    <definedName name="_RIVeeadafbde44242e5af2b7e1bf3a0cf25" hidden="1">#REF!</definedName>
    <definedName name="_RIVeee7e26bc0114fde9a3db65f7afcabe5" localSheetId="1" hidden="1">#REF!</definedName>
    <definedName name="_RIVeee7e26bc0114fde9a3db65f7afcabe5" localSheetId="20" hidden="1">#REF!</definedName>
    <definedName name="_RIVeee7e26bc0114fde9a3db65f7afcabe5" hidden="1">#REF!</definedName>
    <definedName name="_RIVeeeb853b85824567a230b51050fa64e4" localSheetId="1" hidden="1">#REF!</definedName>
    <definedName name="_RIVeeeb853b85824567a230b51050fa64e4" localSheetId="20" hidden="1">#REF!</definedName>
    <definedName name="_RIVeeeb853b85824567a230b51050fa64e4" hidden="1">#REF!</definedName>
    <definedName name="_RIVef632ab3c8b646e5b7b30ba6eed172d7" localSheetId="1" hidden="1">#REF!</definedName>
    <definedName name="_RIVef632ab3c8b646e5b7b30ba6eed172d7" localSheetId="20" hidden="1">#REF!</definedName>
    <definedName name="_RIVef632ab3c8b646e5b7b30ba6eed172d7" hidden="1">#REF!</definedName>
    <definedName name="_RIVefb27b9e066443c59dc48c6441f20074" localSheetId="1" hidden="1">#REF!</definedName>
    <definedName name="_RIVefb27b9e066443c59dc48c6441f20074" localSheetId="13" hidden="1">'[19]PBO - ABO'!#REF!</definedName>
    <definedName name="_RIVefb27b9e066443c59dc48c6441f20074" localSheetId="18" hidden="1">'[19]PBO - ABO'!#REF!</definedName>
    <definedName name="_RIVefb27b9e066443c59dc48c6441f20074" localSheetId="20" hidden="1">#REF!</definedName>
    <definedName name="_RIVefb27b9e066443c59dc48c6441f20074" hidden="1">#REF!</definedName>
    <definedName name="_RIVf040a7c0080d47cc86afbfb0e192d26f" localSheetId="1" hidden="1">#REF!</definedName>
    <definedName name="_RIVf040a7c0080d47cc86afbfb0e192d26f" localSheetId="20" hidden="1">#REF!</definedName>
    <definedName name="_RIVf040a7c0080d47cc86afbfb0e192d26f" hidden="1">#REF!</definedName>
    <definedName name="_RIVf0b47c03c18d4b50a70cbab88c273abf" localSheetId="1" hidden="1">#REF!</definedName>
    <definedName name="_RIVf0b47c03c18d4b50a70cbab88c273abf" localSheetId="20" hidden="1">#REF!</definedName>
    <definedName name="_RIVf0b47c03c18d4b50a70cbab88c273abf" hidden="1">#REF!</definedName>
    <definedName name="_RIVf13f24f7d15a4d5b9e665abcadacd76b" localSheetId="1" hidden="1">#REF!</definedName>
    <definedName name="_RIVf13f24f7d15a4d5b9e665abcadacd76b" localSheetId="20" hidden="1">#REF!</definedName>
    <definedName name="_RIVf13f24f7d15a4d5b9e665abcadacd76b" hidden="1">#REF!</definedName>
    <definedName name="_RIVf1e3aab550064dc79737090b2f5e3949" localSheetId="1" hidden="1">#REF!</definedName>
    <definedName name="_RIVf1e3aab550064dc79737090b2f5e3949" localSheetId="20" hidden="1">#REF!</definedName>
    <definedName name="_RIVf1e3aab550064dc79737090b2f5e3949" hidden="1">#REF!</definedName>
    <definedName name="_RIVf1fae9463455438fa63bf8f12b6e0a14" localSheetId="1" hidden="1">#REF!</definedName>
    <definedName name="_RIVf1fae9463455438fa63bf8f12b6e0a14" localSheetId="20" hidden="1">#REF!</definedName>
    <definedName name="_RIVf1fae9463455438fa63bf8f12b6e0a14" hidden="1">#REF!</definedName>
    <definedName name="_RIVf249bb0797c24e4493cc7b7a66f6ba61" localSheetId="1" hidden="1">#REF!</definedName>
    <definedName name="_RIVf249bb0797c24e4493cc7b7a66f6ba61" localSheetId="13" hidden="1">[19]Costs!#REF!</definedName>
    <definedName name="_RIVf249bb0797c24e4493cc7b7a66f6ba61" localSheetId="18" hidden="1">[19]Costs!#REF!</definedName>
    <definedName name="_RIVf249bb0797c24e4493cc7b7a66f6ba61" localSheetId="20" hidden="1">#REF!</definedName>
    <definedName name="_RIVf249bb0797c24e4493cc7b7a66f6ba61" hidden="1">#REF!</definedName>
    <definedName name="_RIVf25837f477574da99568cfbc71b2adbb" localSheetId="13" hidden="1">[20]CONCASHFLOW!#REF!</definedName>
    <definedName name="_RIVf25837f477574da99568cfbc71b2adbb" localSheetId="18" hidden="1">[20]CONCASHFLOW!#REF!</definedName>
    <definedName name="_RIVf25837f477574da99568cfbc71b2adbb" hidden="1">#REF!</definedName>
    <definedName name="_RIVf260f7cdfbd94a46b2b2ab5cce98bbd4" localSheetId="13" hidden="1">'[19]Parent IS'!#REF!</definedName>
    <definedName name="_RIVf260f7cdfbd94a46b2b2ab5cce98bbd4" localSheetId="18" hidden="1">'[19]Parent IS'!#REF!</definedName>
    <definedName name="_RIVf260f7cdfbd94a46b2b2ab5cce98bbd4" hidden="1">#REF!</definedName>
    <definedName name="_RIVf29da43d1ecc40499ff4ec8030108973" localSheetId="13" hidden="1">'[19]Com.StkHldr''s Equity'!#REF!</definedName>
    <definedName name="_RIVf29da43d1ecc40499ff4ec8030108973" localSheetId="18" hidden="1">'[19]Com.StkHldr''s Equity'!#REF!</definedName>
    <definedName name="_RIVf29da43d1ecc40499ff4ec8030108973" hidden="1">#REF!</definedName>
    <definedName name="_RIVf2c20ab630c746cd855ebfa9d02e795c" localSheetId="13" hidden="1">[19]Segments!#REF!</definedName>
    <definedName name="_RIVf2c20ab630c746cd855ebfa9d02e795c" localSheetId="18" hidden="1">[19]Segments!#REF!</definedName>
    <definedName name="_RIVf2c20ab630c746cd855ebfa9d02e795c" hidden="1">#REF!</definedName>
    <definedName name="_RIVf375d76ff5bf4b79964251c41157a068" localSheetId="13" hidden="1">'[19]FV_Prior Year'!#REF!</definedName>
    <definedName name="_RIVf375d76ff5bf4b79964251c41157a068" localSheetId="18" hidden="1">'[19]FV_Prior Year'!#REF!</definedName>
    <definedName name="_RIVf375d76ff5bf4b79964251c41157a068" hidden="1">#REF!</definedName>
    <definedName name="_RIVf39681cbbe334cacb0734906205f64f2" localSheetId="13" hidden="1">[21]goodwill!#REF!</definedName>
    <definedName name="_RIVf39681cbbe334cacb0734906205f64f2" localSheetId="18" hidden="1">[21]goodwill!#REF!</definedName>
    <definedName name="_RIVf39681cbbe334cacb0734906205f64f2" hidden="1">#REF!</definedName>
    <definedName name="_RIVf3a16316868543738e346bc711e966cb" localSheetId="13" hidden="1">[19]SelectedQtrFinData!#REF!</definedName>
    <definedName name="_RIVf3a16316868543738e346bc711e966cb" localSheetId="18" hidden="1">[19]SelectedQtrFinData!#REF!</definedName>
    <definedName name="_RIVf3a16316868543738e346bc711e966cb" hidden="1">#REF!</definedName>
    <definedName name="_RIVf3b01b0d66664411b5de6ef4b3fe6235" localSheetId="1" hidden="1">#REF!</definedName>
    <definedName name="_RIVf3b01b0d66664411b5de6ef4b3fe6235" localSheetId="20" hidden="1">#REF!</definedName>
    <definedName name="_RIVf3b01b0d66664411b5de6ef4b3fe6235" hidden="1">#REF!</definedName>
    <definedName name="_RIVf3b7e4c1cd5e4534b62a92a31b0be9fa" localSheetId="1" hidden="1">#REF!</definedName>
    <definedName name="_RIVf3b7e4c1cd5e4534b62a92a31b0be9fa" localSheetId="13" hidden="1">'[19]Com.StkHldr''s Equity'!#REF!</definedName>
    <definedName name="_RIVf3b7e4c1cd5e4534b62a92a31b0be9fa" localSheetId="18" hidden="1">'[19]Com.StkHldr''s Equity'!#REF!</definedName>
    <definedName name="_RIVf3b7e4c1cd5e4534b62a92a31b0be9fa" localSheetId="20" hidden="1">#REF!</definedName>
    <definedName name="_RIVf3b7e4c1cd5e4534b62a92a31b0be9fa" hidden="1">#REF!</definedName>
    <definedName name="_RIVf3c8bbeb78a7499aa7f9edafb75dc24e" localSheetId="1" hidden="1">#REF!</definedName>
    <definedName name="_RIVf3c8bbeb78a7499aa7f9edafb75dc24e" localSheetId="20" hidden="1">#REF!</definedName>
    <definedName name="_RIVf3c8bbeb78a7499aa7f9edafb75dc24e" hidden="1">#REF!</definedName>
    <definedName name="_RIVf422539f087444b5b751ff49386daa93" localSheetId="1" hidden="1">#REF!</definedName>
    <definedName name="_RIVf422539f087444b5b751ff49386daa93" localSheetId="13" hidden="1">'[19]RSUs RF'!#REF!</definedName>
    <definedName name="_RIVf422539f087444b5b751ff49386daa93" localSheetId="18" hidden="1">'[19]RSUs RF'!#REF!</definedName>
    <definedName name="_RIVf422539f087444b5b751ff49386daa93" localSheetId="20" hidden="1">#REF!</definedName>
    <definedName name="_RIVf422539f087444b5b751ff49386daa93" hidden="1">#REF!</definedName>
    <definedName name="_RIVf434c8863db0480b8460c7b1a3e02e89" localSheetId="1" hidden="1">#REF!</definedName>
    <definedName name="_RIVf434c8863db0480b8460c7b1a3e02e89" localSheetId="20" hidden="1">#REF!</definedName>
    <definedName name="_RIVf434c8863db0480b8460c7b1a3e02e89" hidden="1">#REF!</definedName>
    <definedName name="_RIVf436bf53d0e4469aabdb1c4feccc278d" localSheetId="1" hidden="1">#REF!</definedName>
    <definedName name="_RIVf436bf53d0e4469aabdb1c4feccc278d" localSheetId="20" hidden="1">#REF!</definedName>
    <definedName name="_RIVf436bf53d0e4469aabdb1c4feccc278d" hidden="1">#REF!</definedName>
    <definedName name="_RIVf4e30ed3293047b992a34b5a799af60f" localSheetId="1" hidden="1">#REF!</definedName>
    <definedName name="_RIVf4e30ed3293047b992a34b5a799af60f" localSheetId="13" hidden="1">[19]Costs!#REF!</definedName>
    <definedName name="_RIVf4e30ed3293047b992a34b5a799af60f" localSheetId="18" hidden="1">[19]Costs!#REF!</definedName>
    <definedName name="_RIVf4e30ed3293047b992a34b5a799af60f" localSheetId="20" hidden="1">#REF!</definedName>
    <definedName name="_RIVf4e30ed3293047b992a34b5a799af60f" hidden="1">#REF!</definedName>
    <definedName name="_RIVf4f5069d671547a2ace143ed8c1f300a" localSheetId="13" hidden="1">[19]Commitments!#REF!</definedName>
    <definedName name="_RIVf4f5069d671547a2ace143ed8c1f300a" localSheetId="18" hidden="1">[19]Commitments!#REF!</definedName>
    <definedName name="_RIVf4f5069d671547a2ace143ed8c1f300a" hidden="1">#REF!</definedName>
    <definedName name="_RIVf58ee1647ab541f0aa946d27b7eab689" localSheetId="13" hidden="1">[20]segments!#REF!</definedName>
    <definedName name="_RIVf58ee1647ab541f0aa946d27b7eab689" localSheetId="18" hidden="1">[20]segments!#REF!</definedName>
    <definedName name="_RIVf58ee1647ab541f0aa946d27b7eab689" hidden="1">#REF!</definedName>
    <definedName name="_RIVf5a1edf1ca954ffbaa2f9da4b5afa423" localSheetId="13" hidden="1">[19]Commitments!#REF!</definedName>
    <definedName name="_RIVf5a1edf1ca954ffbaa2f9da4b5afa423" localSheetId="18" hidden="1">[19]Commitments!#REF!</definedName>
    <definedName name="_RIVf5a1edf1ca954ffbaa2f9da4b5afa423" hidden="1">#REF!</definedName>
    <definedName name="_RIVf63280da86d84dba9cda5081ce4b3c7c" localSheetId="13" hidden="1">'[19]XBRL ONLY LINKING'!#REF!</definedName>
    <definedName name="_RIVf63280da86d84dba9cda5081ce4b3c7c" localSheetId="18" hidden="1">'[19]XBRL ONLY LINKING'!#REF!</definedName>
    <definedName name="_RIVf63280da86d84dba9cda5081ce4b3c7c" hidden="1">#REF!</definedName>
    <definedName name="_RIVf66635d55b8a4eb7af744a5040657ed8" localSheetId="1" hidden="1">#REF!</definedName>
    <definedName name="_RIVf66635d55b8a4eb7af744a5040657ed8" localSheetId="20" hidden="1">#REF!</definedName>
    <definedName name="_RIVf66635d55b8a4eb7af744a5040657ed8" hidden="1">#REF!</definedName>
    <definedName name="_RIVf6c93e9f3fc34553962e21c944c19f28" localSheetId="1" hidden="1">#REF!</definedName>
    <definedName name="_RIVf6c93e9f3fc34553962e21c944c19f28" localSheetId="13" hidden="1">'[19]Debt to Equity'!#REF!</definedName>
    <definedName name="_RIVf6c93e9f3fc34553962e21c944c19f28" localSheetId="18" hidden="1">'[19]Debt to Equity'!#REF!</definedName>
    <definedName name="_RIVf6c93e9f3fc34553962e21c944c19f28" localSheetId="20" hidden="1">#REF!</definedName>
    <definedName name="_RIVf6c93e9f3fc34553962e21c944c19f28" hidden="1">#REF!</definedName>
    <definedName name="_RIVf74df88b92c740e89acbb6e7d2ad76a4" localSheetId="1" hidden="1">#REF!</definedName>
    <definedName name="_RIVf74df88b92c740e89acbb6e7d2ad76a4" localSheetId="20" hidden="1">#REF!</definedName>
    <definedName name="_RIVf74df88b92c740e89acbb6e7d2ad76a4" hidden="1">#REF!</definedName>
    <definedName name="_RIVf77562ddd5da4cbebb58b9560d7588b8" localSheetId="1" hidden="1">#REF!</definedName>
    <definedName name="_RIVf77562ddd5da4cbebb58b9560d7588b8" localSheetId="20" hidden="1">#REF!</definedName>
    <definedName name="_RIVf77562ddd5da4cbebb58b9560d7588b8" hidden="1">#REF!</definedName>
    <definedName name="_RIVf7cf529624cd463cb609cf0acd111d21" localSheetId="1" hidden="1">#REF!</definedName>
    <definedName name="_RIVf7cf529624cd463cb609cf0acd111d21" localSheetId="20" hidden="1">#REF!</definedName>
    <definedName name="_RIVf7cf529624cd463cb609cf0acd111d21" hidden="1">#REF!</definedName>
    <definedName name="_RIVf7dfcb2ec544476a8711e05619bed2a9" localSheetId="1" hidden="1">#REF!</definedName>
    <definedName name="_RIVf7dfcb2ec544476a8711e05619bed2a9" localSheetId="20" hidden="1">#REF!</definedName>
    <definedName name="_RIVf7dfcb2ec544476a8711e05619bed2a9" hidden="1">#REF!</definedName>
    <definedName name="_RIVf7ea91f7cc6b4af3852e196e61f63975" localSheetId="1" hidden="1">#REF!</definedName>
    <definedName name="_RIVf7ea91f7cc6b4af3852e196e61f63975" localSheetId="13" hidden="1">[19]DeferAssetLiab!#REF!</definedName>
    <definedName name="_RIVf7ea91f7cc6b4af3852e196e61f63975" localSheetId="18" hidden="1">[19]DeferAssetLiab!#REF!</definedName>
    <definedName name="_RIVf7ea91f7cc6b4af3852e196e61f63975" localSheetId="20" hidden="1">#REF!</definedName>
    <definedName name="_RIVf7ea91f7cc6b4af3852e196e61f63975" hidden="1">#REF!</definedName>
    <definedName name="_RIVf7eb866bfe24437fa0d06e449f51f0a0" localSheetId="13" hidden="1">[19]AssetMix!#REF!</definedName>
    <definedName name="_RIVf7eb866bfe24437fa0d06e449f51f0a0" localSheetId="18" hidden="1">[19]AssetMix!#REF!</definedName>
    <definedName name="_RIVf7eb866bfe24437fa0d06e449f51f0a0" hidden="1">#REF!</definedName>
    <definedName name="_RIVf82ffbbbfde9476184e6fc2a2df6095e" localSheetId="1" hidden="1">#REF!</definedName>
    <definedName name="_RIVf82ffbbbfde9476184e6fc2a2df6095e" localSheetId="20" hidden="1">#REF!</definedName>
    <definedName name="_RIVf82ffbbbfde9476184e6fc2a2df6095e" hidden="1">#REF!</definedName>
    <definedName name="_RIVf877c2e624dd44b2bd140bb3da2cf8f7" localSheetId="1" hidden="1">#REF!</definedName>
    <definedName name="_RIVf877c2e624dd44b2bd140bb3da2cf8f7" localSheetId="20" hidden="1">#REF!</definedName>
    <definedName name="_RIVf877c2e624dd44b2bd140bb3da2cf8f7" hidden="1">#REF!</definedName>
    <definedName name="_RIVf8ed9384b3504d8181643003f280ecae" localSheetId="1" hidden="1">#REF!</definedName>
    <definedName name="_RIVf8ed9384b3504d8181643003f280ecae" localSheetId="20" hidden="1">#REF!</definedName>
    <definedName name="_RIVf8ed9384b3504d8181643003f280ecae" hidden="1">#REF!</definedName>
    <definedName name="_RIVf93332fa6a254471874f1a8fa4b9edf9" localSheetId="1" hidden="1">#REF!</definedName>
    <definedName name="_RIVf93332fa6a254471874f1a8fa4b9edf9" localSheetId="13" hidden="1">[19]DeferAssetLiab!#REF!</definedName>
    <definedName name="_RIVf93332fa6a254471874f1a8fa4b9edf9" localSheetId="18" hidden="1">[19]DeferAssetLiab!#REF!</definedName>
    <definedName name="_RIVf93332fa6a254471874f1a8fa4b9edf9" localSheetId="20" hidden="1">#REF!</definedName>
    <definedName name="_RIVf93332fa6a254471874f1a8fa4b9edf9" hidden="1">#REF!</definedName>
    <definedName name="_RIVf94a710f43f64c61ac879816850c12cc" localSheetId="1" hidden="1">#REF!</definedName>
    <definedName name="_RIVf94a710f43f64c61ac879816850c12cc" localSheetId="20" hidden="1">#REF!</definedName>
    <definedName name="_RIVf94a710f43f64c61ac879816850c12cc" hidden="1">#REF!</definedName>
    <definedName name="_RIVf98fa183ec294c6daa4ad03db307b4ea" localSheetId="1" hidden="1">#REF!</definedName>
    <definedName name="_RIVf98fa183ec294c6daa4ad03db307b4ea" localSheetId="13" hidden="1">[19]DeferAssetLiab!#REF!</definedName>
    <definedName name="_RIVf98fa183ec294c6daa4ad03db307b4ea" localSheetId="18" hidden="1">[19]DeferAssetLiab!#REF!</definedName>
    <definedName name="_RIVf98fa183ec294c6daa4ad03db307b4ea" localSheetId="20" hidden="1">#REF!</definedName>
    <definedName name="_RIVf98fa183ec294c6daa4ad03db307b4ea" hidden="1">#REF!</definedName>
    <definedName name="_RIVfa46d78984334d1d8821840366f10798" localSheetId="1" hidden="1">#REF!</definedName>
    <definedName name="_RIVfa46d78984334d1d8821840366f10798" localSheetId="20" hidden="1">#REF!</definedName>
    <definedName name="_RIVfa46d78984334d1d8821840366f10798" hidden="1">#REF!</definedName>
    <definedName name="_RIVfa9dc0d95b3f423dbfb31036ffae7b1c" localSheetId="1" hidden="1">#REF!</definedName>
    <definedName name="_RIVfa9dc0d95b3f423dbfb31036ffae7b1c" localSheetId="20" hidden="1">#REF!</definedName>
    <definedName name="_RIVfa9dc0d95b3f423dbfb31036ffae7b1c" hidden="1">#REF!</definedName>
    <definedName name="_RIVfafc0c423de14fbc98ff8447c4ce264c" localSheetId="1" hidden="1">#REF!</definedName>
    <definedName name="_RIVfafc0c423de14fbc98ff8447c4ce264c" localSheetId="20" hidden="1">#REF!</definedName>
    <definedName name="_RIVfafc0c423de14fbc98ff8447c4ce264c" hidden="1">#REF!</definedName>
    <definedName name="_RIVfb8233ae9a5e4201ab8e8a90fd0d3cd9" localSheetId="1" hidden="1">#REF!</definedName>
    <definedName name="_RIVfb8233ae9a5e4201ab8e8a90fd0d3cd9" localSheetId="13" hidden="1">[20]RSUs!#REF!</definedName>
    <definedName name="_RIVfb8233ae9a5e4201ab8e8a90fd0d3cd9" localSheetId="18" hidden="1">[20]RSUs!#REF!</definedName>
    <definedName name="_RIVfb8233ae9a5e4201ab8e8a90fd0d3cd9" localSheetId="20" hidden="1">#REF!</definedName>
    <definedName name="_RIVfb8233ae9a5e4201ab8e8a90fd0d3cd9" hidden="1">#REF!</definedName>
    <definedName name="_RIVfbf71a0a181b462297e2a01c378d51d7" localSheetId="13" hidden="1">[19]Goodwill!#REF!</definedName>
    <definedName name="_RIVfbf71a0a181b462297e2a01c378d51d7" localSheetId="18" hidden="1">[19]Goodwill!#REF!</definedName>
    <definedName name="_RIVfbf71a0a181b462297e2a01c378d51d7" hidden="1">#REF!</definedName>
    <definedName name="_RIVfc29f44f64ed471f9fcd73a01416ff0a" localSheetId="13" hidden="1">'[19]Benefit Payments'!#REF!</definedName>
    <definedName name="_RIVfc29f44f64ed471f9fcd73a01416ff0a" localSheetId="18" hidden="1">'[19]Benefit Payments'!#REF!</definedName>
    <definedName name="_RIVfc29f44f64ed471f9fcd73a01416ff0a" hidden="1">#REF!</definedName>
    <definedName name="_RIVfc466ce2b6044a21931eab68a18a72c4" localSheetId="1" hidden="1">#REF!</definedName>
    <definedName name="_RIVfc466ce2b6044a21931eab68a18a72c4" localSheetId="20" hidden="1">#REF!</definedName>
    <definedName name="_RIVfc466ce2b6044a21931eab68a18a72c4" hidden="1">#REF!</definedName>
    <definedName name="_RIVfc76c9d659bc409e8a194455abb4dc32" localSheetId="1" hidden="1">#REF!</definedName>
    <definedName name="_RIVfc76c9d659bc409e8a194455abb4dc32" localSheetId="20" hidden="1">#REF!</definedName>
    <definedName name="_RIVfc76c9d659bc409e8a194455abb4dc32" hidden="1">#REF!</definedName>
    <definedName name="_RIVfc7ccd3e928c405d970f19453a575838" localSheetId="1" hidden="1">#REF!</definedName>
    <definedName name="_RIVfc7ccd3e928c405d970f19453a575838" localSheetId="20" hidden="1">#REF!</definedName>
    <definedName name="_RIVfc7ccd3e928c405d970f19453a575838" hidden="1">#REF!</definedName>
    <definedName name="_RIVfd2288a3111f4b479ce1c7967c465c20" localSheetId="1" hidden="1">#REF!</definedName>
    <definedName name="_RIVfd2288a3111f4b479ce1c7967c465c20" localSheetId="20" hidden="1">#REF!</definedName>
    <definedName name="_RIVfd2288a3111f4b479ce1c7967c465c20" hidden="1">#REF!</definedName>
    <definedName name="_RIVfdba6834b16a40a1a45080b7d2c35b08" localSheetId="1" hidden="1">#REF!</definedName>
    <definedName name="_RIVfdba6834b16a40a1a45080b7d2c35b08" localSheetId="20" hidden="1">#REF!</definedName>
    <definedName name="_RIVfdba6834b16a40a1a45080b7d2c35b08" hidden="1">#REF!</definedName>
    <definedName name="_RIVfe055cee25b041ee95851acb1e40cd71" localSheetId="1" hidden="1">#REF!</definedName>
    <definedName name="_RIVfe055cee25b041ee95851acb1e40cd71" localSheetId="13" hidden="1">[20]segments!#REF!</definedName>
    <definedName name="_RIVfe055cee25b041ee95851acb1e40cd71" localSheetId="18" hidden="1">[20]segments!#REF!</definedName>
    <definedName name="_RIVfe055cee25b041ee95851acb1e40cd71" localSheetId="20" hidden="1">#REF!</definedName>
    <definedName name="_RIVfe055cee25b041ee95851acb1e40cd71" hidden="1">#REF!</definedName>
    <definedName name="_RIVfe16d3d371764a43bd5cf3caa4e8b375" localSheetId="13" hidden="1">'[19]Com.StkHldr''s Equity'!#REF!</definedName>
    <definedName name="_RIVfe16d3d371764a43bd5cf3caa4e8b375" localSheetId="18" hidden="1">'[19]Com.StkHldr''s Equity'!#REF!</definedName>
    <definedName name="_RIVfe16d3d371764a43bd5cf3caa4e8b375" hidden="1">#REF!</definedName>
    <definedName name="_RIVfe41e06decc148c0b3dda54debcd293d" localSheetId="1" hidden="1">#REF!</definedName>
    <definedName name="_RIVfe41e06decc148c0b3dda54debcd293d" localSheetId="20" hidden="1">#REF!</definedName>
    <definedName name="_RIVfe41e06decc148c0b3dda54debcd293d" hidden="1">#REF!</definedName>
    <definedName name="_RIVfe7c8cd1182c4ad4b241ef1b953750bc" localSheetId="1" hidden="1">#REF!</definedName>
    <definedName name="_RIVfe7c8cd1182c4ad4b241ef1b953750bc" localSheetId="13" hidden="1">[19]SelectedQtrFinData!#REF!</definedName>
    <definedName name="_RIVfe7c8cd1182c4ad4b241ef1b953750bc" localSheetId="18" hidden="1">[19]SelectedQtrFinData!#REF!</definedName>
    <definedName name="_RIVfe7c8cd1182c4ad4b241ef1b953750bc" localSheetId="20" hidden="1">#REF!</definedName>
    <definedName name="_RIVfe7c8cd1182c4ad4b241ef1b953750bc" hidden="1">#REF!</definedName>
    <definedName name="_RIVfeaad414846d417eb83126387f52c7b9" localSheetId="1" hidden="1">#REF!</definedName>
    <definedName name="_RIVfeaad414846d417eb83126387f52c7b9" localSheetId="20" hidden="1">#REF!</definedName>
    <definedName name="_RIVfeaad414846d417eb83126387f52c7b9" hidden="1">#REF!</definedName>
    <definedName name="_RIVff901118cbe946fab221e55f825be393" localSheetId="1" hidden="1">#REF!</definedName>
    <definedName name="_RIVff901118cbe946fab221e55f825be393" localSheetId="20" hidden="1">#REF!</definedName>
    <definedName name="_RIVff901118cbe946fab221e55f825be393" hidden="1">#REF!</definedName>
    <definedName name="_RIVffcdd6b4b13b4e50ad6e2d552607d0da" localSheetId="1" hidden="1">#REF!</definedName>
    <definedName name="_RIVffcdd6b4b13b4e50ad6e2d552607d0da" localSheetId="13" hidden="1">[19]FedIncomeTax!#REF!</definedName>
    <definedName name="_RIVffcdd6b4b13b4e50ad6e2d552607d0da" localSheetId="18" hidden="1">[19]FedIncomeTax!#REF!</definedName>
    <definedName name="_RIVffcdd6b4b13b4e50ad6e2d552607d0da" localSheetId="20" hidden="1">#REF!</definedName>
    <definedName name="_RIVffcdd6b4b13b4e50ad6e2d552607d0da" hidden="1">#REF!</definedName>
    <definedName name="_RIVfff4187d65c942509f00d974f9aa86bf" localSheetId="13" hidden="1">'[19] Assumptions_A'!#REF!</definedName>
    <definedName name="_RIVfff4187d65c942509f00d974f9aa86bf" localSheetId="18" hidden="1">'[19] Assumptions_A'!#REF!</definedName>
    <definedName name="_RIVfff4187d65c942509f00d974f9aa86bf" hidden="1">#REF!</definedName>
    <definedName name="_RIVfffb62ca4b04464cb7dc564224f74df6" localSheetId="1" hidden="1">#REF!</definedName>
    <definedName name="_RIVfffb62ca4b04464cb7dc564224f74df6" localSheetId="20" hidden="1">#REF!</definedName>
    <definedName name="_RIVfffb62ca4b04464cb7dc564224f74df6" hidden="1">#REF!</definedName>
    <definedName name="_Sort" localSheetId="1" hidden="1">#REF!</definedName>
    <definedName name="_Sort" localSheetId="20" hidden="1">#REF!</definedName>
    <definedName name="_Sort" hidden="1">#REF!</definedName>
    <definedName name="_sort2" localSheetId="1" hidden="1">#REF!</definedName>
    <definedName name="_sort2" localSheetId="20" hidden="1">#REF!</definedName>
    <definedName name="_sort2" hidden="1">#REF!</definedName>
    <definedName name="_Table1_In1" localSheetId="1" hidden="1">#REF!</definedName>
    <definedName name="_Table1_In1" localSheetId="18" hidden="1">#REF!</definedName>
    <definedName name="_Table1_In1" localSheetId="20" hidden="1">#REF!</definedName>
    <definedName name="_Table1_In1" hidden="1">#REF!</definedName>
    <definedName name="_Table1_Out" localSheetId="1" hidden="1">#REF!</definedName>
    <definedName name="_Table1_Out" localSheetId="20" hidden="1">#REF!</definedName>
    <definedName name="_Table1_Out" hidden="1">#REF!</definedName>
    <definedName name="_Table2_Out" localSheetId="1" hidden="1">#REF!</definedName>
    <definedName name="_Table2_Out" localSheetId="20" hidden="1">#REF!</definedName>
    <definedName name="_Table2_Out" hidden="1">#REF!</definedName>
    <definedName name="_x" localSheetId="1" hidden="1">#REF!</definedName>
    <definedName name="_x" localSheetId="20" hidden="1">#REF!</definedName>
    <definedName name="_x" hidden="1">#REF!</definedName>
    <definedName name="A" localSheetId="1" hidden="1">#REF!</definedName>
    <definedName name="A" localSheetId="20" hidden="1">#REF!</definedName>
    <definedName name="A" hidden="1">#REF!</definedName>
    <definedName name="aa" localSheetId="1" hidden="1">{"FAC_SUMMARY",#N/A,FALSE,"Summaries"}</definedName>
    <definedName name="aa" localSheetId="13" hidden="1">{"FAC_SUMMARY",#N/A,FALSE,"Summaries"}</definedName>
    <definedName name="aa" localSheetId="18" hidden="1">{"FAC_SUMMARY",#N/A,FALSE,"Summaries"}</definedName>
    <definedName name="aa" localSheetId="20" hidden="1">{"FAC_SUMMARY",#N/A,FALSE,"Summaries"}</definedName>
    <definedName name="aa" hidden="1">{"FAC_SUMMARY",#N/A,FALSE,"Summaries"}</definedName>
    <definedName name="aa_1" localSheetId="1" hidden="1">{"FAC_SUMMARY",#N/A,FALSE,"Summaries"}</definedName>
    <definedName name="aa_1" localSheetId="13" hidden="1">{"FAC_SUMMARY",#N/A,FALSE,"Summaries"}</definedName>
    <definedName name="aa_1" localSheetId="18" hidden="1">{"FAC_SUMMARY",#N/A,FALSE,"Summaries"}</definedName>
    <definedName name="aa_1" localSheetId="20" hidden="1">{"FAC_SUMMARY",#N/A,FALSE,"Summaries"}</definedName>
    <definedName name="aa_1" hidden="1">{"FAC_SUMMARY",#N/A,FALSE,"Summaries"}</definedName>
    <definedName name="aa_2" localSheetId="1" hidden="1">{"FAC_SUMMARY",#N/A,FALSE,"Summaries"}</definedName>
    <definedName name="aa_2" localSheetId="13" hidden="1">{"FAC_SUMMARY",#N/A,FALSE,"Summaries"}</definedName>
    <definedName name="aa_2" localSheetId="18" hidden="1">{"FAC_SUMMARY",#N/A,FALSE,"Summaries"}</definedName>
    <definedName name="aa_2" localSheetId="20" hidden="1">{"FAC_SUMMARY",#N/A,FALSE,"Summaries"}</definedName>
    <definedName name="aa_2" hidden="1">{"FAC_SUMMARY",#N/A,FALSE,"Summaries"}</definedName>
    <definedName name="AAA_DOCTOPS" hidden="1">"AAA_SET"</definedName>
    <definedName name="AAA_duser" hidden="1">"OFF"</definedName>
    <definedName name="aaa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localSheetId="1" hidden="1">{#N/A,#N/A,FALSE,"SCA";#N/A,#N/A,FALSE,"NCA";#N/A,#N/A,FALSE,"SAZ";#N/A,#N/A,FALSE,"CAZ";#N/A,#N/A,FALSE,"SNV";#N/A,#N/A,FALSE,"NNV";#N/A,#N/A,FALSE,"PP";#N/A,#N/A,FALSE,"SA"}</definedName>
    <definedName name="aaaaaa" localSheetId="13" hidden="1">{#N/A,#N/A,FALSE,"SCA";#N/A,#N/A,FALSE,"NCA";#N/A,#N/A,FALSE,"SAZ";#N/A,#N/A,FALSE,"CAZ";#N/A,#N/A,FALSE,"SNV";#N/A,#N/A,FALSE,"NNV";#N/A,#N/A,FALSE,"PP";#N/A,#N/A,FALSE,"SA"}</definedName>
    <definedName name="aaaaaa" localSheetId="18" hidden="1">{#N/A,#N/A,FALSE,"SCA";#N/A,#N/A,FALSE,"NCA";#N/A,#N/A,FALSE,"SAZ";#N/A,#N/A,FALSE,"CAZ";#N/A,#N/A,FALSE,"SNV";#N/A,#N/A,FALSE,"NNV";#N/A,#N/A,FALSE,"PP";#N/A,#N/A,FALSE,"SA"}</definedName>
    <definedName name="aaaaaa" localSheetId="20" hidden="1">{#N/A,#N/A,FALSE,"SCA";#N/A,#N/A,FALSE,"NCA";#N/A,#N/A,FALSE,"SAZ";#N/A,#N/A,FALSE,"CAZ";#N/A,#N/A,FALSE,"SNV";#N/A,#N/A,FALSE,"NNV";#N/A,#N/A,FALSE,"PP";#N/A,#N/A,FALSE,"SA"}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localSheetId="1" hidden="1">{#N/A,#N/A,FALSE,"SCA";#N/A,#N/A,FALSE,"NCA";#N/A,#N/A,FALSE,"SAZ";#N/A,#N/A,FALSE,"CAZ";#N/A,#N/A,FALSE,"SNV";#N/A,#N/A,FALSE,"NNV";#N/A,#N/A,FALSE,"PP";#N/A,#N/A,FALSE,"SA"}</definedName>
    <definedName name="aaaaaaa" localSheetId="13" hidden="1">{#N/A,#N/A,FALSE,"SCA";#N/A,#N/A,FALSE,"NCA";#N/A,#N/A,FALSE,"SAZ";#N/A,#N/A,FALSE,"CAZ";#N/A,#N/A,FALSE,"SNV";#N/A,#N/A,FALSE,"NNV";#N/A,#N/A,FALSE,"PP";#N/A,#N/A,FALSE,"SA"}</definedName>
    <definedName name="aaaaaaa" localSheetId="18" hidden="1">{#N/A,#N/A,FALSE,"SCA";#N/A,#N/A,FALSE,"NCA";#N/A,#N/A,FALSE,"SAZ";#N/A,#N/A,FALSE,"CAZ";#N/A,#N/A,FALSE,"SNV";#N/A,#N/A,FALSE,"NNV";#N/A,#N/A,FALSE,"PP";#N/A,#N/A,FALSE,"SA"}</definedName>
    <definedName name="aaaaaaa" localSheetId="20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localSheetId="1" hidden="1">{#N/A,#N/A,FALSE,"SCA";#N/A,#N/A,FALSE,"NCA";#N/A,#N/A,FALSE,"SAZ";#N/A,#N/A,FALSE,"CAZ";#N/A,#N/A,FALSE,"SNV";#N/A,#N/A,FALSE,"NNV";#N/A,#N/A,FALSE,"PP";#N/A,#N/A,FALSE,"SA"}</definedName>
    <definedName name="aaaaaaaa" localSheetId="13" hidden="1">{#N/A,#N/A,FALSE,"SCA";#N/A,#N/A,FALSE,"NCA";#N/A,#N/A,FALSE,"SAZ";#N/A,#N/A,FALSE,"CAZ";#N/A,#N/A,FALSE,"SNV";#N/A,#N/A,FALSE,"NNV";#N/A,#N/A,FALSE,"PP";#N/A,#N/A,FALSE,"SA"}</definedName>
    <definedName name="aaaaaaaa" localSheetId="18" hidden="1">{#N/A,#N/A,FALSE,"SCA";#N/A,#N/A,FALSE,"NCA";#N/A,#N/A,FALSE,"SAZ";#N/A,#N/A,FALSE,"CAZ";#N/A,#N/A,FALSE,"SNV";#N/A,#N/A,FALSE,"NNV";#N/A,#N/A,FALSE,"PP";#N/A,#N/A,FALSE,"SA"}</definedName>
    <definedName name="aaaaaaaa" localSheetId="20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aaaaaaaa" localSheetId="1" hidden="1">{#N/A,#N/A,FALSE,"O&amp;M by processes";#N/A,#N/A,FALSE,"Elec Act vs Bud";#N/A,#N/A,FALSE,"G&amp;A";#N/A,#N/A,FALSE,"BGS";#N/A,#N/A,FALSE,"Res Cost"}</definedName>
    <definedName name="aaaaaaaaaaaaaaa" localSheetId="13" hidden="1">{#N/A,#N/A,FALSE,"O&amp;M by processes";#N/A,#N/A,FALSE,"Elec Act vs Bud";#N/A,#N/A,FALSE,"G&amp;A";#N/A,#N/A,FALSE,"BGS";#N/A,#N/A,FALSE,"Res Cost"}</definedName>
    <definedName name="aaaaaaaaaaaaaaa" localSheetId="18" hidden="1">{#N/A,#N/A,FALSE,"O&amp;M by processes";#N/A,#N/A,FALSE,"Elec Act vs Bud";#N/A,#N/A,FALSE,"G&amp;A";#N/A,#N/A,FALSE,"BGS";#N/A,#N/A,FALSE,"Res Cost"}</definedName>
    <definedName name="aaaaaaaaaaaaaaa" localSheetId="20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aaaaaagg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localSheetId="1" hidden="1">{#N/A,#N/A,TRUE,"1990";#N/A,#N/A,TRUE,"1991";#N/A,#N/A,TRUE,"1992";#N/A,#N/A,TRUE,"1993"}</definedName>
    <definedName name="abc" localSheetId="13" hidden="1">{#N/A,#N/A,TRUE,"1990";#N/A,#N/A,TRUE,"1991";#N/A,#N/A,TRUE,"1992";#N/A,#N/A,TRUE,"1993"}</definedName>
    <definedName name="abc" localSheetId="18" hidden="1">{#N/A,#N/A,TRUE,"1990";#N/A,#N/A,TRUE,"1991";#N/A,#N/A,TRUE,"1992";#N/A,#N/A,TRUE,"1993"}</definedName>
    <definedName name="abc" localSheetId="20" hidden="1">{#N/A,#N/A,TRUE,"1990";#N/A,#N/A,TRUE,"1991";#N/A,#N/A,TRUE,"1992";#N/A,#N/A,TRUE,"1993"}</definedName>
    <definedName name="abc" hidden="1">{#N/A,#N/A,TRUE,"1990";#N/A,#N/A,TRUE,"1991";#N/A,#N/A,TRUE,"1992";#N/A,#N/A,TRUE,"1993"}</definedName>
    <definedName name="abcd" localSheetId="1" hidden="1">{#N/A,#N/A,TRUE,"1990";#N/A,#N/A,TRUE,"1991";#N/A,#N/A,TRUE,"1992";#N/A,#N/A,TRUE,"1993"}</definedName>
    <definedName name="abcd" localSheetId="13" hidden="1">{#N/A,#N/A,TRUE,"1990";#N/A,#N/A,TRUE,"1991";#N/A,#N/A,TRUE,"1992";#N/A,#N/A,TRUE,"1993"}</definedName>
    <definedName name="abcd" localSheetId="18" hidden="1">{#N/A,#N/A,TRUE,"1990";#N/A,#N/A,TRUE,"1991";#N/A,#N/A,TRUE,"1992";#N/A,#N/A,TRUE,"1993"}</definedName>
    <definedName name="abcd" localSheetId="20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localSheetId="1" hidden="1">{"summary",#N/A,TRUE,"E93ADJ";"detail",#N/A,TRUE,"E93ADJ"}</definedName>
    <definedName name="abcde" localSheetId="13" hidden="1">{"summary",#N/A,TRUE,"E93ADJ";"detail",#N/A,TRUE,"E93ADJ"}</definedName>
    <definedName name="abcde" localSheetId="18" hidden="1">{"summary",#N/A,TRUE,"E93ADJ";"detail",#N/A,TRUE,"E93ADJ"}</definedName>
    <definedName name="abcde" localSheetId="20" hidden="1">{"summary",#N/A,TRUE,"E93ADJ";"detail",#N/A,TRUE,"E93ADJ"}</definedName>
    <definedName name="abcde" hidden="1">{"summary",#N/A,TRUE,"E93ADJ";"detail",#N/A,TRUE,"E93ADJ"}</definedName>
    <definedName name="abcdef" localSheetId="1" hidden="1">{"summary",#N/A,TRUE,"E93ADJ";"detail",#N/A,TRUE,"E93ADJ"}</definedName>
    <definedName name="abcdef" localSheetId="13" hidden="1">{"summary",#N/A,TRUE,"E93ADJ";"detail",#N/A,TRUE,"E93ADJ"}</definedName>
    <definedName name="abcdef" localSheetId="18" hidden="1">{"summary",#N/A,TRUE,"E93ADJ";"detail",#N/A,TRUE,"E93ADJ"}</definedName>
    <definedName name="abcdef" localSheetId="20" hidden="1">{"summary",#N/A,TRUE,"E93ADJ";"detail",#N/A,TRUE,"E93ADJ"}</definedName>
    <definedName name="abcdef" hidden="1">{"summary",#N/A,TRUE,"E93ADJ";"detail",#N/A,TRUE,"E93ADJ"}</definedName>
    <definedName name="ACwvd.allyears." localSheetId="1" hidden="1">#REF!</definedName>
    <definedName name="ACwvd.allyears." localSheetId="20" hidden="1">#REF!</definedName>
    <definedName name="ACwvd.allyears." hidden="1">#REF!</definedName>
    <definedName name="ACwvu.allyears." localSheetId="1" hidden="1">#REF!</definedName>
    <definedName name="ACwvu.allyears." localSheetId="13" hidden="1">'[25]2010 Shares Budget'!#REF!</definedName>
    <definedName name="ACwvu.allyears." localSheetId="18" hidden="1">'[25]2010 Shares Budget'!#REF!</definedName>
    <definedName name="ACwvu.allyears." localSheetId="20" hidden="1">#REF!</definedName>
    <definedName name="ACwvu.allyears." hidden="1">#REF!</definedName>
    <definedName name="acwvu.allyears1." localSheetId="1" hidden="1">#REF!</definedName>
    <definedName name="acwvu.allyears1." localSheetId="20" hidden="1">#REF!</definedName>
    <definedName name="acwvu.allyears1." hidden="1">#REF!</definedName>
    <definedName name="ACwvu.DATABASE." localSheetId="1" hidden="1">#REF!</definedName>
    <definedName name="ACwvu.DATABASE." localSheetId="13" hidden="1">[26]DATABASE!#REF!</definedName>
    <definedName name="ACwvu.DATABASE." localSheetId="18" hidden="1">[26]DATABASE!#REF!</definedName>
    <definedName name="ACwvu.DATABASE." localSheetId="20" hidden="1">#REF!</definedName>
    <definedName name="ACwvu.DATABASE." hidden="1">#REF!</definedName>
    <definedName name="ACwvu.OP." localSheetId="1" hidden="1">#REF!</definedName>
    <definedName name="ACwvu.OP." localSheetId="18" hidden="1">#REF!</definedName>
    <definedName name="ACwvu.OP." localSheetId="20" hidden="1">#REF!</definedName>
    <definedName name="ACwvu.OP." hidden="1">#REF!</definedName>
    <definedName name="ACwvu.yr1fullrpt." localSheetId="1" hidden="1">#REF!</definedName>
    <definedName name="ACwvu.yr1fullrpt." localSheetId="13" hidden="1">'[25]2010 Shares Budget'!#REF!</definedName>
    <definedName name="ACwvu.yr1fullrpt." localSheetId="18" hidden="1">'[25]2010 Shares Budget'!#REF!</definedName>
    <definedName name="ACwvu.yr1fullrpt." localSheetId="20" hidden="1">#REF!</definedName>
    <definedName name="ACwvu.yr1fullrpt." hidden="1">#REF!</definedName>
    <definedName name="adfadfdfadsfdsa" localSheetId="13" hidden="1">'[2]Chart Data'!$K$30:$K$228</definedName>
    <definedName name="adfadfdfadsfdsa" localSheetId="18" hidden="1">'[2]Chart Data'!$K$30:$K$228</definedName>
    <definedName name="adfadfdfadsfdsa" hidden="1">#REF!</definedName>
    <definedName name="aedf" localSheetId="1" hidden="1">#REF!</definedName>
    <definedName name="aedf" localSheetId="20" hidden="1">#REF!</definedName>
    <definedName name="aedf" hidden="1">#REF!</definedName>
    <definedName name="aewc12" localSheetId="1" hidden="1">#REF!</definedName>
    <definedName name="aewc12" localSheetId="20" hidden="1">#REF!</definedName>
    <definedName name="aewc12" hidden="1">#REF!</definedName>
    <definedName name="afd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1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1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1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1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2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2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2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2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2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2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2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2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3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3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3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3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localSheetId="13" hidden="1">'[2]Chart Data'!$B$30:$B$222</definedName>
    <definedName name="afddafadfs" localSheetId="18" hidden="1">'[2]Chart Data'!$B$30:$B$222</definedName>
    <definedName name="afddafadfs" hidden="1">#REF!</definedName>
    <definedName name="afddfadfdsfafdas" localSheetId="13" hidden="1">'[2]Chart Data'!$O$30:$O$226</definedName>
    <definedName name="afddfadfdsfafdas" localSheetId="18" hidden="1">'[2]Chart Data'!$O$30:$O$226</definedName>
    <definedName name="afddfadfdsfafdas" hidden="1">#REF!</definedName>
    <definedName name="ajw2n" localSheetId="1" hidden="1">#REF!</definedName>
    <definedName name="ajw2n" localSheetId="18" hidden="1">#REF!</definedName>
    <definedName name="ajw2n" localSheetId="20" hidden="1">#REF!</definedName>
    <definedName name="ajw2n" hidden="1">#REF!</definedName>
    <definedName name="anscount" hidden="1">1</definedName>
    <definedName name="ap" localSheetId="1" hidden="1">#REF!</definedName>
    <definedName name="ap" localSheetId="18" hidden="1">#REF!</definedName>
    <definedName name="ap" localSheetId="20" hidden="1">#REF!</definedName>
    <definedName name="ap" hidden="1">#REF!</definedName>
    <definedName name="as" localSheetId="1" hidden="1">{"Summary",#N/A,FALSE,"Options "}</definedName>
    <definedName name="as" localSheetId="13" hidden="1">{"Summary",#N/A,FALSE,"Options "}</definedName>
    <definedName name="as" localSheetId="18" hidden="1">{"Summary",#N/A,FALSE,"Options "}</definedName>
    <definedName name="as" localSheetId="20" hidden="1">{"Summary",#N/A,FALSE,"Options "}</definedName>
    <definedName name="as" hidden="1">{"Summary",#N/A,FALSE,"Options "}</definedName>
    <definedName name="AS2DocOpenMode" hidden="1">"AS2DocumentEdit"</definedName>
    <definedName name="AS2NamedRange" hidden="1">7</definedName>
    <definedName name="asd" localSheetId="1" hidden="1">#REF!</definedName>
    <definedName name="asd" localSheetId="18" hidden="1">#REF!</definedName>
    <definedName name="asd" localSheetId="20" hidden="1">#REF!</definedName>
    <definedName name="asd" hidden="1">#REF!</definedName>
    <definedName name="asdf" localSheetId="1" hidden="1">#REF!</definedName>
    <definedName name="asdf" localSheetId="20" hidden="1">#REF!</definedName>
    <definedName name="asdf" hidden="1">#REF!</definedName>
    <definedName name="asdij" localSheetId="1" hidden="1">#REF!</definedName>
    <definedName name="asdij" localSheetId="20" hidden="1">#REF!</definedName>
    <definedName name="asdij" hidden="1">#REF!</definedName>
    <definedName name="asf" localSheetId="1" hidden="1">#REF!</definedName>
    <definedName name="asf" localSheetId="20" hidden="1">#REF!</definedName>
    <definedName name="asf" hidden="1">#REF!</definedName>
    <definedName name="ashwin" localSheetId="1" hidden="1">{#N/A,"Anonymous",FALSE,"30 30k Table";#N/A,#N/A,FALSE,"30 50k Table";#N/A,#N/A,FALSE,"40 100k Table"}</definedName>
    <definedName name="ashwin" localSheetId="13" hidden="1">{#N/A,"Anonymous",FALSE,"30 30k Table";#N/A,#N/A,FALSE,"30 50k Table";#N/A,#N/A,FALSE,"40 100k Table"}</definedName>
    <definedName name="ashwin" localSheetId="18" hidden="1">{#N/A,"Anonymous",FALSE,"30 30k Table";#N/A,#N/A,FALSE,"30 50k Table";#N/A,#N/A,FALSE,"40 100k Table"}</definedName>
    <definedName name="ashwin" localSheetId="20" hidden="1">{#N/A,"Anonymous",FALSE,"30 30k Table";#N/A,#N/A,FALSE,"30 50k Table";#N/A,#N/A,FALSE,"40 100k Table"}</definedName>
    <definedName name="ashwin" hidden="1">{#N/A,"Anonymous",FALSE,"30 30k Table";#N/A,#N/A,FALSE,"30 50k Table";#N/A,#N/A,FALSE,"40 100k Table"}</definedName>
    <definedName name="aspd" localSheetId="1" hidden="1">#REF!</definedName>
    <definedName name="aspd" localSheetId="18" hidden="1">#REF!</definedName>
    <definedName name="aspd" localSheetId="20" hidden="1">#REF!</definedName>
    <definedName name="aspd" hidden="1">#REF!</definedName>
    <definedName name="asr" localSheetId="1" hidden="1">#REF!</definedName>
    <definedName name="asr" localSheetId="20" hidden="1">#REF!</definedName>
    <definedName name="asr" hidden="1">#REF!</definedName>
    <definedName name="Assessment_FooterType" hidden="1">"NONE"</definedName>
    <definedName name="Assessments_FooterType" hidden="1">"NONE"</definedName>
    <definedName name="aswac" localSheetId="1" hidden="1">#REF!</definedName>
    <definedName name="aswac" localSheetId="18" hidden="1">#REF!</definedName>
    <definedName name="aswac" localSheetId="20" hidden="1">#REF!</definedName>
    <definedName name="aswac" hidden="1">#REF!</definedName>
    <definedName name="aswc" localSheetId="1" hidden="1">#REF!</definedName>
    <definedName name="aswc" localSheetId="20" hidden="1">#REF!</definedName>
    <definedName name="aswc" hidden="1">#REF!</definedName>
    <definedName name="avbc" localSheetId="1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vbc" localSheetId="13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vbc" localSheetId="18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vbc" localSheetId="20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vbc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w3dq" localSheetId="1" hidden="1">#REF!</definedName>
    <definedName name="aw3dq" localSheetId="18" hidden="1">#REF!</definedName>
    <definedName name="aw3dq" localSheetId="20" hidden="1">#REF!</definedName>
    <definedName name="aw3dq" hidden="1">#REF!</definedName>
    <definedName name="awd" localSheetId="1" hidden="1">#REF!</definedName>
    <definedName name="awd" localSheetId="20" hidden="1">#REF!</definedName>
    <definedName name="awd" hidden="1">#REF!</definedName>
    <definedName name="awef" localSheetId="1" hidden="1">#REF!</definedName>
    <definedName name="awef" localSheetId="20" hidden="1">#REF!</definedName>
    <definedName name="awef" hidden="1">#REF!</definedName>
    <definedName name="AWS" localSheetId="1" hidden="1">#REF!</definedName>
    <definedName name="AWS" localSheetId="20" hidden="1">#REF!</definedName>
    <definedName name="AWS" hidden="1">#REF!</definedName>
    <definedName name="az" localSheetId="1" hidden="1">#REF!</definedName>
    <definedName name="az" localSheetId="20" hidden="1">#REF!</definedName>
    <definedName name="az" hidden="1">#REF!</definedName>
    <definedName name="b" localSheetId="1" hidden="1">{#N/A,#N/A,TRUE,"SLDE";#N/A,#N/A,TRUE,"Concession Summary"}</definedName>
    <definedName name="b" localSheetId="13" hidden="1">{#N/A,#N/A,TRUE,"SLDE";#N/A,#N/A,TRUE,"Concession Summary"}</definedName>
    <definedName name="b" localSheetId="18" hidden="1">{#N/A,#N/A,TRUE,"SLDE";#N/A,#N/A,TRUE,"Concession Summary"}</definedName>
    <definedName name="b" localSheetId="20" hidden="1">{#N/A,#N/A,TRUE,"SLDE";#N/A,#N/A,TRUE,"Concession Summary"}</definedName>
    <definedName name="b" hidden="1">{#N/A,#N/A,TRUE,"SLDE";#N/A,#N/A,TRUE,"Concession Summary"}</definedName>
    <definedName name="badger" localSheetId="1" hidden="1">{"TOT_QTR_TO_PREV",#N/A,FALSE,"Site Sum"}</definedName>
    <definedName name="badger" localSheetId="13" hidden="1">{"TOT_QTR_TO_PREV",#N/A,FALSE,"Site Sum"}</definedName>
    <definedName name="badger" localSheetId="18" hidden="1">{"TOT_QTR_TO_PREV",#N/A,FALSE,"Site Sum"}</definedName>
    <definedName name="badger" localSheetId="20" hidden="1">{"TOT_QTR_TO_PREV",#N/A,FALSE,"Site Sum"}</definedName>
    <definedName name="badger" hidden="1">{"TOT_QTR_TO_PREV",#N/A,FALSE,"Site Sum"}</definedName>
    <definedName name="badger1" localSheetId="1" hidden="1">{"TOT_QTR_TO_PREV",#N/A,FALSE,"Site Sum"}</definedName>
    <definedName name="badger1" localSheetId="13" hidden="1">{"TOT_QTR_TO_PREV",#N/A,FALSE,"Site Sum"}</definedName>
    <definedName name="badger1" localSheetId="18" hidden="1">{"TOT_QTR_TO_PREV",#N/A,FALSE,"Site Sum"}</definedName>
    <definedName name="badger1" localSheetId="20" hidden="1">{"TOT_QTR_TO_PREV",#N/A,FALSE,"Site Sum"}</definedName>
    <definedName name="badger1" hidden="1">{"TOT_QTR_TO_PREV",#N/A,FALSE,"Site Sum"}</definedName>
    <definedName name="BB" localSheetId="1" hidden="1">#REF!</definedName>
    <definedName name="BB" localSheetId="20" hidden="1">#REF!</definedName>
    <definedName name="BB" hidden="1">#REF!</definedName>
    <definedName name="bb_mdm" localSheetId="1" hidden="1">#REF!</definedName>
    <definedName name="bb_mdm" localSheetId="20" hidden="1">#REF!</definedName>
    <definedName name="bb_mdm" hidden="1">#REF!</definedName>
    <definedName name="bb_MDMyNTU0NDRBODY1NDVEQz" localSheetId="1" hidden="1">#REF!</definedName>
    <definedName name="bb_MDMyNTU0NDRBODY1NDVEQz" localSheetId="27" hidden="1">#REF!</definedName>
    <definedName name="bb_MDMyNTU0NDRBODY1NDVEQz" localSheetId="20" hidden="1">#REF!</definedName>
    <definedName name="bb_MDMyNTU0NDRBODY1NDVEQz" hidden="1">#REF!</definedName>
    <definedName name="bbbb" localSheetId="1" hidden="1">#REF!</definedName>
    <definedName name="bbbb" localSheetId="20" hidden="1">#REF!</definedName>
    <definedName name="bbbb" hidden="1">#REF!</definedName>
    <definedName name="bbbbb" localSheetId="1" hidden="1">{#N/A,#N/A,FALSE,"O&amp;M by processes";#N/A,#N/A,FALSE,"Elec Act vs Bud";#N/A,#N/A,FALSE,"G&amp;A";#N/A,#N/A,FALSE,"BGS";#N/A,#N/A,FALSE,"Res Cost"}</definedName>
    <definedName name="bbbbb" localSheetId="13" hidden="1">{#N/A,#N/A,FALSE,"O&amp;M by processes";#N/A,#N/A,FALSE,"Elec Act vs Bud";#N/A,#N/A,FALSE,"G&amp;A";#N/A,#N/A,FALSE,"BGS";#N/A,#N/A,FALSE,"Res Cost"}</definedName>
    <definedName name="bbbbb" localSheetId="18" hidden="1">{#N/A,#N/A,FALSE,"O&amp;M by processes";#N/A,#N/A,FALSE,"Elec Act vs Bud";#N/A,#N/A,FALSE,"G&amp;A";#N/A,#N/A,FALSE,"BGS";#N/A,#N/A,FALSE,"Res Cost"}</definedName>
    <definedName name="bbbbb" localSheetId="20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1" hidden="1">{#N/A,#N/A,FALSE,"O&amp;M by processes";#N/A,#N/A,FALSE,"Elec Act vs Bud";#N/A,#N/A,FALSE,"G&amp;A";#N/A,#N/A,FALSE,"BGS";#N/A,#N/A,FALSE,"Res Cost"}</definedName>
    <definedName name="bbc" localSheetId="13" hidden="1">{#N/A,#N/A,FALSE,"O&amp;M by processes";#N/A,#N/A,FALSE,"Elec Act vs Bud";#N/A,#N/A,FALSE,"G&amp;A";#N/A,#N/A,FALSE,"BGS";#N/A,#N/A,FALSE,"Res Cost"}</definedName>
    <definedName name="bbc" localSheetId="18" hidden="1">{#N/A,#N/A,FALSE,"O&amp;M by processes";#N/A,#N/A,FALSE,"Elec Act vs Bud";#N/A,#N/A,FALSE,"G&amp;A";#N/A,#N/A,FALSE,"BGS";#N/A,#N/A,FALSE,"Res Cost"}</definedName>
    <definedName name="bbc" localSheetId="20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d" localSheetId="1" hidden="1">{#N/A,#N/A,TRUE,"1990";#N/A,#N/A,TRUE,"1991";#N/A,#N/A,TRUE,"1992";#N/A,#N/A,TRUE,"1993"}</definedName>
    <definedName name="bcd" localSheetId="13" hidden="1">{#N/A,#N/A,TRUE,"1990";#N/A,#N/A,TRUE,"1991";#N/A,#N/A,TRUE,"1992";#N/A,#N/A,TRUE,"1993"}</definedName>
    <definedName name="bcd" localSheetId="18" hidden="1">{#N/A,#N/A,TRUE,"1990";#N/A,#N/A,TRUE,"1991";#N/A,#N/A,TRUE,"1992";#N/A,#N/A,TRUE,"1993"}</definedName>
    <definedName name="bcd" localSheetId="20" hidden="1">{#N/A,#N/A,TRUE,"1990";#N/A,#N/A,TRUE,"1991";#N/A,#N/A,TRUE,"1992";#N/A,#N/A,TRUE,"1993"}</definedName>
    <definedName name="bcd" hidden="1">{#N/A,#N/A,TRUE,"1990";#N/A,#N/A,TRUE,"1991";#N/A,#N/A,TRUE,"1992";#N/A,#N/A,TRUE,"1993"}</definedName>
    <definedName name="bcde" localSheetId="1" hidden="1">{"summary",#N/A,TRUE,"E93ADJ";"detail",#N/A,TRUE,"E93ADJ"}</definedName>
    <definedName name="bcde" localSheetId="13" hidden="1">{"summary",#N/A,TRUE,"E93ADJ";"detail",#N/A,TRUE,"E93ADJ"}</definedName>
    <definedName name="bcde" localSheetId="18" hidden="1">{"summary",#N/A,TRUE,"E93ADJ";"detail",#N/A,TRUE,"E93ADJ"}</definedName>
    <definedName name="bcde" localSheetId="20" hidden="1">{"summary",#N/A,TRUE,"E93ADJ";"detail",#N/A,TRUE,"E93ADJ"}</definedName>
    <definedName name="bcde" hidden="1">{"summary",#N/A,TRUE,"E93ADJ";"detail",#N/A,TRUE,"E93ADJ"}</definedName>
    <definedName name="begretre" localSheetId="1" hidden="1">{#N/A,#N/A,FALSE,"OTHERINPUTS";#N/A,#N/A,FALSE,"DITRATEINPUTS";#N/A,#N/A,FALSE,"SUPPLIEDADJINPUT";#N/A,#N/A,FALSE,"TIMINGDIFFINPUTS";#N/A,#N/A,FALSE,"BR&amp;SUPADJ."}</definedName>
    <definedName name="begretre" localSheetId="13" hidden="1">{#N/A,#N/A,FALSE,"OTHERINPUTS";#N/A,#N/A,FALSE,"DITRATEINPUTS";#N/A,#N/A,FALSE,"SUPPLIEDADJINPUT";#N/A,#N/A,FALSE,"TIMINGDIFFINPUTS";#N/A,#N/A,FALSE,"BR&amp;SUPADJ."}</definedName>
    <definedName name="begretre" localSheetId="18" hidden="1">{#N/A,#N/A,FALSE,"OTHERINPUTS";#N/A,#N/A,FALSE,"DITRATEINPUTS";#N/A,#N/A,FALSE,"SUPPLIEDADJINPUT";#N/A,#N/A,FALSE,"TIMINGDIFFINPUTS";#N/A,#N/A,FALSE,"BR&amp;SUPADJ."}</definedName>
    <definedName name="begretre" localSheetId="20" hidden="1">{#N/A,#N/A,FALSE,"OTHERINPUTS";#N/A,#N/A,FALSE,"DITRATEINPUTS";#N/A,#N/A,FALSE,"SUPPLIEDADJINPUT";#N/A,#N/A,FALSE,"TIMINGDIFFINPUTS";#N/A,#N/A,FALSE,"BR&amp;SUPADJ."}</definedName>
    <definedName name="begretre" hidden="1">{#N/A,#N/A,FALSE,"OTHERINPUTS";#N/A,#N/A,FALSE,"DITRATEINPUTS";#N/A,#N/A,FALSE,"SUPPLIEDADJINPUT";#N/A,#N/A,FALSE,"TIMINGDIFFINPUTS";#N/A,#N/A,FALSE,"BR&amp;SUPADJ."}</definedName>
    <definedName name="bl" localSheetId="1" hidden="1">#REF!</definedName>
    <definedName name="bl" localSheetId="20" hidden="1">#REF!</definedName>
    <definedName name="bl" hidden="1">#REF!</definedName>
    <definedName name="Blank" localSheetId="1" hidden="1">{"ARK_JURIS_FUEL",#N/A,FALSE,"Ark_Fuel&amp;Rev"}</definedName>
    <definedName name="Blank" localSheetId="13" hidden="1">{"ARK_JURIS_FUEL",#N/A,FALSE,"Ark_Fuel&amp;Rev"}</definedName>
    <definedName name="Blank" localSheetId="18" hidden="1">{"ARK_JURIS_FUEL",#N/A,FALSE,"Ark_Fuel&amp;Rev"}</definedName>
    <definedName name="Blank" localSheetId="20" hidden="1">{"ARK_JURIS_FUEL",#N/A,FALSE,"Ark_Fuel&amp;Rev"}</definedName>
    <definedName name="Blank" hidden="1">{"ARK_JURIS_FUEL",#N/A,FALSE,"Ark_Fuel&amp;Rev"}</definedName>
    <definedName name="Blank_1" localSheetId="1" hidden="1">{"ARK_JURIS_FUEL",#N/A,FALSE,"Ark_Fuel&amp;Rev"}</definedName>
    <definedName name="Blank_1" localSheetId="13" hidden="1">{"ARK_JURIS_FUEL",#N/A,FALSE,"Ark_Fuel&amp;Rev"}</definedName>
    <definedName name="Blank_1" localSheetId="18" hidden="1">{"ARK_JURIS_FUEL",#N/A,FALSE,"Ark_Fuel&amp;Rev"}</definedName>
    <definedName name="Blank_1" localSheetId="20" hidden="1">{"ARK_JURIS_FUEL",#N/A,FALSE,"Ark_Fuel&amp;Rev"}</definedName>
    <definedName name="Blank_1" hidden="1">{"ARK_JURIS_FUEL",#N/A,FALSE,"Ark_Fuel&amp;Rev"}</definedName>
    <definedName name="Blank_2" localSheetId="1" hidden="1">{"ARK_JURIS_FUEL",#N/A,FALSE,"Ark_Fuel&amp;Rev"}</definedName>
    <definedName name="Blank_2" localSheetId="13" hidden="1">{"ARK_JURIS_FUEL",#N/A,FALSE,"Ark_Fuel&amp;Rev"}</definedName>
    <definedName name="Blank_2" localSheetId="18" hidden="1">{"ARK_JURIS_FUEL",#N/A,FALSE,"Ark_Fuel&amp;Rev"}</definedName>
    <definedName name="Blank_2" localSheetId="20" hidden="1">{"ARK_JURIS_FUEL",#N/A,FALSE,"Ark_Fuel&amp;Rev"}</definedName>
    <definedName name="Blank_2" hidden="1">{"ARK_JURIS_FUEL",#N/A,FALSE,"Ark_Fuel&amp;Rev"}</definedName>
    <definedName name="BLPH2" localSheetId="1" hidden="1">#REF!</definedName>
    <definedName name="BLPH2" localSheetId="13" hidden="1">'[27]Commercial Paper'!#REF!</definedName>
    <definedName name="BLPH2" localSheetId="18" hidden="1">'[28]Commercial Paper'!#REF!</definedName>
    <definedName name="BLPH2" localSheetId="20" hidden="1">#REF!</definedName>
    <definedName name="BLPH2" hidden="1">#REF!</definedName>
    <definedName name="BLPH3" localSheetId="1" hidden="1">#REF!</definedName>
    <definedName name="BLPH3" localSheetId="13" hidden="1">'[27]Commercial Paper'!#REF!</definedName>
    <definedName name="BLPH3" localSheetId="18" hidden="1">'[28]Commercial Paper'!#REF!</definedName>
    <definedName name="BLPH3" localSheetId="20" hidden="1">#REF!</definedName>
    <definedName name="BLPH3" hidden="1">#REF!</definedName>
    <definedName name="BLPH4" localSheetId="1" hidden="1">#REF!</definedName>
    <definedName name="BLPH4" localSheetId="13" hidden="1">'[27]Commercial Paper'!#REF!</definedName>
    <definedName name="BLPH4" localSheetId="18" hidden="1">'[28]Commercial Paper'!#REF!</definedName>
    <definedName name="BLPH4" localSheetId="20" hidden="1">#REF!</definedName>
    <definedName name="BLPH4" hidden="1">#REF!</definedName>
    <definedName name="BLPH5" localSheetId="1" hidden="1">#REF!</definedName>
    <definedName name="BLPH5" localSheetId="13" hidden="1">'[27]Commercial Paper'!#REF!</definedName>
    <definedName name="BLPH5" localSheetId="18" hidden="1">'[28]Commercial Paper'!#REF!</definedName>
    <definedName name="BLPH5" localSheetId="20" hidden="1">#REF!</definedName>
    <definedName name="BLPH5" hidden="1">#REF!</definedName>
    <definedName name="BLPH6" localSheetId="1" hidden="1">#REF!</definedName>
    <definedName name="BLPH6" localSheetId="13" hidden="1">'[27]Commercial Paper'!#REF!</definedName>
    <definedName name="BLPH6" localSheetId="18" hidden="1">'[28]Commercial Paper'!#REF!</definedName>
    <definedName name="BLPH6" localSheetId="20" hidden="1">#REF!</definedName>
    <definedName name="BLPH6" hidden="1">#REF!</definedName>
    <definedName name="bnca" localSheetId="1" hidden="1">#REF!</definedName>
    <definedName name="bnca" localSheetId="18" hidden="1">#REF!</definedName>
    <definedName name="bnca" localSheetId="20" hidden="1">#REF!</definedName>
    <definedName name="bnca" hidden="1">#REF!</definedName>
    <definedName name="bned" localSheetId="1" hidden="1">#REF!</definedName>
    <definedName name="bned" localSheetId="20" hidden="1">#REF!</definedName>
    <definedName name="bned" hidden="1">#REF!</definedName>
    <definedName name="borst" localSheetId="1" hidden="1">#REF!</definedName>
    <definedName name="borst" localSheetId="20" hidden="1">#REF!</definedName>
    <definedName name="borst" hidden="1">#REF!</definedName>
    <definedName name="Bruce" localSheetId="1" hidden="1">{#N/A,#N/A,FALSE,"SCA";#N/A,#N/A,FALSE,"NCA";#N/A,#N/A,FALSE,"SAZ";#N/A,#N/A,FALSE,"CAZ";#N/A,#N/A,FALSE,"SNV";#N/A,#N/A,FALSE,"NNV";#N/A,#N/A,FALSE,"PP";#N/A,#N/A,FALSE,"SA"}</definedName>
    <definedName name="Bruce" localSheetId="13" hidden="1">{#N/A,#N/A,FALSE,"SCA";#N/A,#N/A,FALSE,"NCA";#N/A,#N/A,FALSE,"SAZ";#N/A,#N/A,FALSE,"CAZ";#N/A,#N/A,FALSE,"SNV";#N/A,#N/A,FALSE,"NNV";#N/A,#N/A,FALSE,"PP";#N/A,#N/A,FALSE,"SA"}</definedName>
    <definedName name="Bruce" localSheetId="18" hidden="1">{#N/A,#N/A,FALSE,"SCA";#N/A,#N/A,FALSE,"NCA";#N/A,#N/A,FALSE,"SAZ";#N/A,#N/A,FALSE,"CAZ";#N/A,#N/A,FALSE,"SNV";#N/A,#N/A,FALSE,"NNV";#N/A,#N/A,FALSE,"PP";#N/A,#N/A,FALSE,"SA"}</definedName>
    <definedName name="Bruce" localSheetId="20" hidden="1">{#N/A,#N/A,FALSE,"SCA";#N/A,#N/A,FALSE,"NCA";#N/A,#N/A,FALSE,"SAZ";#N/A,#N/A,FALSE,"CAZ";#N/A,#N/A,FALSE,"SNV";#N/A,#N/A,FALSE,"NNV";#N/A,#N/A,FALSE,"PP";#N/A,#N/A,FALSE,"SA"}</definedName>
    <definedName name="Bruce" hidden="1">{#N/A,#N/A,FALSE,"SCA";#N/A,#N/A,FALSE,"NCA";#N/A,#N/A,FALSE,"SAZ";#N/A,#N/A,FALSE,"CAZ";#N/A,#N/A,FALSE,"SNV";#N/A,#N/A,FALSE,"NNV";#N/A,#N/A,FALSE,"PP";#N/A,#N/A,FALSE,"SA"}</definedName>
    <definedName name="Bruce1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vvrr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13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18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2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localSheetId="1" hidden="1">#REF!</definedName>
    <definedName name="c.LTMYear" localSheetId="18" hidden="1">#REF!</definedName>
    <definedName name="c.LTMYear" localSheetId="20" hidden="1">#REF!</definedName>
    <definedName name="c.LTMYear" hidden="1">#REF!</definedName>
    <definedName name="ca" localSheetId="1" hidden="1">#REF!</definedName>
    <definedName name="ca" localSheetId="18" hidden="1">#REF!</definedName>
    <definedName name="ca" localSheetId="20" hidden="1">#REF!</definedName>
    <definedName name="ca" hidden="1">#REF!</definedName>
    <definedName name="can" localSheetId="1" hidden="1">{#N/A,#N/A,FALSE,"O&amp;M by processes";#N/A,#N/A,FALSE,"Elec Act vs Bud";#N/A,#N/A,FALSE,"G&amp;A";#N/A,#N/A,FALSE,"BGS";#N/A,#N/A,FALSE,"Res Cost"}</definedName>
    <definedName name="can" localSheetId="13" hidden="1">{#N/A,#N/A,FALSE,"O&amp;M by processes";#N/A,#N/A,FALSE,"Elec Act vs Bud";#N/A,#N/A,FALSE,"G&amp;A";#N/A,#N/A,FALSE,"BGS";#N/A,#N/A,FALSE,"Res Cost"}</definedName>
    <definedName name="can" localSheetId="18" hidden="1">{#N/A,#N/A,FALSE,"O&amp;M by processes";#N/A,#N/A,FALSE,"Elec Act vs Bud";#N/A,#N/A,FALSE,"G&amp;A";#N/A,#N/A,FALSE,"BGS";#N/A,#N/A,FALSE,"Res Cost"}</definedName>
    <definedName name="can" localSheetId="20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bwe" localSheetId="1" hidden="1">#REF!</definedName>
    <definedName name="cbwe" localSheetId="18" hidden="1">#REF!</definedName>
    <definedName name="cbwe" localSheetId="20" hidden="1">#REF!</definedName>
    <definedName name="cbwe" hidden="1">#REF!</definedName>
    <definedName name="CBWorkbookPriority" hidden="1">-1523877792</definedName>
    <definedName name="cccc" localSheetId="1" hidden="1">{#N/A,#N/A,FALSE,"O&amp;M by processes";#N/A,#N/A,FALSE,"Elec Act vs Bud";#N/A,#N/A,FALSE,"G&amp;A";#N/A,#N/A,FALSE,"BGS";#N/A,#N/A,FALSE,"Res Cost"}</definedName>
    <definedName name="cccc" localSheetId="13" hidden="1">{#N/A,#N/A,FALSE,"O&amp;M by processes";#N/A,#N/A,FALSE,"Elec Act vs Bud";#N/A,#N/A,FALSE,"G&amp;A";#N/A,#N/A,FALSE,"BGS";#N/A,#N/A,FALSE,"Res Cost"}</definedName>
    <definedName name="cccc" localSheetId="18" hidden="1">{#N/A,#N/A,FALSE,"O&amp;M by processes";#N/A,#N/A,FALSE,"Elec Act vs Bud";#N/A,#N/A,FALSE,"G&amp;A";#N/A,#N/A,FALSE,"BGS";#N/A,#N/A,FALSE,"Res Cost"}</definedName>
    <definedName name="cccc" localSheetId="20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hj" localSheetId="1" hidden="1">#REF!</definedName>
    <definedName name="chj" localSheetId="20" hidden="1">#REF!</definedName>
    <definedName name="chj" hidden="1">#REF!</definedName>
    <definedName name="CIQANR_396b6700a05b4c1f83e63dcb3d1292c2" localSheetId="1" hidden="1">#REF!</definedName>
    <definedName name="CIQANR_396b6700a05b4c1f83e63dcb3d1292c2" localSheetId="13" hidden="1">'[29]Chart 7 Weekly US Beta'!#REF!</definedName>
    <definedName name="CIQANR_396b6700a05b4c1f83e63dcb3d1292c2" localSheetId="18" hidden="1">#REF!</definedName>
    <definedName name="CIQANR_396b6700a05b4c1f83e63dcb3d1292c2" localSheetId="20" hidden="1">#REF!</definedName>
    <definedName name="CIQANR_396b6700a05b4c1f83e63dcb3d1292c2" hidden="1">#REF!</definedName>
    <definedName name="CIQANR_54746e34064d474d99f979470604f0cb" localSheetId="1" hidden="1">#REF!</definedName>
    <definedName name="CIQANR_54746e34064d474d99f979470604f0cb" localSheetId="18" hidden="1">#REF!</definedName>
    <definedName name="CIQANR_54746e34064d474d99f979470604f0cb" localSheetId="20" hidden="1">#REF!</definedName>
    <definedName name="CIQANR_54746e34064d474d99f979470604f0cb" hidden="1">#REF!</definedName>
    <definedName name="CIQANR_58b3b805b9c44ac79d3eb17d77a7617a" localSheetId="1" hidden="1">#REF!</definedName>
    <definedName name="CIQANR_58b3b805b9c44ac79d3eb17d77a7617a" localSheetId="20" hidden="1">#REF!</definedName>
    <definedName name="CIQANR_58b3b805b9c44ac79d3eb17d77a7617a" hidden="1">#REF!</definedName>
    <definedName name="CIQANR_9170e773fe574b34ba3f8c73c13a53ef" localSheetId="1" hidden="1">#REF!</definedName>
    <definedName name="CIQANR_9170e773fe574b34ba3f8c73c13a53ef" localSheetId="13" hidden="1">'[30]8.1R Reg Mechanisms'!#REF!</definedName>
    <definedName name="CIQANR_9170e773fe574b34ba3f8c73c13a53ef" localSheetId="18" hidden="1">#REF!</definedName>
    <definedName name="CIQANR_9170e773fe574b34ba3f8c73c13a53ef" localSheetId="20" hidden="1">#REF!</definedName>
    <definedName name="CIQANR_9170e773fe574b34ba3f8c73c13a53ef" hidden="1">#REF!</definedName>
    <definedName name="CIQWBGuid" hidden="1">"0a162ba8-f85b-49e3-88c3-69ce2b8033eb"</definedName>
    <definedName name="CIQWBInfo" hidden="1">"{ ""CIQVersion"":""9.45.614.5792"" }"</definedName>
    <definedName name="Common" localSheetId="1" hidden="1">{#N/A,#N/A,FALSE,"SCA";#N/A,#N/A,FALSE,"NCA";#N/A,#N/A,FALSE,"SAZ";#N/A,#N/A,FALSE,"CAZ";#N/A,#N/A,FALSE,"SNV";#N/A,#N/A,FALSE,"NNV";#N/A,#N/A,FALSE,"PP";#N/A,#N/A,FALSE,"SA"}</definedName>
    <definedName name="Common" localSheetId="13" hidden="1">{#N/A,#N/A,FALSE,"SCA";#N/A,#N/A,FALSE,"NCA";#N/A,#N/A,FALSE,"SAZ";#N/A,#N/A,FALSE,"CAZ";#N/A,#N/A,FALSE,"SNV";#N/A,#N/A,FALSE,"NNV";#N/A,#N/A,FALSE,"PP";#N/A,#N/A,FALSE,"SA"}</definedName>
    <definedName name="Common" localSheetId="18" hidden="1">{#N/A,#N/A,FALSE,"SCA";#N/A,#N/A,FALSE,"NCA";#N/A,#N/A,FALSE,"SAZ";#N/A,#N/A,FALSE,"CAZ";#N/A,#N/A,FALSE,"SNV";#N/A,#N/A,FALSE,"NNV";#N/A,#N/A,FALSE,"PP";#N/A,#N/A,FALSE,"SA"}</definedName>
    <definedName name="Common" localSheetId="20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mon_1" localSheetId="1" hidden="1">{#N/A,#N/A,FALSE,"SCA";#N/A,#N/A,FALSE,"NCA";#N/A,#N/A,FALSE,"SAZ";#N/A,#N/A,FALSE,"CAZ";#N/A,#N/A,FALSE,"SNV";#N/A,#N/A,FALSE,"NNV";#N/A,#N/A,FALSE,"PP";#N/A,#N/A,FALSE,"SA"}</definedName>
    <definedName name="Common_1" localSheetId="13" hidden="1">{#N/A,#N/A,FALSE,"SCA";#N/A,#N/A,FALSE,"NCA";#N/A,#N/A,FALSE,"SAZ";#N/A,#N/A,FALSE,"CAZ";#N/A,#N/A,FALSE,"SNV";#N/A,#N/A,FALSE,"NNV";#N/A,#N/A,FALSE,"PP";#N/A,#N/A,FALSE,"SA"}</definedName>
    <definedName name="Common_1" localSheetId="18" hidden="1">{#N/A,#N/A,FALSE,"SCA";#N/A,#N/A,FALSE,"NCA";#N/A,#N/A,FALSE,"SAZ";#N/A,#N/A,FALSE,"CAZ";#N/A,#N/A,FALSE,"SNV";#N/A,#N/A,FALSE,"NNV";#N/A,#N/A,FALSE,"PP";#N/A,#N/A,FALSE,"SA"}</definedName>
    <definedName name="Common_1" localSheetId="20" hidden="1">{#N/A,#N/A,FALSE,"SCA";#N/A,#N/A,FALSE,"NCA";#N/A,#N/A,FALSE,"SAZ";#N/A,#N/A,FALSE,"CAZ";#N/A,#N/A,FALSE,"SNV";#N/A,#N/A,FALSE,"NNV";#N/A,#N/A,FALSE,"PP";#N/A,#N/A,FALSE,"SA"}</definedName>
    <definedName name="Common_1" hidden="1">{#N/A,#N/A,FALSE,"SCA";#N/A,#N/A,FALSE,"NCA";#N/A,#N/A,FALSE,"SAZ";#N/A,#N/A,FALSE,"CAZ";#N/A,#N/A,FALSE,"SNV";#N/A,#N/A,FALSE,"NNV";#N/A,#N/A,FALSE,"PP";#N/A,#N/A,FALSE,"SA"}</definedName>
    <definedName name="Common_2" localSheetId="1" hidden="1">{#N/A,#N/A,FALSE,"SCA";#N/A,#N/A,FALSE,"NCA";#N/A,#N/A,FALSE,"SAZ";#N/A,#N/A,FALSE,"CAZ";#N/A,#N/A,FALSE,"SNV";#N/A,#N/A,FALSE,"NNV";#N/A,#N/A,FALSE,"PP";#N/A,#N/A,FALSE,"SA"}</definedName>
    <definedName name="Common_2" localSheetId="13" hidden="1">{#N/A,#N/A,FALSE,"SCA";#N/A,#N/A,FALSE,"NCA";#N/A,#N/A,FALSE,"SAZ";#N/A,#N/A,FALSE,"CAZ";#N/A,#N/A,FALSE,"SNV";#N/A,#N/A,FALSE,"NNV";#N/A,#N/A,FALSE,"PP";#N/A,#N/A,FALSE,"SA"}</definedName>
    <definedName name="Common_2" localSheetId="18" hidden="1">{#N/A,#N/A,FALSE,"SCA";#N/A,#N/A,FALSE,"NCA";#N/A,#N/A,FALSE,"SAZ";#N/A,#N/A,FALSE,"CAZ";#N/A,#N/A,FALSE,"SNV";#N/A,#N/A,FALSE,"NNV";#N/A,#N/A,FALSE,"PP";#N/A,#N/A,FALSE,"SA"}</definedName>
    <definedName name="Common_2" localSheetId="20" hidden="1">{#N/A,#N/A,FALSE,"SCA";#N/A,#N/A,FALSE,"NCA";#N/A,#N/A,FALSE,"SAZ";#N/A,#N/A,FALSE,"CAZ";#N/A,#N/A,FALSE,"SNV";#N/A,#N/A,FALSE,"NNV";#N/A,#N/A,FALSE,"PP";#N/A,#N/A,FALSE,"SA"}</definedName>
    <definedName name="Common_2" hidden="1">{#N/A,#N/A,FALSE,"SCA";#N/A,#N/A,FALSE,"NCA";#N/A,#N/A,FALSE,"SAZ";#N/A,#N/A,FALSE,"CAZ";#N/A,#N/A,FALSE,"SNV";#N/A,#N/A,FALSE,"NNV";#N/A,#N/A,FALSE,"PP";#N/A,#N/A,FALSE,"SA"}</definedName>
    <definedName name="con00" localSheetId="1" hidden="1">{#N/A,"Anonymous",FALSE,"30 30k Table";#N/A,#N/A,FALSE,"30 50k Table";#N/A,#N/A,FALSE,"40 100k Table"}</definedName>
    <definedName name="con00" localSheetId="13" hidden="1">{#N/A,"Anonymous",FALSE,"30 30k Table";#N/A,#N/A,FALSE,"30 50k Table";#N/A,#N/A,FALSE,"40 100k Table"}</definedName>
    <definedName name="con00" localSheetId="18" hidden="1">{#N/A,"Anonymous",FALSE,"30 30k Table";#N/A,#N/A,FALSE,"30 50k Table";#N/A,#N/A,FALSE,"40 100k Table"}</definedName>
    <definedName name="con00" localSheetId="20" hidden="1">{#N/A,"Anonymous",FALSE,"30 30k Table";#N/A,#N/A,FALSE,"30 50k Table";#N/A,#N/A,FALSE,"40 100k Table"}</definedName>
    <definedName name="con00" hidden="1">{#N/A,"Anonymous",FALSE,"30 30k Table";#N/A,#N/A,FALSE,"30 50k Table";#N/A,#N/A,FALSE,"40 100k Table"}</definedName>
    <definedName name="conflic40100k" localSheetId="1" hidden="1">{#N/A,"Anonymous",FALSE,"30 30k Table";#N/A,#N/A,FALSE,"30 50k Table";#N/A,#N/A,FALSE,"40 100k Table"}</definedName>
    <definedName name="conflic40100k" localSheetId="13" hidden="1">{#N/A,"Anonymous",FALSE,"30 30k Table";#N/A,#N/A,FALSE,"30 50k Table";#N/A,#N/A,FALSE,"40 100k Table"}</definedName>
    <definedName name="conflic40100k" localSheetId="18" hidden="1">{#N/A,"Anonymous",FALSE,"30 30k Table";#N/A,#N/A,FALSE,"30 50k Table";#N/A,#N/A,FALSE,"40 100k Table"}</definedName>
    <definedName name="conflic40100k" localSheetId="2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localSheetId="1" hidden="1">{#N/A,"Anonymous",FALSE,"30 30k Table";#N/A,#N/A,FALSE,"30 50k Table";#N/A,#N/A,FALSE,"40 100k Table"}</definedName>
    <definedName name="conflict" localSheetId="13" hidden="1">{#N/A,"Anonymous",FALSE,"30 30k Table";#N/A,#N/A,FALSE,"30 50k Table";#N/A,#N/A,FALSE,"40 100k Table"}</definedName>
    <definedName name="conflict" localSheetId="18" hidden="1">{#N/A,"Anonymous",FALSE,"30 30k Table";#N/A,#N/A,FALSE,"30 50k Table";#N/A,#N/A,FALSE,"40 100k Table"}</definedName>
    <definedName name="conflict" localSheetId="20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localSheetId="1" hidden="1">{#N/A,"Anonymous",FALSE,"30 30k Table";#N/A,#N/A,FALSE,"30 50k Table";#N/A,#N/A,FALSE,"40 100k Table"}</definedName>
    <definedName name="conflict3" localSheetId="13" hidden="1">{#N/A,"Anonymous",FALSE,"30 30k Table";#N/A,#N/A,FALSE,"30 50k Table";#N/A,#N/A,FALSE,"40 100k Table"}</definedName>
    <definedName name="conflict3" localSheetId="18" hidden="1">{#N/A,"Anonymous",FALSE,"30 30k Table";#N/A,#N/A,FALSE,"30 50k Table";#N/A,#N/A,FALSE,"40 100k Table"}</definedName>
    <definedName name="conflict3" localSheetId="20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localSheetId="1" hidden="1">{#N/A,"Anonymous",FALSE,"30 30k Table";#N/A,#N/A,FALSE,"30 50k Table";#N/A,#N/A,FALSE,"40 100k Table"}</definedName>
    <definedName name="conflict40100k" localSheetId="13" hidden="1">{#N/A,"Anonymous",FALSE,"30 30k Table";#N/A,#N/A,FALSE,"30 50k Table";#N/A,#N/A,FALSE,"40 100k Table"}</definedName>
    <definedName name="conflict40100k" localSheetId="18" hidden="1">{#N/A,"Anonymous",FALSE,"30 30k Table";#N/A,#N/A,FALSE,"30 50k Table";#N/A,#N/A,FALSE,"40 100k Table"}</definedName>
    <definedName name="conflict40100k" localSheetId="20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localSheetId="1" hidden="1">{#N/A,"Anonymous",FALSE,"30 30k Table";#N/A,#N/A,FALSE,"30 50k Table";#N/A,#N/A,FALSE,"40 100k Table"}</definedName>
    <definedName name="conflict404050k" localSheetId="13" hidden="1">{#N/A,"Anonymous",FALSE,"30 30k Table";#N/A,#N/A,FALSE,"30 50k Table";#N/A,#N/A,FALSE,"40 100k Table"}</definedName>
    <definedName name="conflict404050k" localSheetId="18" hidden="1">{#N/A,"Anonymous",FALSE,"30 30k Table";#N/A,#N/A,FALSE,"30 50k Table";#N/A,#N/A,FALSE,"40 100k Table"}</definedName>
    <definedName name="conflict404050k" localSheetId="20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localSheetId="1" hidden="1">{#N/A,"Anonymous",FALSE,"30 30k Table";#N/A,#N/A,FALSE,"30 50k Table";#N/A,#N/A,FALSE,"40 100k Table"}</definedName>
    <definedName name="conflict4050k" localSheetId="13" hidden="1">{#N/A,"Anonymous",FALSE,"30 30k Table";#N/A,#N/A,FALSE,"30 50k Table";#N/A,#N/A,FALSE,"40 100k Table"}</definedName>
    <definedName name="conflict4050k" localSheetId="18" hidden="1">{#N/A,"Anonymous",FALSE,"30 30k Table";#N/A,#N/A,FALSE,"30 50k Table";#N/A,#N/A,FALSE,"40 100k Table"}</definedName>
    <definedName name="conflict4050k" localSheetId="20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localSheetId="1" hidden="1">{#N/A,"Anonymous",FALSE,"30 30k Table";#N/A,#N/A,FALSE,"30 50k Table";#N/A,#N/A,FALSE,"40 100k Table"}</definedName>
    <definedName name="conflict4050kkk" localSheetId="13" hidden="1">{#N/A,"Anonymous",FALSE,"30 30k Table";#N/A,#N/A,FALSE,"30 50k Table";#N/A,#N/A,FALSE,"40 100k Table"}</definedName>
    <definedName name="conflict4050kkk" localSheetId="18" hidden="1">{#N/A,"Anonymous",FALSE,"30 30k Table";#N/A,#N/A,FALSE,"30 50k Table";#N/A,#N/A,FALSE,"40 100k Table"}</definedName>
    <definedName name="conflict4050kkk" localSheetId="20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localSheetId="1" hidden="1">{#N/A,"Anonymous",FALSE,"30 30k Table";#N/A,#N/A,FALSE,"30 50k Table";#N/A,#N/A,FALSE,"40 100k Table"}</definedName>
    <definedName name="conflt40100k" localSheetId="13" hidden="1">{#N/A,"Anonymous",FALSE,"30 30k Table";#N/A,#N/A,FALSE,"30 50k Table";#N/A,#N/A,FALSE,"40 100k Table"}</definedName>
    <definedName name="conflt40100k" localSheetId="18" hidden="1">{#N/A,"Anonymous",FALSE,"30 30k Table";#N/A,#N/A,FALSE,"30 50k Table";#N/A,#N/A,FALSE,"40 100k Table"}</definedName>
    <definedName name="conflt40100k" localSheetId="20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olid" localSheetId="1" hidden="1">{#N/A,#N/A,FALSE,"O&amp;M by processes";#N/A,#N/A,FALSE,"Elec Act vs Bud";#N/A,#N/A,FALSE,"G&amp;A";#N/A,#N/A,FALSE,"BGS";#N/A,#N/A,FALSE,"Res Cost"}</definedName>
    <definedName name="Consolid" localSheetId="13" hidden="1">{#N/A,#N/A,FALSE,"O&amp;M by processes";#N/A,#N/A,FALSE,"Elec Act vs Bud";#N/A,#N/A,FALSE,"G&amp;A";#N/A,#N/A,FALSE,"BGS";#N/A,#N/A,FALSE,"Res Cost"}</definedName>
    <definedName name="Consolid" localSheetId="18" hidden="1">{#N/A,#N/A,FALSE,"O&amp;M by processes";#N/A,#N/A,FALSE,"Elec Act vs Bud";#N/A,#N/A,FALSE,"G&amp;A";#N/A,#N/A,FALSE,"BGS";#N/A,#N/A,FALSE,"Res Cost"}</definedName>
    <definedName name="Consolid" localSheetId="20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1" hidden="1">{#N/A,#N/A,FALSE,"O&amp;M by processes";#N/A,#N/A,FALSE,"Elec Act vs Bud";#N/A,#N/A,FALSE,"G&amp;A";#N/A,#N/A,FALSE,"BGS";#N/A,#N/A,FALSE,"Res Cost"}</definedName>
    <definedName name="Consolidated" localSheetId="13" hidden="1">{#N/A,#N/A,FALSE,"O&amp;M by processes";#N/A,#N/A,FALSE,"Elec Act vs Bud";#N/A,#N/A,FALSE,"G&amp;A";#N/A,#N/A,FALSE,"BGS";#N/A,#N/A,FALSE,"Res Cost"}</definedName>
    <definedName name="Consolidated" localSheetId="18" hidden="1">{#N/A,#N/A,FALSE,"O&amp;M by processes";#N/A,#N/A,FALSE,"Elec Act vs Bud";#N/A,#N/A,FALSE,"G&amp;A";#N/A,#N/A,FALSE,"BGS";#N/A,#N/A,FALSE,"Res Cost"}</definedName>
    <definedName name="Consolidated" localSheetId="20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ver" localSheetId="1" hidden="1">#REF!</definedName>
    <definedName name="cover" localSheetId="20" hidden="1">#REF!</definedName>
    <definedName name="cover" hidden="1">#REF!</definedName>
    <definedName name="cvdsza" localSheetId="1" hidden="1">#REF!</definedName>
    <definedName name="cvdsza" localSheetId="20" hidden="1">#REF!</definedName>
    <definedName name="cvdsza" hidden="1">#REF!</definedName>
    <definedName name="CWIP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1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1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1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1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2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2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2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2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1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18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1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1" localSheetId="1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1" localSheetId="18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1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2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2" localSheetId="1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2" localSheetId="18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2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1" hidden="1">#REF!</definedName>
    <definedName name="d" localSheetId="18" hidden="1">#REF!</definedName>
    <definedName name="d" localSheetId="20" hidden="1">#REF!</definedName>
    <definedName name="d" hidden="1">#REF!</definedName>
    <definedName name="da" localSheetId="1" hidden="1">{#N/A,#N/A,FALSE,"O&amp;M by processes";#N/A,#N/A,FALSE,"Elec Act vs Bud";#N/A,#N/A,FALSE,"G&amp;A";#N/A,#N/A,FALSE,"BGS";#N/A,#N/A,FALSE,"Res Cost"}</definedName>
    <definedName name="da" localSheetId="13" hidden="1">{#N/A,#N/A,FALSE,"O&amp;M by processes";#N/A,#N/A,FALSE,"Elec Act vs Bud";#N/A,#N/A,FALSE,"G&amp;A";#N/A,#N/A,FALSE,"BGS";#N/A,#N/A,FALSE,"Res Cost"}</definedName>
    <definedName name="da" localSheetId="18" hidden="1">{#N/A,#N/A,FALSE,"O&amp;M by processes";#N/A,#N/A,FALSE,"Elec Act vs Bud";#N/A,#N/A,FALSE,"G&amp;A";#N/A,#N/A,FALSE,"BGS";#N/A,#N/A,FALSE,"Res Cost"}</definedName>
    <definedName name="da" localSheetId="20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3a" localSheetId="1" hidden="1">#REF!</definedName>
    <definedName name="da3a" localSheetId="18" hidden="1">#REF!</definedName>
    <definedName name="da3a" localSheetId="20" hidden="1">#REF!</definedName>
    <definedName name="da3a" hidden="1">#REF!</definedName>
    <definedName name="dada" localSheetId="1" hidden="1">{#N/A,#N/A,FALSE,"O&amp;M by processes";#N/A,#N/A,FALSE,"Elec Act vs Bud";#N/A,#N/A,FALSE,"G&amp;A";#N/A,#N/A,FALSE,"BGS";#N/A,#N/A,FALSE,"Res Cost"}</definedName>
    <definedName name="dada" localSheetId="13" hidden="1">{#N/A,#N/A,FALSE,"O&amp;M by processes";#N/A,#N/A,FALSE,"Elec Act vs Bud";#N/A,#N/A,FALSE,"G&amp;A";#N/A,#N/A,FALSE,"BGS";#N/A,#N/A,FALSE,"Res Cost"}</definedName>
    <definedName name="dada" localSheetId="18" hidden="1">{#N/A,#N/A,FALSE,"O&amp;M by processes";#N/A,#N/A,FALSE,"Elec Act vs Bud";#N/A,#N/A,FALSE,"G&amp;A";#N/A,#N/A,FALSE,"BGS";#N/A,#N/A,FALSE,"Res Cost"}</definedName>
    <definedName name="dada" localSheetId="20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dffadfa" localSheetId="1" hidden="1">#REF!</definedName>
    <definedName name="dadffadfa" localSheetId="13" hidden="1">'[2]Chart Data'!#REF!</definedName>
    <definedName name="dadffadfa" localSheetId="18" hidden="1">'[2]Chart Data'!#REF!</definedName>
    <definedName name="dadffadfa" localSheetId="20" hidden="1">#REF!</definedName>
    <definedName name="dadffadfa" hidden="1">#REF!</definedName>
    <definedName name="dataorgin2" localSheetId="1" hidden="1">#REF!</definedName>
    <definedName name="dataorgin2" localSheetId="13" hidden="1">'[31]05 Network'!#REF!</definedName>
    <definedName name="dataorgin2" localSheetId="18" hidden="1">'[31]05 Network'!#REF!</definedName>
    <definedName name="dataorgin2" localSheetId="20" hidden="1">#REF!</definedName>
    <definedName name="dataorgin2" hidden="1">#REF!</definedName>
    <definedName name="DataOrigin" localSheetId="1" hidden="1">#REF!</definedName>
    <definedName name="DataOrigin" localSheetId="20" hidden="1">#REF!</definedName>
    <definedName name="DataOrigin" hidden="1">#REF!</definedName>
    <definedName name="db" localSheetId="1" hidden="1">#REF!</definedName>
    <definedName name="db" localSheetId="20" hidden="1">#REF!</definedName>
    <definedName name="db" hidden="1">#REF!</definedName>
    <definedName name="dd" localSheetId="1" hidden="1">{"Print_Detail",#N/A,FALSE,"Redemption_Maturity Extract"}</definedName>
    <definedName name="dd" localSheetId="13" hidden="1">{"Print_Detail",#N/A,FALSE,"Redemption_Maturity Extract"}</definedName>
    <definedName name="dd" localSheetId="18" hidden="1">{"Print_Detail",#N/A,FALSE,"Redemption_Maturity Extract"}</definedName>
    <definedName name="dd" localSheetId="20" hidden="1">{"Print_Detail",#N/A,FALSE,"Redemption_Maturity Extract"}</definedName>
    <definedName name="dd" hidden="1">{"Print_Detail",#N/A,FALSE,"Redemption_Maturity Extract"}</definedName>
    <definedName name="ddd" localSheetId="1" hidden="1">{"Full",#N/A,FALSE,"Sec MTN B Summary"}</definedName>
    <definedName name="ddd" localSheetId="13" hidden="1">{"Full",#N/A,FALSE,"Sec MTN B Summary"}</definedName>
    <definedName name="ddd" localSheetId="18" hidden="1">{"Full",#N/A,FALSE,"Sec MTN B Summary"}</definedName>
    <definedName name="ddd" localSheetId="20" hidden="1">{"Full",#N/A,FALSE,"Sec MTN B Summary"}</definedName>
    <definedName name="ddd" hidden="1">{"Full",#N/A,FALSE,"Sec MTN B Summary"}</definedName>
    <definedName name="dddd" localSheetId="1" hidden="1">{"RedPrem_InitRed View",#N/A,FALSE,"Sec MTN B Summary"}</definedName>
    <definedName name="dddd" localSheetId="13" hidden="1">{"RedPrem_InitRed View",#N/A,FALSE,"Sec MTN B Summary"}</definedName>
    <definedName name="dddd" localSheetId="18" hidden="1">{"RedPrem_InitRed View",#N/A,FALSE,"Sec MTN B Summary"}</definedName>
    <definedName name="dddd" localSheetId="20" hidden="1">{"RedPrem_InitRed View",#N/A,FALSE,"Sec MTN B Summary"}</definedName>
    <definedName name="dddd" hidden="1">{"RedPrem_InitRed View",#N/A,FALSE,"Sec MTN B Summary"}</definedName>
    <definedName name="dddddd" localSheetId="1" hidden="1">{"Pivot1",#N/A,FALSE,"Redemption_Maturity Extract"}</definedName>
    <definedName name="dddddd" localSheetId="13" hidden="1">{"Pivot1",#N/A,FALSE,"Redemption_Maturity Extract"}</definedName>
    <definedName name="dddddd" localSheetId="18" hidden="1">{"Pivot1",#N/A,FALSE,"Redemption_Maturity Extract"}</definedName>
    <definedName name="dddddd" localSheetId="20" hidden="1">{"Pivot1",#N/A,FALSE,"Redemption_Maturity Extract"}</definedName>
    <definedName name="dddddd" hidden="1">{"Pivot1",#N/A,FALSE,"Redemption_Maturity Extract"}</definedName>
    <definedName name="dddddddd" localSheetId="1" hidden="1">{"Pivot2",#N/A,FALSE,"Redemption_Maturity Extract"}</definedName>
    <definedName name="dddddddd" localSheetId="13" hidden="1">{"Pivot2",#N/A,FALSE,"Redemption_Maturity Extract"}</definedName>
    <definedName name="dddddddd" localSheetId="18" hidden="1">{"Pivot2",#N/A,FALSE,"Redemption_Maturity Extract"}</definedName>
    <definedName name="dddddddd" localSheetId="20" hidden="1">{"Pivot2",#N/A,FALSE,"Redemption_Maturity Extract"}</definedName>
    <definedName name="dddddddd" hidden="1">{"Pivot2",#N/A,FALSE,"Redemption_Maturity Extract"}</definedName>
    <definedName name="ddrfef" localSheetId="1" hidden="1">{"'Sheet1'!$A$1:$O$40"}</definedName>
    <definedName name="ddrfef" localSheetId="13" hidden="1">{"'Sheet1'!$A$1:$O$40"}</definedName>
    <definedName name="ddrfef" localSheetId="18" hidden="1">{"'Sheet1'!$A$1:$O$40"}</definedName>
    <definedName name="ddrfef" localSheetId="20" hidden="1">{"'Sheet1'!$A$1:$O$40"}</definedName>
    <definedName name="ddrfef" hidden="1">{"'Sheet1'!$A$1:$O$40"}</definedName>
    <definedName name="delete" localSheetId="1" hidden="1">{#N/A,#N/A,FALSE,"CURRENT"}</definedName>
    <definedName name="delete" localSheetId="13" hidden="1">{#N/A,#N/A,FALSE,"CURRENT"}</definedName>
    <definedName name="delete" localSheetId="18" hidden="1">{#N/A,#N/A,FALSE,"CURRENT"}</definedName>
    <definedName name="delete" localSheetId="20" hidden="1">{#N/A,#N/A,FALSE,"CURRENT"}</definedName>
    <definedName name="delete" hidden="1">{#N/A,#N/A,FALSE,"CURRENT"}</definedName>
    <definedName name="dfghj" localSheetId="1" hidden="1">#REF!</definedName>
    <definedName name="dfghj" localSheetId="18" hidden="1">#REF!</definedName>
    <definedName name="dfghj" localSheetId="20" hidden="1">#REF!</definedName>
    <definedName name="dfghj" hidden="1">#REF!</definedName>
    <definedName name="dfjhdbfhdbf" localSheetId="1" hidden="1">#REF!</definedName>
    <definedName name="dfjhdbfhdbf" localSheetId="20" hidden="1">#REF!</definedName>
    <definedName name="dfjhdbfhdbf" hidden="1">#REF!</definedName>
    <definedName name="dfl" localSheetId="1" hidden="1">#REF!</definedName>
    <definedName name="dfl" localSheetId="20" hidden="1">#REF!</definedName>
    <definedName name="dfl" hidden="1">#REF!</definedName>
    <definedName name="dfsdfsdfsdf" localSheetId="1" hidden="1">#REF!</definedName>
    <definedName name="dfsdfsdfsdf" localSheetId="13" hidden="1">'[32]COST OF SERVICE'!#REF!</definedName>
    <definedName name="dfsdfsdfsdf" localSheetId="18" hidden="1">'[33]COST OF SERVICE'!#REF!</definedName>
    <definedName name="dfsdfsdfsdf" localSheetId="20" hidden="1">#REF!</definedName>
    <definedName name="dfsdfsdfsdf" hidden="1">#REF!</definedName>
    <definedName name="dggfgdgdg" localSheetId="1" hidden="1">{#N/A,#N/A,FALSE,"RORMEMO";#N/A,#N/A,FALSE,"RORSUMMARY";#N/A,#N/A,FALSE,"RORDETAIL"}</definedName>
    <definedName name="dggfgdgdg" localSheetId="13" hidden="1">{#N/A,#N/A,FALSE,"RORMEMO";#N/A,#N/A,FALSE,"RORSUMMARY";#N/A,#N/A,FALSE,"RORDETAIL"}</definedName>
    <definedName name="dggfgdgdg" localSheetId="18" hidden="1">{#N/A,#N/A,FALSE,"RORMEMO";#N/A,#N/A,FALSE,"RORSUMMARY";#N/A,#N/A,FALSE,"RORDETAIL"}</definedName>
    <definedName name="dggfgdgdg" localSheetId="20" hidden="1">{#N/A,#N/A,FALSE,"RORMEMO";#N/A,#N/A,FALSE,"RORSUMMARY";#N/A,#N/A,FALSE,"RORDETAIL"}</definedName>
    <definedName name="dggfgdgdg" hidden="1">{#N/A,#N/A,FALSE,"RORMEMO";#N/A,#N/A,FALSE,"RORSUMMARY";#N/A,#N/A,FALSE,"RORDETAIL"}</definedName>
    <definedName name="Discount" localSheetId="13" hidden="1">'[2]Chart Data'!$O$30:$O$226</definedName>
    <definedName name="Discount" localSheetId="18" hidden="1">'[2]Chart Data'!$O$30:$O$226</definedName>
    <definedName name="Discount" hidden="1">#REF!</definedName>
    <definedName name="discount2" localSheetId="13" hidden="1">'[2]Chart Data'!$C$30:$C$233</definedName>
    <definedName name="discount2" localSheetId="18" hidden="1">'[2]Chart Data'!$C$30:$C$233</definedName>
    <definedName name="discount2" hidden="1">#REF!</definedName>
    <definedName name="distr" localSheetId="1" hidden="1">{"wp_h4.2",#N/A,FALSE,"WP_H4.2";"wp_h4.3",#N/A,FALSE,"WP_H4.3"}</definedName>
    <definedName name="distr" localSheetId="13" hidden="1">{"wp_h4.2",#N/A,FALSE,"WP_H4.2";"wp_h4.3",#N/A,FALSE,"WP_H4.3"}</definedName>
    <definedName name="distr" localSheetId="18" hidden="1">{"wp_h4.2",#N/A,FALSE,"WP_H4.2";"wp_h4.3",#N/A,FALSE,"WP_H4.3"}</definedName>
    <definedName name="distr" localSheetId="20" hidden="1">{"wp_h4.2",#N/A,FALSE,"WP_H4.2";"wp_h4.3",#N/A,FALSE,"WP_H4.3"}</definedName>
    <definedName name="distr" hidden="1">{"wp_h4.2",#N/A,FALSE,"WP_H4.2";"wp_h4.3",#N/A,FALSE,"WP_H4.3"}</definedName>
    <definedName name="distr_1" localSheetId="1" hidden="1">{"wp_h4.2",#N/A,FALSE,"WP_H4.2";"wp_h4.3",#N/A,FALSE,"WP_H4.3"}</definedName>
    <definedName name="distr_1" localSheetId="13" hidden="1">{"wp_h4.2",#N/A,FALSE,"WP_H4.2";"wp_h4.3",#N/A,FALSE,"WP_H4.3"}</definedName>
    <definedName name="distr_1" localSheetId="18" hidden="1">{"wp_h4.2",#N/A,FALSE,"WP_H4.2";"wp_h4.3",#N/A,FALSE,"WP_H4.3"}</definedName>
    <definedName name="distr_1" localSheetId="20" hidden="1">{"wp_h4.2",#N/A,FALSE,"WP_H4.2";"wp_h4.3",#N/A,FALSE,"WP_H4.3"}</definedName>
    <definedName name="distr_1" hidden="1">{"wp_h4.2",#N/A,FALSE,"WP_H4.2";"wp_h4.3",#N/A,FALSE,"WP_H4.3"}</definedName>
    <definedName name="distr_2" localSheetId="1" hidden="1">{"wp_h4.2",#N/A,FALSE,"WP_H4.2";"wp_h4.3",#N/A,FALSE,"WP_H4.3"}</definedName>
    <definedName name="distr_2" localSheetId="13" hidden="1">{"wp_h4.2",#N/A,FALSE,"WP_H4.2";"wp_h4.3",#N/A,FALSE,"WP_H4.3"}</definedName>
    <definedName name="distr_2" localSheetId="18" hidden="1">{"wp_h4.2",#N/A,FALSE,"WP_H4.2";"wp_h4.3",#N/A,FALSE,"WP_H4.3"}</definedName>
    <definedName name="distr_2" localSheetId="20" hidden="1">{"wp_h4.2",#N/A,FALSE,"WP_H4.2";"wp_h4.3",#N/A,FALSE,"WP_H4.3"}</definedName>
    <definedName name="distr_2" hidden="1">{"wp_h4.2",#N/A,FALSE,"WP_H4.2";"wp_h4.3",#N/A,FALSE,"WP_H4.3"}</definedName>
    <definedName name="dkfdkd" localSheetId="1" hidden="1">#REF!</definedName>
    <definedName name="dkfdkd" localSheetId="20" hidden="1">#REF!</definedName>
    <definedName name="dkfdkd" hidden="1">#REF!</definedName>
    <definedName name="dle" localSheetId="1" hidden="1">#REF!</definedName>
    <definedName name="dle" localSheetId="20" hidden="1">#REF!</definedName>
    <definedName name="dle" hidden="1">#REF!</definedName>
    <definedName name="dp" localSheetId="1" hidden="1">#REF!</definedName>
    <definedName name="dp" localSheetId="18" hidden="1">#REF!</definedName>
    <definedName name="dp" localSheetId="20" hidden="1">#REF!</definedName>
    <definedName name="dp" hidden="1">#REF!</definedName>
    <definedName name="dsac" localSheetId="1" hidden="1">#REF!</definedName>
    <definedName name="dsac" localSheetId="20" hidden="1">#REF!</definedName>
    <definedName name="dsac" hidden="1">#REF!</definedName>
    <definedName name="dslakfjk" localSheetId="1" hidden="1">#REF!</definedName>
    <definedName name="dslakfjk" localSheetId="18" hidden="1">#REF!</definedName>
    <definedName name="dslakfjk" localSheetId="20" hidden="1">#REF!</definedName>
    <definedName name="dslakfjk" hidden="1">#REF!</definedName>
    <definedName name="dsld" localSheetId="1" hidden="1">#REF!</definedName>
    <definedName name="dsld" localSheetId="20" hidden="1">#REF!</definedName>
    <definedName name="dsld" hidden="1">#REF!</definedName>
    <definedName name="dud" localSheetId="1" hidden="1">{#N/A,#N/A,TRUE,"1990";#N/A,#N/A,TRUE,"1991";#N/A,#N/A,TRUE,"1992";#N/A,#N/A,TRUE,"1993"}</definedName>
    <definedName name="dud" localSheetId="13" hidden="1">{#N/A,#N/A,TRUE,"1990";#N/A,#N/A,TRUE,"1991";#N/A,#N/A,TRUE,"1992";#N/A,#N/A,TRUE,"1993"}</definedName>
    <definedName name="dud" localSheetId="18" hidden="1">{#N/A,#N/A,TRUE,"1990";#N/A,#N/A,TRUE,"1991";#N/A,#N/A,TRUE,"1992";#N/A,#N/A,TRUE,"1993"}</definedName>
    <definedName name="dud" localSheetId="20" hidden="1">{#N/A,#N/A,TRUE,"1990";#N/A,#N/A,TRUE,"1991";#N/A,#N/A,TRUE,"1992";#N/A,#N/A,TRUE,"1993"}</definedName>
    <definedName name="dud" hidden="1">{#N/A,#N/A,TRUE,"1990";#N/A,#N/A,TRUE,"1991";#N/A,#N/A,TRUE,"1992";#N/A,#N/A,TRUE,"1993"}</definedName>
    <definedName name="e" localSheetId="1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" localSheetId="13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" localSheetId="18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" localSheetId="2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localSheetId="1" hidden="1">#REF!</definedName>
    <definedName name="ecao" localSheetId="18" hidden="1">#REF!</definedName>
    <definedName name="ecao" localSheetId="20" hidden="1">#REF!</definedName>
    <definedName name="ecao" hidden="1">#REF!</definedName>
    <definedName name="ecsaop" localSheetId="1" hidden="1">#REF!</definedName>
    <definedName name="ecsaop" localSheetId="18" hidden="1">#REF!</definedName>
    <definedName name="ecsaop" localSheetId="20" hidden="1">#REF!</definedName>
    <definedName name="ecsaop" hidden="1">#REF!</definedName>
    <definedName name="edd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" localSheetId="13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" localSheetId="18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" localSheetId="20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localSheetId="13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localSheetId="18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localSheetId="20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f" localSheetId="1" hidden="1">{#N/A,"Anonymous",FALSE,"30 30k Table";#N/A,#N/A,FALSE,"30 50k Table";#N/A,#N/A,FALSE,"40 100k Table"}</definedName>
    <definedName name="edf" localSheetId="13" hidden="1">{#N/A,"Anonymous",FALSE,"30 30k Table";#N/A,#N/A,FALSE,"30 50k Table";#N/A,#N/A,FALSE,"40 100k Table"}</definedName>
    <definedName name="edf" localSheetId="18" hidden="1">{#N/A,"Anonymous",FALSE,"30 30k Table";#N/A,#N/A,FALSE,"30 50k Table";#N/A,#N/A,FALSE,"40 100k Table"}</definedName>
    <definedName name="edf" localSheetId="20" hidden="1">{#N/A,"Anonymous",FALSE,"30 30k Table";#N/A,#N/A,FALSE,"30 50k Table";#N/A,#N/A,FALSE,"40 100k Table"}</definedName>
    <definedName name="edf" hidden="1">{#N/A,"Anonymous",FALSE,"30 30k Table";#N/A,#N/A,FALSE,"30 50k Table";#N/A,#N/A,FALSE,"40 100k Table"}</definedName>
    <definedName name="EEEE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1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1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1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1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2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2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2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2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ntityComboCacheDate" hidden="1">39099</definedName>
    <definedName name="EntityComboCacheTestDate" hidden="1">39099</definedName>
    <definedName name="eq" localSheetId="1" hidden="1">#REF!</definedName>
    <definedName name="eq" localSheetId="20" hidden="1">#REF!</definedName>
    <definedName name="eq" hidden="1">#REF!</definedName>
    <definedName name="er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localSheetId="1" hidden="1">{"print2",#N/A,FALSE,"D21CUSTS"}</definedName>
    <definedName name="ergfdgeg" localSheetId="13" hidden="1">{"print2",#N/A,FALSE,"D21CUSTS"}</definedName>
    <definedName name="ergfdgeg" localSheetId="18" hidden="1">{"print2",#N/A,FALSE,"D21CUSTS"}</definedName>
    <definedName name="ergfdgeg" localSheetId="20" hidden="1">{"print2",#N/A,FALSE,"D21CUSTS"}</definedName>
    <definedName name="ergfdgeg" hidden="1">{"print2",#N/A,FALSE,"D21CUSTS"}</definedName>
    <definedName name="ert" localSheetId="1" hidden="1">#REF!</definedName>
    <definedName name="ert" localSheetId="18" hidden="1">#REF!</definedName>
    <definedName name="ert" localSheetId="20" hidden="1">#REF!</definedName>
    <definedName name="ert" hidden="1">#REF!</definedName>
    <definedName name="ertertertet" localSheetId="1" hidden="1">{#N/A,#N/A,FALSE,"GLDwnLoad"}</definedName>
    <definedName name="ertertertet" localSheetId="13" hidden="1">{#N/A,#N/A,FALSE,"GLDwnLoad"}</definedName>
    <definedName name="ertertertet" localSheetId="18" hidden="1">{#N/A,#N/A,FALSE,"GLDwnLoad"}</definedName>
    <definedName name="ertertertet" localSheetId="20" hidden="1">{#N/A,#N/A,FALSE,"GLDwnLoad"}</definedName>
    <definedName name="ertertertet" hidden="1">{#N/A,#N/A,FALSE,"GLDwnLoad"}</definedName>
    <definedName name="ertyu" localSheetId="1" hidden="1">#REF!</definedName>
    <definedName name="ertyu" localSheetId="18" hidden="1">#REF!</definedName>
    <definedName name="ertyu" localSheetId="20" hidden="1">#REF!</definedName>
    <definedName name="ertyu" hidden="1">#REF!</definedName>
    <definedName name="etertretee" localSheetId="1" hidden="1">{#N/A,#N/A,FALSE,"GLDwnLoad"}</definedName>
    <definedName name="etertretee" localSheetId="13" hidden="1">{#N/A,#N/A,FALSE,"GLDwnLoad"}</definedName>
    <definedName name="etertretee" localSheetId="18" hidden="1">{#N/A,#N/A,FALSE,"GLDwnLoad"}</definedName>
    <definedName name="etertretee" localSheetId="20" hidden="1">{#N/A,#N/A,FALSE,"GLDwnLoad"}</definedName>
    <definedName name="etertretee" hidden="1">{#N/A,#N/A,FALSE,"GLDwnLoad"}</definedName>
    <definedName name="etretete" localSheetId="1" hidden="1">{"print3",#N/A,FALSE,"D21CUSTS"}</definedName>
    <definedName name="etretete" localSheetId="13" hidden="1">{"print3",#N/A,FALSE,"D21CUSTS"}</definedName>
    <definedName name="etretete" localSheetId="18" hidden="1">{"print3",#N/A,FALSE,"D21CUSTS"}</definedName>
    <definedName name="etretete" localSheetId="20" hidden="1">{"print3",#N/A,FALSE,"D21CUSTS"}</definedName>
    <definedName name="etretete" hidden="1">{"print3",#N/A,FALSE,"D21CUSTS"}</definedName>
    <definedName name="etretrtehdhe" localSheetId="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13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18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2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localSheetId="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13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18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2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1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18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localSheetId="1" hidden="1">{#N/A,#N/A,FALSE,"OTHERINPUTS";#N/A,#N/A,FALSE,"DITRATEINPUTS";#N/A,#N/A,FALSE,"SUPPLIEDADJINPUT";#N/A,#N/A,FALSE,"TIMINGDIFFINPUTS";#N/A,#N/A,FALSE,"COSSINPUT";#N/A,#N/A,FALSE,"BR&amp;SUPADJ."}</definedName>
    <definedName name="etrtertet" localSheetId="13" hidden="1">{#N/A,#N/A,FALSE,"OTHERINPUTS";#N/A,#N/A,FALSE,"DITRATEINPUTS";#N/A,#N/A,FALSE,"SUPPLIEDADJINPUT";#N/A,#N/A,FALSE,"TIMINGDIFFINPUTS";#N/A,#N/A,FALSE,"COSSINPUT";#N/A,#N/A,FALSE,"BR&amp;SUPADJ."}</definedName>
    <definedName name="etrtertet" localSheetId="18" hidden="1">{#N/A,#N/A,FALSE,"OTHERINPUTS";#N/A,#N/A,FALSE,"DITRATEINPUTS";#N/A,#N/A,FALSE,"SUPPLIEDADJINPUT";#N/A,#N/A,FALSE,"TIMINGDIFFINPUTS";#N/A,#N/A,FALSE,"COSSINPUT";#N/A,#N/A,FALSE,"BR&amp;SUPADJ."}</definedName>
    <definedName name="etrtertet" localSheetId="20" hidden="1">{#N/A,#N/A,FALSE,"OTHERINPUTS";#N/A,#N/A,FALSE,"DITRATEINPUTS";#N/A,#N/A,FALSE,"SUPPLIEDADJINPUT";#N/A,#N/A,FALSE,"TIMINGDIFFINPUTS";#N/A,#N/A,FALSE,"COSSINPUT";#N/A,#N/A,FALSE,"BR&amp;SUPADJ."}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localSheetId="1" hidden="1">{#N/A,#N/A,FALSE,"OTHERINPUTS";#N/A,#N/A,FALSE,"SUPPLIEDADJINPUT";#N/A,#N/A,FALSE,"BR&amp;SUPADJ."}</definedName>
    <definedName name="etrtete" localSheetId="13" hidden="1">{#N/A,#N/A,FALSE,"OTHERINPUTS";#N/A,#N/A,FALSE,"SUPPLIEDADJINPUT";#N/A,#N/A,FALSE,"BR&amp;SUPADJ."}</definedName>
    <definedName name="etrtete" localSheetId="18" hidden="1">{#N/A,#N/A,FALSE,"OTHERINPUTS";#N/A,#N/A,FALSE,"SUPPLIEDADJINPUT";#N/A,#N/A,FALSE,"BR&amp;SUPADJ."}</definedName>
    <definedName name="etrtete" localSheetId="20" hidden="1">{#N/A,#N/A,FALSE,"OTHERINPUTS";#N/A,#N/A,FALSE,"SUPPLIEDADJINPUT";#N/A,#N/A,FALSE,"BR&amp;SUPADJ."}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localSheetId="1" hidden="1">#REF!</definedName>
    <definedName name="ewqwe" localSheetId="18" hidden="1">#REF!</definedName>
    <definedName name="ewqwe" localSheetId="20" hidden="1">#REF!</definedName>
    <definedName name="ewqwe" hidden="1">#REF!</definedName>
    <definedName name="f" localSheetId="1" hidden="1">#REF!</definedName>
    <definedName name="f" localSheetId="20" hidden="1">#REF!</definedName>
    <definedName name="f" hidden="1">#REF!</definedName>
    <definedName name="fdafafdfdafdfafds" localSheetId="13" hidden="1">'[2]Chart Data'!$I$30:$I$228</definedName>
    <definedName name="fdafafdfdafdfafds" localSheetId="18" hidden="1">'[2]Chart Data'!$I$30:$I$228</definedName>
    <definedName name="fdafafdfdafdfafds" hidden="1">#REF!</definedName>
    <definedName name="fdv" localSheetId="1" hidden="1">#REF!</definedName>
    <definedName name="fdv" localSheetId="18" hidden="1">#REF!</definedName>
    <definedName name="fdv" localSheetId="20" hidden="1">#REF!</definedName>
    <definedName name="fdv" hidden="1">#REF!</definedName>
    <definedName name="fdv_1" localSheetId="1" hidden="1">{"quarterly",#N/A,FALSE,"Income Statement";#N/A,#N/A,FALSE,"print segment";#N/A,#N/A,FALSE,"Balance Sheet";#N/A,#N/A,FALSE,"Annl Inc";#N/A,#N/A,FALSE,"Cash Flow"}</definedName>
    <definedName name="fdv_1" localSheetId="13" hidden="1">{"quarterly",#N/A,FALSE,"Income Statement";#N/A,#N/A,FALSE,"print segment";#N/A,#N/A,FALSE,"Balance Sheet";#N/A,#N/A,FALSE,"Annl Inc";#N/A,#N/A,FALSE,"Cash Flow"}</definedName>
    <definedName name="fdv_1" localSheetId="18" hidden="1">{"quarterly",#N/A,FALSE,"Income Statement";#N/A,#N/A,FALSE,"print segment";#N/A,#N/A,FALSE,"Balance Sheet";#N/A,#N/A,FALSE,"Annl Inc";#N/A,#N/A,FALSE,"Cash Flow"}</definedName>
    <definedName name="fdv_1" localSheetId="20" hidden="1">{"quarterly",#N/A,FALSE,"Income Statement";#N/A,#N/A,FALSE,"print segment";#N/A,#N/A,FALSE,"Balance Sheet";#N/A,#N/A,FALSE,"Annl Inc";#N/A,#N/A,FALSE,"Cash Flow"}</definedName>
    <definedName name="fdv_1" hidden="1">{"quarterly",#N/A,FALSE,"Income Statement";#N/A,#N/A,FALSE,"print segment";#N/A,#N/A,FALSE,"Balance Sheet";#N/A,#N/A,FALSE,"Annl Inc";#N/A,#N/A,FALSE,"Cash Flow"}</definedName>
    <definedName name="fdv_1_1" localSheetId="1" hidden="1">{"quarterly",#N/A,FALSE,"Income Statement";#N/A,#N/A,FALSE,"print segment";#N/A,#N/A,FALSE,"Balance Sheet";#N/A,#N/A,FALSE,"Annl Inc";#N/A,#N/A,FALSE,"Cash Flow"}</definedName>
    <definedName name="fdv_1_1" localSheetId="13" hidden="1">{"quarterly",#N/A,FALSE,"Income Statement";#N/A,#N/A,FALSE,"print segment";#N/A,#N/A,FALSE,"Balance Sheet";#N/A,#N/A,FALSE,"Annl Inc";#N/A,#N/A,FALSE,"Cash Flow"}</definedName>
    <definedName name="fdv_1_1" localSheetId="18" hidden="1">{"quarterly",#N/A,FALSE,"Income Statement";#N/A,#N/A,FALSE,"print segment";#N/A,#N/A,FALSE,"Balance Sheet";#N/A,#N/A,FALSE,"Annl Inc";#N/A,#N/A,FALSE,"Cash Flow"}</definedName>
    <definedName name="fdv_1_1" localSheetId="20" hidden="1">{"quarterly",#N/A,FALSE,"Income Statement";#N/A,#N/A,FALSE,"print segment";#N/A,#N/A,FALSE,"Balance Sheet";#N/A,#N/A,FALSE,"Annl Inc";#N/A,#N/A,FALSE,"Cash Flow"}</definedName>
    <definedName name="fdv_1_1" hidden="1">{"quarterly",#N/A,FALSE,"Income Statement";#N/A,#N/A,FALSE,"print segment";#N/A,#N/A,FALSE,"Balance Sheet";#N/A,#N/A,FALSE,"Annl Inc";#N/A,#N/A,FALSE,"Cash Flow"}</definedName>
    <definedName name="fdv_1_2" localSheetId="1" hidden="1">{"quarterly",#N/A,FALSE,"Income Statement";#N/A,#N/A,FALSE,"print segment";#N/A,#N/A,FALSE,"Balance Sheet";#N/A,#N/A,FALSE,"Annl Inc";#N/A,#N/A,FALSE,"Cash Flow"}</definedName>
    <definedName name="fdv_1_2" localSheetId="13" hidden="1">{"quarterly",#N/A,FALSE,"Income Statement";#N/A,#N/A,FALSE,"print segment";#N/A,#N/A,FALSE,"Balance Sheet";#N/A,#N/A,FALSE,"Annl Inc";#N/A,#N/A,FALSE,"Cash Flow"}</definedName>
    <definedName name="fdv_1_2" localSheetId="18" hidden="1">{"quarterly",#N/A,FALSE,"Income Statement";#N/A,#N/A,FALSE,"print segment";#N/A,#N/A,FALSE,"Balance Sheet";#N/A,#N/A,FALSE,"Annl Inc";#N/A,#N/A,FALSE,"Cash Flow"}</definedName>
    <definedName name="fdv_1_2" localSheetId="20" hidden="1">{"quarterly",#N/A,FALSE,"Income Statement";#N/A,#N/A,FALSE,"print segment";#N/A,#N/A,FALSE,"Balance Sheet";#N/A,#N/A,FALSE,"Annl Inc";#N/A,#N/A,FALSE,"Cash Flow"}</definedName>
    <definedName name="fdv_1_2" hidden="1">{"quarterly",#N/A,FALSE,"Income Statement";#N/A,#N/A,FALSE,"print segment";#N/A,#N/A,FALSE,"Balance Sheet";#N/A,#N/A,FALSE,"Annl Inc";#N/A,#N/A,FALSE,"Cash Flow"}</definedName>
    <definedName name="fdv_2" localSheetId="1" hidden="1">{"quarterly",#N/A,FALSE,"Income Statement";#N/A,#N/A,FALSE,"print segment";#N/A,#N/A,FALSE,"Balance Sheet";#N/A,#N/A,FALSE,"Annl Inc";#N/A,#N/A,FALSE,"Cash Flow"}</definedName>
    <definedName name="fdv_2" localSheetId="13" hidden="1">{"quarterly",#N/A,FALSE,"Income Statement";#N/A,#N/A,FALSE,"print segment";#N/A,#N/A,FALSE,"Balance Sheet";#N/A,#N/A,FALSE,"Annl Inc";#N/A,#N/A,FALSE,"Cash Flow"}</definedName>
    <definedName name="fdv_2" localSheetId="18" hidden="1">{"quarterly",#N/A,FALSE,"Income Statement";#N/A,#N/A,FALSE,"print segment";#N/A,#N/A,FALSE,"Balance Sheet";#N/A,#N/A,FALSE,"Annl Inc";#N/A,#N/A,FALSE,"Cash Flow"}</definedName>
    <definedName name="fdv_2" localSheetId="20" hidden="1">{"quarterly",#N/A,FALSE,"Income Statement";#N/A,#N/A,FALSE,"print segment";#N/A,#N/A,FALSE,"Balance Sheet";#N/A,#N/A,FALSE,"Annl Inc";#N/A,#N/A,FALSE,"Cash Flow"}</definedName>
    <definedName name="fdv_2" hidden="1">{"quarterly",#N/A,FALSE,"Income Statement";#N/A,#N/A,FALSE,"print segment";#N/A,#N/A,FALSE,"Balance Sheet";#N/A,#N/A,FALSE,"Annl Inc";#N/A,#N/A,FALSE,"Cash Flow"}</definedName>
    <definedName name="fdv_3" localSheetId="1" hidden="1">{"quarterly",#N/A,FALSE,"Income Statement";#N/A,#N/A,FALSE,"print segment";#N/A,#N/A,FALSE,"Balance Sheet";#N/A,#N/A,FALSE,"Annl Inc";#N/A,#N/A,FALSE,"Cash Flow"}</definedName>
    <definedName name="fdv_3" localSheetId="13" hidden="1">{"quarterly",#N/A,FALSE,"Income Statement";#N/A,#N/A,FALSE,"print segment";#N/A,#N/A,FALSE,"Balance Sheet";#N/A,#N/A,FALSE,"Annl Inc";#N/A,#N/A,FALSE,"Cash Flow"}</definedName>
    <definedName name="fdv_3" localSheetId="18" hidden="1">{"quarterly",#N/A,FALSE,"Income Statement";#N/A,#N/A,FALSE,"print segment";#N/A,#N/A,FALSE,"Balance Sheet";#N/A,#N/A,FALSE,"Annl Inc";#N/A,#N/A,FALSE,"Cash Flow"}</definedName>
    <definedName name="fdv_3" localSheetId="20" hidden="1">{"quarterly",#N/A,FALSE,"Income Statement";#N/A,#N/A,FALSE,"print segment";#N/A,#N/A,FALSE,"Balance Sheet";#N/A,#N/A,FALSE,"Annl Inc";#N/A,#N/A,FALSE,"Cash Flow"}</definedName>
    <definedName name="fdv_3" hidden="1">{"quarterly",#N/A,FALSE,"Income Statement";#N/A,#N/A,FALSE,"print segment";#N/A,#N/A,FALSE,"Balance Sheet";#N/A,#N/A,FALSE,"Annl Inc";#N/A,#N/A,FALSE,"Cash Flow"}</definedName>
    <definedName name="ff" localSheetId="1" hidden="1">#REF!</definedName>
    <definedName name="ff" localSheetId="18" hidden="1">#REF!</definedName>
    <definedName name="ff" localSheetId="20" hidden="1">#REF!</definedName>
    <definedName name="ff" hidden="1">#REF!</definedName>
    <definedName name="fff" localSheetId="1" hidden="1">#REF!</definedName>
    <definedName name="fff" localSheetId="20" hidden="1">#REF!</definedName>
    <definedName name="fff" hidden="1">#REF!</definedName>
    <definedName name="fff\\\\" localSheetId="1" hidden="1">#REF!</definedName>
    <definedName name="fff\\\\" localSheetId="13" hidden="1">'[25]2010 Shares Budget'!#REF!</definedName>
    <definedName name="fff\\\\" localSheetId="18" hidden="1">'[25]2010 Shares Budget'!#REF!</definedName>
    <definedName name="fff\\\\" localSheetId="20" hidden="1">#REF!</definedName>
    <definedName name="fff\\\\" hidden="1">#REF!</definedName>
    <definedName name="fffff" localSheetId="1" hidden="1">#REF!</definedName>
    <definedName name="fffff" localSheetId="20" hidden="1">#REF!</definedName>
    <definedName name="fffff" hidden="1">#REF!</definedName>
    <definedName name="ffffff" localSheetId="1" hidden="1">#REF!</definedName>
    <definedName name="ffffff" localSheetId="20" hidden="1">#REF!</definedName>
    <definedName name="ffffff" hidden="1">#REF!</definedName>
    <definedName name="fffffffffffffffffffff" localSheetId="1" hidden="1">#REF!</definedName>
    <definedName name="fffffffffffffffffffff" localSheetId="20" hidden="1">#REF!</definedName>
    <definedName name="fffffffffffffffffffff" hidden="1">#REF!</definedName>
    <definedName name="ffggfgfgf" localSheetId="1" hidden="1">{#N/A,#N/A,FALSE,"SCA";#N/A,#N/A,FALSE,"NCA";#N/A,#N/A,FALSE,"SAZ";#N/A,#N/A,FALSE,"CAZ";#N/A,#N/A,FALSE,"SNV";#N/A,#N/A,FALSE,"NNV";#N/A,#N/A,FALSE,"PP";#N/A,#N/A,FALSE,"SA"}</definedName>
    <definedName name="ffggfgfgf" localSheetId="13" hidden="1">{#N/A,#N/A,FALSE,"SCA";#N/A,#N/A,FALSE,"NCA";#N/A,#N/A,FALSE,"SAZ";#N/A,#N/A,FALSE,"CAZ";#N/A,#N/A,FALSE,"SNV";#N/A,#N/A,FALSE,"NNV";#N/A,#N/A,FALSE,"PP";#N/A,#N/A,FALSE,"SA"}</definedName>
    <definedName name="ffggfgfgf" localSheetId="18" hidden="1">{#N/A,#N/A,FALSE,"SCA";#N/A,#N/A,FALSE,"NCA";#N/A,#N/A,FALSE,"SAZ";#N/A,#N/A,FALSE,"CAZ";#N/A,#N/A,FALSE,"SNV";#N/A,#N/A,FALSE,"NNV";#N/A,#N/A,FALSE,"PP";#N/A,#N/A,FALSE,"SA"}</definedName>
    <definedName name="ffggfgfgf" localSheetId="20" hidden="1">{#N/A,#N/A,FALSE,"SCA";#N/A,#N/A,FALSE,"NCA";#N/A,#N/A,FALSE,"SAZ";#N/A,#N/A,FALSE,"CAZ";#N/A,#N/A,FALSE,"SNV";#N/A,#N/A,FALSE,"NNV";#N/A,#N/A,FALSE,"PP";#N/A,#N/A,FALSE,"SA"}</definedName>
    <definedName name="ffggfgfgf" hidden="1">{#N/A,#N/A,FALSE,"SCA";#N/A,#N/A,FALSE,"NCA";#N/A,#N/A,FALSE,"SAZ";#N/A,#N/A,FALSE,"CAZ";#N/A,#N/A,FALSE,"SNV";#N/A,#N/A,FALSE,"NNV";#N/A,#N/A,FALSE,"PP";#N/A,#N/A,FALSE,"SA"}</definedName>
    <definedName name="ffkf" localSheetId="1" hidden="1">#REF!</definedName>
    <definedName name="ffkf" localSheetId="18" hidden="1">#REF!</definedName>
    <definedName name="ffkf" localSheetId="20" hidden="1">#REF!</definedName>
    <definedName name="ffkf" hidden="1">#REF!</definedName>
    <definedName name="fhjmyuu" localSheetId="1" hidden="1">{"print1",#N/A,FALSE,"D21CUSTS";"print2",#N/A,FALSE,"D21CUSTS";"print3",#N/A,FALSE,"D21CUSTS";"print4",#N/A,FALSE,"D21CUSTS"}</definedName>
    <definedName name="fhjmyuu" localSheetId="13" hidden="1">{"print1",#N/A,FALSE,"D21CUSTS";"print2",#N/A,FALSE,"D21CUSTS";"print3",#N/A,FALSE,"D21CUSTS";"print4",#N/A,FALSE,"D21CUSTS"}</definedName>
    <definedName name="fhjmyuu" localSheetId="18" hidden="1">{"print1",#N/A,FALSE,"D21CUSTS";"print2",#N/A,FALSE,"D21CUSTS";"print3",#N/A,FALSE,"D21CUSTS";"print4",#N/A,FALSE,"D21CUSTS"}</definedName>
    <definedName name="fhjmyuu" localSheetId="20" hidden="1">{"print1",#N/A,FALSE,"D21CUSTS";"print2",#N/A,FALSE,"D21CUSTS";"print3",#N/A,FALSE,"D21CUSTS";"print4",#N/A,FALSE,"D21CUSTS"}</definedName>
    <definedName name="fhjmyuu" hidden="1">{"print1",#N/A,FALSE,"D21CUSTS";"print2",#N/A,FALSE,"D21CUSTS";"print3",#N/A,FALSE,"D21CUSTS";"print4",#N/A,FALSE,"D21CUSTS"}</definedName>
    <definedName name="First.Conflict" localSheetId="1" hidden="1">{#N/A,#N/A,TRUE,"1 (2)";#N/A,#N/A,TRUE,"2";#N/A,#N/A,TRUE,"3"}</definedName>
    <definedName name="First.Conflict" localSheetId="13" hidden="1">{#N/A,#N/A,TRUE,"1 (2)";#N/A,#N/A,TRUE,"2";#N/A,#N/A,TRUE,"3"}</definedName>
    <definedName name="First.Conflict" localSheetId="18" hidden="1">{#N/A,#N/A,TRUE,"1 (2)";#N/A,#N/A,TRUE,"2";#N/A,#N/A,TRUE,"3"}</definedName>
    <definedName name="First.Conflict" localSheetId="20" hidden="1">{#N/A,#N/A,TRUE,"1 (2)";#N/A,#N/A,TRUE,"2";#N/A,#N/A,TRUE,"3"}</definedName>
    <definedName name="First.Conflict" hidden="1">{#N/A,#N/A,TRUE,"1 (2)";#N/A,#N/A,TRUE,"2";#N/A,#N/A,TRUE,"3"}</definedName>
    <definedName name="First.conflict2" localSheetId="1" hidden="1">{#N/A,#N/A,TRUE,"1 (2)";#N/A,#N/A,TRUE,"2";#N/A,#N/A,TRUE,"3"}</definedName>
    <definedName name="First.conflict2" localSheetId="13" hidden="1">{#N/A,#N/A,TRUE,"1 (2)";#N/A,#N/A,TRUE,"2";#N/A,#N/A,TRUE,"3"}</definedName>
    <definedName name="First.conflict2" localSheetId="18" hidden="1">{#N/A,#N/A,TRUE,"1 (2)";#N/A,#N/A,TRUE,"2";#N/A,#N/A,TRUE,"3"}</definedName>
    <definedName name="First.conflict2" localSheetId="20" hidden="1">{#N/A,#N/A,TRUE,"1 (2)";#N/A,#N/A,TRUE,"2";#N/A,#N/A,TRUE,"3"}</definedName>
    <definedName name="First.conflict2" hidden="1">{#N/A,#N/A,TRUE,"1 (2)";#N/A,#N/A,TRUE,"2";#N/A,#N/A,TRUE,"3"}</definedName>
    <definedName name="First.Conflict2006" localSheetId="1" hidden="1">{#N/A,#N/A,TRUE,"1 (2)";#N/A,#N/A,TRUE,"2";#N/A,#N/A,TRUE,"3"}</definedName>
    <definedName name="First.Conflict2006" localSheetId="13" hidden="1">{#N/A,#N/A,TRUE,"1 (2)";#N/A,#N/A,TRUE,"2";#N/A,#N/A,TRUE,"3"}</definedName>
    <definedName name="First.Conflict2006" localSheetId="18" hidden="1">{#N/A,#N/A,TRUE,"1 (2)";#N/A,#N/A,TRUE,"2";#N/A,#N/A,TRUE,"3"}</definedName>
    <definedName name="First.Conflict2006" localSheetId="20" hidden="1">{#N/A,#N/A,TRUE,"1 (2)";#N/A,#N/A,TRUE,"2";#N/A,#N/A,TRUE,"3"}</definedName>
    <definedName name="First.Conflict2006" hidden="1">{#N/A,#N/A,TRUE,"1 (2)";#N/A,#N/A,TRUE,"2";#N/A,#N/A,TRUE,"3"}</definedName>
    <definedName name="fkfkf" localSheetId="1" hidden="1">#REF!</definedName>
    <definedName name="fkfkf" localSheetId="18" hidden="1">#REF!</definedName>
    <definedName name="fkfkf" localSheetId="20" hidden="1">#REF!</definedName>
    <definedName name="fkfkf" hidden="1">#REF!</definedName>
    <definedName name="fpfl" localSheetId="1" hidden="1">#REF!</definedName>
    <definedName name="fpfl" localSheetId="20" hidden="1">#REF!</definedName>
    <definedName name="fpfl" hidden="1">#REF!</definedName>
    <definedName name="fuckioff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localSheetId="1" hidden="1">{#N/A,#N/A,FALSE,"AltFuel"}</definedName>
    <definedName name="FuelCycle" localSheetId="13" hidden="1">{#N/A,#N/A,FALSE,"AltFuel"}</definedName>
    <definedName name="FuelCycle" localSheetId="18" hidden="1">{#N/A,#N/A,FALSE,"AltFuel"}</definedName>
    <definedName name="FuelCycle" localSheetId="20" hidden="1">{#N/A,#N/A,FALSE,"AltFuel"}</definedName>
    <definedName name="FuelCycle" hidden="1">{#N/A,#N/A,FALSE,"AltFuel"}</definedName>
    <definedName name="FuelCycle_1" localSheetId="1" hidden="1">{#N/A,#N/A,FALSE,"AltFuel"}</definedName>
    <definedName name="FuelCycle_1" localSheetId="13" hidden="1">{#N/A,#N/A,FALSE,"AltFuel"}</definedName>
    <definedName name="FuelCycle_1" localSheetId="18" hidden="1">{#N/A,#N/A,FALSE,"AltFuel"}</definedName>
    <definedName name="FuelCycle_1" localSheetId="20" hidden="1">{#N/A,#N/A,FALSE,"AltFuel"}</definedName>
    <definedName name="FuelCycle_1" hidden="1">{#N/A,#N/A,FALSE,"AltFuel"}</definedName>
    <definedName name="FuelCycle_1_1" localSheetId="1" hidden="1">{#N/A,#N/A,FALSE,"AltFuel"}</definedName>
    <definedName name="FuelCycle_1_1" localSheetId="13" hidden="1">{#N/A,#N/A,FALSE,"AltFuel"}</definedName>
    <definedName name="FuelCycle_1_1" localSheetId="18" hidden="1">{#N/A,#N/A,FALSE,"AltFuel"}</definedName>
    <definedName name="FuelCycle_1_1" localSheetId="20" hidden="1">{#N/A,#N/A,FALSE,"AltFuel"}</definedName>
    <definedName name="FuelCycle_1_1" hidden="1">{#N/A,#N/A,FALSE,"AltFuel"}</definedName>
    <definedName name="FuelCycle_1_2" localSheetId="1" hidden="1">{#N/A,#N/A,FALSE,"AltFuel"}</definedName>
    <definedName name="FuelCycle_1_2" localSheetId="13" hidden="1">{#N/A,#N/A,FALSE,"AltFuel"}</definedName>
    <definedName name="FuelCycle_1_2" localSheetId="18" hidden="1">{#N/A,#N/A,FALSE,"AltFuel"}</definedName>
    <definedName name="FuelCycle_1_2" localSheetId="20" hidden="1">{#N/A,#N/A,FALSE,"AltFuel"}</definedName>
    <definedName name="FuelCycle_1_2" hidden="1">{#N/A,#N/A,FALSE,"AltFuel"}</definedName>
    <definedName name="FuelCycle_2" localSheetId="1" hidden="1">{#N/A,#N/A,FALSE,"AltFuel"}</definedName>
    <definedName name="FuelCycle_2" localSheetId="13" hidden="1">{#N/A,#N/A,FALSE,"AltFuel"}</definedName>
    <definedName name="FuelCycle_2" localSheetId="18" hidden="1">{#N/A,#N/A,FALSE,"AltFuel"}</definedName>
    <definedName name="FuelCycle_2" localSheetId="20" hidden="1">{#N/A,#N/A,FALSE,"AltFuel"}</definedName>
    <definedName name="FuelCycle_2" hidden="1">{#N/A,#N/A,FALSE,"AltFuel"}</definedName>
    <definedName name="FuelCycle_3" localSheetId="1" hidden="1">{#N/A,#N/A,FALSE,"AltFuel"}</definedName>
    <definedName name="FuelCycle_3" localSheetId="13" hidden="1">{#N/A,#N/A,FALSE,"AltFuel"}</definedName>
    <definedName name="FuelCycle_3" localSheetId="18" hidden="1">{#N/A,#N/A,FALSE,"AltFuel"}</definedName>
    <definedName name="FuelCycle_3" localSheetId="20" hidden="1">{#N/A,#N/A,FALSE,"AltFuel"}</definedName>
    <definedName name="FuelCycle_3" hidden="1">{#N/A,#N/A,FALSE,"AltFuel"}</definedName>
    <definedName name="fvgbn" localSheetId="1" hidden="1">#REF!</definedName>
    <definedName name="fvgbn" localSheetId="20" hidden="1">#REF!</definedName>
    <definedName name="fvgbn" hidden="1">#REF!</definedName>
    <definedName name="g" localSheetId="1" hidden="1">{#N/A,#N/A,FALSE,"O&amp;M by processes";#N/A,#N/A,FALSE,"Elec Act vs Bud";#N/A,#N/A,FALSE,"G&amp;A";#N/A,#N/A,FALSE,"BGS";#N/A,#N/A,FALSE,"Res Cost"}</definedName>
    <definedName name="g" localSheetId="13" hidden="1">{#N/A,#N/A,FALSE,"O&amp;M by processes";#N/A,#N/A,FALSE,"Elec Act vs Bud";#N/A,#N/A,FALSE,"G&amp;A";#N/A,#N/A,FALSE,"BGS";#N/A,#N/A,FALSE,"Res Cost"}</definedName>
    <definedName name="g" localSheetId="18" hidden="1">{#N/A,#N/A,FALSE,"O&amp;M by processes";#N/A,#N/A,FALSE,"Elec Act vs Bud";#N/A,#N/A,FALSE,"G&amp;A";#N/A,#N/A,FALSE,"BGS";#N/A,#N/A,FALSE,"Res Cost"}</definedName>
    <definedName name="g" localSheetId="20" hidden="1">{#N/A,#N/A,FALSE,"O&amp;M by processes";#N/A,#N/A,FALSE,"Elec Act vs Bud";#N/A,#N/A,FALSE,"G&amp;A";#N/A,#N/A,FALSE,"BGS";#N/A,#N/A,FALSE,"Res Cost"}</definedName>
    <definedName name="g" hidden="1">{#N/A,#N/A,FALSE,"O&amp;M by processes";#N/A,#N/A,FALSE,"Elec Act vs Bud";#N/A,#N/A,FALSE,"G&amp;A";#N/A,#N/A,FALSE,"BGS";#N/A,#N/A,FALSE,"Res Cost"}</definedName>
    <definedName name="Gas.calc" localSheetId="1" hidden="1">{"ARK_JURIS_FAC",#N/A,FALSE,"Ark_Fuel&amp;Rev"}</definedName>
    <definedName name="Gas.calc" localSheetId="13" hidden="1">{"ARK_JURIS_FAC",#N/A,FALSE,"Ark_Fuel&amp;Rev"}</definedName>
    <definedName name="Gas.calc" localSheetId="18" hidden="1">{"ARK_JURIS_FAC",#N/A,FALSE,"Ark_Fuel&amp;Rev"}</definedName>
    <definedName name="Gas.calc" localSheetId="20" hidden="1">{"ARK_JURIS_FAC",#N/A,FALSE,"Ark_Fuel&amp;Rev"}</definedName>
    <definedName name="Gas.calc" hidden="1">{"ARK_JURIS_FAC",#N/A,FALSE,"Ark_Fuel&amp;Rev"}</definedName>
    <definedName name="Gas.calc_1" localSheetId="1" hidden="1">{"ARK_JURIS_FAC",#N/A,FALSE,"Ark_Fuel&amp;Rev"}</definedName>
    <definedName name="Gas.calc_1" localSheetId="13" hidden="1">{"ARK_JURIS_FAC",#N/A,FALSE,"Ark_Fuel&amp;Rev"}</definedName>
    <definedName name="Gas.calc_1" localSheetId="18" hidden="1">{"ARK_JURIS_FAC",#N/A,FALSE,"Ark_Fuel&amp;Rev"}</definedName>
    <definedName name="Gas.calc_1" localSheetId="20" hidden="1">{"ARK_JURIS_FAC",#N/A,FALSE,"Ark_Fuel&amp;Rev"}</definedName>
    <definedName name="Gas.calc_1" hidden="1">{"ARK_JURIS_FAC",#N/A,FALSE,"Ark_Fuel&amp;Rev"}</definedName>
    <definedName name="Gas.calc_2" localSheetId="1" hidden="1">{"ARK_JURIS_FAC",#N/A,FALSE,"Ark_Fuel&amp;Rev"}</definedName>
    <definedName name="Gas.calc_2" localSheetId="13" hidden="1">{"ARK_JURIS_FAC",#N/A,FALSE,"Ark_Fuel&amp;Rev"}</definedName>
    <definedName name="Gas.calc_2" localSheetId="18" hidden="1">{"ARK_JURIS_FAC",#N/A,FALSE,"Ark_Fuel&amp;Rev"}</definedName>
    <definedName name="Gas.calc_2" localSheetId="20" hidden="1">{"ARK_JURIS_FAC",#N/A,FALSE,"Ark_Fuel&amp;Rev"}</definedName>
    <definedName name="Gas.calc_2" hidden="1">{"ARK_JURIS_FAC",#N/A,FALSE,"Ark_Fuel&amp;Rev"}</definedName>
    <definedName name="gegerrtetetr" localSheetId="1" hidden="1">{#N/A,#N/A,FALSE,"GLDwnLoad"}</definedName>
    <definedName name="gegerrtetetr" localSheetId="13" hidden="1">{#N/A,#N/A,FALSE,"GLDwnLoad"}</definedName>
    <definedName name="gegerrtetetr" localSheetId="18" hidden="1">{#N/A,#N/A,FALSE,"GLDwnLoad"}</definedName>
    <definedName name="gegerrtetetr" localSheetId="20" hidden="1">{#N/A,#N/A,FALSE,"GLDwnLoad"}</definedName>
    <definedName name="gegerrtetetr" hidden="1">{#N/A,#N/A,FALSE,"GLDwnLoad"}</definedName>
    <definedName name="gfgfgf" localSheetId="1" hidden="1">{"pb",#N/A,FALSE,"Sheet3";"pd",#N/A,FALSE,"Sheet3";"pe",#N/A,FALSE,"Sheet3"}</definedName>
    <definedName name="gfgfgf" localSheetId="13" hidden="1">{"pb",#N/A,FALSE,"Sheet3";"pd",#N/A,FALSE,"Sheet3";"pe",#N/A,FALSE,"Sheet3"}</definedName>
    <definedName name="gfgfgf" localSheetId="18" hidden="1">{"pb",#N/A,FALSE,"Sheet3";"pd",#N/A,FALSE,"Sheet3";"pe",#N/A,FALSE,"Sheet3"}</definedName>
    <definedName name="gfgfgf" localSheetId="20" hidden="1">{"pb",#N/A,FALSE,"Sheet3";"pd",#N/A,FALSE,"Sheet3";"pe",#N/A,FALSE,"Sheet3"}</definedName>
    <definedName name="gfgfgf" hidden="1">{"pb",#N/A,FALSE,"Sheet3";"pd",#N/A,FALSE,"Sheet3";"pe",#N/A,FALSE,"Sheet3"}</definedName>
    <definedName name="gfhj" localSheetId="1" hidden="1">#REF!</definedName>
    <definedName name="gfhj" localSheetId="18" hidden="1">#REF!</definedName>
    <definedName name="gfhj" localSheetId="20" hidden="1">#REF!</definedName>
    <definedName name="gfhj" hidden="1">#REF!</definedName>
    <definedName name="gggggg" localSheetId="1" hidden="1">#REF!</definedName>
    <definedName name="gggggg" localSheetId="20" hidden="1">#REF!</definedName>
    <definedName name="gggggg" hidden="1">#REF!</definedName>
    <definedName name="ghjk" localSheetId="1" hidden="1">#REF!</definedName>
    <definedName name="ghjk" localSheetId="20" hidden="1">#REF!</definedName>
    <definedName name="ghjk" hidden="1">#REF!</definedName>
    <definedName name="gita" localSheetId="1" hidden="1">{#N/A,#N/A,FALSE,"O&amp;M by processes";#N/A,#N/A,FALSE,"Elec Act vs Bud";#N/A,#N/A,FALSE,"G&amp;A";#N/A,#N/A,FALSE,"BGS";#N/A,#N/A,FALSE,"Res Cost"}</definedName>
    <definedName name="gita" localSheetId="13" hidden="1">{#N/A,#N/A,FALSE,"O&amp;M by processes";#N/A,#N/A,FALSE,"Elec Act vs Bud";#N/A,#N/A,FALSE,"G&amp;A";#N/A,#N/A,FALSE,"BGS";#N/A,#N/A,FALSE,"Res Cost"}</definedName>
    <definedName name="gita" localSheetId="18" hidden="1">{#N/A,#N/A,FALSE,"O&amp;M by processes";#N/A,#N/A,FALSE,"Elec Act vs Bud";#N/A,#N/A,FALSE,"G&amp;A";#N/A,#N/A,FALSE,"BGS";#N/A,#N/A,FALSE,"Res Cost"}</definedName>
    <definedName name="gita" localSheetId="20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1" hidden="1">{#N/A,#N/A,FALSE,"O&amp;M by processes";#N/A,#N/A,FALSE,"Elec Act vs Bud";#N/A,#N/A,FALSE,"G&amp;A";#N/A,#N/A,FALSE,"BGS";#N/A,#N/A,FALSE,"Res Cost"}</definedName>
    <definedName name="gitah" localSheetId="13" hidden="1">{#N/A,#N/A,FALSE,"O&amp;M by processes";#N/A,#N/A,FALSE,"Elec Act vs Bud";#N/A,#N/A,FALSE,"G&amp;A";#N/A,#N/A,FALSE,"BGS";#N/A,#N/A,FALSE,"Res Cost"}</definedName>
    <definedName name="gitah" localSheetId="18" hidden="1">{#N/A,#N/A,FALSE,"O&amp;M by processes";#N/A,#N/A,FALSE,"Elec Act vs Bud";#N/A,#N/A,FALSE,"G&amp;A";#N/A,#N/A,FALSE,"BGS";#N/A,#N/A,FALSE,"Res Cost"}</definedName>
    <definedName name="gitah" localSheetId="20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localSheetId="1" hidden="1">{#N/A,#N/A,TRUE,"TAXPROV";#N/A,#N/A,TRUE,"FLOWTHRU";#N/A,#N/A,TRUE,"SCHEDULE M'S";#N/A,#N/A,TRUE,"PLANT M'S";#N/A,#N/A,TRUE,"TAXJE"}</definedName>
    <definedName name="goaway" localSheetId="13" hidden="1">{#N/A,#N/A,TRUE,"TAXPROV";#N/A,#N/A,TRUE,"FLOWTHRU";#N/A,#N/A,TRUE,"SCHEDULE M'S";#N/A,#N/A,TRUE,"PLANT M'S";#N/A,#N/A,TRUE,"TAXJE"}</definedName>
    <definedName name="goaway" localSheetId="18" hidden="1">{#N/A,#N/A,TRUE,"TAXPROV";#N/A,#N/A,TRUE,"FLOWTHRU";#N/A,#N/A,TRUE,"SCHEDULE M'S";#N/A,#N/A,TRUE,"PLANT M'S";#N/A,#N/A,TRUE,"TAXJE"}</definedName>
    <definedName name="goaway" localSheetId="20" hidden="1">{#N/A,#N/A,TRUE,"TAXPROV";#N/A,#N/A,TRUE,"FLOWTHRU";#N/A,#N/A,TRUE,"SCHEDULE M'S";#N/A,#N/A,TRUE,"PLANT M'S";#N/A,#N/A,TRUE,"TAXJE"}</definedName>
    <definedName name="goaway" hidden="1">{#N/A,#N/A,TRUE,"TAXPROV";#N/A,#N/A,TRUE,"FLOWTHRU";#N/A,#N/A,TRUE,"SCHEDULE M'S";#N/A,#N/A,TRUE,"PLANT M'S";#N/A,#N/A,TRUE,"TAXJE"}</definedName>
    <definedName name="got" localSheetId="1" hidden="1">#REF!</definedName>
    <definedName name="got" localSheetId="18" hidden="1">#REF!</definedName>
    <definedName name="got" localSheetId="20" hidden="1">#REF!</definedName>
    <definedName name="got" hidden="1">#REF!</definedName>
    <definedName name="haha" localSheetId="1" hidden="1">{"OMPA_FAC",#N/A,FALSE,"OMPA FAC"}</definedName>
    <definedName name="haha" localSheetId="13" hidden="1">{"OMPA_FAC",#N/A,FALSE,"OMPA FAC"}</definedName>
    <definedName name="haha" localSheetId="18" hidden="1">{"OMPA_FAC",#N/A,FALSE,"OMPA FAC"}</definedName>
    <definedName name="haha" localSheetId="20" hidden="1">{"OMPA_FAC",#N/A,FALSE,"OMPA FAC"}</definedName>
    <definedName name="haha" hidden="1">{"OMPA_FAC",#N/A,FALSE,"OMPA FAC"}</definedName>
    <definedName name="haha_1" localSheetId="1" hidden="1">{"OMPA_FAC",#N/A,FALSE,"OMPA FAC"}</definedName>
    <definedName name="haha_1" localSheetId="13" hidden="1">{"OMPA_FAC",#N/A,FALSE,"OMPA FAC"}</definedName>
    <definedName name="haha_1" localSheetId="18" hidden="1">{"OMPA_FAC",#N/A,FALSE,"OMPA FAC"}</definedName>
    <definedName name="haha_1" localSheetId="20" hidden="1">{"OMPA_FAC",#N/A,FALSE,"OMPA FAC"}</definedName>
    <definedName name="haha_1" hidden="1">{"OMPA_FAC",#N/A,FALSE,"OMPA FAC"}</definedName>
    <definedName name="haha_2" localSheetId="1" hidden="1">{"OMPA_FAC",#N/A,FALSE,"OMPA FAC"}</definedName>
    <definedName name="haha_2" localSheetId="13" hidden="1">{"OMPA_FAC",#N/A,FALSE,"OMPA FAC"}</definedName>
    <definedName name="haha_2" localSheetId="18" hidden="1">{"OMPA_FAC",#N/A,FALSE,"OMPA FAC"}</definedName>
    <definedName name="haha_2" localSheetId="20" hidden="1">{"OMPA_FAC",#N/A,FALSE,"OMPA FAC"}</definedName>
    <definedName name="haha_2" hidden="1">{"OMPA_FAC",#N/A,FALSE,"OMPA FAC"}</definedName>
    <definedName name="hhhdffg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1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18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2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localSheetId="1" hidden="1">#REF!</definedName>
    <definedName name="hhhhh" localSheetId="18" hidden="1">#REF!</definedName>
    <definedName name="hhhhh" localSheetId="20" hidden="1">#REF!</definedName>
    <definedName name="hhhhh" hidden="1">#REF!</definedName>
    <definedName name="HMMM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1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18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1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1" localSheetId="1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1" localSheetId="18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1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2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2" localSheetId="1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2" localSheetId="18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2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localSheetId="1" hidden="1">#REF!</definedName>
    <definedName name="hn._I006" localSheetId="18" hidden="1">#REF!</definedName>
    <definedName name="hn._I006" localSheetId="20" hidden="1">#REF!</definedName>
    <definedName name="hn._I006" hidden="1">#REF!</definedName>
    <definedName name="hn._I018" localSheetId="1" hidden="1">#REF!</definedName>
    <definedName name="hn._I018" localSheetId="20" hidden="1">#REF!</definedName>
    <definedName name="hn._I018" hidden="1">#REF!</definedName>
    <definedName name="hn._I024" localSheetId="1" hidden="1">#REF!</definedName>
    <definedName name="hn._I024" localSheetId="20" hidden="1">#REF!</definedName>
    <definedName name="hn._I024" hidden="1">#REF!</definedName>
    <definedName name="hn._I028" localSheetId="1" hidden="1">#REF!</definedName>
    <definedName name="hn._I028" localSheetId="20" hidden="1">#REF!</definedName>
    <definedName name="hn._I028" hidden="1">#REF!</definedName>
    <definedName name="hn._I029" localSheetId="1" hidden="1">#REF!</definedName>
    <definedName name="hn._I029" localSheetId="20" hidden="1">#REF!</definedName>
    <definedName name="hn._I029" hidden="1">#REF!</definedName>
    <definedName name="hn._I030" localSheetId="1" hidden="1">#REF!</definedName>
    <definedName name="hn._I030" localSheetId="20" hidden="1">#REF!</definedName>
    <definedName name="hn._I030" hidden="1">#REF!</definedName>
    <definedName name="hn._I031" localSheetId="1" hidden="1">#REF!</definedName>
    <definedName name="hn._I031" localSheetId="20" hidden="1">#REF!</definedName>
    <definedName name="hn._I031" hidden="1">#REF!</definedName>
    <definedName name="hn._I059" localSheetId="1" hidden="1">#REF!</definedName>
    <definedName name="hn._I059" localSheetId="20" hidden="1">#REF!</definedName>
    <definedName name="hn._I059" hidden="1">#REF!</definedName>
    <definedName name="hn._I071" localSheetId="1" hidden="1">#REF!</definedName>
    <definedName name="hn._I071" localSheetId="20" hidden="1">#REF!</definedName>
    <definedName name="hn._I071" hidden="1">#REF!</definedName>
    <definedName name="hn._I075" localSheetId="1" hidden="1">#REF!</definedName>
    <definedName name="hn._I075" localSheetId="20" hidden="1">#REF!</definedName>
    <definedName name="hn._I075" hidden="1">#REF!</definedName>
    <definedName name="hn._I083" localSheetId="1" hidden="1">#REF!</definedName>
    <definedName name="hn._I083" localSheetId="20" hidden="1">#REF!</definedName>
    <definedName name="hn._I083" hidden="1">#REF!</definedName>
    <definedName name="hn._I085" localSheetId="1" hidden="1">#REF!</definedName>
    <definedName name="hn._I085" localSheetId="20" hidden="1">#REF!</definedName>
    <definedName name="hn._I085" hidden="1">#REF!</definedName>
    <definedName name="hn._P001" localSheetId="1" hidden="1">#REF!</definedName>
    <definedName name="hn._P001" localSheetId="20" hidden="1">#REF!</definedName>
    <definedName name="hn._P001" hidden="1">#REF!</definedName>
    <definedName name="hn._P004" localSheetId="1" hidden="1">#REF!</definedName>
    <definedName name="hn._P004" localSheetId="20" hidden="1">#REF!</definedName>
    <definedName name="hn._P004" hidden="1">#REF!</definedName>
    <definedName name="hn._P014" localSheetId="1" hidden="1">#REF!</definedName>
    <definedName name="hn._P014" localSheetId="20" hidden="1">#REF!</definedName>
    <definedName name="hn._P014" hidden="1">#REF!</definedName>
    <definedName name="hn._P016" localSheetId="1" hidden="1">#REF!</definedName>
    <definedName name="hn._P016" localSheetId="20" hidden="1">#REF!</definedName>
    <definedName name="hn._P016" hidden="1">#REF!</definedName>
    <definedName name="hn._P021" localSheetId="1" hidden="1">#REF!</definedName>
    <definedName name="hn._P021" localSheetId="20" hidden="1">#REF!</definedName>
    <definedName name="hn._P021" hidden="1">#REF!</definedName>
    <definedName name="hn._P024" localSheetId="1" hidden="1">#REF!</definedName>
    <definedName name="hn._P024" localSheetId="20" hidden="1">#REF!</definedName>
    <definedName name="hn._P024" hidden="1">#REF!</definedName>
    <definedName name="hn.Add015" localSheetId="1" hidden="1">#REF!</definedName>
    <definedName name="hn.Add015" localSheetId="20" hidden="1">#REF!</definedName>
    <definedName name="hn.Add015" hidden="1">#REF!</definedName>
    <definedName name="hn.Delete015" localSheetId="1" hidden="1">#REF!,#REF!,#REF!,#REF!,#REF!</definedName>
    <definedName name="hn.Delete015" localSheetId="18" hidden="1">#REF!,#REF!,#REF!,#REF!,#REF!</definedName>
    <definedName name="hn.Delete015" localSheetId="20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" hidden="1">#REF!</definedName>
    <definedName name="hn.PrivateLTMYear" localSheetId="18" hidden="1">#REF!</definedName>
    <definedName name="hn.PrivateLTMYear" localSheetId="20" hidden="1">#REF!</definedName>
    <definedName name="hn.PrivateLTMYear" hidden="1">#REF!</definedName>
    <definedName name="hrehehr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1" hidden="1">{"'Sheet1'!$A$1:$O$40"}</definedName>
    <definedName name="HTML_Control" localSheetId="13" hidden="1">{"'Sheet1'!$A$1:$O$40"}</definedName>
    <definedName name="HTML_Control" localSheetId="18" hidden="1">{"'Sheet1'!$A$1:$O$40"}</definedName>
    <definedName name="HTML_Control" localSheetId="20" hidden="1">{"'Sheet1'!$A$1:$O$40"}</definedName>
    <definedName name="HTML_Control" hidden="1">{"'Sheet1'!$A$1:$O$40"}</definedName>
    <definedName name="HTML_Control_1" localSheetId="1" hidden="1">{"'Sheet1'!$A$1:$O$40"}</definedName>
    <definedName name="HTML_Control_1" localSheetId="13" hidden="1">{"'Sheet1'!$A$1:$O$40"}</definedName>
    <definedName name="HTML_Control_1" localSheetId="18" hidden="1">{"'Sheet1'!$A$1:$O$40"}</definedName>
    <definedName name="HTML_Control_1" localSheetId="20" hidden="1">{"'Sheet1'!$A$1:$O$40"}</definedName>
    <definedName name="HTML_Control_1" hidden="1">{"'Sheet1'!$A$1:$O$40"}</definedName>
    <definedName name="HTML_Control_1_1" localSheetId="1" hidden="1">{"'Sheet1'!$A$1:$O$40"}</definedName>
    <definedName name="HTML_Control_1_1" localSheetId="13" hidden="1">{"'Sheet1'!$A$1:$O$40"}</definedName>
    <definedName name="HTML_Control_1_1" localSheetId="18" hidden="1">{"'Sheet1'!$A$1:$O$40"}</definedName>
    <definedName name="HTML_Control_1_1" localSheetId="20" hidden="1">{"'Sheet1'!$A$1:$O$40"}</definedName>
    <definedName name="HTML_Control_1_1" hidden="1">{"'Sheet1'!$A$1:$O$40"}</definedName>
    <definedName name="HTML_Control_1_2" localSheetId="1" hidden="1">{"'Sheet1'!$A$1:$O$40"}</definedName>
    <definedName name="HTML_Control_1_2" localSheetId="13" hidden="1">{"'Sheet1'!$A$1:$O$40"}</definedName>
    <definedName name="HTML_Control_1_2" localSheetId="18" hidden="1">{"'Sheet1'!$A$1:$O$40"}</definedName>
    <definedName name="HTML_Control_1_2" localSheetId="20" hidden="1">{"'Sheet1'!$A$1:$O$40"}</definedName>
    <definedName name="HTML_Control_1_2" hidden="1">{"'Sheet1'!$A$1:$O$40"}</definedName>
    <definedName name="HTML_Control_2" localSheetId="1" hidden="1">{"'Sheet1'!$A$1:$O$40"}</definedName>
    <definedName name="HTML_Control_2" localSheetId="13" hidden="1">{"'Sheet1'!$A$1:$O$40"}</definedName>
    <definedName name="HTML_Control_2" localSheetId="18" hidden="1">{"'Sheet1'!$A$1:$O$40"}</definedName>
    <definedName name="HTML_Control_2" localSheetId="20" hidden="1">{"'Sheet1'!$A$1:$O$40"}</definedName>
    <definedName name="HTML_Control_2" hidden="1">{"'Sheet1'!$A$1:$O$40"}</definedName>
    <definedName name="HTML_Control_3" localSheetId="1" hidden="1">{"'Sheet1'!$A$1:$O$40"}</definedName>
    <definedName name="HTML_Control_3" localSheetId="13" hidden="1">{"'Sheet1'!$A$1:$O$40"}</definedName>
    <definedName name="HTML_Control_3" localSheetId="18" hidden="1">{"'Sheet1'!$A$1:$O$40"}</definedName>
    <definedName name="HTML_Control_3" localSheetId="20" hidden="1">{"'Sheet1'!$A$1:$O$40"}</definedName>
    <definedName name="HTML_Control_3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i" localSheetId="18" hidden="1">{"Support Net Plant=Net Utility Plant",#N/A,FALSE,"Net Plant"}</definedName>
    <definedName name="i" hidden="1">{"Support Net Plant=Net Utility Plant",#N/A,FALSE,"Net Plant"}</definedName>
    <definedName name="ifch" localSheetId="1" hidden="1">#REF!</definedName>
    <definedName name="ifch" localSheetId="18" hidden="1">#REF!</definedName>
    <definedName name="ifch" localSheetId="20" hidden="1">#REF!</definedName>
    <definedName name="ifch" hidden="1">#REF!</definedName>
    <definedName name="IncomeStatement" localSheetId="1" hidden="1">{#N/A,#N/A,FALSE,"FinStateUS"}</definedName>
    <definedName name="IncomeStatement" localSheetId="13" hidden="1">{#N/A,#N/A,FALSE,"FinStateUS"}</definedName>
    <definedName name="IncomeStatement" localSheetId="18" hidden="1">{#N/A,#N/A,FALSE,"FinStateUS"}</definedName>
    <definedName name="IncomeStatement" localSheetId="20" hidden="1">{#N/A,#N/A,FALSE,"FinStateUS"}</definedName>
    <definedName name="IncomeStatement" hidden="1">{#N/A,#N/A,FALSE,"FinStateUS"}</definedName>
    <definedName name="IncomeStatement_1" localSheetId="1" hidden="1">{#N/A,#N/A,FALSE,"FinStateUS"}</definedName>
    <definedName name="IncomeStatement_1" localSheetId="13" hidden="1">{#N/A,#N/A,FALSE,"FinStateUS"}</definedName>
    <definedName name="IncomeStatement_1" localSheetId="18" hidden="1">{#N/A,#N/A,FALSE,"FinStateUS"}</definedName>
    <definedName name="IncomeStatement_1" localSheetId="20" hidden="1">{#N/A,#N/A,FALSE,"FinStateUS"}</definedName>
    <definedName name="IncomeStatement_1" hidden="1">{#N/A,#N/A,FALSE,"FinStateUS"}</definedName>
    <definedName name="IncomeStatement_1_1" localSheetId="1" hidden="1">{#N/A,#N/A,FALSE,"FinStateUS"}</definedName>
    <definedName name="IncomeStatement_1_1" localSheetId="13" hidden="1">{#N/A,#N/A,FALSE,"FinStateUS"}</definedName>
    <definedName name="IncomeStatement_1_1" localSheetId="18" hidden="1">{#N/A,#N/A,FALSE,"FinStateUS"}</definedName>
    <definedName name="IncomeStatement_1_1" localSheetId="20" hidden="1">{#N/A,#N/A,FALSE,"FinStateUS"}</definedName>
    <definedName name="IncomeStatement_1_1" hidden="1">{#N/A,#N/A,FALSE,"FinStateUS"}</definedName>
    <definedName name="IncomeStatement_1_2" localSheetId="1" hidden="1">{#N/A,#N/A,FALSE,"FinStateUS"}</definedName>
    <definedName name="IncomeStatement_1_2" localSheetId="13" hidden="1">{#N/A,#N/A,FALSE,"FinStateUS"}</definedName>
    <definedName name="IncomeStatement_1_2" localSheetId="18" hidden="1">{#N/A,#N/A,FALSE,"FinStateUS"}</definedName>
    <definedName name="IncomeStatement_1_2" localSheetId="20" hidden="1">{#N/A,#N/A,FALSE,"FinStateUS"}</definedName>
    <definedName name="IncomeStatement_1_2" hidden="1">{#N/A,#N/A,FALSE,"FinStateUS"}</definedName>
    <definedName name="IncomeStatement_2" localSheetId="1" hidden="1">{#N/A,#N/A,FALSE,"FinStateUS"}</definedName>
    <definedName name="IncomeStatement_2" localSheetId="13" hidden="1">{#N/A,#N/A,FALSE,"FinStateUS"}</definedName>
    <definedName name="IncomeStatement_2" localSheetId="18" hidden="1">{#N/A,#N/A,FALSE,"FinStateUS"}</definedName>
    <definedName name="IncomeStatement_2" localSheetId="20" hidden="1">{#N/A,#N/A,FALSE,"FinStateUS"}</definedName>
    <definedName name="IncomeStatement_2" hidden="1">{#N/A,#N/A,FALSE,"FinStateUS"}</definedName>
    <definedName name="IncomeStatement_3" localSheetId="1" hidden="1">{#N/A,#N/A,FALSE,"FinStateUS"}</definedName>
    <definedName name="IncomeStatement_3" localSheetId="13" hidden="1">{#N/A,#N/A,FALSE,"FinStateUS"}</definedName>
    <definedName name="IncomeStatement_3" localSheetId="18" hidden="1">{#N/A,#N/A,FALSE,"FinStateUS"}</definedName>
    <definedName name="IncomeStatement_3" localSheetId="20" hidden="1">{#N/A,#N/A,FALSE,"FinStateUS"}</definedName>
    <definedName name="IncomeStatement_3" hidden="1">{#N/A,#N/A,FALSE,"FinStateUS"}</definedName>
    <definedName name="IncomeStatement6Years" localSheetId="1" hidden="1">{"IncStatement 6 years",#N/A,FALSE,"FinStateUS"}</definedName>
    <definedName name="IncomeStatement6Years" localSheetId="13" hidden="1">{"IncStatement 6 years",#N/A,FALSE,"FinStateUS"}</definedName>
    <definedName name="IncomeStatement6Years" localSheetId="18" hidden="1">{"IncStatement 6 years",#N/A,FALSE,"FinStateUS"}</definedName>
    <definedName name="IncomeStatement6Years" localSheetId="20" hidden="1">{"IncStatement 6 years",#N/A,FALSE,"FinStateUS"}</definedName>
    <definedName name="IncomeStatement6Years" hidden="1">{"IncStatement 6 years",#N/A,FALSE,"FinStateUS"}</definedName>
    <definedName name="IncomeStatement6Years_1" localSheetId="1" hidden="1">{"IncStatement 6 years",#N/A,FALSE,"FinStateUS"}</definedName>
    <definedName name="IncomeStatement6Years_1" localSheetId="13" hidden="1">{"IncStatement 6 years",#N/A,FALSE,"FinStateUS"}</definedName>
    <definedName name="IncomeStatement6Years_1" localSheetId="18" hidden="1">{"IncStatement 6 years",#N/A,FALSE,"FinStateUS"}</definedName>
    <definedName name="IncomeStatement6Years_1" localSheetId="20" hidden="1">{"IncStatement 6 years",#N/A,FALSE,"FinStateUS"}</definedName>
    <definedName name="IncomeStatement6Years_1" hidden="1">{"IncStatement 6 years",#N/A,FALSE,"FinStateUS"}</definedName>
    <definedName name="IncomeStatement6Years_1_1" localSheetId="1" hidden="1">{"IncStatement 6 years",#N/A,FALSE,"FinStateUS"}</definedName>
    <definedName name="IncomeStatement6Years_1_1" localSheetId="13" hidden="1">{"IncStatement 6 years",#N/A,FALSE,"FinStateUS"}</definedName>
    <definedName name="IncomeStatement6Years_1_1" localSheetId="18" hidden="1">{"IncStatement 6 years",#N/A,FALSE,"FinStateUS"}</definedName>
    <definedName name="IncomeStatement6Years_1_1" localSheetId="20" hidden="1">{"IncStatement 6 years",#N/A,FALSE,"FinStateUS"}</definedName>
    <definedName name="IncomeStatement6Years_1_1" hidden="1">{"IncStatement 6 years",#N/A,FALSE,"FinStateUS"}</definedName>
    <definedName name="IncomeStatement6Years_1_2" localSheetId="1" hidden="1">{"IncStatement 6 years",#N/A,FALSE,"FinStateUS"}</definedName>
    <definedName name="IncomeStatement6Years_1_2" localSheetId="13" hidden="1">{"IncStatement 6 years",#N/A,FALSE,"FinStateUS"}</definedName>
    <definedName name="IncomeStatement6Years_1_2" localSheetId="18" hidden="1">{"IncStatement 6 years",#N/A,FALSE,"FinStateUS"}</definedName>
    <definedName name="IncomeStatement6Years_1_2" localSheetId="20" hidden="1">{"IncStatement 6 years",#N/A,FALSE,"FinStateUS"}</definedName>
    <definedName name="IncomeStatement6Years_1_2" hidden="1">{"IncStatement 6 years",#N/A,FALSE,"FinStateUS"}</definedName>
    <definedName name="IncomeStatement6Years_2" localSheetId="1" hidden="1">{"IncStatement 6 years",#N/A,FALSE,"FinStateUS"}</definedName>
    <definedName name="IncomeStatement6Years_2" localSheetId="13" hidden="1">{"IncStatement 6 years",#N/A,FALSE,"FinStateUS"}</definedName>
    <definedName name="IncomeStatement6Years_2" localSheetId="18" hidden="1">{"IncStatement 6 years",#N/A,FALSE,"FinStateUS"}</definedName>
    <definedName name="IncomeStatement6Years_2" localSheetId="20" hidden="1">{"IncStatement 6 years",#N/A,FALSE,"FinStateUS"}</definedName>
    <definedName name="IncomeStatement6Years_2" hidden="1">{"IncStatement 6 years",#N/A,FALSE,"FinStateUS"}</definedName>
    <definedName name="IncomeStatement6Years_3" localSheetId="1" hidden="1">{"IncStatement 6 years",#N/A,FALSE,"FinStateUS"}</definedName>
    <definedName name="IncomeStatement6Years_3" localSheetId="13" hidden="1">{"IncStatement 6 years",#N/A,FALSE,"FinStateUS"}</definedName>
    <definedName name="IncomeStatement6Years_3" localSheetId="18" hidden="1">{"IncStatement 6 years",#N/A,FALSE,"FinStateUS"}</definedName>
    <definedName name="IncomeStatement6Years_3" localSheetId="20" hidden="1">{"IncStatement 6 years",#N/A,FALSE,"FinStateUS"}</definedName>
    <definedName name="IncomeStatement6Years_3" hidden="1">{"IncStatement 6 years",#N/A,FALSE,"FinStateUS"}</definedName>
    <definedName name="Inflation" localSheetId="1" hidden="1">#REF!</definedName>
    <definedName name="Inflation" localSheetId="13" hidden="1">[10]Data!$C$30:$C$233</definedName>
    <definedName name="Inflation" localSheetId="18" hidden="1">[10]Data!$C$30:$C$233</definedName>
    <definedName name="Inflation" localSheetId="20" hidden="1">#REF!</definedName>
    <definedName name="Inflation" hidden="1">#REF!</definedName>
    <definedName name="ipowAC" localSheetId="1" hidden="1">#REF!</definedName>
    <definedName name="ipowAC" localSheetId="18" hidden="1">#REF!</definedName>
    <definedName name="ipowAC" localSheetId="20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40164.5046875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localSheetId="1" hidden="1">#REF!</definedName>
    <definedName name="iuy" localSheetId="18" hidden="1">#REF!</definedName>
    <definedName name="iuy" localSheetId="20" hidden="1">#REF!</definedName>
    <definedName name="iuy" hidden="1">#REF!</definedName>
    <definedName name="iuyt" localSheetId="1" hidden="1">#REF!</definedName>
    <definedName name="iuyt" localSheetId="20" hidden="1">#REF!</definedName>
    <definedName name="iuyt" hidden="1">#REF!</definedName>
    <definedName name="j" localSheetId="1" hidden="1">#REF!</definedName>
    <definedName name="j" localSheetId="20" hidden="1">#REF!</definedName>
    <definedName name="j" hidden="1">#REF!</definedName>
    <definedName name="jdn" localSheetId="1" hidden="1">#REF!</definedName>
    <definedName name="jdn" localSheetId="20" hidden="1">#REF!</definedName>
    <definedName name="jdn" hidden="1">#REF!</definedName>
    <definedName name="je" localSheetId="1" hidden="1">{#N/A,#N/A,FALSE,"SCA";#N/A,#N/A,FALSE,"NCA";#N/A,#N/A,FALSE,"SAZ";#N/A,#N/A,FALSE,"CAZ";#N/A,#N/A,FALSE,"SNV";#N/A,#N/A,FALSE,"NNV";#N/A,#N/A,FALSE,"PP";#N/A,#N/A,FALSE,"SA"}</definedName>
    <definedName name="je" localSheetId="13" hidden="1">{#N/A,#N/A,FALSE,"SCA";#N/A,#N/A,FALSE,"NCA";#N/A,#N/A,FALSE,"SAZ";#N/A,#N/A,FALSE,"CAZ";#N/A,#N/A,FALSE,"SNV";#N/A,#N/A,FALSE,"NNV";#N/A,#N/A,FALSE,"PP";#N/A,#N/A,FALSE,"SA"}</definedName>
    <definedName name="je" localSheetId="18" hidden="1">{#N/A,#N/A,FALSE,"SCA";#N/A,#N/A,FALSE,"NCA";#N/A,#N/A,FALSE,"SAZ";#N/A,#N/A,FALSE,"CAZ";#N/A,#N/A,FALSE,"SNV";#N/A,#N/A,FALSE,"NNV";#N/A,#N/A,FALSE,"PP";#N/A,#N/A,FALSE,"SA"}</definedName>
    <definedName name="je" localSheetId="20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e_1" localSheetId="1" hidden="1">{#N/A,#N/A,FALSE,"SCA";#N/A,#N/A,FALSE,"NCA";#N/A,#N/A,FALSE,"SAZ";#N/A,#N/A,FALSE,"CAZ";#N/A,#N/A,FALSE,"SNV";#N/A,#N/A,FALSE,"NNV";#N/A,#N/A,FALSE,"PP";#N/A,#N/A,FALSE,"SA"}</definedName>
    <definedName name="je_1" localSheetId="13" hidden="1">{#N/A,#N/A,FALSE,"SCA";#N/A,#N/A,FALSE,"NCA";#N/A,#N/A,FALSE,"SAZ";#N/A,#N/A,FALSE,"CAZ";#N/A,#N/A,FALSE,"SNV";#N/A,#N/A,FALSE,"NNV";#N/A,#N/A,FALSE,"PP";#N/A,#N/A,FALSE,"SA"}</definedName>
    <definedName name="je_1" localSheetId="18" hidden="1">{#N/A,#N/A,FALSE,"SCA";#N/A,#N/A,FALSE,"NCA";#N/A,#N/A,FALSE,"SAZ";#N/A,#N/A,FALSE,"CAZ";#N/A,#N/A,FALSE,"SNV";#N/A,#N/A,FALSE,"NNV";#N/A,#N/A,FALSE,"PP";#N/A,#N/A,FALSE,"SA"}</definedName>
    <definedName name="je_1" localSheetId="20" hidden="1">{#N/A,#N/A,FALSE,"SCA";#N/A,#N/A,FALSE,"NCA";#N/A,#N/A,FALSE,"SAZ";#N/A,#N/A,FALSE,"CAZ";#N/A,#N/A,FALSE,"SNV";#N/A,#N/A,FALSE,"NNV";#N/A,#N/A,FALSE,"PP";#N/A,#N/A,FALSE,"SA"}</definedName>
    <definedName name="je_1" hidden="1">{#N/A,#N/A,FALSE,"SCA";#N/A,#N/A,FALSE,"NCA";#N/A,#N/A,FALSE,"SAZ";#N/A,#N/A,FALSE,"CAZ";#N/A,#N/A,FALSE,"SNV";#N/A,#N/A,FALSE,"NNV";#N/A,#N/A,FALSE,"PP";#N/A,#N/A,FALSE,"SA"}</definedName>
    <definedName name="je_2" localSheetId="1" hidden="1">{#N/A,#N/A,FALSE,"SCA";#N/A,#N/A,FALSE,"NCA";#N/A,#N/A,FALSE,"SAZ";#N/A,#N/A,FALSE,"CAZ";#N/A,#N/A,FALSE,"SNV";#N/A,#N/A,FALSE,"NNV";#N/A,#N/A,FALSE,"PP";#N/A,#N/A,FALSE,"SA"}</definedName>
    <definedName name="je_2" localSheetId="13" hidden="1">{#N/A,#N/A,FALSE,"SCA";#N/A,#N/A,FALSE,"NCA";#N/A,#N/A,FALSE,"SAZ";#N/A,#N/A,FALSE,"CAZ";#N/A,#N/A,FALSE,"SNV";#N/A,#N/A,FALSE,"NNV";#N/A,#N/A,FALSE,"PP";#N/A,#N/A,FALSE,"SA"}</definedName>
    <definedName name="je_2" localSheetId="18" hidden="1">{#N/A,#N/A,FALSE,"SCA";#N/A,#N/A,FALSE,"NCA";#N/A,#N/A,FALSE,"SAZ";#N/A,#N/A,FALSE,"CAZ";#N/A,#N/A,FALSE,"SNV";#N/A,#N/A,FALSE,"NNV";#N/A,#N/A,FALSE,"PP";#N/A,#N/A,FALSE,"SA"}</definedName>
    <definedName name="je_2" localSheetId="20" hidden="1">{#N/A,#N/A,FALSE,"SCA";#N/A,#N/A,FALSE,"NCA";#N/A,#N/A,FALSE,"SAZ";#N/A,#N/A,FALSE,"CAZ";#N/A,#N/A,FALSE,"SNV";#N/A,#N/A,FALSE,"NNV";#N/A,#N/A,FALSE,"PP";#N/A,#N/A,FALSE,"SA"}</definedName>
    <definedName name="je_2" hidden="1">{#N/A,#N/A,FALSE,"SCA";#N/A,#N/A,FALSE,"NCA";#N/A,#N/A,FALSE,"SAZ";#N/A,#N/A,FALSE,"CAZ";#N/A,#N/A,FALSE,"SNV";#N/A,#N/A,FALSE,"NNV";#N/A,#N/A,FALSE,"PP";#N/A,#N/A,FALSE,"SA"}</definedName>
    <definedName name="jhlkqFL" localSheetId="1" hidden="1">{"'Sheet1'!$A$1:$O$40"}</definedName>
    <definedName name="jhlkqFL" localSheetId="13" hidden="1">{"'Sheet1'!$A$1:$O$40"}</definedName>
    <definedName name="jhlkqFL" localSheetId="18" hidden="1">{"'Sheet1'!$A$1:$O$40"}</definedName>
    <definedName name="jhlkqFL" localSheetId="20" hidden="1">{"'Sheet1'!$A$1:$O$40"}</definedName>
    <definedName name="jhlkqFL" hidden="1">{"'Sheet1'!$A$1:$O$40"}</definedName>
    <definedName name="jhlkqFL_1" localSheetId="1" hidden="1">{"'Sheet1'!$A$1:$O$40"}</definedName>
    <definedName name="jhlkqFL_1" localSheetId="13" hidden="1">{"'Sheet1'!$A$1:$O$40"}</definedName>
    <definedName name="jhlkqFL_1" localSheetId="18" hidden="1">{"'Sheet1'!$A$1:$O$40"}</definedName>
    <definedName name="jhlkqFL_1" localSheetId="20" hidden="1">{"'Sheet1'!$A$1:$O$40"}</definedName>
    <definedName name="jhlkqFL_1" hidden="1">{"'Sheet1'!$A$1:$O$40"}</definedName>
    <definedName name="jhlkqFL_1_1" localSheetId="1" hidden="1">{"'Sheet1'!$A$1:$O$40"}</definedName>
    <definedName name="jhlkqFL_1_1" localSheetId="13" hidden="1">{"'Sheet1'!$A$1:$O$40"}</definedName>
    <definedName name="jhlkqFL_1_1" localSheetId="18" hidden="1">{"'Sheet1'!$A$1:$O$40"}</definedName>
    <definedName name="jhlkqFL_1_1" localSheetId="20" hidden="1">{"'Sheet1'!$A$1:$O$40"}</definedName>
    <definedName name="jhlkqFL_1_1" hidden="1">{"'Sheet1'!$A$1:$O$40"}</definedName>
    <definedName name="jhlkqFL_1_2" localSheetId="1" hidden="1">{"'Sheet1'!$A$1:$O$40"}</definedName>
    <definedName name="jhlkqFL_1_2" localSheetId="13" hidden="1">{"'Sheet1'!$A$1:$O$40"}</definedName>
    <definedName name="jhlkqFL_1_2" localSheetId="18" hidden="1">{"'Sheet1'!$A$1:$O$40"}</definedName>
    <definedName name="jhlkqFL_1_2" localSheetId="20" hidden="1">{"'Sheet1'!$A$1:$O$40"}</definedName>
    <definedName name="jhlkqFL_1_2" hidden="1">{"'Sheet1'!$A$1:$O$40"}</definedName>
    <definedName name="jhlkqFL_2" localSheetId="1" hidden="1">{"'Sheet1'!$A$1:$O$40"}</definedName>
    <definedName name="jhlkqFL_2" localSheetId="13" hidden="1">{"'Sheet1'!$A$1:$O$40"}</definedName>
    <definedName name="jhlkqFL_2" localSheetId="18" hidden="1">{"'Sheet1'!$A$1:$O$40"}</definedName>
    <definedName name="jhlkqFL_2" localSheetId="20" hidden="1">{"'Sheet1'!$A$1:$O$40"}</definedName>
    <definedName name="jhlkqFL_2" hidden="1">{"'Sheet1'!$A$1:$O$40"}</definedName>
    <definedName name="jhlkqFL_3" localSheetId="1" hidden="1">{"'Sheet1'!$A$1:$O$40"}</definedName>
    <definedName name="jhlkqFL_3" localSheetId="13" hidden="1">{"'Sheet1'!$A$1:$O$40"}</definedName>
    <definedName name="jhlkqFL_3" localSheetId="18" hidden="1">{"'Sheet1'!$A$1:$O$40"}</definedName>
    <definedName name="jhlkqFL_3" localSheetId="20" hidden="1">{"'Sheet1'!$A$1:$O$40"}</definedName>
    <definedName name="jhlkqFL_3" hidden="1">{"'Sheet1'!$A$1:$O$40"}</definedName>
    <definedName name="jj" localSheetId="13" hidden="1">'[34]Shares 5 Year Plan'!#REF!</definedName>
    <definedName name="jj" localSheetId="18" hidden="1">'[34]Shares 5 Year Plan'!#REF!</definedName>
    <definedName name="jj" hidden="1">#REF!</definedName>
    <definedName name="jkdf" localSheetId="1" hidden="1">#REF!</definedName>
    <definedName name="jkdf" localSheetId="18" hidden="1">#REF!</definedName>
    <definedName name="jkdf" localSheetId="20" hidden="1">#REF!</definedName>
    <definedName name="jkdf" hidden="1">#REF!</definedName>
    <definedName name="jkdsac" localSheetId="1" hidden="1">#REF!</definedName>
    <definedName name="jkdsac" localSheetId="20" hidden="1">#REF!</definedName>
    <definedName name="jkdsac" hidden="1">#REF!</definedName>
    <definedName name="jkfoo" localSheetId="1" hidden="1">#REF!</definedName>
    <definedName name="jkfoo" localSheetId="20" hidden="1">#REF!</definedName>
    <definedName name="jkfoo" hidden="1">#REF!</definedName>
    <definedName name="jkrhtr" localSheetId="1" hidden="1">{"print1",#N/A,FALSE,"D21CUSTS"}</definedName>
    <definedName name="jkrhtr" localSheetId="13" hidden="1">{"print1",#N/A,FALSE,"D21CUSTS"}</definedName>
    <definedName name="jkrhtr" localSheetId="18" hidden="1">{"print1",#N/A,FALSE,"D21CUSTS"}</definedName>
    <definedName name="jkrhtr" localSheetId="20" hidden="1">{"print1",#N/A,FALSE,"D21CUSTS"}</definedName>
    <definedName name="jkrhtr" hidden="1">{"print1",#N/A,FALSE,"D21CUSTS"}</definedName>
    <definedName name="jktrjhjhjh" localSheetId="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13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18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2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localSheetId="1" hidden="1">{#N/A,#N/A,FALSE,"OTHERINPUTS";#N/A,#N/A,FALSE,"SUPPLIEDADJINPUT";#N/A,#N/A,FALSE,"BR&amp;SUPADJ."}</definedName>
    <definedName name="jrththtr" localSheetId="13" hidden="1">{#N/A,#N/A,FALSE,"OTHERINPUTS";#N/A,#N/A,FALSE,"SUPPLIEDADJINPUT";#N/A,#N/A,FALSE,"BR&amp;SUPADJ."}</definedName>
    <definedName name="jrththtr" localSheetId="18" hidden="1">{#N/A,#N/A,FALSE,"OTHERINPUTS";#N/A,#N/A,FALSE,"SUPPLIEDADJINPUT";#N/A,#N/A,FALSE,"BR&amp;SUPADJ."}</definedName>
    <definedName name="jrththtr" localSheetId="20" hidden="1">{#N/A,#N/A,FALSE,"OTHERINPUTS";#N/A,#N/A,FALSE,"SUPPLIEDADJINPUT";#N/A,#N/A,FALSE,"BR&amp;SUPADJ."}</definedName>
    <definedName name="jrththtr" hidden="1">{#N/A,#N/A,FALSE,"OTHERINPUTS";#N/A,#N/A,FALSE,"SUPPLIEDADJINPUT";#N/A,#N/A,FALSE,"BR&amp;SUPADJ."}</definedName>
    <definedName name="jseqf" localSheetId="1" hidden="1">#REF!</definedName>
    <definedName name="jseqf" localSheetId="18" hidden="1">#REF!</definedName>
    <definedName name="jseqf" localSheetId="20" hidden="1">#REF!</definedName>
    <definedName name="jseqf" hidden="1">#REF!</definedName>
    <definedName name="jz" localSheetId="1" hidden="1">#REF!</definedName>
    <definedName name="jz" localSheetId="20" hidden="1">#REF!</definedName>
    <definedName name="jz" hidden="1">#REF!</definedName>
    <definedName name="jzs" localSheetId="1" hidden="1">#REF!</definedName>
    <definedName name="jzs" localSheetId="20" hidden="1">#REF!</definedName>
    <definedName name="jzs" hidden="1">#REF!</definedName>
    <definedName name="k" localSheetId="1" hidden="1">#REF!</definedName>
    <definedName name="k" localSheetId="20" hidden="1">#REF!</definedName>
    <definedName name="k" hidden="1">#REF!</definedName>
    <definedName name="K2_WBEVMODE" hidden="1">0</definedName>
    <definedName name="kal" localSheetId="1" hidden="1">#REF!</definedName>
    <definedName name="kal" localSheetId="18" hidden="1">#REF!</definedName>
    <definedName name="kal" localSheetId="20" hidden="1">#REF!</definedName>
    <definedName name="kal" hidden="1">#REF!</definedName>
    <definedName name="kaw" localSheetId="1" hidden="1">#REF!</definedName>
    <definedName name="kaw" localSheetId="20" hidden="1">#REF!</definedName>
    <definedName name="kaw" hidden="1">#REF!</definedName>
    <definedName name="kdkd" localSheetId="1" hidden="1">#REF!</definedName>
    <definedName name="kdkd" localSheetId="18" hidden="1">#REF!</definedName>
    <definedName name="kdkd" localSheetId="20" hidden="1">#REF!</definedName>
    <definedName name="kdkd" hidden="1">#REF!</definedName>
    <definedName name="kdkjrt" localSheetId="1" hidden="1">#REF!</definedName>
    <definedName name="kdkjrt" localSheetId="20" hidden="1">#REF!</definedName>
    <definedName name="kdkjrt" hidden="1">#REF!</definedName>
    <definedName name="kdsfj" localSheetId="1" hidden="1">#REF!</definedName>
    <definedName name="kdsfj" localSheetId="20" hidden="1">#REF!</definedName>
    <definedName name="kdsfj" hidden="1">#REF!</definedName>
    <definedName name="kfdlsg" localSheetId="1" hidden="1">#REF!</definedName>
    <definedName name="kfdlsg" localSheetId="20" hidden="1">#REF!</definedName>
    <definedName name="kfdlsg" hidden="1">#REF!</definedName>
    <definedName name="kfkf" localSheetId="1" hidden="1">#REF!</definedName>
    <definedName name="kfkf" localSheetId="20" hidden="1">#REF!</definedName>
    <definedName name="kfkf" hidden="1">#REF!</definedName>
    <definedName name="kfkfkf" localSheetId="1" hidden="1">#REF!</definedName>
    <definedName name="kfkfkf" localSheetId="20" hidden="1">#REF!</definedName>
    <definedName name="kfkfkf" hidden="1">#REF!</definedName>
    <definedName name="kfkfkfkf" localSheetId="1" hidden="1">#REF!</definedName>
    <definedName name="kfkfkfkf" localSheetId="20" hidden="1">#REF!</definedName>
    <definedName name="kfkfkfkf" hidden="1">#REF!</definedName>
    <definedName name="kfkfkfl" localSheetId="1" hidden="1">#REF!</definedName>
    <definedName name="kfkfkfl" localSheetId="20" hidden="1">#REF!</definedName>
    <definedName name="kfkfkfl" hidden="1">#REF!</definedName>
    <definedName name="kfkfksm" localSheetId="1" hidden="1">#REF!</definedName>
    <definedName name="kfkfksm" localSheetId="20" hidden="1">#REF!</definedName>
    <definedName name="kfkfksm" hidden="1">#REF!</definedName>
    <definedName name="KI" localSheetId="1" hidden="1">#REF!,#REF!</definedName>
    <definedName name="KI" localSheetId="18" hidden="1">#REF!,#REF!</definedName>
    <definedName name="KI" localSheetId="20" hidden="1">#REF!,#REF!</definedName>
    <definedName name="KI" hidden="1">#REF!,#REF!</definedName>
    <definedName name="kiujh" localSheetId="1" hidden="1">#REF!</definedName>
    <definedName name="kiujh" localSheetId="20" hidden="1">#REF!</definedName>
    <definedName name="kiujh" hidden="1">#REF!</definedName>
    <definedName name="kjfdjfei" localSheetId="1" hidden="1">{#N/A,#N/A,FALSE,"OTHERINPUTS";#N/A,#N/A,FALSE,"DITRATEINPUTS";#N/A,#N/A,FALSE,"SUPPLIEDADJINPUT";#N/A,#N/A,FALSE,"TIMINGDIFFINPUTS";#N/A,#N/A,FALSE,"BR&amp;SUPADJ."}</definedName>
    <definedName name="kjfdjfei" localSheetId="13" hidden="1">{#N/A,#N/A,FALSE,"OTHERINPUTS";#N/A,#N/A,FALSE,"DITRATEINPUTS";#N/A,#N/A,FALSE,"SUPPLIEDADJINPUT";#N/A,#N/A,FALSE,"TIMINGDIFFINPUTS";#N/A,#N/A,FALSE,"BR&amp;SUPADJ."}</definedName>
    <definedName name="kjfdjfei" localSheetId="18" hidden="1">{#N/A,#N/A,FALSE,"OTHERINPUTS";#N/A,#N/A,FALSE,"DITRATEINPUTS";#N/A,#N/A,FALSE,"SUPPLIEDADJINPUT";#N/A,#N/A,FALSE,"TIMINGDIFFINPUTS";#N/A,#N/A,FALSE,"BR&amp;SUPADJ."}</definedName>
    <definedName name="kjfdjfei" localSheetId="20" hidden="1">{#N/A,#N/A,FALSE,"OTHERINPUTS";#N/A,#N/A,FALSE,"DITRATEINPUTS";#N/A,#N/A,FALSE,"SUPPLIEDADJINPUT";#N/A,#N/A,FALSE,"TIMINGDIFFINPUTS";#N/A,#N/A,FALSE,"BR&amp;SUPADJ."}</definedName>
    <definedName name="kjfdjfei" hidden="1">{#N/A,#N/A,FALSE,"OTHERINPUTS";#N/A,#N/A,FALSE,"DITRATEINPUTS";#N/A,#N/A,FALSE,"SUPPLIEDADJINPUT";#N/A,#N/A,FALSE,"TIMINGDIFFINPUTS";#N/A,#N/A,FALSE,"BR&amp;SUPADJ."}</definedName>
    <definedName name="kjfjffnnf" localSheetId="1" hidden="1">#REF!</definedName>
    <definedName name="kjfjffnnf" localSheetId="18" hidden="1">#REF!</definedName>
    <definedName name="kjfjffnnf" localSheetId="20" hidden="1">#REF!</definedName>
    <definedName name="kjfjffnnf" hidden="1">#REF!</definedName>
    <definedName name="kjhg" localSheetId="1" hidden="1">#REF!</definedName>
    <definedName name="kjhg" localSheetId="20" hidden="1">#REF!</definedName>
    <definedName name="kjhg" hidden="1">#REF!</definedName>
    <definedName name="kjhgf" localSheetId="1" hidden="1">#REF!</definedName>
    <definedName name="kjhgf" localSheetId="20" hidden="1">#REF!</definedName>
    <definedName name="kjhgf" hidden="1">#REF!</definedName>
    <definedName name="kjk" localSheetId="1" hidden="1">#REF!</definedName>
    <definedName name="kjk" localSheetId="13" hidden="1">'[1]Plant in Ser'!#REF!</definedName>
    <definedName name="kjk" localSheetId="18" hidden="1">'[1]Plant in Ser'!#REF!</definedName>
    <definedName name="kjk" localSheetId="20" hidden="1">#REF!</definedName>
    <definedName name="kjk" hidden="1">#REF!</definedName>
    <definedName name="kjzd" localSheetId="1" hidden="1">#REF!</definedName>
    <definedName name="kjzd" localSheetId="18" hidden="1">#REF!</definedName>
    <definedName name="kjzd" localSheetId="20" hidden="1">#REF!</definedName>
    <definedName name="kjzd" hidden="1">#REF!</definedName>
    <definedName name="kk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" localSheetId="13" hidden="1">'[25]2010 Shares Budget'!#REF!</definedName>
    <definedName name="kkk" localSheetId="18" hidden="1">'[25]2010 Shares Budget'!#REF!</definedName>
    <definedName name="kkk" hidden="1">#REF!</definedName>
    <definedName name="kkkkk" localSheetId="1" hidden="1">#REF!</definedName>
    <definedName name="kkkkk" localSheetId="18" hidden="1">#REF!</definedName>
    <definedName name="kkkkk" localSheetId="20" hidden="1">#REF!</definedName>
    <definedName name="kkkkk" hidden="1">#REF!</definedName>
    <definedName name="kkkkkk" localSheetId="1" hidden="1">#REF!</definedName>
    <definedName name="kkkkkk" localSheetId="20" hidden="1">#REF!</definedName>
    <definedName name="kkkkkk" hidden="1">#REF!</definedName>
    <definedName name="KL" localSheetId="1" hidden="1">#REF!</definedName>
    <definedName name="KL" localSheetId="20" hidden="1">#REF!</definedName>
    <definedName name="KL" hidden="1">#REF!</definedName>
    <definedName name="kldk" localSheetId="1" hidden="1">#REF!</definedName>
    <definedName name="kldk" localSheetId="20" hidden="1">#REF!</definedName>
    <definedName name="kldk" hidden="1">#REF!</definedName>
    <definedName name="klfeqw" localSheetId="1" hidden="1">#REF!</definedName>
    <definedName name="klfeqw" localSheetId="20" hidden="1">#REF!</definedName>
    <definedName name="klfeqw" hidden="1">#REF!</definedName>
    <definedName name="kqwh" localSheetId="1" hidden="1">#REF!</definedName>
    <definedName name="kqwh" localSheetId="20" hidden="1">#REF!</definedName>
    <definedName name="kqwh" hidden="1">#REF!</definedName>
    <definedName name="ksadfl" localSheetId="1" hidden="1">#REF!</definedName>
    <definedName name="ksadfl" localSheetId="20" hidden="1">#REF!</definedName>
    <definedName name="ksadfl" hidden="1">#REF!</definedName>
    <definedName name="ku" localSheetId="1" hidden="1">{#N/A,#N/A,FALSE,"SCA";#N/A,#N/A,FALSE,"NCA";#N/A,#N/A,FALSE,"SAZ";#N/A,#N/A,FALSE,"CAZ";#N/A,#N/A,FALSE,"SNV";#N/A,#N/A,FALSE,"NNV";#N/A,#N/A,FALSE,"PP";#N/A,#N/A,FALSE,"SA"}</definedName>
    <definedName name="ku" localSheetId="13" hidden="1">{#N/A,#N/A,FALSE,"SCA";#N/A,#N/A,FALSE,"NCA";#N/A,#N/A,FALSE,"SAZ";#N/A,#N/A,FALSE,"CAZ";#N/A,#N/A,FALSE,"SNV";#N/A,#N/A,FALSE,"NNV";#N/A,#N/A,FALSE,"PP";#N/A,#N/A,FALSE,"SA"}</definedName>
    <definedName name="ku" localSheetId="18" hidden="1">{#N/A,#N/A,FALSE,"SCA";#N/A,#N/A,FALSE,"NCA";#N/A,#N/A,FALSE,"SAZ";#N/A,#N/A,FALSE,"CAZ";#N/A,#N/A,FALSE,"SNV";#N/A,#N/A,FALSE,"NNV";#N/A,#N/A,FALSE,"PP";#N/A,#N/A,FALSE,"SA"}</definedName>
    <definedName name="ku" localSheetId="20" hidden="1">{#N/A,#N/A,FALSE,"SCA";#N/A,#N/A,FALSE,"NCA";#N/A,#N/A,FALSE,"SAZ";#N/A,#N/A,FALSE,"CAZ";#N/A,#N/A,FALSE,"SNV";#N/A,#N/A,FALSE,"NNV";#N/A,#N/A,FALSE,"PP";#N/A,#N/A,FALSE,"SA"}</definedName>
    <definedName name="ku" hidden="1">{#N/A,#N/A,FALSE,"SCA";#N/A,#N/A,FALSE,"NCA";#N/A,#N/A,FALSE,"SAZ";#N/A,#N/A,FALSE,"CAZ";#N/A,#N/A,FALSE,"SNV";#N/A,#N/A,FALSE,"NNV";#N/A,#N/A,FALSE,"PP";#N/A,#N/A,FALSE,"SA"}</definedName>
    <definedName name="kw" localSheetId="1" hidden="1">#REF!</definedName>
    <definedName name="kw" localSheetId="18" hidden="1">#REF!</definedName>
    <definedName name="kw" localSheetId="20" hidden="1">#REF!</definedName>
    <definedName name="kw" hidden="1">#REF!</definedName>
    <definedName name="kz" localSheetId="1" hidden="1">#REF!</definedName>
    <definedName name="kz" localSheetId="20" hidden="1">#REF!</definedName>
    <definedName name="kz" hidden="1">#REF!</definedName>
    <definedName name="l" localSheetId="1" hidden="1">#REF!</definedName>
    <definedName name="l" localSheetId="20" hidden="1">#REF!</definedName>
    <definedName name="l" hidden="1">#REF!</definedName>
    <definedName name="lfkfjnn" localSheetId="1" hidden="1">#REF!</definedName>
    <definedName name="lfkfjnn" localSheetId="20" hidden="1">#REF!</definedName>
    <definedName name="lfkfjnn" hidden="1">#REF!</definedName>
    <definedName name="limcount" hidden="1">1</definedName>
    <definedName name="ListOffset" hidden="1">1</definedName>
    <definedName name="lkajsdfg" localSheetId="1" hidden="1">#REF!</definedName>
    <definedName name="lkajsdfg" localSheetId="20" hidden="1">#REF!</definedName>
    <definedName name="lkajsdfg" hidden="1">#REF!</definedName>
    <definedName name="lkjh" localSheetId="1" hidden="1">#REF!</definedName>
    <definedName name="lkjh" localSheetId="20" hidden="1">#REF!</definedName>
    <definedName name="lkjh" hidden="1">#REF!</definedName>
    <definedName name="lkjkju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localSheetId="1" hidden="1">#REF!</definedName>
    <definedName name="lkohsvd" localSheetId="18" hidden="1">#REF!</definedName>
    <definedName name="lkohsvd" localSheetId="20" hidden="1">#REF!</definedName>
    <definedName name="lkohsvd" hidden="1">#REF!</definedName>
    <definedName name="llllllllll" localSheetId="1" hidden="1">#REF!</definedName>
    <definedName name="llllllllll" localSheetId="20" hidden="1">#REF!</definedName>
    <definedName name="llllllllll" hidden="1">#REF!</definedName>
    <definedName name="loke" localSheetId="1" hidden="1">#REF!</definedName>
    <definedName name="loke" localSheetId="20" hidden="1">#REF!</definedName>
    <definedName name="loke" hidden="1">#REF!</definedName>
    <definedName name="lpoicea" localSheetId="1" hidden="1">#REF!</definedName>
    <definedName name="lpoicea" localSheetId="20" hidden="1">#REF!</definedName>
    <definedName name="lpoicea" hidden="1">#REF!</definedName>
    <definedName name="ls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isc" localSheetId="1" hidden="1">#REF!</definedName>
    <definedName name="misc" localSheetId="20" hidden="1">#REF!</definedName>
    <definedName name="misc" hidden="1">#REF!</definedName>
    <definedName name="mlaw" localSheetId="1" hidden="1">#REF!</definedName>
    <definedName name="mlaw" localSheetId="20" hidden="1">#REF!</definedName>
    <definedName name="mlaw" hidden="1">#REF!</definedName>
    <definedName name="mnbv" localSheetId="1" hidden="1">#REF!</definedName>
    <definedName name="mnbv" localSheetId="20" hidden="1">#REF!</definedName>
    <definedName name="mnbv" hidden="1">#REF!</definedName>
    <definedName name="mnkp" localSheetId="1" hidden="1">#REF!</definedName>
    <definedName name="mnkp" localSheetId="20" hidden="1">#REF!</definedName>
    <definedName name="mnkp" hidden="1">#REF!</definedName>
    <definedName name="mo" localSheetId="1" hidden="1">#REF!</definedName>
    <definedName name="mo" localSheetId="20" hidden="1">#REF!</definedName>
    <definedName name="mo" hidden="1">#REF!</definedName>
    <definedName name="mol" localSheetId="1" hidden="1">#REF!</definedName>
    <definedName name="mol" localSheetId="18" hidden="1">#REF!</definedName>
    <definedName name="mol" localSheetId="20" hidden="1">#REF!</definedName>
    <definedName name="mol" hidden="1">#REF!</definedName>
    <definedName name="molp" localSheetId="1" hidden="1">#REF!</definedName>
    <definedName name="molp" localSheetId="20" hidden="1">#REF!</definedName>
    <definedName name="molp" hidden="1">#REF!</definedName>
    <definedName name="myty" localSheetId="1" hidden="1">{#N/A,#N/A,FALSE,"GLDwnLoad"}</definedName>
    <definedName name="myty" localSheetId="13" hidden="1">{#N/A,#N/A,FALSE,"GLDwnLoad"}</definedName>
    <definedName name="myty" localSheetId="18" hidden="1">{#N/A,#N/A,FALSE,"GLDwnLoad"}</definedName>
    <definedName name="myty" localSheetId="20" hidden="1">{#N/A,#N/A,FALSE,"GLDwnLoad"}</definedName>
    <definedName name="myty" hidden="1">{#N/A,#N/A,FALSE,"GLDwnLoad"}</definedName>
    <definedName name="myuyj" localSheetId="1" hidden="1">{#N/A,#N/A,FALSE,"GLDwnLoad"}</definedName>
    <definedName name="myuyj" localSheetId="13" hidden="1">{#N/A,#N/A,FALSE,"GLDwnLoad"}</definedName>
    <definedName name="myuyj" localSheetId="18" hidden="1">{#N/A,#N/A,FALSE,"GLDwnLoad"}</definedName>
    <definedName name="myuyj" localSheetId="20" hidden="1">{#N/A,#N/A,FALSE,"GLDwnLoad"}</definedName>
    <definedName name="myuyj" hidden="1">{#N/A,#N/A,FALSE,"GLDwnLoad"}</definedName>
    <definedName name="n" localSheetId="1" hidden="1">{"Assumption-Description",#N/A,FALSE,"Assumptions"}</definedName>
    <definedName name="n" localSheetId="13" hidden="1">{"Assumption-Description",#N/A,FALSE,"Assumptions"}</definedName>
    <definedName name="n" localSheetId="18" hidden="1">{"Assumption-Description",#N/A,FALSE,"Assumptions"}</definedName>
    <definedName name="n" localSheetId="20" hidden="1">{"Assumption-Description",#N/A,FALSE,"Assumptions"}</definedName>
    <definedName name="n" hidden="1">{"Assumption-Description",#N/A,FALSE,"Assumptions"}</definedName>
    <definedName name="NAD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1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1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2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2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2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2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localSheetId="1" hidden="1">#REF!</definedName>
    <definedName name="namefield" localSheetId="18" hidden="1">#REF!</definedName>
    <definedName name="namefield" localSheetId="20" hidden="1">#REF!</definedName>
    <definedName name="namefield" hidden="1">#REF!</definedName>
    <definedName name="naow" localSheetId="1" hidden="1">#REF!</definedName>
    <definedName name="naow" localSheetId="18" hidden="1">#REF!</definedName>
    <definedName name="naow" localSheetId="20" hidden="1">#REF!</definedName>
    <definedName name="naow" hidden="1">#REF!</definedName>
    <definedName name="nbeo" localSheetId="1" hidden="1">#REF!</definedName>
    <definedName name="nbeo" localSheetId="20" hidden="1">#REF!</definedName>
    <definedName name="nbeo" hidden="1">#REF!</definedName>
    <definedName name="nbw" localSheetId="1" hidden="1">#REF!</definedName>
    <definedName name="nbw" localSheetId="20" hidden="1">#REF!</definedName>
    <definedName name="nbw" hidden="1">#REF!</definedName>
    <definedName name="new" localSheetId="1" hidden="1">{"Summary",#N/A,FALSE,"Options "}</definedName>
    <definedName name="new" localSheetId="13" hidden="1">{"Summary",#N/A,FALSE,"Options "}</definedName>
    <definedName name="new" localSheetId="18" hidden="1">{"Summary",#N/A,FALSE,"Options "}</definedName>
    <definedName name="new" localSheetId="20" hidden="1">{"Summary",#N/A,FALSE,"Options "}</definedName>
    <definedName name="new" hidden="1">{"Summary",#N/A,FALSE,"Options "}</definedName>
    <definedName name="niPO" localSheetId="1" hidden="1">#REF!</definedName>
    <definedName name="niPO" localSheetId="20" hidden="1">#REF!</definedName>
    <definedName name="niPO" hidden="1">#REF!</definedName>
    <definedName name="nipxre" localSheetId="1" hidden="1">#REF!</definedName>
    <definedName name="nipxre" localSheetId="20" hidden="1">#REF!</definedName>
    <definedName name="nipxre" hidden="1">#REF!</definedName>
    <definedName name="nixre" localSheetId="1" hidden="1">#REF!</definedName>
    <definedName name="nixre" localSheetId="20" hidden="1">#REF!</definedName>
    <definedName name="nixre" hidden="1">#REF!</definedName>
    <definedName name="nk" localSheetId="1" hidden="1">#REF!</definedName>
    <definedName name="nk" localSheetId="20" hidden="1">#REF!</definedName>
    <definedName name="nk" hidden="1">#REF!</definedName>
    <definedName name="nki" localSheetId="1" hidden="1">#REF!</definedName>
    <definedName name="nki" localSheetId="20" hidden="1">#REF!</definedName>
    <definedName name="nki" hidden="1">#REF!</definedName>
    <definedName name="nkiw" localSheetId="1" hidden="1">#REF!</definedName>
    <definedName name="nkiw" localSheetId="20" hidden="1">#REF!</definedName>
    <definedName name="nkiw" hidden="1">#REF!</definedName>
    <definedName name="nKLqw" localSheetId="1" hidden="1">#REF!</definedName>
    <definedName name="nKLqw" localSheetId="20" hidden="1">#REF!</definedName>
    <definedName name="nKLqw" hidden="1">#REF!</definedName>
    <definedName name="nkse" localSheetId="1" hidden="1">#REF!</definedName>
    <definedName name="nkse" localSheetId="20" hidden="1">#REF!</definedName>
    <definedName name="nkse" hidden="1">#REF!</definedName>
    <definedName name="nkw" localSheetId="1" hidden="1">#REF!</definedName>
    <definedName name="nkw" localSheetId="20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localSheetId="1" hidden="1">#REF!</definedName>
    <definedName name="NMN" localSheetId="18" hidden="1">#REF!</definedName>
    <definedName name="NMN" localSheetId="20" hidden="1">#REF!</definedName>
    <definedName name="NMN" hidden="1">#REF!</definedName>
    <definedName name="nmop" localSheetId="1" hidden="1">#REF!</definedName>
    <definedName name="nmop" localSheetId="20" hidden="1">#REF!</definedName>
    <definedName name="nmop" hidden="1">#REF!</definedName>
    <definedName name="nmwqi" localSheetId="1" hidden="1">#REF!</definedName>
    <definedName name="nmwqi" localSheetId="20" hidden="1">#REF!</definedName>
    <definedName name="nmwqi" hidden="1">#REF!</definedName>
    <definedName name="nnnnnnn" localSheetId="1" hidden="1">#REF!</definedName>
    <definedName name="nnnnnnn" localSheetId="20" hidden="1">#REF!</definedName>
    <definedName name="nnnnnnn" hidden="1">#REF!</definedName>
    <definedName name="no" localSheetId="1" hidden="1">#REF!</definedName>
    <definedName name="no" localSheetId="20" hidden="1">#REF!</definedName>
    <definedName name="no" hidden="1">#REF!</definedName>
    <definedName name="noip" localSheetId="1" hidden="1">#REF!</definedName>
    <definedName name="noip" localSheetId="18" hidden="1">#REF!</definedName>
    <definedName name="noip" localSheetId="20" hidden="1">#REF!</definedName>
    <definedName name="noip" hidden="1">#REF!</definedName>
    <definedName name="noipx" localSheetId="1" hidden="1">#REF!</definedName>
    <definedName name="noipx" localSheetId="20" hidden="1">#REF!</definedName>
    <definedName name="noipx" hidden="1">#REF!</definedName>
    <definedName name="nom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1" hidden="1">{#N/A,#N/A,FALSE,"SCA";#N/A,#N/A,FALSE,"NCA";#N/A,#N/A,FALSE,"SAZ";#N/A,#N/A,FALSE,"CAZ";#N/A,#N/A,FALSE,"SNV";#N/A,#N/A,FALSE,"NNV";#N/A,#N/A,FALSE,"PP";#N/A,#N/A,FALSE,"SA"}</definedName>
    <definedName name="NONE" localSheetId="13" hidden="1">{#N/A,#N/A,FALSE,"SCA";#N/A,#N/A,FALSE,"NCA";#N/A,#N/A,FALSE,"SAZ";#N/A,#N/A,FALSE,"CAZ";#N/A,#N/A,FALSE,"SNV";#N/A,#N/A,FALSE,"NNV";#N/A,#N/A,FALSE,"PP";#N/A,#N/A,FALSE,"SA"}</definedName>
    <definedName name="NONE" localSheetId="18" hidden="1">{#N/A,#N/A,FALSE,"SCA";#N/A,#N/A,FALSE,"NCA";#N/A,#N/A,FALSE,"SAZ";#N/A,#N/A,FALSE,"CAZ";#N/A,#N/A,FALSE,"SNV";#N/A,#N/A,FALSE,"NNV";#N/A,#N/A,FALSE,"PP";#N/A,#N/A,FALSE,"SA"}</definedName>
    <definedName name="NONE" localSheetId="20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NE_1" localSheetId="1" hidden="1">{#N/A,#N/A,FALSE,"SCA";#N/A,#N/A,FALSE,"NCA";#N/A,#N/A,FALSE,"SAZ";#N/A,#N/A,FALSE,"CAZ";#N/A,#N/A,FALSE,"SNV";#N/A,#N/A,FALSE,"NNV";#N/A,#N/A,FALSE,"PP";#N/A,#N/A,FALSE,"SA"}</definedName>
    <definedName name="NONE_1" localSheetId="13" hidden="1">{#N/A,#N/A,FALSE,"SCA";#N/A,#N/A,FALSE,"NCA";#N/A,#N/A,FALSE,"SAZ";#N/A,#N/A,FALSE,"CAZ";#N/A,#N/A,FALSE,"SNV";#N/A,#N/A,FALSE,"NNV";#N/A,#N/A,FALSE,"PP";#N/A,#N/A,FALSE,"SA"}</definedName>
    <definedName name="NONE_1" localSheetId="18" hidden="1">{#N/A,#N/A,FALSE,"SCA";#N/A,#N/A,FALSE,"NCA";#N/A,#N/A,FALSE,"SAZ";#N/A,#N/A,FALSE,"CAZ";#N/A,#N/A,FALSE,"SNV";#N/A,#N/A,FALSE,"NNV";#N/A,#N/A,FALSE,"PP";#N/A,#N/A,FALSE,"SA"}</definedName>
    <definedName name="NONE_1" localSheetId="20" hidden="1">{#N/A,#N/A,FALSE,"SCA";#N/A,#N/A,FALSE,"NCA";#N/A,#N/A,FALSE,"SAZ";#N/A,#N/A,FALSE,"CAZ";#N/A,#N/A,FALSE,"SNV";#N/A,#N/A,FALSE,"NNV";#N/A,#N/A,FALSE,"PP";#N/A,#N/A,FALSE,"SA"}</definedName>
    <definedName name="NONE_1" hidden="1">{#N/A,#N/A,FALSE,"SCA";#N/A,#N/A,FALSE,"NCA";#N/A,#N/A,FALSE,"SAZ";#N/A,#N/A,FALSE,"CAZ";#N/A,#N/A,FALSE,"SNV";#N/A,#N/A,FALSE,"NNV";#N/A,#N/A,FALSE,"PP";#N/A,#N/A,FALSE,"SA"}</definedName>
    <definedName name="NONE_2" localSheetId="1" hidden="1">{#N/A,#N/A,FALSE,"SCA";#N/A,#N/A,FALSE,"NCA";#N/A,#N/A,FALSE,"SAZ";#N/A,#N/A,FALSE,"CAZ";#N/A,#N/A,FALSE,"SNV";#N/A,#N/A,FALSE,"NNV";#N/A,#N/A,FALSE,"PP";#N/A,#N/A,FALSE,"SA"}</definedName>
    <definedName name="NONE_2" localSheetId="13" hidden="1">{#N/A,#N/A,FALSE,"SCA";#N/A,#N/A,FALSE,"NCA";#N/A,#N/A,FALSE,"SAZ";#N/A,#N/A,FALSE,"CAZ";#N/A,#N/A,FALSE,"SNV";#N/A,#N/A,FALSE,"NNV";#N/A,#N/A,FALSE,"PP";#N/A,#N/A,FALSE,"SA"}</definedName>
    <definedName name="NONE_2" localSheetId="18" hidden="1">{#N/A,#N/A,FALSE,"SCA";#N/A,#N/A,FALSE,"NCA";#N/A,#N/A,FALSE,"SAZ";#N/A,#N/A,FALSE,"CAZ";#N/A,#N/A,FALSE,"SNV";#N/A,#N/A,FALSE,"NNV";#N/A,#N/A,FALSE,"PP";#N/A,#N/A,FALSE,"SA"}</definedName>
    <definedName name="NONE_2" localSheetId="20" hidden="1">{#N/A,#N/A,FALSE,"SCA";#N/A,#N/A,FALSE,"NCA";#N/A,#N/A,FALSE,"SAZ";#N/A,#N/A,FALSE,"CAZ";#N/A,#N/A,FALSE,"SNV";#N/A,#N/A,FALSE,"NNV";#N/A,#N/A,FALSE,"PP";#N/A,#N/A,FALSE,"SA"}</definedName>
    <definedName name="NONE_2" hidden="1">{#N/A,#N/A,FALSE,"SCA";#N/A,#N/A,FALSE,"NCA";#N/A,#N/A,FALSE,"SAZ";#N/A,#N/A,FALSE,"CAZ";#N/A,#N/A,FALSE,"SNV";#N/A,#N/A,FALSE,"NNV";#N/A,#N/A,FALSE,"PP";#N/A,#N/A,FALSE,"SA"}</definedName>
    <definedName name="nop" localSheetId="1" hidden="1">#REF!</definedName>
    <definedName name="nop" localSheetId="18" hidden="1">#REF!</definedName>
    <definedName name="nop" localSheetId="20" hidden="1">#REF!</definedName>
    <definedName name="nop" hidden="1">#REF!</definedName>
    <definedName name="nope" localSheetId="1" hidden="1">#REF!</definedName>
    <definedName name="nope" localSheetId="20" hidden="1">#REF!</definedName>
    <definedName name="nope" hidden="1">#REF!</definedName>
    <definedName name="noper" localSheetId="1" hidden="1">#REF!</definedName>
    <definedName name="noper" localSheetId="20" hidden="1">#REF!</definedName>
    <definedName name="noper" hidden="1">#REF!</definedName>
    <definedName name="now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localSheetId="1" hidden="1">#REF!</definedName>
    <definedName name="nsz" localSheetId="18" hidden="1">#REF!</definedName>
    <definedName name="nsz" localSheetId="20" hidden="1">#REF!</definedName>
    <definedName name="nsz" hidden="1">#REF!</definedName>
    <definedName name="ntgt" localSheetId="1" hidden="1">{"'Sheet1'!$A$1:$O$40"}</definedName>
    <definedName name="ntgt" localSheetId="13" hidden="1">{"'Sheet1'!$A$1:$O$40"}</definedName>
    <definedName name="ntgt" localSheetId="18" hidden="1">{"'Sheet1'!$A$1:$O$40"}</definedName>
    <definedName name="ntgt" localSheetId="20" hidden="1">{"'Sheet1'!$A$1:$O$40"}</definedName>
    <definedName name="ntgt" hidden="1">{"'Sheet1'!$A$1:$O$40"}</definedName>
    <definedName name="num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localSheetId="1" hidden="1">#REF!</definedName>
    <definedName name="o" localSheetId="20" hidden="1">#REF!</definedName>
    <definedName name="o" hidden="1">#REF!</definedName>
    <definedName name="ocq" localSheetId="1" hidden="1">#REF!</definedName>
    <definedName name="ocq" localSheetId="20" hidden="1">#REF!</definedName>
    <definedName name="ocq" hidden="1">#REF!</definedName>
    <definedName name="odezscv" localSheetId="1" hidden="1">#REF!</definedName>
    <definedName name="odezscv" localSheetId="18" hidden="1">#REF!</definedName>
    <definedName name="odezscv" localSheetId="20" hidden="1">#REF!</definedName>
    <definedName name="odezscv" hidden="1">#REF!</definedName>
    <definedName name="ofooooo" localSheetId="1" hidden="1">#REF!</definedName>
    <definedName name="ofooooo" localSheetId="20" hidden="1">#REF!</definedName>
    <definedName name="ofooooo" hidden="1">#REF!</definedName>
    <definedName name="oia" localSheetId="1" hidden="1">#REF!</definedName>
    <definedName name="oia" localSheetId="20" hidden="1">#REF!</definedName>
    <definedName name="oia" hidden="1">#REF!</definedName>
    <definedName name="oiacew" localSheetId="1" hidden="1">#REF!</definedName>
    <definedName name="oiacew" localSheetId="20" hidden="1">#REF!</definedName>
    <definedName name="oiacew" hidden="1">#REF!</definedName>
    <definedName name="oicw" localSheetId="1" hidden="1">#REF!</definedName>
    <definedName name="oicw" localSheetId="20" hidden="1">#REF!</definedName>
    <definedName name="oicw" hidden="1">#REF!</definedName>
    <definedName name="oieac" localSheetId="1" hidden="1">#REF!</definedName>
    <definedName name="oieac" localSheetId="20" hidden="1">#REF!</definedName>
    <definedName name="oieac" hidden="1">#REF!</definedName>
    <definedName name="oiewq" localSheetId="1" hidden="1">#REF!</definedName>
    <definedName name="oiewq" localSheetId="20" hidden="1">#REF!</definedName>
    <definedName name="oiewq" hidden="1">#REF!</definedName>
    <definedName name="oihyecv" localSheetId="1" hidden="1">#REF!</definedName>
    <definedName name="oihyecv" localSheetId="20" hidden="1">#REF!</definedName>
    <definedName name="oihyecv" hidden="1">#REF!</definedName>
    <definedName name="oips" localSheetId="1" hidden="1">#REF!</definedName>
    <definedName name="oips" localSheetId="20" hidden="1">#REF!</definedName>
    <definedName name="oips" hidden="1">#REF!</definedName>
    <definedName name="ok" localSheetId="1" hidden="1">#REF!</definedName>
    <definedName name="ok" localSheetId="20" hidden="1">#REF!</definedName>
    <definedName name="ok" hidden="1">#REF!</definedName>
    <definedName name="okey" localSheetId="1" hidden="1">#REF!</definedName>
    <definedName name="okey" localSheetId="20" hidden="1">#REF!</definedName>
    <definedName name="okey" hidden="1">#REF!</definedName>
    <definedName name="okeydokey" localSheetId="1" hidden="1">#REF!</definedName>
    <definedName name="okeydokey" localSheetId="20" hidden="1">#REF!</definedName>
    <definedName name="okeydokey" hidden="1">#REF!</definedName>
    <definedName name="oklpwa" localSheetId="1" hidden="1">#REF!</definedName>
    <definedName name="oklpwa" localSheetId="20" hidden="1">#REF!</definedName>
    <definedName name="oklpwa" hidden="1">#REF!</definedName>
    <definedName name="olpuwce" localSheetId="1" hidden="1">#REF!</definedName>
    <definedName name="olpuwce" localSheetId="20" hidden="1">#REF!</definedName>
    <definedName name="olpuwce" hidden="1">#REF!</definedName>
    <definedName name="oluw" localSheetId="1" hidden="1">#REF!</definedName>
    <definedName name="oluw" localSheetId="20" hidden="1">#REF!</definedName>
    <definedName name="oluw" hidden="1">#REF!</definedName>
    <definedName name="oooofp" localSheetId="1" hidden="1">#REF!</definedName>
    <definedName name="oooofp" localSheetId="18" hidden="1">#REF!</definedName>
    <definedName name="oooofp" localSheetId="20" hidden="1">#REF!</definedName>
    <definedName name="oooofp" hidden="1">#REF!</definedName>
    <definedName name="opec" localSheetId="1" hidden="1">#REF!</definedName>
    <definedName name="opec" localSheetId="20" hidden="1">#REF!</definedName>
    <definedName name="opec" hidden="1">#REF!</definedName>
    <definedName name="opewqr" localSheetId="1" hidden="1">#REF!</definedName>
    <definedName name="opewqr" localSheetId="20" hidden="1">#REF!</definedName>
    <definedName name="opewqr" hidden="1">#REF!</definedName>
    <definedName name="opicaew" localSheetId="1" hidden="1">#REF!</definedName>
    <definedName name="opicaew" localSheetId="20" hidden="1">#REF!</definedName>
    <definedName name="opicaew" hidden="1">#REF!</definedName>
    <definedName name="opiecv" localSheetId="1" hidden="1">#REF!</definedName>
    <definedName name="opiecv" localSheetId="20" hidden="1">#REF!</definedName>
    <definedName name="opiecv" hidden="1">#REF!</definedName>
    <definedName name="opiyu" localSheetId="1" hidden="1">#REF!</definedName>
    <definedName name="opiyu" localSheetId="20" hidden="1">#REF!</definedName>
    <definedName name="opiyu" hidden="1">#REF!</definedName>
    <definedName name="oplpp" localSheetId="1" hidden="1">#REF!</definedName>
    <definedName name="oplpp" localSheetId="20" hidden="1">#REF!</definedName>
    <definedName name="oplpp" hidden="1">#REF!</definedName>
    <definedName name="opp" localSheetId="1" hidden="1">#REF!</definedName>
    <definedName name="opp" localSheetId="20" hidden="1">#REF!</definedName>
    <definedName name="opp" hidden="1">#REF!</definedName>
    <definedName name="opuafw" localSheetId="1" hidden="1">#REF!</definedName>
    <definedName name="opuafw" localSheetId="20" hidden="1">#REF!</definedName>
    <definedName name="opuafw" hidden="1">#REF!</definedName>
    <definedName name="opuc3e" localSheetId="1" hidden="1">#REF!</definedName>
    <definedName name="opuc3e" localSheetId="20" hidden="1">#REF!</definedName>
    <definedName name="opuc3e" hidden="1">#REF!</definedName>
    <definedName name="opueac" localSheetId="1" hidden="1">#REF!</definedName>
    <definedName name="opueac" localSheetId="20" hidden="1">#REF!</definedName>
    <definedName name="opueac" hidden="1">#REF!</definedName>
    <definedName name="opufw" localSheetId="1" hidden="1">#REF!</definedName>
    <definedName name="opufw" localSheetId="20" hidden="1">#REF!</definedName>
    <definedName name="opufw" hidden="1">#REF!</definedName>
    <definedName name="opuwa" localSheetId="1" hidden="1">#REF!</definedName>
    <definedName name="opuwa" localSheetId="20" hidden="1">#REF!</definedName>
    <definedName name="opuwa" hidden="1">#REF!</definedName>
    <definedName name="opvs" localSheetId="1" hidden="1">#REF!</definedName>
    <definedName name="opvs" localSheetId="20" hidden="1">#REF!</definedName>
    <definedName name="opvs" hidden="1">#REF!</definedName>
    <definedName name="os" localSheetId="1" hidden="1">#REF!</definedName>
    <definedName name="os" localSheetId="20" hidden="1">#REF!</definedName>
    <definedName name="os" hidden="1">#REF!</definedName>
    <definedName name="oupc" localSheetId="1" hidden="1">#REF!</definedName>
    <definedName name="oupc" localSheetId="18" hidden="1">#REF!</definedName>
    <definedName name="oupc" localSheetId="20" hidden="1">#REF!</definedName>
    <definedName name="oupc" hidden="1">#REF!</definedName>
    <definedName name="ovwe" localSheetId="1" hidden="1">#REF!</definedName>
    <definedName name="ovwe" localSheetId="20" hidden="1">#REF!</definedName>
    <definedName name="ovwe" hidden="1">#REF!</definedName>
    <definedName name="p" localSheetId="1" hidden="1">{"Support/Rev Op Inc=Total revenue + OIBT",#N/A,FALSE,"Rev-Op Inc"}</definedName>
    <definedName name="p" localSheetId="13" hidden="1">{"Support/Rev Op Inc=Total revenue + OIBT",#N/A,FALSE,"Rev-Op Inc"}</definedName>
    <definedName name="p" localSheetId="18" hidden="1">{"Support/Rev Op Inc=Total revenue + OIBT",#N/A,FALSE,"Rev-Op Inc"}</definedName>
    <definedName name="p" localSheetId="20" hidden="1">{"Support/Rev Op Inc=Total revenue + OIBT",#N/A,FALSE,"Rev-Op Inc"}</definedName>
    <definedName name="p" hidden="1">{"Support/Rev Op Inc=Total revenue + OIBT",#N/A,FALSE,"Rev-Op Inc"}</definedName>
    <definedName name="Pal_Workbook_GUID" hidden="1">"2L986F145WYGX229IDPE7YKM"</definedName>
    <definedName name="pb" localSheetId="1" hidden="1">{#N/A,#N/A,FALSE,"04 Target Calc.";#N/A,#N/A,FALSE,"03 Projection Calc"}</definedName>
    <definedName name="pb" localSheetId="13" hidden="1">{#N/A,#N/A,FALSE,"04 Target Calc.";#N/A,#N/A,FALSE,"03 Projection Calc"}</definedName>
    <definedName name="pb" localSheetId="18" hidden="1">{#N/A,#N/A,FALSE,"04 Target Calc.";#N/A,#N/A,FALSE,"03 Projection Calc"}</definedName>
    <definedName name="pb" localSheetId="20" hidden="1">{#N/A,#N/A,FALSE,"04 Target Calc.";#N/A,#N/A,FALSE,"03 Projection Calc"}</definedName>
    <definedName name="pb" hidden="1">{#N/A,#N/A,FALSE,"04 Target Calc.";#N/A,#N/A,FALSE,"03 Projection Calc"}</definedName>
    <definedName name="Pepco" localSheetId="1" hidden="1">{#N/A,#N/A,FALSE,"O&amp;M by processes";#N/A,#N/A,FALSE,"Elec Act vs Bud";#N/A,#N/A,FALSE,"G&amp;A";#N/A,#N/A,FALSE,"BGS";#N/A,#N/A,FALSE,"Res Cost"}</definedName>
    <definedName name="Pepco" localSheetId="13" hidden="1">{#N/A,#N/A,FALSE,"O&amp;M by processes";#N/A,#N/A,FALSE,"Elec Act vs Bud";#N/A,#N/A,FALSE,"G&amp;A";#N/A,#N/A,FALSE,"BGS";#N/A,#N/A,FALSE,"Res Cost"}</definedName>
    <definedName name="Pepco" localSheetId="18" hidden="1">{#N/A,#N/A,FALSE,"O&amp;M by processes";#N/A,#N/A,FALSE,"Elec Act vs Bud";#N/A,#N/A,FALSE,"G&amp;A";#N/A,#N/A,FALSE,"BGS";#N/A,#N/A,FALSE,"Res Cost"}</definedName>
    <definedName name="Pepco" localSheetId="20" hidden="1">{#N/A,#N/A,FALSE,"O&amp;M by processes";#N/A,#N/A,FALSE,"Elec Act vs Bud";#N/A,#N/A,FALSE,"G&amp;A";#N/A,#N/A,FALSE,"BGS";#N/A,#N/A,FALSE,"Res Cost"}</definedName>
    <definedName name="Pepco" hidden="1">{#N/A,#N/A,FALSE,"O&amp;M by processes";#N/A,#N/A,FALSE,"Elec Act vs Bud";#N/A,#N/A,FALSE,"G&amp;A";#N/A,#N/A,FALSE,"BGS";#N/A,#N/A,FALSE,"Res Cost"}</definedName>
    <definedName name="peqafd" localSheetId="1" hidden="1">#REF!</definedName>
    <definedName name="peqafd" localSheetId="18" hidden="1">#REF!</definedName>
    <definedName name="peqafd" localSheetId="20" hidden="1">#REF!</definedName>
    <definedName name="peqafd" hidden="1">#REF!</definedName>
    <definedName name="PERO" localSheetId="1" hidden="1">{#N/A,#N/A,FALSE,"SCA";#N/A,#N/A,FALSE,"NCA";#N/A,#N/A,FALSE,"SAZ";#N/A,#N/A,FALSE,"CAZ";#N/A,#N/A,FALSE,"SNV";#N/A,#N/A,FALSE,"NNV";#N/A,#N/A,FALSE,"PP";#N/A,#N/A,FALSE,"SA"}</definedName>
    <definedName name="PERO" localSheetId="13" hidden="1">{#N/A,#N/A,FALSE,"SCA";#N/A,#N/A,FALSE,"NCA";#N/A,#N/A,FALSE,"SAZ";#N/A,#N/A,FALSE,"CAZ";#N/A,#N/A,FALSE,"SNV";#N/A,#N/A,FALSE,"NNV";#N/A,#N/A,FALSE,"PP";#N/A,#N/A,FALSE,"SA"}</definedName>
    <definedName name="PERO" localSheetId="18" hidden="1">{#N/A,#N/A,FALSE,"SCA";#N/A,#N/A,FALSE,"NCA";#N/A,#N/A,FALSE,"SAZ";#N/A,#N/A,FALSE,"CAZ";#N/A,#N/A,FALSE,"SNV";#N/A,#N/A,FALSE,"NNV";#N/A,#N/A,FALSE,"PP";#N/A,#N/A,FALSE,"SA"}</definedName>
    <definedName name="PERO" localSheetId="20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O_1" localSheetId="1" hidden="1">{#N/A,#N/A,FALSE,"SCA";#N/A,#N/A,FALSE,"NCA";#N/A,#N/A,FALSE,"SAZ";#N/A,#N/A,FALSE,"CAZ";#N/A,#N/A,FALSE,"SNV";#N/A,#N/A,FALSE,"NNV";#N/A,#N/A,FALSE,"PP";#N/A,#N/A,FALSE,"SA"}</definedName>
    <definedName name="PERO_1" localSheetId="13" hidden="1">{#N/A,#N/A,FALSE,"SCA";#N/A,#N/A,FALSE,"NCA";#N/A,#N/A,FALSE,"SAZ";#N/A,#N/A,FALSE,"CAZ";#N/A,#N/A,FALSE,"SNV";#N/A,#N/A,FALSE,"NNV";#N/A,#N/A,FALSE,"PP";#N/A,#N/A,FALSE,"SA"}</definedName>
    <definedName name="PERO_1" localSheetId="18" hidden="1">{#N/A,#N/A,FALSE,"SCA";#N/A,#N/A,FALSE,"NCA";#N/A,#N/A,FALSE,"SAZ";#N/A,#N/A,FALSE,"CAZ";#N/A,#N/A,FALSE,"SNV";#N/A,#N/A,FALSE,"NNV";#N/A,#N/A,FALSE,"PP";#N/A,#N/A,FALSE,"SA"}</definedName>
    <definedName name="PERO_1" localSheetId="20" hidden="1">{#N/A,#N/A,FALSE,"SCA";#N/A,#N/A,FALSE,"NCA";#N/A,#N/A,FALSE,"SAZ";#N/A,#N/A,FALSE,"CAZ";#N/A,#N/A,FALSE,"SNV";#N/A,#N/A,FALSE,"NNV";#N/A,#N/A,FALSE,"PP";#N/A,#N/A,FALSE,"SA"}</definedName>
    <definedName name="PERO_1" hidden="1">{#N/A,#N/A,FALSE,"SCA";#N/A,#N/A,FALSE,"NCA";#N/A,#N/A,FALSE,"SAZ";#N/A,#N/A,FALSE,"CAZ";#N/A,#N/A,FALSE,"SNV";#N/A,#N/A,FALSE,"NNV";#N/A,#N/A,FALSE,"PP";#N/A,#N/A,FALSE,"SA"}</definedName>
    <definedName name="PERO_2" localSheetId="1" hidden="1">{#N/A,#N/A,FALSE,"SCA";#N/A,#N/A,FALSE,"NCA";#N/A,#N/A,FALSE,"SAZ";#N/A,#N/A,FALSE,"CAZ";#N/A,#N/A,FALSE,"SNV";#N/A,#N/A,FALSE,"NNV";#N/A,#N/A,FALSE,"PP";#N/A,#N/A,FALSE,"SA"}</definedName>
    <definedName name="PERO_2" localSheetId="13" hidden="1">{#N/A,#N/A,FALSE,"SCA";#N/A,#N/A,FALSE,"NCA";#N/A,#N/A,FALSE,"SAZ";#N/A,#N/A,FALSE,"CAZ";#N/A,#N/A,FALSE,"SNV";#N/A,#N/A,FALSE,"NNV";#N/A,#N/A,FALSE,"PP";#N/A,#N/A,FALSE,"SA"}</definedName>
    <definedName name="PERO_2" localSheetId="18" hidden="1">{#N/A,#N/A,FALSE,"SCA";#N/A,#N/A,FALSE,"NCA";#N/A,#N/A,FALSE,"SAZ";#N/A,#N/A,FALSE,"CAZ";#N/A,#N/A,FALSE,"SNV";#N/A,#N/A,FALSE,"NNV";#N/A,#N/A,FALSE,"PP";#N/A,#N/A,FALSE,"SA"}</definedName>
    <definedName name="PERO_2" localSheetId="20" hidden="1">{#N/A,#N/A,FALSE,"SCA";#N/A,#N/A,FALSE,"NCA";#N/A,#N/A,FALSE,"SAZ";#N/A,#N/A,FALSE,"CAZ";#N/A,#N/A,FALSE,"SNV";#N/A,#N/A,FALSE,"NNV";#N/A,#N/A,FALSE,"PP";#N/A,#N/A,FALSE,"SA"}</definedName>
    <definedName name="PERO_2" hidden="1">{#N/A,#N/A,FALSE,"SCA";#N/A,#N/A,FALSE,"NCA";#N/A,#N/A,FALSE,"SAZ";#N/A,#N/A,FALSE,"CAZ";#N/A,#N/A,FALSE,"SNV";#N/A,#N/A,FALSE,"NNV";#N/A,#N/A,FALSE,"PP";#N/A,#N/A,FALSE,"SA"}</definedName>
    <definedName name="pert" localSheetId="1" hidden="1">#REF!</definedName>
    <definedName name="pert" localSheetId="18" hidden="1">#REF!</definedName>
    <definedName name="pert" localSheetId="20" hidden="1">#REF!</definedName>
    <definedName name="pert" hidden="1">#REF!</definedName>
    <definedName name="plk" localSheetId="1" hidden="1">#REF!</definedName>
    <definedName name="plk" localSheetId="18" hidden="1">#REF!</definedName>
    <definedName name="plk" localSheetId="20" hidden="1">#REF!</definedName>
    <definedName name="plk" hidden="1">#REF!</definedName>
    <definedName name="plo" localSheetId="1" hidden="1">#REF!</definedName>
    <definedName name="plo" localSheetId="20" hidden="1">#REF!</definedName>
    <definedName name="plo" hidden="1">#REF!</definedName>
    <definedName name="plvsanj" localSheetId="1" hidden="1">#REF!</definedName>
    <definedName name="plvsanj" localSheetId="20" hidden="1">#REF!</definedName>
    <definedName name="plvsanj" hidden="1">#REF!</definedName>
    <definedName name="pocq" localSheetId="1" hidden="1">#REF!</definedName>
    <definedName name="pocq" localSheetId="20" hidden="1">#REF!</definedName>
    <definedName name="pocq" hidden="1">#REF!</definedName>
    <definedName name="poe" localSheetId="1" hidden="1">#REF!</definedName>
    <definedName name="poe" localSheetId="20" hidden="1">#REF!</definedName>
    <definedName name="poe" hidden="1">#REF!</definedName>
    <definedName name="poeac" localSheetId="1" hidden="1">#REF!</definedName>
    <definedName name="poeac" localSheetId="20" hidden="1">#REF!</definedName>
    <definedName name="poeac" hidden="1">#REF!</definedName>
    <definedName name="poec" localSheetId="1" hidden="1">#REF!</definedName>
    <definedName name="poec" localSheetId="20" hidden="1">#REF!</definedName>
    <definedName name="poec" hidden="1">#REF!</definedName>
    <definedName name="poeca" localSheetId="1" hidden="1">#REF!</definedName>
    <definedName name="poeca" localSheetId="20" hidden="1">#REF!</definedName>
    <definedName name="poeca" hidden="1">#REF!</definedName>
    <definedName name="poert" localSheetId="1" hidden="1">#REF!</definedName>
    <definedName name="poert" localSheetId="20" hidden="1">#REF!</definedName>
    <definedName name="poert" hidden="1">#REF!</definedName>
    <definedName name="poi" localSheetId="1" hidden="1">#REF!</definedName>
    <definedName name="poi" localSheetId="20" hidden="1">#REF!</definedName>
    <definedName name="poi" hidden="1">#REF!</definedName>
    <definedName name="poica" localSheetId="1" hidden="1">#REF!</definedName>
    <definedName name="poica" localSheetId="20" hidden="1">#REF!</definedName>
    <definedName name="poica" hidden="1">#REF!</definedName>
    <definedName name="poiea" localSheetId="1" hidden="1">#REF!</definedName>
    <definedName name="poiea" localSheetId="20" hidden="1">#REF!</definedName>
    <definedName name="poiea" hidden="1">#REF!</definedName>
    <definedName name="poiv" localSheetId="1" hidden="1">#REF!</definedName>
    <definedName name="poiv" localSheetId="20" hidden="1">#REF!</definedName>
    <definedName name="poiv" hidden="1">#REF!</definedName>
    <definedName name="poiy" localSheetId="1" hidden="1">#REF!</definedName>
    <definedName name="poiy" localSheetId="20" hidden="1">#REF!</definedName>
    <definedName name="poiy" hidden="1">#REF!</definedName>
    <definedName name="poiyw" localSheetId="1" hidden="1">#REF!</definedName>
    <definedName name="poiyw" localSheetId="20" hidden="1">#REF!</definedName>
    <definedName name="poiyw" hidden="1">#REF!</definedName>
    <definedName name="PopCache_GL_INTERFACE_REFERENCE7" localSheetId="13" hidden="1">[35]PopCache!$A$1:$A$2</definedName>
    <definedName name="PopCache_GL_INTERFACE_REFERENCE7" localSheetId="18" hidden="1">[36]PopCache!$A$1:$A$2</definedName>
    <definedName name="PopCache_GL_INTERFACE_REFERENCE7" hidden="1">#REF!</definedName>
    <definedName name="pouac" localSheetId="1" hidden="1">#REF!</definedName>
    <definedName name="pouac" localSheetId="18" hidden="1">#REF!</definedName>
    <definedName name="pouac" localSheetId="20" hidden="1">#REF!</definedName>
    <definedName name="pouac" hidden="1">#REF!</definedName>
    <definedName name="pouce" localSheetId="1" hidden="1">#REF!</definedName>
    <definedName name="pouce" localSheetId="20" hidden="1">#REF!</definedName>
    <definedName name="pouce" hidden="1">#REF!</definedName>
    <definedName name="povrs" localSheetId="1" hidden="1">#REF!</definedName>
    <definedName name="povrs" localSheetId="20" hidden="1">#REF!</definedName>
    <definedName name="povrs" hidden="1">#REF!</definedName>
    <definedName name="pp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1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18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localSheetId="1" hidden="1">{"'Sheet1'!$A$1:$O$40"}</definedName>
    <definedName name="pppp" localSheetId="13" hidden="1">{"'Sheet1'!$A$1:$O$40"}</definedName>
    <definedName name="pppp" localSheetId="18" hidden="1">{"'Sheet1'!$A$1:$O$40"}</definedName>
    <definedName name="pppp" localSheetId="20" hidden="1">{"'Sheet1'!$A$1:$O$40"}</definedName>
    <definedName name="pppp" hidden="1">{"'Sheet1'!$A$1:$O$40"}</definedName>
    <definedName name="ppppp" localSheetId="1" hidden="1">{#N/A,#N/A,FALSE,"SCA";#N/A,#N/A,FALSE,"NCA";#N/A,#N/A,FALSE,"SAZ";#N/A,#N/A,FALSE,"CAZ";#N/A,#N/A,FALSE,"SNV";#N/A,#N/A,FALSE,"NNV";#N/A,#N/A,FALSE,"PP";#N/A,#N/A,FALSE,"SA"}</definedName>
    <definedName name="ppppp" localSheetId="13" hidden="1">{#N/A,#N/A,FALSE,"SCA";#N/A,#N/A,FALSE,"NCA";#N/A,#N/A,FALSE,"SAZ";#N/A,#N/A,FALSE,"CAZ";#N/A,#N/A,FALSE,"SNV";#N/A,#N/A,FALSE,"NNV";#N/A,#N/A,FALSE,"PP";#N/A,#N/A,FALSE,"SA"}</definedName>
    <definedName name="ppppp" localSheetId="18" hidden="1">{#N/A,#N/A,FALSE,"SCA";#N/A,#N/A,FALSE,"NCA";#N/A,#N/A,FALSE,"SAZ";#N/A,#N/A,FALSE,"CAZ";#N/A,#N/A,FALSE,"SNV";#N/A,#N/A,FALSE,"NNV";#N/A,#N/A,FALSE,"PP";#N/A,#N/A,FALSE,"SA"}</definedName>
    <definedName name="ppppp" localSheetId="20" hidden="1">{#N/A,#N/A,FALSE,"SCA";#N/A,#N/A,FALSE,"NCA";#N/A,#N/A,FALSE,"SAZ";#N/A,#N/A,FALSE,"CAZ";#N/A,#N/A,FALSE,"SNV";#N/A,#N/A,FALSE,"NNV";#N/A,#N/A,FALSE,"PP";#N/A,#N/A,FALSE,"SA"}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localSheetId="1" hidden="1">#REF!</definedName>
    <definedName name="pppppppp" localSheetId="18" hidden="1">#REF!</definedName>
    <definedName name="pppppppp" localSheetId="20" hidden="1">#REF!</definedName>
    <definedName name="pppppppp" hidden="1">#REF!</definedName>
    <definedName name="pppppppppp" localSheetId="1" hidden="1">{"'Sheet1'!$A$1:$O$40"}</definedName>
    <definedName name="pppppppppp" localSheetId="13" hidden="1">{"'Sheet1'!$A$1:$O$40"}</definedName>
    <definedName name="pppppppppp" localSheetId="18" hidden="1">{"'Sheet1'!$A$1:$O$40"}</definedName>
    <definedName name="pppppppppp" localSheetId="20" hidden="1">{"'Sheet1'!$A$1:$O$40"}</definedName>
    <definedName name="pppppppppp" hidden="1">{"'Sheet1'!$A$1:$O$40"}</definedName>
    <definedName name="_xlnm.Print_Area" localSheetId="0">'24.1, p3 Gas Cap Str PermCap'!$B$1:$O$57</definedName>
    <definedName name="_xlnm.Print_Area" localSheetId="1">'24.1, p4 OpCo Gas Proxy Cap Str'!$A$1:$I$23</definedName>
    <definedName name="_xlnm.Print_Area" localSheetId="6">'3. AEE'!$A$1:$AE$65</definedName>
    <definedName name="_xlnm.Print_Area" localSheetId="7">'3. AEP'!$A$1:$AE$64</definedName>
    <definedName name="_xlnm.Print_Area" localSheetId="8">'3. DUK'!$A$1:$AE$64</definedName>
    <definedName name="_xlnm.Print_Area" localSheetId="9">'3. EIX'!$A$1:$AE$64</definedName>
    <definedName name="_xlnm.Print_Area" localSheetId="10">'3. ETR'!$A$1:$AE$63</definedName>
    <definedName name="_xlnm.Print_Area" localSheetId="11">'3. EVRG'!$A$1:$AE$64</definedName>
    <definedName name="_xlnm.Print_Area" localSheetId="12">'3. IDA'!$A$1:$AE$64</definedName>
    <definedName name="_xlnm.Print_Area" localSheetId="5">'3. LNT'!$A$1:$AE$64</definedName>
    <definedName name="_xlnm.Print_Area" localSheetId="14">'3. OGE'!$A$1:$AG$65</definedName>
    <definedName name="_xlnm.Print_Area" localSheetId="15">'3. PNW'!$A$1:$AE$65</definedName>
    <definedName name="_xlnm.Print_Area" localSheetId="16">'3. POR'!$A$1:$AD$64</definedName>
    <definedName name="_xlnm.Print_Area" localSheetId="17">'3. SO'!$A$1:$AD$64</definedName>
    <definedName name="_xlnm.Print_Area" localSheetId="19">'3. XEL'!$A$1:$AD$64</definedName>
    <definedName name="_xlnm.Print_Area" localSheetId="2">'3.2-3 Elec Proxy CapStr PermCap'!$A$1:$O$105</definedName>
    <definedName name="_xlnm.Print_Area" localSheetId="3">'3.4 Elec Proxy OpCo Cap Str'!$A$1:$K$52</definedName>
    <definedName name="_xlnm.Print_Area" localSheetId="4">'WP OpCo Cap Str'!$A$1:$N$44</definedName>
    <definedName name="Print_Area_Reset" localSheetId="1">OFFSET([0]!Full_Print,0,0,[0]!Last_Row)</definedName>
    <definedName name="Print_Area_Reset" localSheetId="15">OFFSET('3. PNW'!Full_Print,0,0,'3. PNW'!Last_Row)</definedName>
    <definedName name="Print_Area_Reset" localSheetId="17">OFFSET(Full_Print,0,0,'3. SO'!Last_Row)</definedName>
    <definedName name="Print_Area_Reset" localSheetId="2">OFFSET('3.2-3 Elec Proxy CapStr PermCap'!Full_Print,0,0,'3.2-3 Elec Proxy CapStr PermCap'!Last_Row)</definedName>
    <definedName name="Print_Area_Reset" localSheetId="20">OFFSET([0]!Full_Print,0,0,[0]!Last_Row)</definedName>
    <definedName name="Print_Area_Reset">OFFSET(Full_Print,0,0,Last_Row)</definedName>
    <definedName name="_xlnm.Print_Titles" localSheetId="2">'3.2-3 Elec Proxy CapStr PermCap'!$1:$7</definedName>
    <definedName name="_xlnm.Print_Titles">#N/A</definedName>
    <definedName name="printing_probelm2_2006" localSheetId="1" hidden="1">{"CONSOL_UWNJ_ISV",#N/A,FALSE,"Sheet1";"CONSOL_UWNJ_SAV",#N/A,FALSE,"Sheet1";"CONSOL_UWNJ_BSV",#N/A,FALSE,"Sheet1";"CONSOL_UWNJ_SFDV",#N/A,FALSE,"Sheet1"}</definedName>
    <definedName name="printing_probelm2_2006" localSheetId="13" hidden="1">{"CONSOL_UWNJ_ISV",#N/A,FALSE,"Sheet1";"CONSOL_UWNJ_SAV",#N/A,FALSE,"Sheet1";"CONSOL_UWNJ_BSV",#N/A,FALSE,"Sheet1";"CONSOL_UWNJ_SFDV",#N/A,FALSE,"Sheet1"}</definedName>
    <definedName name="printing_probelm2_2006" localSheetId="18" hidden="1">{"CONSOL_UWNJ_ISV",#N/A,FALSE,"Sheet1";"CONSOL_UWNJ_SAV",#N/A,FALSE,"Sheet1";"CONSOL_UWNJ_BSV",#N/A,FALSE,"Sheet1";"CONSOL_UWNJ_SFDV",#N/A,FALSE,"Sheet1"}</definedName>
    <definedName name="printing_probelm2_2006" localSheetId="20" hidden="1">{"CONSOL_UWNJ_ISV",#N/A,FALSE,"Sheet1";"CONSOL_UWNJ_SAV",#N/A,FALSE,"Sheet1";"CONSOL_UWNJ_BSV",#N/A,FALSE,"Sheet1";"CONSOL_UWNJ_SFDV",#N/A,FALSE,"Sheet1"}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localSheetId="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13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18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2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localSheetId="1" hidden="1">{"CONSOL_UWNJ_ISV",#N/A,FALSE,"Sheet1";"CONSOL_UWNJ_SAV",#N/A,FALSE,"Sheet1";"CONSOL_UWNJ_BSV",#N/A,FALSE,"Sheet1";"CONSOL_UWNJ_SFDV",#N/A,FALSE,"Sheet1"}</definedName>
    <definedName name="printing_problem2" localSheetId="13" hidden="1">{"CONSOL_UWNJ_ISV",#N/A,FALSE,"Sheet1";"CONSOL_UWNJ_SAV",#N/A,FALSE,"Sheet1";"CONSOL_UWNJ_BSV",#N/A,FALSE,"Sheet1";"CONSOL_UWNJ_SFDV",#N/A,FALSE,"Sheet1"}</definedName>
    <definedName name="printing_problem2" localSheetId="18" hidden="1">{"CONSOL_UWNJ_ISV",#N/A,FALSE,"Sheet1";"CONSOL_UWNJ_SAV",#N/A,FALSE,"Sheet1";"CONSOL_UWNJ_BSV",#N/A,FALSE,"Sheet1";"CONSOL_UWNJ_SFDV",#N/A,FALSE,"Sheet1"}</definedName>
    <definedName name="printing_problem2" localSheetId="20" hidden="1">{"CONSOL_UWNJ_ISV",#N/A,FALSE,"Sheet1";"CONSOL_UWNJ_SAV",#N/A,FALSE,"Sheet1";"CONSOL_UWNJ_BSV",#N/A,FALSE,"Sheet1";"CONSOL_UWNJ_SFDV",#N/A,FALSE,"Sheet1"}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localSheetId="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13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18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2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localSheetId="1" hidden="1">{"CONSOL_WO_ISV",#N/A,FALSE,"Sheet1";"CONSOL_WO_SAV",#N/A,FALSE,"Sheet1";"CONSOL_WO_BSV",#N/A,FALSE,"Sheet1";"CONSOL_WO_SFDV",#N/A,FALSE,"Sheet1"}</definedName>
    <definedName name="printing_problem3" localSheetId="13" hidden="1">{"CONSOL_WO_ISV",#N/A,FALSE,"Sheet1";"CONSOL_WO_SAV",#N/A,FALSE,"Sheet1";"CONSOL_WO_BSV",#N/A,FALSE,"Sheet1";"CONSOL_WO_SFDV",#N/A,FALSE,"Sheet1"}</definedName>
    <definedName name="printing_problem3" localSheetId="18" hidden="1">{"CONSOL_WO_ISV",#N/A,FALSE,"Sheet1";"CONSOL_WO_SAV",#N/A,FALSE,"Sheet1";"CONSOL_WO_BSV",#N/A,FALSE,"Sheet1";"CONSOL_WO_SFDV",#N/A,FALSE,"Sheet1"}</definedName>
    <definedName name="printing_problem3" localSheetId="20" hidden="1">{"CONSOL_WO_ISV",#N/A,FALSE,"Sheet1";"CONSOL_WO_SAV",#N/A,FALSE,"Sheet1";"CONSOL_WO_BSV",#N/A,FALSE,"Sheet1";"CONSOL_WO_SFDV",#N/A,FALSE,"Sheet1"}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localSheetId="1" hidden="1">{"CONSOL_WO_ISV",#N/A,FALSE,"Sheet1";"CONSOL_WO_SAV",#N/A,FALSE,"Sheet1";"CONSOL_WO_BSV",#N/A,FALSE,"Sheet1";"CONSOL_WO_SFDV",#N/A,FALSE,"Sheet1"}</definedName>
    <definedName name="printing_problem3_2006" localSheetId="13" hidden="1">{"CONSOL_WO_ISV",#N/A,FALSE,"Sheet1";"CONSOL_WO_SAV",#N/A,FALSE,"Sheet1";"CONSOL_WO_BSV",#N/A,FALSE,"Sheet1";"CONSOL_WO_SFDV",#N/A,FALSE,"Sheet1"}</definedName>
    <definedName name="printing_problem3_2006" localSheetId="18" hidden="1">{"CONSOL_WO_ISV",#N/A,FALSE,"Sheet1";"CONSOL_WO_SAV",#N/A,FALSE,"Sheet1";"CONSOL_WO_BSV",#N/A,FALSE,"Sheet1";"CONSOL_WO_SFDV",#N/A,FALSE,"Sheet1"}</definedName>
    <definedName name="printing_problem3_2006" localSheetId="20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localSheetId="1" hidden="1">{"ELIM_CWO_ISV",#N/A,FALSE,"Sheet1";"ELIM_CWO_SAV",#N/A,FALSE,"Sheet1";"ELIM_CWO_BSV",#N/A,FALSE,"Sheet1";"ELIM_CWO_SFDV",#N/A,FALSE,"Sheet1"}</definedName>
    <definedName name="printing_problem4" localSheetId="13" hidden="1">{"ELIM_CWO_ISV",#N/A,FALSE,"Sheet1";"ELIM_CWO_SAV",#N/A,FALSE,"Sheet1";"ELIM_CWO_BSV",#N/A,FALSE,"Sheet1";"ELIM_CWO_SFDV",#N/A,FALSE,"Sheet1"}</definedName>
    <definedName name="printing_problem4" localSheetId="18" hidden="1">{"ELIM_CWO_ISV",#N/A,FALSE,"Sheet1";"ELIM_CWO_SAV",#N/A,FALSE,"Sheet1";"ELIM_CWO_BSV",#N/A,FALSE,"Sheet1";"ELIM_CWO_SFDV",#N/A,FALSE,"Sheet1"}</definedName>
    <definedName name="printing_problem4" localSheetId="20" hidden="1">{"ELIM_CWO_ISV",#N/A,FALSE,"Sheet1";"ELIM_CWO_SAV",#N/A,FALSE,"Sheet1";"ELIM_CWO_BSV",#N/A,FALSE,"Sheet1";"ELIM_CWO_SFDV",#N/A,FALSE,"Sheet1"}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localSheetId="1" hidden="1">{"ELIM_CWO_ISV",#N/A,FALSE,"Sheet1";"ELIM_CWO_SAV",#N/A,FALSE,"Sheet1";"ELIM_CWO_BSV",#N/A,FALSE,"Sheet1";"ELIM_CWO_SFDV",#N/A,FALSE,"Sheet1"}</definedName>
    <definedName name="printing_problem4_2006" localSheetId="13" hidden="1">{"ELIM_CWO_ISV",#N/A,FALSE,"Sheet1";"ELIM_CWO_SAV",#N/A,FALSE,"Sheet1";"ELIM_CWO_BSV",#N/A,FALSE,"Sheet1";"ELIM_CWO_SFDV",#N/A,FALSE,"Sheet1"}</definedName>
    <definedName name="printing_problem4_2006" localSheetId="18" hidden="1">{"ELIM_CWO_ISV",#N/A,FALSE,"Sheet1";"ELIM_CWO_SAV",#N/A,FALSE,"Sheet1";"ELIM_CWO_BSV",#N/A,FALSE,"Sheet1";"ELIM_CWO_SFDV",#N/A,FALSE,"Sheet1"}</definedName>
    <definedName name="printing_problem4_2006" localSheetId="20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localSheetId="1" hidden="1">{"ELIM_UWNJ_UWNY_ISV",#N/A,FALSE,"Sheet1";"ELIM_UWNJ_UWNY_SAV",#N/A,FALSE,"Sheet1";"ELIM_UWNJ_UWNY_BSV",#N/A,FALSE,"Sheet1";"ELIM_UWNJ_UWNY_SFDV",#N/A,FALSE,"Sheet1"}</definedName>
    <definedName name="printing_problem5" localSheetId="13" hidden="1">{"ELIM_UWNJ_UWNY_ISV",#N/A,FALSE,"Sheet1";"ELIM_UWNJ_UWNY_SAV",#N/A,FALSE,"Sheet1";"ELIM_UWNJ_UWNY_BSV",#N/A,FALSE,"Sheet1";"ELIM_UWNJ_UWNY_SFDV",#N/A,FALSE,"Sheet1"}</definedName>
    <definedName name="printing_problem5" localSheetId="18" hidden="1">{"ELIM_UWNJ_UWNY_ISV",#N/A,FALSE,"Sheet1";"ELIM_UWNJ_UWNY_SAV",#N/A,FALSE,"Sheet1";"ELIM_UWNJ_UWNY_BSV",#N/A,FALSE,"Sheet1";"ELIM_UWNJ_UWNY_SFDV",#N/A,FALSE,"Sheet1"}</definedName>
    <definedName name="printing_problem5" localSheetId="20" hidden="1">{"ELIM_UWNJ_UWNY_ISV",#N/A,FALSE,"Sheet1";"ELIM_UWNJ_UWNY_SAV",#N/A,FALSE,"Sheet1";"ELIM_UWNJ_UWNY_BSV",#N/A,FALSE,"Sheet1";"ELIM_UWNJ_UWNY_SFDV",#N/A,FALSE,"Sheet1"}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localSheetId="1" hidden="1">{"UWMACISV",#N/A,FALSE,"Sheet1";"UWMACSAV",#N/A,FALSE,"Sheet1";"UWMACBSV",#N/A,FALSE,"Sheet1";"UWMACSFDV",#N/A,FALSE,"Sheet1"}</definedName>
    <definedName name="printingproblem6" localSheetId="13" hidden="1">{"UWMACISV",#N/A,FALSE,"Sheet1";"UWMACSAV",#N/A,FALSE,"Sheet1";"UWMACBSV",#N/A,FALSE,"Sheet1";"UWMACSFDV",#N/A,FALSE,"Sheet1"}</definedName>
    <definedName name="printingproblem6" localSheetId="18" hidden="1">{"UWMACISV",#N/A,FALSE,"Sheet1";"UWMACSAV",#N/A,FALSE,"Sheet1";"UWMACBSV",#N/A,FALSE,"Sheet1";"UWMACSFDV",#N/A,FALSE,"Sheet1"}</definedName>
    <definedName name="printingproblem6" localSheetId="20" hidden="1">{"UWMACISV",#N/A,FALSE,"Sheet1";"UWMACSAV",#N/A,FALSE,"Sheet1";"UWMACBSV",#N/A,FALSE,"Sheet1";"UWMACSFDV",#N/A,FALSE,"Sheet1"}</definedName>
    <definedName name="printingproblem6" hidden="1">{"UWMACISV",#N/A,FALSE,"Sheet1";"UWMACSAV",#N/A,FALSE,"Sheet1";"UWMACBSV",#N/A,FALSE,"Sheet1";"UWMACSFDV",#N/A,FALSE,"Sheet1"}</definedName>
    <definedName name="printingproblem7" localSheetId="1" hidden="1">{"UWNYISV",#N/A,FALSE,"Sheet1";"UWNYSAV",#N/A,FALSE,"Sheet1";"UWNYBSV",#N/A,FALSE,"Sheet1";"UWNYSFDV",#N/A,FALSE,"Sheet1"}</definedName>
    <definedName name="printingproblem7" localSheetId="13" hidden="1">{"UWNYISV",#N/A,FALSE,"Sheet1";"UWNYSAV",#N/A,FALSE,"Sheet1";"UWNYBSV",#N/A,FALSE,"Sheet1";"UWNYSFDV",#N/A,FALSE,"Sheet1"}</definedName>
    <definedName name="printingproblem7" localSheetId="18" hidden="1">{"UWNYISV",#N/A,FALSE,"Sheet1";"UWNYSAV",#N/A,FALSE,"Sheet1";"UWNYBSV",#N/A,FALSE,"Sheet1";"UWNYSFDV",#N/A,FALSE,"Sheet1"}</definedName>
    <definedName name="printingproblem7" localSheetId="20" hidden="1">{"UWNYISV",#N/A,FALSE,"Sheet1";"UWNYSAV",#N/A,FALSE,"Sheet1";"UWNYBSV",#N/A,FALSE,"Sheet1";"UWNYSFDV",#N/A,FALSE,"Sheet1"}</definedName>
    <definedName name="printingproblem7" hidden="1">{"UWNYISV",#N/A,FALSE,"Sheet1";"UWNYSAV",#N/A,FALSE,"Sheet1";"UWNYBSV",#N/A,FALSE,"Sheet1";"UWNYSFDV",#N/A,FALSE,"Sheet1"}</definedName>
    <definedName name="printingproblem8" localSheetId="1" hidden="1">{"UWWISV",#N/A,FALSE,"Sheet1";"UWWSAV",#N/A,FALSE,"Sheet1";"UWWBSV",#N/A,FALSE,"Sheet1";"UWWSFDV",#N/A,FALSE,"Sheet1"}</definedName>
    <definedName name="printingproblem8" localSheetId="13" hidden="1">{"UWWISV",#N/A,FALSE,"Sheet1";"UWWSAV",#N/A,FALSE,"Sheet1";"UWWBSV",#N/A,FALSE,"Sheet1";"UWWSFDV",#N/A,FALSE,"Sheet1"}</definedName>
    <definedName name="printingproblem8" localSheetId="18" hidden="1">{"UWWISV",#N/A,FALSE,"Sheet1";"UWWSAV",#N/A,FALSE,"Sheet1";"UWWBSV",#N/A,FALSE,"Sheet1";"UWWSFDV",#N/A,FALSE,"Sheet1"}</definedName>
    <definedName name="printingproblem8" localSheetId="20" hidden="1">{"UWWISV",#N/A,FALSE,"Sheet1";"UWWSAV",#N/A,FALSE,"Sheet1";"UWWBSV",#N/A,FALSE,"Sheet1";"UWWSFDV",#N/A,FALSE,"Sheet1"}</definedName>
    <definedName name="printingproblem8" hidden="1">{"UWWISV",#N/A,FALSE,"Sheet1";"UWWSAV",#N/A,FALSE,"Sheet1";"UWWBSV",#N/A,FALSE,"Sheet1";"UWWSFDV",#N/A,FALSE,"Sheet1"}</definedName>
    <definedName name="pslf" localSheetId="1" hidden="1">#REF!</definedName>
    <definedName name="pslf" localSheetId="20" hidden="1">#REF!</definedName>
    <definedName name="pslf" hidden="1">#REF!</definedName>
    <definedName name="psrfdgl" localSheetId="1" hidden="1">#REF!</definedName>
    <definedName name="psrfdgl" localSheetId="20" hidden="1">#REF!</definedName>
    <definedName name="psrfdgl" hidden="1">#REF!</definedName>
    <definedName name="pwe" localSheetId="1" hidden="1">#REF!</definedName>
    <definedName name="pwe" localSheetId="20" hidden="1">#REF!</definedName>
    <definedName name="pwe" hidden="1">#REF!</definedName>
    <definedName name="qaw" localSheetId="1" hidden="1">#REF!</definedName>
    <definedName name="qaw" localSheetId="20" hidden="1">#REF!</definedName>
    <definedName name="qaw" hidden="1">#REF!</definedName>
    <definedName name="qqa" localSheetId="1" hidden="1">{"ARK_JURIS_FUEL",#N/A,FALSE,"Ark_Fuel&amp;Rev"}</definedName>
    <definedName name="qqa" localSheetId="13" hidden="1">{"ARK_JURIS_FUEL",#N/A,FALSE,"Ark_Fuel&amp;Rev"}</definedName>
    <definedName name="qqa" localSheetId="18" hidden="1">{"ARK_JURIS_FUEL",#N/A,FALSE,"Ark_Fuel&amp;Rev"}</definedName>
    <definedName name="qqa" localSheetId="20" hidden="1">{"ARK_JURIS_FUEL",#N/A,FALSE,"Ark_Fuel&amp;Rev"}</definedName>
    <definedName name="qqa" hidden="1">{"ARK_JURIS_FUEL",#N/A,FALSE,"Ark_Fuel&amp;Rev"}</definedName>
    <definedName name="qqa_1" localSheetId="1" hidden="1">{"ARK_JURIS_FUEL",#N/A,FALSE,"Ark_Fuel&amp;Rev"}</definedName>
    <definedName name="qqa_1" localSheetId="13" hidden="1">{"ARK_JURIS_FUEL",#N/A,FALSE,"Ark_Fuel&amp;Rev"}</definedName>
    <definedName name="qqa_1" localSheetId="18" hidden="1">{"ARK_JURIS_FUEL",#N/A,FALSE,"Ark_Fuel&amp;Rev"}</definedName>
    <definedName name="qqa_1" localSheetId="20" hidden="1">{"ARK_JURIS_FUEL",#N/A,FALSE,"Ark_Fuel&amp;Rev"}</definedName>
    <definedName name="qqa_1" hidden="1">{"ARK_JURIS_FUEL",#N/A,FALSE,"Ark_Fuel&amp;Rev"}</definedName>
    <definedName name="qqa_2" localSheetId="1" hidden="1">{"ARK_JURIS_FUEL",#N/A,FALSE,"Ark_Fuel&amp;Rev"}</definedName>
    <definedName name="qqa_2" localSheetId="13" hidden="1">{"ARK_JURIS_FUEL",#N/A,FALSE,"Ark_Fuel&amp;Rev"}</definedName>
    <definedName name="qqa_2" localSheetId="18" hidden="1">{"ARK_JURIS_FUEL",#N/A,FALSE,"Ark_Fuel&amp;Rev"}</definedName>
    <definedName name="qqa_2" localSheetId="20" hidden="1">{"ARK_JURIS_FUEL",#N/A,FALSE,"Ark_Fuel&amp;Rev"}</definedName>
    <definedName name="qqa_2" hidden="1">{"ARK_JURIS_FUEL",#N/A,FALSE,"Ark_Fuel&amp;Rev"}</definedName>
    <definedName name="qwr" localSheetId="1" hidden="1">#REF!</definedName>
    <definedName name="qwr" localSheetId="18" hidden="1">#REF!</definedName>
    <definedName name="qwr" localSheetId="20" hidden="1">#REF!</definedName>
    <definedName name="qwr" hidden="1">#REF!</definedName>
    <definedName name="RecalcRequired" localSheetId="21" hidden="1">""</definedName>
    <definedName name="RecalcRequired" localSheetId="22" hidden="1">""</definedName>
    <definedName name="RecalcRequired" localSheetId="24" hidden="1">""</definedName>
    <definedName name="RecalcRequired" localSheetId="23" hidden="1">""</definedName>
    <definedName name="RecalcRequired" localSheetId="25" hidden="1">""</definedName>
    <definedName name="RecalcRequired" localSheetId="26" hidden="1">""</definedName>
    <definedName name="RecalcRequired" localSheetId="28" hidden="1">""</definedName>
    <definedName name="RecalcRequired" localSheetId="27" hidden="1">""</definedName>
    <definedName name="regfdgdgre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localSheetId="1" hidden="1">#REF!</definedName>
    <definedName name="repeat" localSheetId="20" hidden="1">#REF!</definedName>
    <definedName name="repeat" hidden="1">#REF!</definedName>
    <definedName name="replacement1" localSheetId="1" hidden="1">#REF!</definedName>
    <definedName name="replacement1" localSheetId="20" hidden="1">#REF!</definedName>
    <definedName name="replacement1" hidden="1">#REF!</definedName>
    <definedName name="replacement2" localSheetId="1" hidden="1">#REF!</definedName>
    <definedName name="replacement2" localSheetId="20" hidden="1">#REF!</definedName>
    <definedName name="replacement2" hidden="1">#REF!</definedName>
    <definedName name="reterger" localSheetId="1" hidden="1">{"print4",#N/A,FALSE,"D21CUSTS"}</definedName>
    <definedName name="reterger" localSheetId="13" hidden="1">{"print4",#N/A,FALSE,"D21CUSTS"}</definedName>
    <definedName name="reterger" localSheetId="18" hidden="1">{"print4",#N/A,FALSE,"D21CUSTS"}</definedName>
    <definedName name="reterger" localSheetId="20" hidden="1">{"print4",#N/A,FALSE,"D21CUSTS"}</definedName>
    <definedName name="reterger" hidden="1">{"print4",#N/A,FALSE,"D21CUSTS"}</definedName>
    <definedName name="retrghrehrh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1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18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18" hidden="1">_xll.RiskCellHasTokens(262144+512+524288)</definedName>
    <definedName name="RiskIsInput" hidden="1">_xll.RiskCellHasTokens(262144+512+524288)</definedName>
    <definedName name="RiskIsOptimization" hidden="1">FALSE</definedName>
    <definedName name="RiskIsOutput" localSheetId="18" hidden="1">_xll.RiskCellHasTokens(1024)</definedName>
    <definedName name="RiskIsOutput" hidden="1">_xll.RiskCellHasTokens(1024)</definedName>
    <definedName name="RiskIsStatistics" localSheetId="18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1" hidden="1">{#N/A,#N/A,FALSE,"SCA";#N/A,#N/A,FALSE,"NCA";#N/A,#N/A,FALSE,"SAZ";#N/A,#N/A,FALSE,"CAZ";#N/A,#N/A,FALSE,"SNV";#N/A,#N/A,FALSE,"NNV";#N/A,#N/A,FALSE,"PP";#N/A,#N/A,FALSE,"SA"}</definedName>
    <definedName name="rk" localSheetId="13" hidden="1">{#N/A,#N/A,FALSE,"SCA";#N/A,#N/A,FALSE,"NCA";#N/A,#N/A,FALSE,"SAZ";#N/A,#N/A,FALSE,"CAZ";#N/A,#N/A,FALSE,"SNV";#N/A,#N/A,FALSE,"NNV";#N/A,#N/A,FALSE,"PP";#N/A,#N/A,FALSE,"SA"}</definedName>
    <definedName name="rk" localSheetId="18" hidden="1">{#N/A,#N/A,FALSE,"SCA";#N/A,#N/A,FALSE,"NCA";#N/A,#N/A,FALSE,"SAZ";#N/A,#N/A,FALSE,"CAZ";#N/A,#N/A,FALSE,"SNV";#N/A,#N/A,FALSE,"NNV";#N/A,#N/A,FALSE,"PP";#N/A,#N/A,FALSE,"SA"}</definedName>
    <definedName name="rk" localSheetId="20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k_1" localSheetId="1" hidden="1">{#N/A,#N/A,FALSE,"SCA";#N/A,#N/A,FALSE,"NCA";#N/A,#N/A,FALSE,"SAZ";#N/A,#N/A,FALSE,"CAZ";#N/A,#N/A,FALSE,"SNV";#N/A,#N/A,FALSE,"NNV";#N/A,#N/A,FALSE,"PP";#N/A,#N/A,FALSE,"SA"}</definedName>
    <definedName name="rk_1" localSheetId="13" hidden="1">{#N/A,#N/A,FALSE,"SCA";#N/A,#N/A,FALSE,"NCA";#N/A,#N/A,FALSE,"SAZ";#N/A,#N/A,FALSE,"CAZ";#N/A,#N/A,FALSE,"SNV";#N/A,#N/A,FALSE,"NNV";#N/A,#N/A,FALSE,"PP";#N/A,#N/A,FALSE,"SA"}</definedName>
    <definedName name="rk_1" localSheetId="18" hidden="1">{#N/A,#N/A,FALSE,"SCA";#N/A,#N/A,FALSE,"NCA";#N/A,#N/A,FALSE,"SAZ";#N/A,#N/A,FALSE,"CAZ";#N/A,#N/A,FALSE,"SNV";#N/A,#N/A,FALSE,"NNV";#N/A,#N/A,FALSE,"PP";#N/A,#N/A,FALSE,"SA"}</definedName>
    <definedName name="rk_1" localSheetId="20" hidden="1">{#N/A,#N/A,FALSE,"SCA";#N/A,#N/A,FALSE,"NCA";#N/A,#N/A,FALSE,"SAZ";#N/A,#N/A,FALSE,"CAZ";#N/A,#N/A,FALSE,"SNV";#N/A,#N/A,FALSE,"NNV";#N/A,#N/A,FALSE,"PP";#N/A,#N/A,FALSE,"SA"}</definedName>
    <definedName name="rk_1" hidden="1">{#N/A,#N/A,FALSE,"SCA";#N/A,#N/A,FALSE,"NCA";#N/A,#N/A,FALSE,"SAZ";#N/A,#N/A,FALSE,"CAZ";#N/A,#N/A,FALSE,"SNV";#N/A,#N/A,FALSE,"NNV";#N/A,#N/A,FALSE,"PP";#N/A,#N/A,FALSE,"SA"}</definedName>
    <definedName name="rk_2" localSheetId="1" hidden="1">{#N/A,#N/A,FALSE,"SCA";#N/A,#N/A,FALSE,"NCA";#N/A,#N/A,FALSE,"SAZ";#N/A,#N/A,FALSE,"CAZ";#N/A,#N/A,FALSE,"SNV";#N/A,#N/A,FALSE,"NNV";#N/A,#N/A,FALSE,"PP";#N/A,#N/A,FALSE,"SA"}</definedName>
    <definedName name="rk_2" localSheetId="13" hidden="1">{#N/A,#N/A,FALSE,"SCA";#N/A,#N/A,FALSE,"NCA";#N/A,#N/A,FALSE,"SAZ";#N/A,#N/A,FALSE,"CAZ";#N/A,#N/A,FALSE,"SNV";#N/A,#N/A,FALSE,"NNV";#N/A,#N/A,FALSE,"PP";#N/A,#N/A,FALSE,"SA"}</definedName>
    <definedName name="rk_2" localSheetId="18" hidden="1">{#N/A,#N/A,FALSE,"SCA";#N/A,#N/A,FALSE,"NCA";#N/A,#N/A,FALSE,"SAZ";#N/A,#N/A,FALSE,"CAZ";#N/A,#N/A,FALSE,"SNV";#N/A,#N/A,FALSE,"NNV";#N/A,#N/A,FALSE,"PP";#N/A,#N/A,FALSE,"SA"}</definedName>
    <definedName name="rk_2" localSheetId="20" hidden="1">{#N/A,#N/A,FALSE,"SCA";#N/A,#N/A,FALSE,"NCA";#N/A,#N/A,FALSE,"SAZ";#N/A,#N/A,FALSE,"CAZ";#N/A,#N/A,FALSE,"SNV";#N/A,#N/A,FALSE,"NNV";#N/A,#N/A,FALSE,"PP";#N/A,#N/A,FALSE,"SA"}</definedName>
    <definedName name="rk_2" hidden="1">{#N/A,#N/A,FALSE,"SCA";#N/A,#N/A,FALSE,"NCA";#N/A,#N/A,FALSE,"SAZ";#N/A,#N/A,FALSE,"CAZ";#N/A,#N/A,FALSE,"SNV";#N/A,#N/A,FALSE,"NNV";#N/A,#N/A,FALSE,"PP";#N/A,#N/A,FALSE,"SA"}</definedName>
    <definedName name="rrrr" localSheetId="1" hidden="1">{#N/A,#N/A,FALSE,"O&amp;M by processes";#N/A,#N/A,FALSE,"Elec Act vs Bud";#N/A,#N/A,FALSE,"G&amp;A";#N/A,#N/A,FALSE,"BGS";#N/A,#N/A,FALSE,"Res Cost"}</definedName>
    <definedName name="rrrr" localSheetId="13" hidden="1">{#N/A,#N/A,FALSE,"O&amp;M by processes";#N/A,#N/A,FALSE,"Elec Act vs Bud";#N/A,#N/A,FALSE,"G&amp;A";#N/A,#N/A,FALSE,"BGS";#N/A,#N/A,FALSE,"Res Cost"}</definedName>
    <definedName name="rrrr" localSheetId="18" hidden="1">{#N/A,#N/A,FALSE,"O&amp;M by processes";#N/A,#N/A,FALSE,"Elec Act vs Bud";#N/A,#N/A,FALSE,"G&amp;A";#N/A,#N/A,FALSE,"BGS";#N/A,#N/A,FALSE,"Res Cost"}</definedName>
    <definedName name="rrrr" localSheetId="20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rtertrte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localSheetId="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13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18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2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localSheetId="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13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18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2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localSheetId="1" hidden="1">{#N/A,#N/A,FALSE,"SCA";#N/A,#N/A,FALSE,"NCA";#N/A,#N/A,FALSE,"SAZ";#N/A,#N/A,FALSE,"CAZ";#N/A,#N/A,FALSE,"SNV";#N/A,#N/A,FALSE,"NNV";#N/A,#N/A,FALSE,"PP";#N/A,#N/A,FALSE,"SA"}</definedName>
    <definedName name="rtrtrtrr" localSheetId="13" hidden="1">{#N/A,#N/A,FALSE,"SCA";#N/A,#N/A,FALSE,"NCA";#N/A,#N/A,FALSE,"SAZ";#N/A,#N/A,FALSE,"CAZ";#N/A,#N/A,FALSE,"SNV";#N/A,#N/A,FALSE,"NNV";#N/A,#N/A,FALSE,"PP";#N/A,#N/A,FALSE,"SA"}</definedName>
    <definedName name="rtrtrtrr" localSheetId="18" hidden="1">{#N/A,#N/A,FALSE,"SCA";#N/A,#N/A,FALSE,"NCA";#N/A,#N/A,FALSE,"SAZ";#N/A,#N/A,FALSE,"CAZ";#N/A,#N/A,FALSE,"SNV";#N/A,#N/A,FALSE,"NNV";#N/A,#N/A,FALSE,"PP";#N/A,#N/A,FALSE,"SA"}</definedName>
    <definedName name="rtrtrtrr" localSheetId="20" hidden="1">{#N/A,#N/A,FALSE,"SCA";#N/A,#N/A,FALSE,"NCA";#N/A,#N/A,FALSE,"SAZ";#N/A,#N/A,FALSE,"CAZ";#N/A,#N/A,FALSE,"SNV";#N/A,#N/A,FALSE,"NNV";#N/A,#N/A,FALSE,"PP";#N/A,#N/A,FALSE,"SA"}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localSheetId="1" hidden="1">{#N/A,#N/A,FALSE,"Rev Seg Taxes";#N/A,#N/A,FALSE,"BookRev Seg";#N/A,#N/A,FALSE,"Supp Adj Seg";#N/A,#N/A,FALSE,"outside prov seg taxes"}</definedName>
    <definedName name="rtrtrtrtrrh" localSheetId="13" hidden="1">{#N/A,#N/A,FALSE,"Rev Seg Taxes";#N/A,#N/A,FALSE,"BookRev Seg";#N/A,#N/A,FALSE,"Supp Adj Seg";#N/A,#N/A,FALSE,"outside prov seg taxes"}</definedName>
    <definedName name="rtrtrtrtrrh" localSheetId="18" hidden="1">{#N/A,#N/A,FALSE,"Rev Seg Taxes";#N/A,#N/A,FALSE,"BookRev Seg";#N/A,#N/A,FALSE,"Supp Adj Seg";#N/A,#N/A,FALSE,"outside prov seg taxes"}</definedName>
    <definedName name="rtrtrtrtrrh" localSheetId="20" hidden="1">{#N/A,#N/A,FALSE,"Rev Seg Taxes";#N/A,#N/A,FALSE,"BookRev Seg";#N/A,#N/A,FALSE,"Supp Adj Seg";#N/A,#N/A,FALSE,"outside prov seg taxes"}</definedName>
    <definedName name="rtrtrtrtrrh" hidden="1">{#N/A,#N/A,FALSE,"Rev Seg Taxes";#N/A,#N/A,FALSE,"BookRev Seg";#N/A,#N/A,FALSE,"Supp Adj Seg";#N/A,#N/A,FALSE,"outside prov seg taxes"}</definedName>
    <definedName name="rtyui" localSheetId="1" hidden="1">#REF!</definedName>
    <definedName name="rtyui" localSheetId="18" hidden="1">#REF!</definedName>
    <definedName name="rtyui" localSheetId="20" hidden="1">#REF!</definedName>
    <definedName name="rtyui" hidden="1">#REF!</definedName>
    <definedName name="rtyuiop" localSheetId="1" hidden="1">#REF!</definedName>
    <definedName name="rtyuiop" localSheetId="20" hidden="1">#REF!</definedName>
    <definedName name="rtyuiop" hidden="1">#REF!</definedName>
    <definedName name="Rwvu.allyears." localSheetId="1" hidden="1">#REF!,#REF!,#REF!,#REF!,#REF!</definedName>
    <definedName name="Rwvu.allyears." localSheetId="13" hidden="1">'[25]2010 Shares Budget'!$D$1:$S$65536,'[25]2010 Shares Budget'!#REF!,'[25]2010 Shares Budget'!#REF!,'[25]2010 Shares Budget'!#REF!,'[25]2010 Shares Budget'!#REF!</definedName>
    <definedName name="Rwvu.allyears." localSheetId="18" hidden="1">'[25]2010 Shares Budget'!$D$1:$S$65536,'[25]2010 Shares Budget'!#REF!,'[25]2010 Shares Budget'!#REF!,'[25]2010 Shares Budget'!#REF!,'[25]2010 Shares Budget'!#REF!</definedName>
    <definedName name="Rwvu.allyears." localSheetId="20" hidden="1">#REF!,#REF!,#REF!,#REF!,#REF!</definedName>
    <definedName name="Rwvu.allyears." hidden="1">#REF!,#REF!,#REF!,#REF!,#REF!</definedName>
    <definedName name="Rwvu.yr1quarter." localSheetId="13" hidden="1">'[25]2010 Shares Budget'!$D$1:$F$65536,'[25]2010 Shares Budget'!$H$1:$J$65536,'[25]2010 Shares Budget'!$L$1:$N$65536,'[25]2010 Shares Budget'!$P$1:$R$65536</definedName>
    <definedName name="Rwvu.yr1quarter." localSheetId="18" hidden="1">'[25]2010 Shares Budget'!$D$1:$F$65536,'[25]2010 Shares Budget'!$H$1:$J$65536,'[25]2010 Shares Budget'!$L$1:$N$65536,'[25]2010 Shares Budget'!$P$1:$R$65536</definedName>
    <definedName name="Rwvu.yr1quarter." hidden="1">#REF!,#REF!,#REF!,#REF!</definedName>
    <definedName name="sac" localSheetId="1" hidden="1">#REF!</definedName>
    <definedName name="sac" localSheetId="20" hidden="1">#REF!</definedName>
    <definedName name="sac" hidden="1">#REF!</definedName>
    <definedName name="sadf" localSheetId="1" hidden="1">#REF!</definedName>
    <definedName name="sadf" localSheetId="20" hidden="1">#REF!</definedName>
    <definedName name="sadf" hidden="1">#REF!</definedName>
    <definedName name="sadfdfafdsfasf" localSheetId="13" hidden="1">'[2]Chart Data'!$P$30:$P$229</definedName>
    <definedName name="sadfdfafdsfasf" localSheetId="18" hidden="1">'[2]Chart Data'!$P$30:$P$229</definedName>
    <definedName name="sadfdfafdsfasf" hidden="1">#REF!</definedName>
    <definedName name="sadfkj" localSheetId="1" hidden="1">#REF!</definedName>
    <definedName name="sadfkj" localSheetId="18" hidden="1">#REF!</definedName>
    <definedName name="sadfkj" localSheetId="20" hidden="1">#REF!</definedName>
    <definedName name="sadfkj" hidden="1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rap" localSheetId="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localSheetId="13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localSheetId="18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localSheetId="20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" localSheetId="1" hidden="1">#REF!</definedName>
    <definedName name="sd" localSheetId="18" hidden="1">#REF!</definedName>
    <definedName name="sd" localSheetId="20" hidden="1">#REF!</definedName>
    <definedName name="sd" hidden="1">#REF!</definedName>
    <definedName name="sdf" localSheetId="1" hidden="1">#REF!</definedName>
    <definedName name="sdf" localSheetId="20" hidden="1">#REF!</definedName>
    <definedName name="sdf" hidden="1">#REF!</definedName>
    <definedName name="sdfgfdgdger" localSheetId="1" hidden="1">{#N/A,#N/A,FALSE,"GLDwnLoad"}</definedName>
    <definedName name="sdfgfdgdger" localSheetId="13" hidden="1">{#N/A,#N/A,FALSE,"GLDwnLoad"}</definedName>
    <definedName name="sdfgfdgdger" localSheetId="18" hidden="1">{#N/A,#N/A,FALSE,"GLDwnLoad"}</definedName>
    <definedName name="sdfgfdgdger" localSheetId="20" hidden="1">{#N/A,#N/A,FALSE,"GLDwnLoad"}</definedName>
    <definedName name="sdfgfdgdger" hidden="1">{#N/A,#N/A,FALSE,"GLDwnLoad"}</definedName>
    <definedName name="sdfp" localSheetId="1" hidden="1">#REF!</definedName>
    <definedName name="sdfp" localSheetId="18" hidden="1">#REF!</definedName>
    <definedName name="sdfp" localSheetId="20" hidden="1">#REF!</definedName>
    <definedName name="sdfp" hidden="1">#REF!</definedName>
    <definedName name="sdklofj" localSheetId="1" hidden="1">#REF!</definedName>
    <definedName name="sdklofj" localSheetId="20" hidden="1">#REF!</definedName>
    <definedName name="sdklofj" hidden="1">#REF!</definedName>
    <definedName name="sdld" localSheetId="1" hidden="1">#REF!</definedName>
    <definedName name="sdld" localSheetId="20" hidden="1">#REF!</definedName>
    <definedName name="sdld" hidden="1">#REF!</definedName>
    <definedName name="sdljgfj" localSheetId="1" hidden="1">#REF!</definedName>
    <definedName name="sdljgfj" localSheetId="20" hidden="1">#REF!</definedName>
    <definedName name="sdljgfj" hidden="1">#REF!</definedName>
    <definedName name="sdop" localSheetId="1" hidden="1">#REF!</definedName>
    <definedName name="sdop" localSheetId="20" hidden="1">#REF!</definedName>
    <definedName name="sdop" hidden="1">#REF!</definedName>
    <definedName name="sdsdl" localSheetId="1" hidden="1">#REF!</definedName>
    <definedName name="sdsdl" localSheetId="20" hidden="1">#REF!</definedName>
    <definedName name="sdsdl" hidden="1">#REF!</definedName>
    <definedName name="sdv" localSheetId="1" hidden="1">#REF!</definedName>
    <definedName name="sdv" localSheetId="20" hidden="1">#REF!</definedName>
    <definedName name="sdv" hidden="1">#REF!</definedName>
    <definedName name="sedf" localSheetId="1" hidden="1">#REF!</definedName>
    <definedName name="sedf" localSheetId="20" hidden="1">#REF!</definedName>
    <definedName name="sedf" hidden="1">#REF!</definedName>
    <definedName name="sencount" hidden="1">1</definedName>
    <definedName name="sevw" localSheetId="1" hidden="1">#REF!</definedName>
    <definedName name="sevw" localSheetId="18" hidden="1">#REF!</definedName>
    <definedName name="sevw" localSheetId="20" hidden="1">#REF!</definedName>
    <definedName name="sevw" hidden="1">#REF!</definedName>
    <definedName name="sfdv" localSheetId="1" hidden="1">#REF!</definedName>
    <definedName name="sfdv" localSheetId="20" hidden="1">#REF!</definedName>
    <definedName name="sfdv" hidden="1">#REF!</definedName>
    <definedName name="shee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11" localSheetId="1" hidden="1">#REF!</definedName>
    <definedName name="sheet11" localSheetId="13" hidden="1">'[25]2010 Shares Budget'!#REF!</definedName>
    <definedName name="sheet11" localSheetId="18" hidden="1">'[25]2010 Shares Budget'!#REF!</definedName>
    <definedName name="sheet11" localSheetId="20" hidden="1">#REF!</definedName>
    <definedName name="sheet11" hidden="1">#REF!</definedName>
    <definedName name="Sheet2_FooterType" hidden="1">"NONE"</definedName>
    <definedName name="SheetTicker" localSheetId="21" hidden="1">""</definedName>
    <definedName name="SheetTicker" localSheetId="22" hidden="1">""</definedName>
    <definedName name="SheetTicker" localSheetId="24" hidden="1">""</definedName>
    <definedName name="SheetTicker" localSheetId="23" hidden="1">""</definedName>
    <definedName name="SheetTicker" localSheetId="25" hidden="1">""</definedName>
    <definedName name="SheetTicker" localSheetId="26" hidden="1">""</definedName>
    <definedName name="SheetTicker" localSheetId="28" hidden="1">""</definedName>
    <definedName name="SheetTicker" localSheetId="27" hidden="1">""</definedName>
    <definedName name="shit" localSheetId="1" hidden="1">{#N/A,#N/A,TRUE,"1990";#N/A,#N/A,TRUE,"1991";#N/A,#N/A,TRUE,"1992";#N/A,#N/A,TRUE,"1993"}</definedName>
    <definedName name="shit" localSheetId="13" hidden="1">{#N/A,#N/A,TRUE,"1990";#N/A,#N/A,TRUE,"1991";#N/A,#N/A,TRUE,"1992";#N/A,#N/A,TRUE,"1993"}</definedName>
    <definedName name="shit" localSheetId="18" hidden="1">{#N/A,#N/A,TRUE,"1990";#N/A,#N/A,TRUE,"1991";#N/A,#N/A,TRUE,"1992";#N/A,#N/A,TRUE,"1993"}</definedName>
    <definedName name="shit" localSheetId="20" hidden="1">{#N/A,#N/A,TRUE,"1990";#N/A,#N/A,TRUE,"1991";#N/A,#N/A,TRUE,"1992";#N/A,#N/A,TRUE,"1993"}</definedName>
    <definedName name="shit" hidden="1">{#N/A,#N/A,TRUE,"1990";#N/A,#N/A,TRUE,"1991";#N/A,#N/A,TRUE,"1992";#N/A,#N/A,TRUE,"1993"}</definedName>
    <definedName name="shit2" localSheetId="1" hidden="1">{"summary",#N/A,TRUE,"E93ADJ";"detail",#N/A,TRUE,"E93ADJ"}</definedName>
    <definedName name="shit2" localSheetId="13" hidden="1">{"summary",#N/A,TRUE,"E93ADJ";"detail",#N/A,TRUE,"E93ADJ"}</definedName>
    <definedName name="shit2" localSheetId="18" hidden="1">{"summary",#N/A,TRUE,"E93ADJ";"detail",#N/A,TRUE,"E93ADJ"}</definedName>
    <definedName name="shit2" localSheetId="20" hidden="1">{"summary",#N/A,TRUE,"E93ADJ";"detail",#N/A,TRUE,"E93ADJ"}</definedName>
    <definedName name="shit2" hidden="1">{"summary",#N/A,TRUE,"E93ADJ";"detail",#N/A,TRUE,"E93ADJ"}</definedName>
    <definedName name="shiva" localSheetId="1" hidden="1">{#N/A,#N/A,FALSE,"O&amp;M by processes";#N/A,#N/A,FALSE,"Elec Act vs Bud";#N/A,#N/A,FALSE,"G&amp;A";#N/A,#N/A,FALSE,"BGS";#N/A,#N/A,FALSE,"Res Cost"}</definedName>
    <definedName name="shiva" localSheetId="13" hidden="1">{#N/A,#N/A,FALSE,"O&amp;M by processes";#N/A,#N/A,FALSE,"Elec Act vs Bud";#N/A,#N/A,FALSE,"G&amp;A";#N/A,#N/A,FALSE,"BGS";#N/A,#N/A,FALSE,"Res Cost"}</definedName>
    <definedName name="shiva" localSheetId="18" hidden="1">{#N/A,#N/A,FALSE,"O&amp;M by processes";#N/A,#N/A,FALSE,"Elec Act vs Bud";#N/A,#N/A,FALSE,"G&amp;A";#N/A,#N/A,FALSE,"BGS";#N/A,#N/A,FALSE,"Res Cost"}</definedName>
    <definedName name="shiva" localSheetId="20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I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1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1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2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2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2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2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1" hidden="1">#REF!</definedName>
    <definedName name="slkd" localSheetId="18" hidden="1">#REF!</definedName>
    <definedName name="slkd" localSheetId="20" hidden="1">#REF!</definedName>
    <definedName name="slkd" hidden="1">#REF!</definedName>
    <definedName name="SpreadsheetBuilder_1" localSheetId="1" hidden="1">#REF!</definedName>
    <definedName name="SpreadsheetBuilder_1" localSheetId="18" hidden="1">#REF!</definedName>
    <definedName name="SpreadsheetBuilder_1" localSheetId="20" hidden="1">#REF!</definedName>
    <definedName name="SpreadsheetBuilder_1" hidden="1">#REF!</definedName>
    <definedName name="SpreadsheetBuilder_10" localSheetId="1" hidden="1">#REF!</definedName>
    <definedName name="SpreadsheetBuilder_10" localSheetId="18" hidden="1">#REF!</definedName>
    <definedName name="SpreadsheetBuilder_10" localSheetId="20" hidden="1">#REF!</definedName>
    <definedName name="SpreadsheetBuilder_10" hidden="1">#REF!</definedName>
    <definedName name="SpreadsheetBuilder_12" localSheetId="1" hidden="1">#REF!</definedName>
    <definedName name="SpreadsheetBuilder_12" localSheetId="20" hidden="1">#REF!</definedName>
    <definedName name="SpreadsheetBuilder_12" hidden="1">#REF!</definedName>
    <definedName name="SpreadsheetBuilder_14" localSheetId="1" hidden="1">#REF!</definedName>
    <definedName name="SpreadsheetBuilder_14" localSheetId="20" hidden="1">#REF!</definedName>
    <definedName name="SpreadsheetBuilder_14" hidden="1">#REF!</definedName>
    <definedName name="SpreadsheetBuilder_15" localSheetId="1" hidden="1">#REF!</definedName>
    <definedName name="SpreadsheetBuilder_15" localSheetId="20" hidden="1">#REF!</definedName>
    <definedName name="SpreadsheetBuilder_15" hidden="1">#REF!</definedName>
    <definedName name="SpreadsheetBuilder_16" localSheetId="1" hidden="1">#REF!</definedName>
    <definedName name="SpreadsheetBuilder_16" localSheetId="20" hidden="1">#REF!</definedName>
    <definedName name="SpreadsheetBuilder_16" hidden="1">#REF!</definedName>
    <definedName name="SpreadsheetBuilder_17" localSheetId="1" hidden="1">#REF!</definedName>
    <definedName name="SpreadsheetBuilder_17" localSheetId="20" hidden="1">#REF!</definedName>
    <definedName name="SpreadsheetBuilder_17" hidden="1">#REF!</definedName>
    <definedName name="SpreadsheetBuilder_18" localSheetId="1" hidden="1">#REF!</definedName>
    <definedName name="SpreadsheetBuilder_18" localSheetId="20" hidden="1">#REF!</definedName>
    <definedName name="SpreadsheetBuilder_18" hidden="1">#REF!</definedName>
    <definedName name="SpreadsheetBuilder_19" localSheetId="1" hidden="1">#REF!</definedName>
    <definedName name="SpreadsheetBuilder_19" localSheetId="20" hidden="1">#REF!</definedName>
    <definedName name="SpreadsheetBuilder_19" hidden="1">#REF!</definedName>
    <definedName name="SpreadsheetBuilder_2" localSheetId="1" hidden="1">#REF!</definedName>
    <definedName name="SpreadsheetBuilder_2" localSheetId="20" hidden="1">#REF!</definedName>
    <definedName name="SpreadsheetBuilder_2" hidden="1">#REF!</definedName>
    <definedName name="SpreadsheetBuilder_20" localSheetId="1" hidden="1">#REF!</definedName>
    <definedName name="SpreadsheetBuilder_20" localSheetId="20" hidden="1">#REF!</definedName>
    <definedName name="SpreadsheetBuilder_20" hidden="1">#REF!</definedName>
    <definedName name="SpreadsheetBuilder_21" localSheetId="1" hidden="1">#REF!</definedName>
    <definedName name="SpreadsheetBuilder_21" localSheetId="20" hidden="1">#REF!</definedName>
    <definedName name="SpreadsheetBuilder_21" hidden="1">#REF!</definedName>
    <definedName name="SpreadsheetBuilder_22" localSheetId="1" hidden="1">#REF!</definedName>
    <definedName name="SpreadsheetBuilder_22" localSheetId="20" hidden="1">#REF!</definedName>
    <definedName name="SpreadsheetBuilder_22" hidden="1">#REF!</definedName>
    <definedName name="SpreadsheetBuilder_23" localSheetId="1" hidden="1">#REF!</definedName>
    <definedName name="SpreadsheetBuilder_23" localSheetId="20" hidden="1">#REF!</definedName>
    <definedName name="SpreadsheetBuilder_23" hidden="1">#REF!</definedName>
    <definedName name="SpreadsheetBuilder_24" localSheetId="1" hidden="1">#REF!</definedName>
    <definedName name="SpreadsheetBuilder_24" localSheetId="20" hidden="1">#REF!</definedName>
    <definedName name="SpreadsheetBuilder_24" hidden="1">#REF!</definedName>
    <definedName name="SpreadsheetBuilder_25" localSheetId="1" hidden="1">#REF!</definedName>
    <definedName name="SpreadsheetBuilder_25" localSheetId="20" hidden="1">#REF!</definedName>
    <definedName name="SpreadsheetBuilder_25" hidden="1">#REF!</definedName>
    <definedName name="SpreadsheetBuilder_27" localSheetId="1" hidden="1">#REF!</definedName>
    <definedName name="SpreadsheetBuilder_27" localSheetId="20" hidden="1">#REF!</definedName>
    <definedName name="SpreadsheetBuilder_27" hidden="1">#REF!</definedName>
    <definedName name="SpreadsheetBuilder_28" localSheetId="1" hidden="1">#REF!</definedName>
    <definedName name="SpreadsheetBuilder_28" localSheetId="20" hidden="1">#REF!</definedName>
    <definedName name="SpreadsheetBuilder_28" hidden="1">#REF!</definedName>
    <definedName name="SpreadsheetBuilder_3" localSheetId="1" hidden="1">#REF!</definedName>
    <definedName name="SpreadsheetBuilder_3" localSheetId="20" hidden="1">#REF!</definedName>
    <definedName name="SpreadsheetBuilder_3" hidden="1">#REF!</definedName>
    <definedName name="SpreadsheetBuilder_4" localSheetId="1" hidden="1">#REF!</definedName>
    <definedName name="SpreadsheetBuilder_4" localSheetId="20" hidden="1">#REF!</definedName>
    <definedName name="SpreadsheetBuilder_4" hidden="1">#REF!</definedName>
    <definedName name="SpreadsheetBuilder_5" localSheetId="1" hidden="1">#REF!</definedName>
    <definedName name="SpreadsheetBuilder_5" localSheetId="20" hidden="1">#REF!</definedName>
    <definedName name="SpreadsheetBuilder_5" hidden="1">#REF!</definedName>
    <definedName name="SpreadsheetBuilder_6" localSheetId="1" hidden="1">#REF!</definedName>
    <definedName name="SpreadsheetBuilder_6" localSheetId="20" hidden="1">#REF!</definedName>
    <definedName name="SpreadsheetBuilder_6" hidden="1">#REF!</definedName>
    <definedName name="SpreadsheetBuilder_7" localSheetId="1" hidden="1">#REF!</definedName>
    <definedName name="SpreadsheetBuilder_7" localSheetId="20" hidden="1">#REF!</definedName>
    <definedName name="SpreadsheetBuilder_7" hidden="1">#REF!</definedName>
    <definedName name="SpreadsheetBuilder_8" localSheetId="1" hidden="1">#REF!</definedName>
    <definedName name="SpreadsheetBuilder_8" localSheetId="20" hidden="1">#REF!</definedName>
    <definedName name="SpreadsheetBuilder_8" hidden="1">#REF!</definedName>
    <definedName name="SPRI_ShowListBox" localSheetId="21" hidden="1">"-1"</definedName>
    <definedName name="SPRI_ShowListBox" localSheetId="22" hidden="1">"-1"</definedName>
    <definedName name="SPRI_ShowListBox" localSheetId="24" hidden="1">"-1"</definedName>
    <definedName name="SPRI_ShowListBox" localSheetId="23" hidden="1">"-1"</definedName>
    <definedName name="SPRI_ShowListBox" localSheetId="25" hidden="1">"-1"</definedName>
    <definedName name="SPRI_ShowListBox" localSheetId="26" hidden="1">"-1"</definedName>
    <definedName name="SPRI_ShowListBox" localSheetId="28" hidden="1">"-1"</definedName>
    <definedName name="SPRI_ShowListBox" localSheetId="27" hidden="1">"-1"</definedName>
    <definedName name="SPWS_WSID" localSheetId="21" hidden="1">"5C3BEB3E-3631-11D4-B07C-00104BC5D17F"</definedName>
    <definedName name="SPWS_WSID" localSheetId="22" hidden="1">"5C3BEB3E-3631-11D4-B07C-00104BC5D17F"</definedName>
    <definedName name="SPWS_WSID" localSheetId="24" hidden="1">"5C3BEB3E-3631-11D4-B07C-00104BC5D17F"</definedName>
    <definedName name="SPWS_WSID" localSheetId="23" hidden="1">"5C3BEB3E-3631-11D4-B07C-00104BC5D17F"</definedName>
    <definedName name="SPWS_WSID" localSheetId="25" hidden="1">"5C3BEB3E-3631-11D4-B07C-00104BC5D17F"</definedName>
    <definedName name="SPWS_WSID" localSheetId="26" hidden="1">"5C3BEB3E-3631-11D4-B07C-00104BC5D17F"</definedName>
    <definedName name="SPWS_WSID" localSheetId="28" hidden="1">"5C3BEB3E-3631-11D4-B07C-00104BC5D17F"</definedName>
    <definedName name="SPWS_WSID" localSheetId="27" hidden="1">"5C3BEB3E-3631-11D4-B07C-00104BC5D17F"</definedName>
    <definedName name="srg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1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1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1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1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2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2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2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2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" localSheetId="1" hidden="1">#REF!</definedName>
    <definedName name="ss" localSheetId="13" hidden="1">'[25]2010 Shares Budget'!#REF!</definedName>
    <definedName name="ss" localSheetId="18" hidden="1">'[25]2010 Shares Budget'!#REF!</definedName>
    <definedName name="ss" localSheetId="20" hidden="1">#REF!</definedName>
    <definedName name="ss" hidden="1">#REF!</definedName>
    <definedName name="ssdo" localSheetId="1" hidden="1">#REF!</definedName>
    <definedName name="ssdo" localSheetId="20" hidden="1">#REF!</definedName>
    <definedName name="ssdo" hidden="1">#REF!</definedName>
    <definedName name="sssset" localSheetId="1" hidden="1">#REF!</definedName>
    <definedName name="sssset" localSheetId="20" hidden="1">#REF!</definedName>
    <definedName name="sssset" hidden="1">#REF!</definedName>
    <definedName name="statsrevised" localSheetId="1" hidden="1">{#N/A,#N/A,FALSE,"O&amp;M by processes";#N/A,#N/A,FALSE,"Elec Act vs Bud";#N/A,#N/A,FALSE,"G&amp;A";#N/A,#N/A,FALSE,"BGS";#N/A,#N/A,FALSE,"Res Cost"}</definedName>
    <definedName name="statsrevised" localSheetId="13" hidden="1">{#N/A,#N/A,FALSE,"O&amp;M by processes";#N/A,#N/A,FALSE,"Elec Act vs Bud";#N/A,#N/A,FALSE,"G&amp;A";#N/A,#N/A,FALSE,"BGS";#N/A,#N/A,FALSE,"Res Cost"}</definedName>
    <definedName name="statsrevised" localSheetId="18" hidden="1">{#N/A,#N/A,FALSE,"O&amp;M by processes";#N/A,#N/A,FALSE,"Elec Act vs Bud";#N/A,#N/A,FALSE,"G&amp;A";#N/A,#N/A,FALSE,"BGS";#N/A,#N/A,FALSE,"Res Cost"}</definedName>
    <definedName name="statsrevised" localSheetId="20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pporti" localSheetId="1" hidden="1">{#N/A,#N/A,FALSE,"O&amp;M by processes";#N/A,#N/A,FALSE,"Elec Act vs Bud";#N/A,#N/A,FALSE,"G&amp;A";#N/A,#N/A,FALSE,"BGS";#N/A,#N/A,FALSE,"Res Cost"}</definedName>
    <definedName name="supporti" localSheetId="13" hidden="1">{#N/A,#N/A,FALSE,"O&amp;M by processes";#N/A,#N/A,FALSE,"Elec Act vs Bud";#N/A,#N/A,FALSE,"G&amp;A";#N/A,#N/A,FALSE,"BGS";#N/A,#N/A,FALSE,"Res Cost"}</definedName>
    <definedName name="supporti" localSheetId="18" hidden="1">{#N/A,#N/A,FALSE,"O&amp;M by processes";#N/A,#N/A,FALSE,"Elec Act vs Bud";#N/A,#N/A,FALSE,"G&amp;A";#N/A,#N/A,FALSE,"BGS";#N/A,#N/A,FALSE,"Res Cost"}</definedName>
    <definedName name="supporti" localSheetId="20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sv" localSheetId="1" hidden="1">#REF!</definedName>
    <definedName name="sv" localSheetId="18" hidden="1">#REF!</definedName>
    <definedName name="sv" localSheetId="20" hidden="1">#REF!</definedName>
    <definedName name="sv" hidden="1">#REF!</definedName>
    <definedName name="svfdv" localSheetId="1" hidden="1">#REF!</definedName>
    <definedName name="svfdv" localSheetId="20" hidden="1">#REF!</definedName>
    <definedName name="svfdv" hidden="1">#REF!</definedName>
    <definedName name="swae" localSheetId="1" hidden="1">#REF!</definedName>
    <definedName name="swae" localSheetId="20" hidden="1">#REF!</definedName>
    <definedName name="swae" hidden="1">#REF!</definedName>
    <definedName name="Swvu.allyears." localSheetId="1" hidden="1">#REF!</definedName>
    <definedName name="Swvu.allyears." localSheetId="13" hidden="1">'[25]2010 Shares Budget'!#REF!</definedName>
    <definedName name="Swvu.allyears." localSheetId="18" hidden="1">'[25]2010 Shares Budget'!#REF!</definedName>
    <definedName name="Swvu.allyears." localSheetId="20" hidden="1">#REF!</definedName>
    <definedName name="Swvu.allyears." hidden="1">#REF!</definedName>
    <definedName name="Swvu.DATABASE." localSheetId="1" hidden="1">#REF!</definedName>
    <definedName name="Swvu.DATABASE." localSheetId="13" hidden="1">[26]DATABASE!#REF!</definedName>
    <definedName name="Swvu.DATABASE." localSheetId="18" hidden="1">[26]DATABASE!#REF!</definedName>
    <definedName name="Swvu.DATABASE." localSheetId="20" hidden="1">#REF!</definedName>
    <definedName name="Swvu.DATABASE." hidden="1">#REF!</definedName>
    <definedName name="Swvu.OP." localSheetId="1" hidden="1">#REF!</definedName>
    <definedName name="Swvu.OP." localSheetId="18" hidden="1">#REF!</definedName>
    <definedName name="Swvu.OP." localSheetId="20" hidden="1">#REF!</definedName>
    <definedName name="Swvu.OP." hidden="1">#REF!</definedName>
    <definedName name="Swvu.yr1fullrpt." localSheetId="1" hidden="1">#REF!</definedName>
    <definedName name="Swvu.yr1fullrpt." localSheetId="13" hidden="1">'[25]2010 Shares Budget'!#REF!</definedName>
    <definedName name="Swvu.yr1fullrpt." localSheetId="18" hidden="1">'[25]2010 Shares Budget'!#REF!</definedName>
    <definedName name="Swvu.yr1fullrpt." localSheetId="20" hidden="1">#REF!</definedName>
    <definedName name="Swvu.yr1fullrpt." hidden="1">#REF!</definedName>
    <definedName name="swvu.yr1fullrpt1" localSheetId="1" hidden="1">#REF!</definedName>
    <definedName name="swvu.yr1fullrpt1" localSheetId="20" hidden="1">#REF!</definedName>
    <definedName name="swvu.yr1fullrpt1" hidden="1">#REF!</definedName>
    <definedName name="TEFRA" localSheetId="1" hidden="1">{"summary",#N/A,TRUE,"E93ADJ";"detail",#N/A,TRUE,"E93ADJ"}</definedName>
    <definedName name="TEFRA" localSheetId="13" hidden="1">{"summary",#N/A,TRUE,"E93ADJ";"detail",#N/A,TRUE,"E93ADJ"}</definedName>
    <definedName name="TEFRA" localSheetId="18" hidden="1">{"summary",#N/A,TRUE,"E93ADJ";"detail",#N/A,TRUE,"E93ADJ"}</definedName>
    <definedName name="TEFRA" localSheetId="20" hidden="1">{"summary",#N/A,TRUE,"E93ADJ";"detail",#N/A,TRUE,"E93ADJ"}</definedName>
    <definedName name="TEFRA" hidden="1">{"summary",#N/A,TRUE,"E93ADJ";"detail",#N/A,TRUE,"E93ADJ"}</definedName>
    <definedName name="Temp" localSheetId="1" hidden="1">{"ARK_JURIS_FUEL",#N/A,FALSE,"Ark_Fuel&amp;Rev"}</definedName>
    <definedName name="Temp" localSheetId="13" hidden="1">{"ARK_JURIS_FUEL",#N/A,FALSE,"Ark_Fuel&amp;Rev"}</definedName>
    <definedName name="Temp" localSheetId="18" hidden="1">{"ARK_JURIS_FUEL",#N/A,FALSE,"Ark_Fuel&amp;Rev"}</definedName>
    <definedName name="Temp" localSheetId="20" hidden="1">{"ARK_JURIS_FUEL",#N/A,FALSE,"Ark_Fuel&amp;Rev"}</definedName>
    <definedName name="Temp" hidden="1">{"ARK_JURIS_FUEL",#N/A,FALSE,"Ark_Fuel&amp;Rev"}</definedName>
    <definedName name="Temp_1" localSheetId="1" hidden="1">{"ARK_JURIS_FUEL",#N/A,FALSE,"Ark_Fuel&amp;Rev"}</definedName>
    <definedName name="Temp_1" localSheetId="13" hidden="1">{"ARK_JURIS_FUEL",#N/A,FALSE,"Ark_Fuel&amp;Rev"}</definedName>
    <definedName name="Temp_1" localSheetId="18" hidden="1">{"ARK_JURIS_FUEL",#N/A,FALSE,"Ark_Fuel&amp;Rev"}</definedName>
    <definedName name="Temp_1" localSheetId="20" hidden="1">{"ARK_JURIS_FUEL",#N/A,FALSE,"Ark_Fuel&amp;Rev"}</definedName>
    <definedName name="Temp_1" hidden="1">{"ARK_JURIS_FUEL",#N/A,FALSE,"Ark_Fuel&amp;Rev"}</definedName>
    <definedName name="Temp_2" localSheetId="1" hidden="1">{"ARK_JURIS_FUEL",#N/A,FALSE,"Ark_Fuel&amp;Rev"}</definedName>
    <definedName name="Temp_2" localSheetId="13" hidden="1">{"ARK_JURIS_FUEL",#N/A,FALSE,"Ark_Fuel&amp;Rev"}</definedName>
    <definedName name="Temp_2" localSheetId="18" hidden="1">{"ARK_JURIS_FUEL",#N/A,FALSE,"Ark_Fuel&amp;Rev"}</definedName>
    <definedName name="Temp_2" localSheetId="20" hidden="1">{"ARK_JURIS_FUEL",#N/A,FALSE,"Ark_Fuel&amp;Rev"}</definedName>
    <definedName name="Temp_2" hidden="1">{"ARK_JURIS_FUEL",#N/A,FALSE,"Ark_Fuel&amp;Rev"}</definedName>
    <definedName name="test" localSheetId="1" hidden="1">#REF!</definedName>
    <definedName name="test" localSheetId="13" hidden="1">[37]TOPrs!#REF!</definedName>
    <definedName name="test" localSheetId="18" hidden="1">[37]TOPrs!#REF!</definedName>
    <definedName name="test" localSheetId="20" hidden="1">#REF!</definedName>
    <definedName name="test" hidden="1">#REF!</definedName>
    <definedName name="test_1" localSheetId="1" hidden="1">{"ARK_JURIS_FUEL",#N/A,FALSE,"Ark_Fuel&amp;Rev"}</definedName>
    <definedName name="test_1" localSheetId="13" hidden="1">{"ARK_JURIS_FUEL",#N/A,FALSE,"Ark_Fuel&amp;Rev"}</definedName>
    <definedName name="test_1" localSheetId="18" hidden="1">{"ARK_JURIS_FUEL",#N/A,FALSE,"Ark_Fuel&amp;Rev"}</definedName>
    <definedName name="test_1" localSheetId="20" hidden="1">{"ARK_JURIS_FUEL",#N/A,FALSE,"Ark_Fuel&amp;Rev"}</definedName>
    <definedName name="test_1" hidden="1">{"ARK_JURIS_FUEL",#N/A,FALSE,"Ark_Fuel&amp;Rev"}</definedName>
    <definedName name="test_2" localSheetId="1" hidden="1">{"ARK_JURIS_FUEL",#N/A,FALSE,"Ark_Fuel&amp;Rev"}</definedName>
    <definedName name="test_2" localSheetId="13" hidden="1">{"ARK_JURIS_FUEL",#N/A,FALSE,"Ark_Fuel&amp;Rev"}</definedName>
    <definedName name="test_2" localSheetId="18" hidden="1">{"ARK_JURIS_FUEL",#N/A,FALSE,"Ark_Fuel&amp;Rev"}</definedName>
    <definedName name="test_2" localSheetId="20" hidden="1">{"ARK_JURIS_FUEL",#N/A,FALSE,"Ark_Fuel&amp;Rev"}</definedName>
    <definedName name="test_2" hidden="1">{"ARK_JURIS_FUEL",#N/A,FALSE,"Ark_Fuel&amp;Rev"}</definedName>
    <definedName name="test1" localSheetId="1" hidden="1">{#N/A,#N/A,TRUE,"Bill Comp - 60";#N/A,#N/A,TRUE,"Bill Comp - 70";#N/A,#N/A,TRUE,"Bill Comp - 71";#N/A,#N/A,TRUE,"Bill Comp- 85"}</definedName>
    <definedName name="test1" localSheetId="13" hidden="1">{#N/A,#N/A,TRUE,"Bill Comp - 60";#N/A,#N/A,TRUE,"Bill Comp - 70";#N/A,#N/A,TRUE,"Bill Comp - 71";#N/A,#N/A,TRUE,"Bill Comp- 85"}</definedName>
    <definedName name="test1" localSheetId="18" hidden="1">{#N/A,#N/A,TRUE,"Bill Comp - 60";#N/A,#N/A,TRUE,"Bill Comp - 70";#N/A,#N/A,TRUE,"Bill Comp - 71";#N/A,#N/A,TRUE,"Bill Comp- 85"}</definedName>
    <definedName name="test1" localSheetId="20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test11" localSheetId="1" hidden="1">{#N/A,"Anonymous",FALSE,"30 30k Table";#N/A,#N/A,FALSE,"30 50k Table";#N/A,#N/A,FALSE,"40 100k Table"}</definedName>
    <definedName name="test11" localSheetId="13" hidden="1">{#N/A,"Anonymous",FALSE,"30 30k Table";#N/A,#N/A,FALSE,"30 50k Table";#N/A,#N/A,FALSE,"40 100k Table"}</definedName>
    <definedName name="test11" localSheetId="18" hidden="1">{#N/A,"Anonymous",FALSE,"30 30k Table";#N/A,#N/A,FALSE,"30 50k Table";#N/A,#N/A,FALSE,"40 100k Table"}</definedName>
    <definedName name="test11" localSheetId="20" hidden="1">{#N/A,"Anonymous",FALSE,"30 30k Table";#N/A,#N/A,FALSE,"30 50k Table";#N/A,#N/A,FALSE,"40 100k Table"}</definedName>
    <definedName name="test11" hidden="1">{#N/A,"Anonymous",FALSE,"30 30k Table";#N/A,#N/A,FALSE,"30 50k Table";#N/A,#N/A,FALSE,"40 100k Table"}</definedName>
    <definedName name="test3" localSheetId="1" hidden="1">#REF!</definedName>
    <definedName name="test3" localSheetId="20" hidden="1">#REF!</definedName>
    <definedName name="test3" hidden="1">#REF!</definedName>
    <definedName name="test4" localSheetId="1" hidden="1">#REF!</definedName>
    <definedName name="test4" localSheetId="20" hidden="1">#REF!</definedName>
    <definedName name="test4" hidden="1">#REF!</definedName>
    <definedName name="testing" localSheetId="1" hidden="1">{#N/A,"Anonymous",FALSE,"30 30k Table";#N/A,#N/A,FALSE,"30 50k Table";#N/A,#N/A,FALSE,"40 100k Table"}</definedName>
    <definedName name="testing" localSheetId="13" hidden="1">{#N/A,"Anonymous",FALSE,"30 30k Table";#N/A,#N/A,FALSE,"30 50k Table";#N/A,#N/A,FALSE,"40 100k Table"}</definedName>
    <definedName name="testing" localSheetId="18" hidden="1">{#N/A,"Anonymous",FALSE,"30 30k Table";#N/A,#N/A,FALSE,"30 50k Table";#N/A,#N/A,FALSE,"40 100k Table"}</definedName>
    <definedName name="testing" localSheetId="20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o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1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18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1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1" localSheetId="1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1" localSheetId="18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1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2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2" localSheetId="1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2" localSheetId="18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2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localSheetId="1" hidden="1">{"PF",#N/A,FALSE,"Sheet4";"PG",#N/A,FALSE,"Sheet4";"PH",#N/A,FALSE,"Sheet4";"PI",#N/A,FALSE,"Sheet4";"PJ",#N/A,FALSE,"Sheet4"}</definedName>
    <definedName name="trehhjrgjr" localSheetId="13" hidden="1">{"PF",#N/A,FALSE,"Sheet4";"PG",#N/A,FALSE,"Sheet4";"PH",#N/A,FALSE,"Sheet4";"PI",#N/A,FALSE,"Sheet4";"PJ",#N/A,FALSE,"Sheet4"}</definedName>
    <definedName name="trehhjrgjr" localSheetId="18" hidden="1">{"PF",#N/A,FALSE,"Sheet4";"PG",#N/A,FALSE,"Sheet4";"PH",#N/A,FALSE,"Sheet4";"PI",#N/A,FALSE,"Sheet4";"PJ",#N/A,FALSE,"Sheet4"}</definedName>
    <definedName name="trehhjrgjr" localSheetId="20" hidden="1">{"PF",#N/A,FALSE,"Sheet4";"PG",#N/A,FALSE,"Sheet4";"PH",#N/A,FALSE,"Sheet4";"PI",#N/A,FALSE,"Sheet4";"PJ",#N/A,FALSE,"Sheet4"}</definedName>
    <definedName name="trehhjrgjr" hidden="1">{"PF",#N/A,FALSE,"Sheet4";"PG",#N/A,FALSE,"Sheet4";"PH",#N/A,FALSE,"Sheet4";"PI",#N/A,FALSE,"Sheet4";"PJ",#N/A,FALSE,"Sheet4"}</definedName>
    <definedName name="TRNR_41ad8fa87297493db7c800d7f7353bfc_12_2" localSheetId="1" hidden="1">#REF!</definedName>
    <definedName name="TRNR_41ad8fa87297493db7c800d7f7353bfc_12_2" localSheetId="13" hidden="1">'[38]EPS Median LTG'!#REF!</definedName>
    <definedName name="TRNR_41ad8fa87297493db7c800d7f7353bfc_12_2" localSheetId="18" hidden="1">'[38]EPS Median LTG'!#REF!</definedName>
    <definedName name="TRNR_41ad8fa87297493db7c800d7f7353bfc_12_2" localSheetId="20" hidden="1">#REF!</definedName>
    <definedName name="TRNR_41ad8fa87297493db7c800d7f7353bfc_12_2" hidden="1">#REF!</definedName>
    <definedName name="trtrtrtrtrtrt" localSheetId="1" hidden="1">{#N/A,#N/A,FALSE,"OTHERINPUTS";#N/A,#N/A,FALSE,"DITRATEINPUTS";#N/A,#N/A,FALSE,"SUPPLIEDADJINPUT";#N/A,#N/A,FALSE,"BR&amp;SUPADJ."}</definedName>
    <definedName name="trtrtrtrtrtrt" localSheetId="13" hidden="1">{#N/A,#N/A,FALSE,"OTHERINPUTS";#N/A,#N/A,FALSE,"DITRATEINPUTS";#N/A,#N/A,FALSE,"SUPPLIEDADJINPUT";#N/A,#N/A,FALSE,"BR&amp;SUPADJ."}</definedName>
    <definedName name="trtrtrtrtrtrt" localSheetId="18" hidden="1">{#N/A,#N/A,FALSE,"OTHERINPUTS";#N/A,#N/A,FALSE,"DITRATEINPUTS";#N/A,#N/A,FALSE,"SUPPLIEDADJINPUT";#N/A,#N/A,FALSE,"BR&amp;SUPADJ."}</definedName>
    <definedName name="trtrtrtrtrtrt" localSheetId="20" hidden="1">{#N/A,#N/A,FALSE,"OTHERINPUTS";#N/A,#N/A,FALSE,"DITRATEINPUTS";#N/A,#N/A,FALSE,"SUPPLIEDADJINPUT";#N/A,#N/A,FALSE,"BR&amp;SUPADJ."}</definedName>
    <definedName name="trtrtrtrtrtrt" hidden="1">{#N/A,#N/A,FALSE,"OTHERINPUTS";#N/A,#N/A,FALSE,"DITRATEINPUTS";#N/A,#N/A,FALSE,"SUPPLIEDADJINPUT";#N/A,#N/A,FALSE,"BR&amp;SUPADJ."}</definedName>
    <definedName name="tt" localSheetId="1" hidden="1">{#N/A,#N/A,TRUE,"TAXPROV";#N/A,#N/A,TRUE,"FLOWTHRU";#N/A,#N/A,TRUE,"SCHEDULE M'S";#N/A,#N/A,TRUE,"PLANT M'S";#N/A,#N/A,TRUE,"TAXJE"}</definedName>
    <definedName name="tt" localSheetId="13" hidden="1">{#N/A,#N/A,TRUE,"TAXPROV";#N/A,#N/A,TRUE,"FLOWTHRU";#N/A,#N/A,TRUE,"SCHEDULE M'S";#N/A,#N/A,TRUE,"PLANT M'S";#N/A,#N/A,TRUE,"TAXJE"}</definedName>
    <definedName name="tt" localSheetId="18" hidden="1">{#N/A,#N/A,TRUE,"TAXPROV";#N/A,#N/A,TRUE,"FLOWTHRU";#N/A,#N/A,TRUE,"SCHEDULE M'S";#N/A,#N/A,TRUE,"PLANT M'S";#N/A,#N/A,TRUE,"TAXJE"}</definedName>
    <definedName name="tt" localSheetId="20" hidden="1">{#N/A,#N/A,TRUE,"TAXPROV";#N/A,#N/A,TRUE,"FLOWTHRU";#N/A,#N/A,TRUE,"SCHEDULE M'S";#N/A,#N/A,TRUE,"PLANT M'S";#N/A,#N/A,TRUE,"TAXJE"}</definedName>
    <definedName name="tt" hidden="1">{#N/A,#N/A,TRUE,"TAXPROV";#N/A,#N/A,TRUE,"FLOWTHRU";#N/A,#N/A,TRUE,"SCHEDULE M'S";#N/A,#N/A,TRUE,"PLANT M'S";#N/A,#N/A,TRUE,"TAXJE"}</definedName>
    <definedName name="ttrtrfgf" localSheetId="1" hidden="1">{#N/A,#N/A,FALSE,"GLDwnLoad"}</definedName>
    <definedName name="ttrtrfgf" localSheetId="13" hidden="1">{#N/A,#N/A,FALSE,"GLDwnLoad"}</definedName>
    <definedName name="ttrtrfgf" localSheetId="18" hidden="1">{#N/A,#N/A,FALSE,"GLDwnLoad"}</definedName>
    <definedName name="ttrtrfgf" localSheetId="20" hidden="1">{#N/A,#N/A,FALSE,"GLDwnLoad"}</definedName>
    <definedName name="ttrtrfgf" hidden="1">{#N/A,#N/A,FALSE,"GLDwnLoad"}</definedName>
    <definedName name="tttt" localSheetId="1" hidden="1">#REF!</definedName>
    <definedName name="tttt" localSheetId="18" hidden="1">#REF!</definedName>
    <definedName name="tttt" localSheetId="20" hidden="1">#REF!</definedName>
    <definedName name="tttt" hidden="1">#REF!</definedName>
    <definedName name="Turnerabc" localSheetId="1" hidden="1">{#N/A,#N/A,TRUE,"1990";#N/A,#N/A,TRUE,"1991";#N/A,#N/A,TRUE,"1992";#N/A,#N/A,TRUE,"1993"}</definedName>
    <definedName name="Turnerabc" localSheetId="13" hidden="1">{#N/A,#N/A,TRUE,"1990";#N/A,#N/A,TRUE,"1991";#N/A,#N/A,TRUE,"1992";#N/A,#N/A,TRUE,"1993"}</definedName>
    <definedName name="Turnerabc" localSheetId="18" hidden="1">{#N/A,#N/A,TRUE,"1990";#N/A,#N/A,TRUE,"1991";#N/A,#N/A,TRUE,"1992";#N/A,#N/A,TRUE,"1993"}</definedName>
    <definedName name="Turnerabc" localSheetId="20" hidden="1">{#N/A,#N/A,TRUE,"1990";#N/A,#N/A,TRUE,"1991";#N/A,#N/A,TRUE,"1992";#N/A,#N/A,TRUE,"1993"}</definedName>
    <definedName name="Turnerabc" hidden="1">{#N/A,#N/A,TRUE,"1990";#N/A,#N/A,TRUE,"1991";#N/A,#N/A,TRUE,"1992";#N/A,#N/A,TRUE,"1993"}</definedName>
    <definedName name="Turnerabcd" localSheetId="1" hidden="1">{#N/A,#N/A,TRUE,"1990";#N/A,#N/A,TRUE,"1991";#N/A,#N/A,TRUE,"1992";#N/A,#N/A,TRUE,"1993"}</definedName>
    <definedName name="Turnerabcd" localSheetId="13" hidden="1">{#N/A,#N/A,TRUE,"1990";#N/A,#N/A,TRUE,"1991";#N/A,#N/A,TRUE,"1992";#N/A,#N/A,TRUE,"1993"}</definedName>
    <definedName name="Turnerabcd" localSheetId="18" hidden="1">{#N/A,#N/A,TRUE,"1990";#N/A,#N/A,TRUE,"1991";#N/A,#N/A,TRUE,"1992";#N/A,#N/A,TRUE,"1993"}</definedName>
    <definedName name="Turnerabcd" localSheetId="20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localSheetId="1" hidden="1">{"summary",#N/A,TRUE,"E93ADJ";"detail",#N/A,TRUE,"E93ADJ"}</definedName>
    <definedName name="Turnerabcde" localSheetId="13" hidden="1">{"summary",#N/A,TRUE,"E93ADJ";"detail",#N/A,TRUE,"E93ADJ"}</definedName>
    <definedName name="Turnerabcde" localSheetId="18" hidden="1">{"summary",#N/A,TRUE,"E93ADJ";"detail",#N/A,TRUE,"E93ADJ"}</definedName>
    <definedName name="Turnerabcde" localSheetId="20" hidden="1">{"summary",#N/A,TRUE,"E93ADJ";"detail",#N/A,TRUE,"E93ADJ"}</definedName>
    <definedName name="Turnerabcde" hidden="1">{"summary",#N/A,TRUE,"E93ADJ";"detail",#N/A,TRUE,"E93ADJ"}</definedName>
    <definedName name="Turnerabcdef" localSheetId="1" hidden="1">{"summary",#N/A,TRUE,"E93ADJ";"detail",#N/A,TRUE,"E93ADJ"}</definedName>
    <definedName name="Turnerabcdef" localSheetId="13" hidden="1">{"summary",#N/A,TRUE,"E93ADJ";"detail",#N/A,TRUE,"E93ADJ"}</definedName>
    <definedName name="Turnerabcdef" localSheetId="18" hidden="1">{"summary",#N/A,TRUE,"E93ADJ";"detail",#N/A,TRUE,"E93ADJ"}</definedName>
    <definedName name="Turnerabcdef" localSheetId="20" hidden="1">{"summary",#N/A,TRUE,"E93ADJ";"detail",#N/A,TRUE,"E93ADJ"}</definedName>
    <definedName name="Turnerabcdef" hidden="1">{"summary",#N/A,TRUE,"E93ADJ";"detail",#N/A,TRUE,"E93ADJ"}</definedName>
    <definedName name="Turnerbcd" localSheetId="1" hidden="1">{#N/A,#N/A,TRUE,"1990";#N/A,#N/A,TRUE,"1991";#N/A,#N/A,TRUE,"1992";#N/A,#N/A,TRUE,"1993"}</definedName>
    <definedName name="Turnerbcd" localSheetId="13" hidden="1">{#N/A,#N/A,TRUE,"1990";#N/A,#N/A,TRUE,"1991";#N/A,#N/A,TRUE,"1992";#N/A,#N/A,TRUE,"1993"}</definedName>
    <definedName name="Turnerbcd" localSheetId="18" hidden="1">{#N/A,#N/A,TRUE,"1990";#N/A,#N/A,TRUE,"1991";#N/A,#N/A,TRUE,"1992";#N/A,#N/A,TRUE,"1993"}</definedName>
    <definedName name="Turnerbcd" localSheetId="20" hidden="1">{#N/A,#N/A,TRUE,"1990";#N/A,#N/A,TRUE,"1991";#N/A,#N/A,TRUE,"1992";#N/A,#N/A,TRUE,"1993"}</definedName>
    <definedName name="Turnerbcd" hidden="1">{#N/A,#N/A,TRUE,"1990";#N/A,#N/A,TRUE,"1991";#N/A,#N/A,TRUE,"1992";#N/A,#N/A,TRUE,"1993"}</definedName>
    <definedName name="Turnerbcde" localSheetId="1" hidden="1">{"summary",#N/A,TRUE,"E93ADJ";"detail",#N/A,TRUE,"E93ADJ"}</definedName>
    <definedName name="Turnerbcde" localSheetId="13" hidden="1">{"summary",#N/A,TRUE,"E93ADJ";"detail",#N/A,TRUE,"E93ADJ"}</definedName>
    <definedName name="Turnerbcde" localSheetId="18" hidden="1">{"summary",#N/A,TRUE,"E93ADJ";"detail",#N/A,TRUE,"E93ADJ"}</definedName>
    <definedName name="Turnerbcde" localSheetId="20" hidden="1">{"summary",#N/A,TRUE,"E93ADJ";"detail",#N/A,TRUE,"E93ADJ"}</definedName>
    <definedName name="Turnerbcde" hidden="1">{"summary",#N/A,TRUE,"E93ADJ";"detail",#N/A,TRUE,"E93ADJ"}</definedName>
    <definedName name="Turnerdud" localSheetId="1" hidden="1">{#N/A,#N/A,TRUE,"1990";#N/A,#N/A,TRUE,"1991";#N/A,#N/A,TRUE,"1992";#N/A,#N/A,TRUE,"1993"}</definedName>
    <definedName name="Turnerdud" localSheetId="13" hidden="1">{#N/A,#N/A,TRUE,"1990";#N/A,#N/A,TRUE,"1991";#N/A,#N/A,TRUE,"1992";#N/A,#N/A,TRUE,"1993"}</definedName>
    <definedName name="Turnerdud" localSheetId="18" hidden="1">{#N/A,#N/A,TRUE,"1990";#N/A,#N/A,TRUE,"1991";#N/A,#N/A,TRUE,"1992";#N/A,#N/A,TRUE,"1993"}</definedName>
    <definedName name="Turnerdud" localSheetId="20" hidden="1">{#N/A,#N/A,TRUE,"1990";#N/A,#N/A,TRUE,"1991";#N/A,#N/A,TRUE,"1992";#N/A,#N/A,TRUE,"1993"}</definedName>
    <definedName name="Turnerdud" hidden="1">{#N/A,#N/A,TRUE,"1990";#N/A,#N/A,TRUE,"1991";#N/A,#N/A,TRUE,"1992";#N/A,#N/A,TRUE,"1993"}</definedName>
    <definedName name="Turnershit" localSheetId="1" hidden="1">{#N/A,#N/A,TRUE,"1990";#N/A,#N/A,TRUE,"1991";#N/A,#N/A,TRUE,"1992";#N/A,#N/A,TRUE,"1993"}</definedName>
    <definedName name="Turnershit" localSheetId="13" hidden="1">{#N/A,#N/A,TRUE,"1990";#N/A,#N/A,TRUE,"1991";#N/A,#N/A,TRUE,"1992";#N/A,#N/A,TRUE,"1993"}</definedName>
    <definedName name="Turnershit" localSheetId="18" hidden="1">{#N/A,#N/A,TRUE,"1990";#N/A,#N/A,TRUE,"1991";#N/A,#N/A,TRUE,"1992";#N/A,#N/A,TRUE,"1993"}</definedName>
    <definedName name="Turnershit" localSheetId="20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localSheetId="1" hidden="1">{"summary",#N/A,TRUE,"E93ADJ";"detail",#N/A,TRUE,"E93ADJ"}</definedName>
    <definedName name="Turnershit2" localSheetId="13" hidden="1">{"summary",#N/A,TRUE,"E93ADJ";"detail",#N/A,TRUE,"E93ADJ"}</definedName>
    <definedName name="Turnershit2" localSheetId="18" hidden="1">{"summary",#N/A,TRUE,"E93ADJ";"detail",#N/A,TRUE,"E93ADJ"}</definedName>
    <definedName name="Turnershit2" localSheetId="20" hidden="1">{"summary",#N/A,TRUE,"E93ADJ";"detail",#N/A,TRUE,"E93ADJ"}</definedName>
    <definedName name="Turnershit2" hidden="1">{"summary",#N/A,TRUE,"E93ADJ";"detail",#N/A,TRUE,"E93ADJ"}</definedName>
    <definedName name="TurnerTEFRA" localSheetId="1" hidden="1">{"summary",#N/A,TRUE,"E93ADJ";"detail",#N/A,TRUE,"E93ADJ"}</definedName>
    <definedName name="TurnerTEFRA" localSheetId="13" hidden="1">{"summary",#N/A,TRUE,"E93ADJ";"detail",#N/A,TRUE,"E93ADJ"}</definedName>
    <definedName name="TurnerTEFRA" localSheetId="18" hidden="1">{"summary",#N/A,TRUE,"E93ADJ";"detail",#N/A,TRUE,"E93ADJ"}</definedName>
    <definedName name="TurnerTEFRA" localSheetId="20" hidden="1">{"summary",#N/A,TRUE,"E93ADJ";"detail",#N/A,TRUE,"E93ADJ"}</definedName>
    <definedName name="TurnerTEFRA" hidden="1">{"summary",#N/A,TRUE,"E93ADJ";"detail",#N/A,TRUE,"E93ADJ"}</definedName>
    <definedName name="Turnerwrn.ALL" localSheetId="1" hidden="1">{#N/A,#N/A,TRUE,"1990";#N/A,#N/A,TRUE,"1991";#N/A,#N/A,TRUE,"1992";#N/A,#N/A,TRUE,"1993"}</definedName>
    <definedName name="Turnerwrn.ALL" localSheetId="13" hidden="1">{#N/A,#N/A,TRUE,"1990";#N/A,#N/A,TRUE,"1991";#N/A,#N/A,TRUE,"1992";#N/A,#N/A,TRUE,"1993"}</definedName>
    <definedName name="Turnerwrn.ALL" localSheetId="18" hidden="1">{#N/A,#N/A,TRUE,"1990";#N/A,#N/A,TRUE,"1991";#N/A,#N/A,TRUE,"1992";#N/A,#N/A,TRUE,"1993"}</definedName>
    <definedName name="Turnerwrn.ALL" localSheetId="20" hidden="1">{#N/A,#N/A,TRUE,"1990";#N/A,#N/A,TRUE,"1991";#N/A,#N/A,TRUE,"1992";#N/A,#N/A,TRUE,"1993"}</definedName>
    <definedName name="Turnerwrn.ALL" hidden="1">{#N/A,#N/A,TRUE,"1990";#N/A,#N/A,TRUE,"1991";#N/A,#N/A,TRUE,"1992";#N/A,#N/A,TRUE,"1993"}</definedName>
    <definedName name="Turnerwrn.PRINT_ALL" localSheetId="1" hidden="1">{"summary",#N/A,TRUE,"E93ADJ";"detail",#N/A,TRUE,"E93ADJ"}</definedName>
    <definedName name="Turnerwrn.PRINT_ALL" localSheetId="13" hidden="1">{"summary",#N/A,TRUE,"E93ADJ";"detail",#N/A,TRUE,"E93ADJ"}</definedName>
    <definedName name="Turnerwrn.PRINT_ALL" localSheetId="18" hidden="1">{"summary",#N/A,TRUE,"E93ADJ";"detail",#N/A,TRUE,"E93ADJ"}</definedName>
    <definedName name="Turnerwrn.PRINT_ALL" localSheetId="20" hidden="1">{"summary",#N/A,TRUE,"E93ADJ";"detail",#N/A,TRUE,"E93ADJ"}</definedName>
    <definedName name="Turnerwrn.PRINT_ALL" hidden="1">{"summary",#N/A,TRUE,"E93ADJ";"detail",#N/A,TRUE,"E93ADJ"}</definedName>
    <definedName name="tw" localSheetId="1" hidden="1">#REF!</definedName>
    <definedName name="tw" localSheetId="18" hidden="1">#REF!</definedName>
    <definedName name="tw" localSheetId="20" hidden="1">#REF!</definedName>
    <definedName name="tw" hidden="1">#REF!</definedName>
    <definedName name="U" localSheetId="1" hidden="1">#REF!</definedName>
    <definedName name="U" localSheetId="13" hidden="1">[9]Data!#REF!</definedName>
    <definedName name="U" localSheetId="18" hidden="1">[10]Data!#REF!</definedName>
    <definedName name="U" localSheetId="20" hidden="1">#REF!</definedName>
    <definedName name="U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3R100C7" localSheetId="13" hidden="1">'[39]DCS Input Data'!$G$100:$M$100</definedName>
    <definedName name="UNIFORMANCES13R100C7" localSheetId="18" hidden="1">'[39]DCS Input Data'!$G$100:$M$100</definedName>
    <definedName name="UNIFORMANCES13R100C7" hidden="1">#REF!</definedName>
    <definedName name="UNIFORMANCES13R101C7" localSheetId="13" hidden="1">'[39]DCS Input Data'!$G$101:$M$101</definedName>
    <definedName name="UNIFORMANCES13R101C7" localSheetId="18" hidden="1">'[39]DCS Input Data'!$G$101:$M$101</definedName>
    <definedName name="UNIFORMANCES13R101C7" hidden="1">#REF!</definedName>
    <definedName name="UNIFORMANCES13R102C7" localSheetId="13" hidden="1">'[39]DCS Input Data'!$G$102:$M$102</definedName>
    <definedName name="UNIFORMANCES13R102C7" localSheetId="18" hidden="1">'[39]DCS Input Data'!$G$102:$M$102</definedName>
    <definedName name="UNIFORMANCES13R102C7" hidden="1">#REF!</definedName>
    <definedName name="UNIFORMANCES13R103C7" localSheetId="13" hidden="1">'[39]DCS Input Data'!$G$103:$M$103</definedName>
    <definedName name="UNIFORMANCES13R103C7" localSheetId="18" hidden="1">'[39]DCS Input Data'!$G$103:$M$103</definedName>
    <definedName name="UNIFORMANCES13R103C7" hidden="1">#REF!</definedName>
    <definedName name="UNIFORMANCES13R104C7" localSheetId="13" hidden="1">'[39]DCS Input Data'!$G$104:$M$104</definedName>
    <definedName name="UNIFORMANCES13R104C7" localSheetId="18" hidden="1">'[39]DCS Input Data'!$G$104:$M$104</definedName>
    <definedName name="UNIFORMANCES13R104C7" hidden="1">#REF!</definedName>
    <definedName name="UNIFORMANCES13R105C7" localSheetId="13" hidden="1">'[39]DCS Input Data'!$G$105:$M$105</definedName>
    <definedName name="UNIFORMANCES13R105C7" localSheetId="18" hidden="1">'[39]DCS Input Data'!$G$105:$M$105</definedName>
    <definedName name="UNIFORMANCES13R105C7" hidden="1">#REF!</definedName>
    <definedName name="UNIFORMANCES13R106C7" localSheetId="13" hidden="1">'[39]DCS Input Data'!$G$106:$M$106</definedName>
    <definedName name="UNIFORMANCES13R106C7" localSheetId="18" hidden="1">'[39]DCS Input Data'!$G$106:$M$106</definedName>
    <definedName name="UNIFORMANCES13R106C7" hidden="1">#REF!</definedName>
    <definedName name="UNIFORMANCES13R107C7" localSheetId="13" hidden="1">'[39]DCS Input Data'!$G$107:$M$107</definedName>
    <definedName name="UNIFORMANCES13R107C7" localSheetId="18" hidden="1">'[39]DCS Input Data'!$G$107:$M$107</definedName>
    <definedName name="UNIFORMANCES13R107C7" hidden="1">#REF!</definedName>
    <definedName name="UNIFORMANCES13R108C7" localSheetId="13" hidden="1">'[39]DCS Input Data'!$G$108:$M$108</definedName>
    <definedName name="UNIFORMANCES13R108C7" localSheetId="18" hidden="1">'[39]DCS Input Data'!$G$108:$M$108</definedName>
    <definedName name="UNIFORMANCES13R108C7" hidden="1">#REF!</definedName>
    <definedName name="UNIFORMANCES13R109C7" localSheetId="13" hidden="1">'[39]DCS Input Data'!$G$109:$M$109</definedName>
    <definedName name="UNIFORMANCES13R109C7" localSheetId="18" hidden="1">'[39]DCS Input Data'!$G$109:$M$109</definedName>
    <definedName name="UNIFORMANCES13R109C7" hidden="1">#REF!</definedName>
    <definedName name="UNIFORMANCES13R10C7" localSheetId="13" hidden="1">'[39]DCS Input Data'!$G$10:$M$10</definedName>
    <definedName name="UNIFORMANCES13R10C7" localSheetId="18" hidden="1">'[39]DCS Input Data'!$G$10:$M$10</definedName>
    <definedName name="UNIFORMANCES13R10C7" hidden="1">#REF!</definedName>
    <definedName name="UNIFORMANCES13R110C7" localSheetId="13" hidden="1">'[39]DCS Input Data'!$G$110:$M$110</definedName>
    <definedName name="UNIFORMANCES13R110C7" localSheetId="18" hidden="1">'[39]DCS Input Data'!$G$110:$M$110</definedName>
    <definedName name="UNIFORMANCES13R110C7" hidden="1">#REF!</definedName>
    <definedName name="UNIFORMANCES13R111C7" localSheetId="13" hidden="1">'[39]DCS Input Data'!$G$111:$M$111</definedName>
    <definedName name="UNIFORMANCES13R111C7" localSheetId="18" hidden="1">'[39]DCS Input Data'!$G$111:$M$111</definedName>
    <definedName name="UNIFORMANCES13R111C7" hidden="1">#REF!</definedName>
    <definedName name="UNIFORMANCES13R112C7" localSheetId="13" hidden="1">'[39]DCS Input Data'!$G$112:$M$112</definedName>
    <definedName name="UNIFORMANCES13R112C7" localSheetId="18" hidden="1">'[39]DCS Input Data'!$G$112:$M$112</definedName>
    <definedName name="UNIFORMANCES13R112C7" hidden="1">#REF!</definedName>
    <definedName name="UNIFORMANCES13R113C7" localSheetId="13" hidden="1">'[39]DCS Input Data'!$G$113:$M$113</definedName>
    <definedName name="UNIFORMANCES13R113C7" localSheetId="18" hidden="1">'[39]DCS Input Data'!$G$113:$M$113</definedName>
    <definedName name="UNIFORMANCES13R113C7" hidden="1">#REF!</definedName>
    <definedName name="UNIFORMANCES13R114C7" localSheetId="13" hidden="1">'[39]DCS Input Data'!$G$114:$M$114</definedName>
    <definedName name="UNIFORMANCES13R114C7" localSheetId="18" hidden="1">'[39]DCS Input Data'!$G$114:$M$114</definedName>
    <definedName name="UNIFORMANCES13R114C7" hidden="1">#REF!</definedName>
    <definedName name="UNIFORMANCES13R115C7" localSheetId="13" hidden="1">'[39]DCS Input Data'!$G$115:$M$115</definedName>
    <definedName name="UNIFORMANCES13R115C7" localSheetId="18" hidden="1">'[39]DCS Input Data'!$G$115:$M$115</definedName>
    <definedName name="UNIFORMANCES13R115C7" hidden="1">#REF!</definedName>
    <definedName name="UNIFORMANCES13R116C7" localSheetId="13" hidden="1">'[39]DCS Input Data'!$G$116:$M$116</definedName>
    <definedName name="UNIFORMANCES13R116C7" localSheetId="18" hidden="1">'[39]DCS Input Data'!$G$116:$M$116</definedName>
    <definedName name="UNIFORMANCES13R116C7" hidden="1">#REF!</definedName>
    <definedName name="UNIFORMANCES13R117C7" localSheetId="13" hidden="1">'[39]DCS Input Data'!$G$117:$M$117</definedName>
    <definedName name="UNIFORMANCES13R117C7" localSheetId="18" hidden="1">'[39]DCS Input Data'!$G$117:$M$117</definedName>
    <definedName name="UNIFORMANCES13R117C7" hidden="1">#REF!</definedName>
    <definedName name="UNIFORMANCES13R118C7" localSheetId="13" hidden="1">'[39]DCS Input Data'!$G$118:$M$118</definedName>
    <definedName name="UNIFORMANCES13R118C7" localSheetId="18" hidden="1">'[39]DCS Input Data'!$G$118:$M$118</definedName>
    <definedName name="UNIFORMANCES13R118C7" hidden="1">#REF!</definedName>
    <definedName name="UNIFORMANCES13R119C7" localSheetId="13" hidden="1">'[39]DCS Input Data'!$G$119:$M$119</definedName>
    <definedName name="UNIFORMANCES13R119C7" localSheetId="18" hidden="1">'[39]DCS Input Data'!$G$119:$M$119</definedName>
    <definedName name="UNIFORMANCES13R119C7" hidden="1">#REF!</definedName>
    <definedName name="UNIFORMANCES13R11C7" localSheetId="13" hidden="1">'[39]DCS Input Data'!$G$11:$M$11</definedName>
    <definedName name="UNIFORMANCES13R11C7" localSheetId="18" hidden="1">'[39]DCS Input Data'!$G$11:$M$11</definedName>
    <definedName name="UNIFORMANCES13R11C7" hidden="1">#REF!</definedName>
    <definedName name="UNIFORMANCES13R120C7" localSheetId="13" hidden="1">'[39]DCS Input Data'!$G$120:$M$120</definedName>
    <definedName name="UNIFORMANCES13R120C7" localSheetId="18" hidden="1">'[39]DCS Input Data'!$G$120:$M$120</definedName>
    <definedName name="UNIFORMANCES13R120C7" hidden="1">#REF!</definedName>
    <definedName name="UNIFORMANCES13R121C7" localSheetId="13" hidden="1">'[39]DCS Input Data'!$G$121:$M$121</definedName>
    <definedName name="UNIFORMANCES13R121C7" localSheetId="18" hidden="1">'[39]DCS Input Data'!$G$121:$M$121</definedName>
    <definedName name="UNIFORMANCES13R121C7" hidden="1">#REF!</definedName>
    <definedName name="UNIFORMANCES13R122C7" localSheetId="13" hidden="1">'[39]DCS Input Data'!$G$122:$M$122</definedName>
    <definedName name="UNIFORMANCES13R122C7" localSheetId="18" hidden="1">'[39]DCS Input Data'!$G$122:$M$122</definedName>
    <definedName name="UNIFORMANCES13R122C7" hidden="1">#REF!</definedName>
    <definedName name="UNIFORMANCES13R123C7" localSheetId="13" hidden="1">'[39]DCS Input Data'!$G$123:$M$123</definedName>
    <definedName name="UNIFORMANCES13R123C7" localSheetId="18" hidden="1">'[39]DCS Input Data'!$G$123:$M$123</definedName>
    <definedName name="UNIFORMANCES13R123C7" hidden="1">#REF!</definedName>
    <definedName name="UNIFORMANCES13R124C7" localSheetId="13" hidden="1">'[39]DCS Input Data'!$G$124:$M$124</definedName>
    <definedName name="UNIFORMANCES13R124C7" localSheetId="18" hidden="1">'[39]DCS Input Data'!$G$124:$M$124</definedName>
    <definedName name="UNIFORMANCES13R124C7" hidden="1">#REF!</definedName>
    <definedName name="UNIFORMANCES13R125C7" localSheetId="13" hidden="1">'[39]DCS Input Data'!$G$125:$M$125</definedName>
    <definedName name="UNIFORMANCES13R125C7" localSheetId="18" hidden="1">'[39]DCS Input Data'!$G$125:$M$125</definedName>
    <definedName name="UNIFORMANCES13R125C7" hidden="1">#REF!</definedName>
    <definedName name="UNIFORMANCES13R126C7" localSheetId="13" hidden="1">'[39]DCS Input Data'!$G$126:$M$126</definedName>
    <definedName name="UNIFORMANCES13R126C7" localSheetId="18" hidden="1">'[39]DCS Input Data'!$G$126:$M$126</definedName>
    <definedName name="UNIFORMANCES13R126C7" hidden="1">#REF!</definedName>
    <definedName name="UNIFORMANCES13R127C7" localSheetId="13" hidden="1">'[39]DCS Input Data'!$G$127:$M$127</definedName>
    <definedName name="UNIFORMANCES13R127C7" localSheetId="18" hidden="1">'[39]DCS Input Data'!$G$127:$M$127</definedName>
    <definedName name="UNIFORMANCES13R127C7" hidden="1">#REF!</definedName>
    <definedName name="UNIFORMANCES13R128C7" localSheetId="13" hidden="1">'[39]DCS Input Data'!$G$128:$M$128</definedName>
    <definedName name="UNIFORMANCES13R128C7" localSheetId="18" hidden="1">'[39]DCS Input Data'!$G$128:$M$128</definedName>
    <definedName name="UNIFORMANCES13R128C7" hidden="1">#REF!</definedName>
    <definedName name="UNIFORMANCES13R129C7" localSheetId="13" hidden="1">'[39]DCS Input Data'!$G$129:$M$129</definedName>
    <definedName name="UNIFORMANCES13R129C7" localSheetId="18" hidden="1">'[39]DCS Input Data'!$G$129:$M$129</definedName>
    <definedName name="UNIFORMANCES13R129C7" hidden="1">#REF!</definedName>
    <definedName name="UNIFORMANCES13R12C7" localSheetId="13" hidden="1">'[39]DCS Input Data'!$G$12:$M$12</definedName>
    <definedName name="UNIFORMANCES13R12C7" localSheetId="18" hidden="1">'[39]DCS Input Data'!$G$12:$M$12</definedName>
    <definedName name="UNIFORMANCES13R12C7" hidden="1">#REF!</definedName>
    <definedName name="UNIFORMANCES13R130C7" localSheetId="13" hidden="1">'[39]DCS Input Data'!$G$130:$M$130</definedName>
    <definedName name="UNIFORMANCES13R130C7" localSheetId="18" hidden="1">'[39]DCS Input Data'!$G$130:$M$130</definedName>
    <definedName name="UNIFORMANCES13R130C7" hidden="1">#REF!</definedName>
    <definedName name="UNIFORMANCES13R132C7" localSheetId="13" hidden="1">'[39]DCS Input Data'!$G$132:$M$132</definedName>
    <definedName name="UNIFORMANCES13R132C7" localSheetId="18" hidden="1">'[39]DCS Input Data'!$G$132:$M$132</definedName>
    <definedName name="UNIFORMANCES13R132C7" hidden="1">#REF!</definedName>
    <definedName name="UNIFORMANCES13R133C7" localSheetId="13" hidden="1">'[39]DCS Input Data'!$G$133:$M$133</definedName>
    <definedName name="UNIFORMANCES13R133C7" localSheetId="18" hidden="1">'[39]DCS Input Data'!$G$133:$M$133</definedName>
    <definedName name="UNIFORMANCES13R133C7" hidden="1">#REF!</definedName>
    <definedName name="UNIFORMANCES13R134C7" localSheetId="13" hidden="1">'[39]DCS Input Data'!$G$134:$M$134</definedName>
    <definedName name="UNIFORMANCES13R134C7" localSheetId="18" hidden="1">'[39]DCS Input Data'!$G$134:$M$134</definedName>
    <definedName name="UNIFORMANCES13R134C7" hidden="1">#REF!</definedName>
    <definedName name="UNIFORMANCES13R135C7" localSheetId="13" hidden="1">'[39]DCS Input Data'!$G$135:$M$135</definedName>
    <definedName name="UNIFORMANCES13R135C7" localSheetId="18" hidden="1">'[39]DCS Input Data'!$G$135:$M$135</definedName>
    <definedName name="UNIFORMANCES13R135C7" hidden="1">#REF!</definedName>
    <definedName name="UNIFORMANCES13R136C7" localSheetId="13" hidden="1">'[39]DCS Input Data'!$G$136:$M$136</definedName>
    <definedName name="UNIFORMANCES13R136C7" localSheetId="18" hidden="1">'[39]DCS Input Data'!$G$136:$M$136</definedName>
    <definedName name="UNIFORMANCES13R136C7" hidden="1">#REF!</definedName>
    <definedName name="UNIFORMANCES13R137C7" localSheetId="13" hidden="1">'[39]DCS Input Data'!$G$137:$M$137</definedName>
    <definedName name="UNIFORMANCES13R137C7" localSheetId="18" hidden="1">'[39]DCS Input Data'!$G$137:$M$137</definedName>
    <definedName name="UNIFORMANCES13R137C7" hidden="1">#REF!</definedName>
    <definedName name="UNIFORMANCES13R138C7" localSheetId="13" hidden="1">'[39]DCS Input Data'!$G$138:$M$138</definedName>
    <definedName name="UNIFORMANCES13R138C7" localSheetId="18" hidden="1">'[39]DCS Input Data'!$G$138:$M$138</definedName>
    <definedName name="UNIFORMANCES13R138C7" hidden="1">#REF!</definedName>
    <definedName name="UNIFORMANCES13R139C7" localSheetId="13" hidden="1">'[39]DCS Input Data'!$G$139:$M$139</definedName>
    <definedName name="UNIFORMANCES13R139C7" localSheetId="18" hidden="1">'[39]DCS Input Data'!$G$139:$M$139</definedName>
    <definedName name="UNIFORMANCES13R139C7" hidden="1">#REF!</definedName>
    <definedName name="UNIFORMANCES13R13C7" localSheetId="13" hidden="1">'[39]DCS Input Data'!$G$13:$M$13</definedName>
    <definedName name="UNIFORMANCES13R13C7" localSheetId="18" hidden="1">'[39]DCS Input Data'!$G$13:$M$13</definedName>
    <definedName name="UNIFORMANCES13R13C7" hidden="1">#REF!</definedName>
    <definedName name="UNIFORMANCES13R140C7" localSheetId="13" hidden="1">'[39]DCS Input Data'!$G$140:$M$140</definedName>
    <definedName name="UNIFORMANCES13R140C7" localSheetId="18" hidden="1">'[39]DCS Input Data'!$G$140:$M$140</definedName>
    <definedName name="UNIFORMANCES13R140C7" hidden="1">#REF!</definedName>
    <definedName name="UNIFORMANCES13R141C7" localSheetId="13" hidden="1">'[39]DCS Input Data'!$G$141:$M$141</definedName>
    <definedName name="UNIFORMANCES13R141C7" localSheetId="18" hidden="1">'[39]DCS Input Data'!$G$141:$M$141</definedName>
    <definedName name="UNIFORMANCES13R141C7" hidden="1">#REF!</definedName>
    <definedName name="UNIFORMANCES13R142C7" localSheetId="13" hidden="1">'[39]DCS Input Data'!$G$142:$M$142</definedName>
    <definedName name="UNIFORMANCES13R142C7" localSheetId="18" hidden="1">'[39]DCS Input Data'!$G$142:$M$142</definedName>
    <definedName name="UNIFORMANCES13R142C7" hidden="1">#REF!</definedName>
    <definedName name="UNIFORMANCES13R143C7" localSheetId="13" hidden="1">'[39]DCS Input Data'!$G$143:$M$143</definedName>
    <definedName name="UNIFORMANCES13R143C7" localSheetId="18" hidden="1">'[39]DCS Input Data'!$G$143:$M$143</definedName>
    <definedName name="UNIFORMANCES13R143C7" hidden="1">#REF!</definedName>
    <definedName name="UNIFORMANCES13R144C7" localSheetId="13" hidden="1">'[39]DCS Input Data'!$G$144:$M$144</definedName>
    <definedName name="UNIFORMANCES13R144C7" localSheetId="18" hidden="1">'[39]DCS Input Data'!$G$144:$M$144</definedName>
    <definedName name="UNIFORMANCES13R144C7" hidden="1">#REF!</definedName>
    <definedName name="UNIFORMANCES13R145C7" localSheetId="13" hidden="1">'[39]DCS Input Data'!$G$145:$M$145</definedName>
    <definedName name="UNIFORMANCES13R145C7" localSheetId="18" hidden="1">'[39]DCS Input Data'!$G$145:$M$145</definedName>
    <definedName name="UNIFORMANCES13R145C7" hidden="1">#REF!</definedName>
    <definedName name="UNIFORMANCES13R146C7" localSheetId="13" hidden="1">'[39]DCS Input Data'!$G$146:$M$146</definedName>
    <definedName name="UNIFORMANCES13R146C7" localSheetId="18" hidden="1">'[39]DCS Input Data'!$G$146:$M$146</definedName>
    <definedName name="UNIFORMANCES13R146C7" hidden="1">#REF!</definedName>
    <definedName name="UNIFORMANCES13R147C7" localSheetId="13" hidden="1">'[39]DCS Input Data'!$G$147:$M$147</definedName>
    <definedName name="UNIFORMANCES13R147C7" localSheetId="18" hidden="1">'[39]DCS Input Data'!$G$147:$M$147</definedName>
    <definedName name="UNIFORMANCES13R147C7" hidden="1">#REF!</definedName>
    <definedName name="UNIFORMANCES13R148C7" localSheetId="13" hidden="1">'[39]DCS Input Data'!$G$148:$M$148</definedName>
    <definedName name="UNIFORMANCES13R148C7" localSheetId="18" hidden="1">'[39]DCS Input Data'!$G$148:$M$148</definedName>
    <definedName name="UNIFORMANCES13R148C7" hidden="1">#REF!</definedName>
    <definedName name="UNIFORMANCES13R14C7" localSheetId="13" hidden="1">'[39]DCS Input Data'!$G$14:$M$14</definedName>
    <definedName name="UNIFORMANCES13R14C7" localSheetId="18" hidden="1">'[39]DCS Input Data'!$G$14:$M$14</definedName>
    <definedName name="UNIFORMANCES13R14C7" hidden="1">#REF!</definedName>
    <definedName name="UNIFORMANCES13R15C7" localSheetId="13" hidden="1">'[39]DCS Input Data'!$G$15:$M$15</definedName>
    <definedName name="UNIFORMANCES13R15C7" localSheetId="18" hidden="1">'[39]DCS Input Data'!$G$15:$M$15</definedName>
    <definedName name="UNIFORMANCES13R15C7" hidden="1">#REF!</definedName>
    <definedName name="UNIFORMANCES13R16C7" localSheetId="13" hidden="1">'[39]DCS Input Data'!$G$16:$M$16</definedName>
    <definedName name="UNIFORMANCES13R16C7" localSheetId="18" hidden="1">'[39]DCS Input Data'!$G$16:$M$16</definedName>
    <definedName name="UNIFORMANCES13R16C7" hidden="1">#REF!</definedName>
    <definedName name="UNIFORMANCES13R17C7" localSheetId="13" hidden="1">'[39]DCS Input Data'!$G$17:$M$17</definedName>
    <definedName name="UNIFORMANCES13R17C7" localSheetId="18" hidden="1">'[39]DCS Input Data'!$G$17:$M$17</definedName>
    <definedName name="UNIFORMANCES13R17C7" hidden="1">#REF!</definedName>
    <definedName name="UNIFORMANCES13R18C7" localSheetId="13" hidden="1">'[39]DCS Input Data'!$G$18:$M$18</definedName>
    <definedName name="UNIFORMANCES13R18C7" localSheetId="18" hidden="1">'[39]DCS Input Data'!$G$18:$M$18</definedName>
    <definedName name="UNIFORMANCES13R18C7" hidden="1">#REF!</definedName>
    <definedName name="UNIFORMANCES13R19C7" localSheetId="13" hidden="1">'[39]DCS Input Data'!$G$19:$M$19</definedName>
    <definedName name="UNIFORMANCES13R19C7" localSheetId="18" hidden="1">'[39]DCS Input Data'!$G$19:$M$19</definedName>
    <definedName name="UNIFORMANCES13R19C7" hidden="1">#REF!</definedName>
    <definedName name="UNIFORMANCES13R20C7" localSheetId="13" hidden="1">'[39]DCS Input Data'!$G$20:$M$20</definedName>
    <definedName name="UNIFORMANCES13R20C7" localSheetId="18" hidden="1">'[39]DCS Input Data'!$G$20:$M$20</definedName>
    <definedName name="UNIFORMANCES13R20C7" hidden="1">#REF!</definedName>
    <definedName name="UNIFORMANCES13R21C7" localSheetId="13" hidden="1">'[39]DCS Input Data'!$G$21:$M$21</definedName>
    <definedName name="UNIFORMANCES13R21C7" localSheetId="18" hidden="1">'[39]DCS Input Data'!$G$21:$M$21</definedName>
    <definedName name="UNIFORMANCES13R21C7" hidden="1">#REF!</definedName>
    <definedName name="UNIFORMANCES13R22C7" localSheetId="13" hidden="1">'[39]DCS Input Data'!$G$22:$M$22</definedName>
    <definedName name="UNIFORMANCES13R22C7" localSheetId="18" hidden="1">'[39]DCS Input Data'!$G$22:$M$22</definedName>
    <definedName name="UNIFORMANCES13R22C7" hidden="1">#REF!</definedName>
    <definedName name="UNIFORMANCES13R23C7" localSheetId="13" hidden="1">'[39]DCS Input Data'!$G$23:$M$23</definedName>
    <definedName name="UNIFORMANCES13R23C7" localSheetId="18" hidden="1">'[39]DCS Input Data'!$G$23:$M$23</definedName>
    <definedName name="UNIFORMANCES13R23C7" hidden="1">#REF!</definedName>
    <definedName name="UNIFORMANCES13R24C7" localSheetId="13" hidden="1">'[39]DCS Input Data'!$G$24:$M$24</definedName>
    <definedName name="UNIFORMANCES13R24C7" localSheetId="18" hidden="1">'[39]DCS Input Data'!$G$24:$M$24</definedName>
    <definedName name="UNIFORMANCES13R24C7" hidden="1">#REF!</definedName>
    <definedName name="UNIFORMANCES13R25C7" localSheetId="13" hidden="1">'[39]DCS Input Data'!$G$25:$M$25</definedName>
    <definedName name="UNIFORMANCES13R25C7" localSheetId="18" hidden="1">'[39]DCS Input Data'!$G$25:$M$25</definedName>
    <definedName name="UNIFORMANCES13R25C7" hidden="1">#REF!</definedName>
    <definedName name="UNIFORMANCES13R26C7" localSheetId="13" hidden="1">'[39]DCS Input Data'!$G$26:$M$26</definedName>
    <definedName name="UNIFORMANCES13R26C7" localSheetId="18" hidden="1">'[39]DCS Input Data'!$G$26:$M$26</definedName>
    <definedName name="UNIFORMANCES13R26C7" hidden="1">#REF!</definedName>
    <definedName name="UNIFORMANCES13R27C7" localSheetId="13" hidden="1">'[39]DCS Input Data'!$G$27:$M$27</definedName>
    <definedName name="UNIFORMANCES13R27C7" localSheetId="18" hidden="1">'[39]DCS Input Data'!$G$27:$M$27</definedName>
    <definedName name="UNIFORMANCES13R27C7" hidden="1">#REF!</definedName>
    <definedName name="UNIFORMANCES13R28C7" localSheetId="13" hidden="1">'[39]DCS Input Data'!$G$28:$M$28</definedName>
    <definedName name="UNIFORMANCES13R28C7" localSheetId="18" hidden="1">'[39]DCS Input Data'!$G$28:$M$28</definedName>
    <definedName name="UNIFORMANCES13R28C7" hidden="1">#REF!</definedName>
    <definedName name="UNIFORMANCES13R29C7" localSheetId="13" hidden="1">'[39]DCS Input Data'!$G$29:$M$29</definedName>
    <definedName name="UNIFORMANCES13R29C7" localSheetId="18" hidden="1">'[39]DCS Input Data'!$G$29:$M$29</definedName>
    <definedName name="UNIFORMANCES13R29C7" hidden="1">#REF!</definedName>
    <definedName name="UNIFORMANCES13R30C7" localSheetId="13" hidden="1">'[39]DCS Input Data'!$G$30:$M$30</definedName>
    <definedName name="UNIFORMANCES13R30C7" localSheetId="18" hidden="1">'[39]DCS Input Data'!$G$30:$M$30</definedName>
    <definedName name="UNIFORMANCES13R30C7" hidden="1">#REF!</definedName>
    <definedName name="UNIFORMANCES13R31C7" localSheetId="13" hidden="1">'[39]DCS Input Data'!$G$31:$M$31</definedName>
    <definedName name="UNIFORMANCES13R31C7" localSheetId="18" hidden="1">'[39]DCS Input Data'!$G$31:$M$31</definedName>
    <definedName name="UNIFORMANCES13R31C7" hidden="1">#REF!</definedName>
    <definedName name="UNIFORMANCES13R32C7" localSheetId="13" hidden="1">'[39]DCS Input Data'!$G$32:$M$32</definedName>
    <definedName name="UNIFORMANCES13R32C7" localSheetId="18" hidden="1">'[39]DCS Input Data'!$G$32:$M$32</definedName>
    <definedName name="UNIFORMANCES13R32C7" hidden="1">#REF!</definedName>
    <definedName name="UNIFORMANCES13R33C7" localSheetId="13" hidden="1">'[39]DCS Input Data'!$G$33:$M$33</definedName>
    <definedName name="UNIFORMANCES13R33C7" localSheetId="18" hidden="1">'[39]DCS Input Data'!$G$33:$M$33</definedName>
    <definedName name="UNIFORMANCES13R33C7" hidden="1">#REF!</definedName>
    <definedName name="UNIFORMANCES13R34C7" localSheetId="13" hidden="1">'[39]DCS Input Data'!$G$34:$M$34</definedName>
    <definedName name="UNIFORMANCES13R34C7" localSheetId="18" hidden="1">'[39]DCS Input Data'!$G$34:$M$34</definedName>
    <definedName name="UNIFORMANCES13R34C7" hidden="1">#REF!</definedName>
    <definedName name="UNIFORMANCES13R35C7" localSheetId="13" hidden="1">'[39]DCS Input Data'!$G$35:$M$35</definedName>
    <definedName name="UNIFORMANCES13R35C7" localSheetId="18" hidden="1">'[39]DCS Input Data'!$G$35:$M$35</definedName>
    <definedName name="UNIFORMANCES13R35C7" hidden="1">#REF!</definedName>
    <definedName name="UNIFORMANCES13R36C7" localSheetId="13" hidden="1">'[39]DCS Input Data'!$G$36:$M$36</definedName>
    <definedName name="UNIFORMANCES13R36C7" localSheetId="18" hidden="1">'[39]DCS Input Data'!$G$36:$M$36</definedName>
    <definedName name="UNIFORMANCES13R36C7" hidden="1">#REF!</definedName>
    <definedName name="UNIFORMANCES13R37C7" localSheetId="13" hidden="1">'[39]DCS Input Data'!$G$37:$M$37</definedName>
    <definedName name="UNIFORMANCES13R37C7" localSheetId="18" hidden="1">'[39]DCS Input Data'!$G$37:$M$37</definedName>
    <definedName name="UNIFORMANCES13R37C7" hidden="1">#REF!</definedName>
    <definedName name="UNIFORMANCES13R38C7" localSheetId="13" hidden="1">'[39]DCS Input Data'!$G$38:$M$38</definedName>
    <definedName name="UNIFORMANCES13R38C7" localSheetId="18" hidden="1">'[39]DCS Input Data'!$G$38:$M$38</definedName>
    <definedName name="UNIFORMANCES13R38C7" hidden="1">#REF!</definedName>
    <definedName name="UNIFORMANCES13R39C7" localSheetId="13" hidden="1">'[39]DCS Input Data'!$G$39:$M$39</definedName>
    <definedName name="UNIFORMANCES13R39C7" localSheetId="18" hidden="1">'[39]DCS Input Data'!$G$39:$M$39</definedName>
    <definedName name="UNIFORMANCES13R39C7" hidden="1">#REF!</definedName>
    <definedName name="UNIFORMANCES13R40C7" localSheetId="13" hidden="1">'[39]DCS Input Data'!$G$40:$M$40</definedName>
    <definedName name="UNIFORMANCES13R40C7" localSheetId="18" hidden="1">'[39]DCS Input Data'!$G$40:$M$40</definedName>
    <definedName name="UNIFORMANCES13R40C7" hidden="1">#REF!</definedName>
    <definedName name="UNIFORMANCES13R41C7" localSheetId="13" hidden="1">'[39]DCS Input Data'!$G$41:$M$41</definedName>
    <definedName name="UNIFORMANCES13R41C7" localSheetId="18" hidden="1">'[39]DCS Input Data'!$G$41:$M$41</definedName>
    <definedName name="UNIFORMANCES13R41C7" hidden="1">#REF!</definedName>
    <definedName name="UNIFORMANCES13R42C7" localSheetId="13" hidden="1">'[39]DCS Input Data'!$G$42:$M$42</definedName>
    <definedName name="UNIFORMANCES13R42C7" localSheetId="18" hidden="1">'[39]DCS Input Data'!$G$42:$M$42</definedName>
    <definedName name="UNIFORMANCES13R42C7" hidden="1">#REF!</definedName>
    <definedName name="UNIFORMANCES13R43C7" localSheetId="13" hidden="1">'[39]DCS Input Data'!$G$43:$M$43</definedName>
    <definedName name="UNIFORMANCES13R43C7" localSheetId="18" hidden="1">'[39]DCS Input Data'!$G$43:$M$43</definedName>
    <definedName name="UNIFORMANCES13R43C7" hidden="1">#REF!</definedName>
    <definedName name="UNIFORMANCES13R45C7" localSheetId="13" hidden="1">'[39]DCS Input Data'!$G$45:$M$45</definedName>
    <definedName name="UNIFORMANCES13R45C7" localSheetId="18" hidden="1">'[39]DCS Input Data'!$G$45:$M$45</definedName>
    <definedName name="UNIFORMANCES13R45C7" hidden="1">#REF!</definedName>
    <definedName name="UNIFORMANCES13R46C7" localSheetId="13" hidden="1">'[39]DCS Input Data'!$G$46:$M$46</definedName>
    <definedName name="UNIFORMANCES13R46C7" localSheetId="18" hidden="1">'[39]DCS Input Data'!$G$46:$M$46</definedName>
    <definedName name="UNIFORMANCES13R46C7" hidden="1">#REF!</definedName>
    <definedName name="UNIFORMANCES13R47C7" localSheetId="13" hidden="1">'[39]DCS Input Data'!$G$47:$M$47</definedName>
    <definedName name="UNIFORMANCES13R47C7" localSheetId="18" hidden="1">'[39]DCS Input Data'!$G$47:$M$47</definedName>
    <definedName name="UNIFORMANCES13R47C7" hidden="1">#REF!</definedName>
    <definedName name="UNIFORMANCES13R48C7" localSheetId="13" hidden="1">'[39]DCS Input Data'!$G$48:$M$48</definedName>
    <definedName name="UNIFORMANCES13R48C7" localSheetId="18" hidden="1">'[39]DCS Input Data'!$G$48:$M$48</definedName>
    <definedName name="UNIFORMANCES13R48C7" hidden="1">#REF!</definedName>
    <definedName name="UNIFORMANCES13R49C7" localSheetId="13" hidden="1">'[39]DCS Input Data'!$G$49:$M$49</definedName>
    <definedName name="UNIFORMANCES13R49C7" localSheetId="18" hidden="1">'[39]DCS Input Data'!$G$49:$M$49</definedName>
    <definedName name="UNIFORMANCES13R49C7" hidden="1">#REF!</definedName>
    <definedName name="UNIFORMANCES13R4C7" localSheetId="13" hidden="1">'[39]DCS Input Data'!$G$4:$M$4</definedName>
    <definedName name="UNIFORMANCES13R4C7" localSheetId="18" hidden="1">'[39]DCS Input Data'!$G$4:$M$4</definedName>
    <definedName name="UNIFORMANCES13R4C7" hidden="1">#REF!</definedName>
    <definedName name="UNIFORMANCES13R50C7" localSheetId="13" hidden="1">'[39]DCS Input Data'!$G$50:$M$50</definedName>
    <definedName name="UNIFORMANCES13R50C7" localSheetId="18" hidden="1">'[39]DCS Input Data'!$G$50:$M$50</definedName>
    <definedName name="UNIFORMANCES13R50C7" hidden="1">#REF!</definedName>
    <definedName name="UNIFORMANCES13R51C7" localSheetId="13" hidden="1">'[39]DCS Input Data'!$G$51:$M$51</definedName>
    <definedName name="UNIFORMANCES13R51C7" localSheetId="18" hidden="1">'[39]DCS Input Data'!$G$51:$M$51</definedName>
    <definedName name="UNIFORMANCES13R51C7" hidden="1">#REF!</definedName>
    <definedName name="UNIFORMANCES13R52C7" localSheetId="13" hidden="1">'[39]DCS Input Data'!$G$52:$M$52</definedName>
    <definedName name="UNIFORMANCES13R52C7" localSheetId="18" hidden="1">'[39]DCS Input Data'!$G$52:$M$52</definedName>
    <definedName name="UNIFORMANCES13R52C7" hidden="1">#REF!</definedName>
    <definedName name="UNIFORMANCES13R53C7" localSheetId="13" hidden="1">'[39]DCS Input Data'!$G$53:$M$53</definedName>
    <definedName name="UNIFORMANCES13R53C7" localSheetId="18" hidden="1">'[39]DCS Input Data'!$G$53:$M$53</definedName>
    <definedName name="UNIFORMANCES13R53C7" hidden="1">#REF!</definedName>
    <definedName name="UNIFORMANCES13R54C7" localSheetId="13" hidden="1">'[39]DCS Input Data'!$G$54:$M$54</definedName>
    <definedName name="UNIFORMANCES13R54C7" localSheetId="18" hidden="1">'[39]DCS Input Data'!$G$54:$M$54</definedName>
    <definedName name="UNIFORMANCES13R54C7" hidden="1">#REF!</definedName>
    <definedName name="UNIFORMANCES13R55C7" localSheetId="13" hidden="1">'[39]DCS Input Data'!$G$55:$M$55</definedName>
    <definedName name="UNIFORMANCES13R55C7" localSheetId="18" hidden="1">'[39]DCS Input Data'!$G$55:$M$55</definedName>
    <definedName name="UNIFORMANCES13R55C7" hidden="1">#REF!</definedName>
    <definedName name="UNIFORMANCES13R56C7" localSheetId="13" hidden="1">'[39]DCS Input Data'!$G$56:$M$56</definedName>
    <definedName name="UNIFORMANCES13R56C7" localSheetId="18" hidden="1">'[39]DCS Input Data'!$G$56:$M$56</definedName>
    <definedName name="UNIFORMANCES13R56C7" hidden="1">#REF!</definedName>
    <definedName name="UNIFORMANCES13R57C7" localSheetId="13" hidden="1">'[39]DCS Input Data'!$G$57:$M$57</definedName>
    <definedName name="UNIFORMANCES13R57C7" localSheetId="18" hidden="1">'[39]DCS Input Data'!$G$57:$M$57</definedName>
    <definedName name="UNIFORMANCES13R57C7" hidden="1">#REF!</definedName>
    <definedName name="UNIFORMANCES13R58C7" localSheetId="13" hidden="1">'[39]DCS Input Data'!$G$58:$M$58</definedName>
    <definedName name="UNIFORMANCES13R58C7" localSheetId="18" hidden="1">'[39]DCS Input Data'!$G$58:$M$58</definedName>
    <definedName name="UNIFORMANCES13R58C7" hidden="1">#REF!</definedName>
    <definedName name="UNIFORMANCES13R59C7" localSheetId="13" hidden="1">'[39]DCS Input Data'!$G$59:$M$59</definedName>
    <definedName name="UNIFORMANCES13R59C7" localSheetId="18" hidden="1">'[39]DCS Input Data'!$G$59:$M$59</definedName>
    <definedName name="UNIFORMANCES13R59C7" hidden="1">#REF!</definedName>
    <definedName name="UNIFORMANCES13R5C7" localSheetId="13" hidden="1">'[39]DCS Input Data'!$G$5:$M$5</definedName>
    <definedName name="UNIFORMANCES13R5C7" localSheetId="18" hidden="1">'[39]DCS Input Data'!$G$5:$M$5</definedName>
    <definedName name="UNIFORMANCES13R5C7" hidden="1">#REF!</definedName>
    <definedName name="UNIFORMANCES13R60C7" localSheetId="13" hidden="1">'[39]DCS Input Data'!$G$60:$M$60</definedName>
    <definedName name="UNIFORMANCES13R60C7" localSheetId="18" hidden="1">'[39]DCS Input Data'!$G$60:$M$60</definedName>
    <definedName name="UNIFORMANCES13R60C7" hidden="1">#REF!</definedName>
    <definedName name="UNIFORMANCES13R61C7" localSheetId="13" hidden="1">'[39]DCS Input Data'!$G$61:$M$61</definedName>
    <definedName name="UNIFORMANCES13R61C7" localSheetId="18" hidden="1">'[39]DCS Input Data'!$G$61:$M$61</definedName>
    <definedName name="UNIFORMANCES13R61C7" hidden="1">#REF!</definedName>
    <definedName name="UNIFORMANCES13R62C7" localSheetId="13" hidden="1">'[39]DCS Input Data'!$G$62:$M$62</definedName>
    <definedName name="UNIFORMANCES13R62C7" localSheetId="18" hidden="1">'[39]DCS Input Data'!$G$62:$M$62</definedName>
    <definedName name="UNIFORMANCES13R62C7" hidden="1">#REF!</definedName>
    <definedName name="UNIFORMANCES13R63C7" localSheetId="13" hidden="1">'[39]DCS Input Data'!$G$63:$M$63</definedName>
    <definedName name="UNIFORMANCES13R63C7" localSheetId="18" hidden="1">'[39]DCS Input Data'!$G$63:$M$63</definedName>
    <definedName name="UNIFORMANCES13R63C7" hidden="1">#REF!</definedName>
    <definedName name="UNIFORMANCES13R64C7" localSheetId="13" hidden="1">'[39]DCS Input Data'!$G$64:$M$64</definedName>
    <definedName name="UNIFORMANCES13R64C7" localSheetId="18" hidden="1">'[39]DCS Input Data'!$G$64:$M$64</definedName>
    <definedName name="UNIFORMANCES13R64C7" hidden="1">#REF!</definedName>
    <definedName name="UNIFORMANCES13R65C7" localSheetId="13" hidden="1">'[39]DCS Input Data'!$G$65:$M$65</definedName>
    <definedName name="UNIFORMANCES13R65C7" localSheetId="18" hidden="1">'[39]DCS Input Data'!$G$65:$M$65</definedName>
    <definedName name="UNIFORMANCES13R65C7" hidden="1">#REF!</definedName>
    <definedName name="UNIFORMANCES13R66C7" localSheetId="13" hidden="1">'[39]DCS Input Data'!$G$66:$M$66</definedName>
    <definedName name="UNIFORMANCES13R66C7" localSheetId="18" hidden="1">'[39]DCS Input Data'!$G$66:$M$66</definedName>
    <definedName name="UNIFORMANCES13R66C7" hidden="1">#REF!</definedName>
    <definedName name="UNIFORMANCES13R67C7" localSheetId="13" hidden="1">'[39]DCS Input Data'!$G$67:$M$67</definedName>
    <definedName name="UNIFORMANCES13R67C7" localSheetId="18" hidden="1">'[39]DCS Input Data'!$G$67:$M$67</definedName>
    <definedName name="UNIFORMANCES13R67C7" hidden="1">#REF!</definedName>
    <definedName name="UNIFORMANCES13R68C7" localSheetId="13" hidden="1">'[39]DCS Input Data'!$G$68:$M$68</definedName>
    <definedName name="UNIFORMANCES13R68C7" localSheetId="18" hidden="1">'[39]DCS Input Data'!$G$68:$M$68</definedName>
    <definedName name="UNIFORMANCES13R68C7" hidden="1">#REF!</definedName>
    <definedName name="UNIFORMANCES13R69C7" localSheetId="13" hidden="1">'[39]DCS Input Data'!$G$69:$M$69</definedName>
    <definedName name="UNIFORMANCES13R69C7" localSheetId="18" hidden="1">'[39]DCS Input Data'!$G$69:$M$69</definedName>
    <definedName name="UNIFORMANCES13R69C7" hidden="1">#REF!</definedName>
    <definedName name="UNIFORMANCES13R6C7" localSheetId="13" hidden="1">'[39]DCS Input Data'!$G$6:$M$6</definedName>
    <definedName name="UNIFORMANCES13R6C7" localSheetId="18" hidden="1">'[39]DCS Input Data'!$G$6:$M$6</definedName>
    <definedName name="UNIFORMANCES13R6C7" hidden="1">#REF!</definedName>
    <definedName name="UNIFORMANCES13R70C7" localSheetId="13" hidden="1">'[39]DCS Input Data'!$G$70:$M$70</definedName>
    <definedName name="UNIFORMANCES13R70C7" localSheetId="18" hidden="1">'[39]DCS Input Data'!$G$70:$M$70</definedName>
    <definedName name="UNIFORMANCES13R70C7" hidden="1">#REF!</definedName>
    <definedName name="UNIFORMANCES13R71C7" localSheetId="13" hidden="1">'[39]DCS Input Data'!$G$71:$M$71</definedName>
    <definedName name="UNIFORMANCES13R71C7" localSheetId="18" hidden="1">'[39]DCS Input Data'!$G$71:$M$71</definedName>
    <definedName name="UNIFORMANCES13R71C7" hidden="1">#REF!</definedName>
    <definedName name="UNIFORMANCES13R72C7" localSheetId="13" hidden="1">'[39]DCS Input Data'!$G$72:$M$72</definedName>
    <definedName name="UNIFORMANCES13R72C7" localSheetId="18" hidden="1">'[39]DCS Input Data'!$G$72:$M$72</definedName>
    <definedName name="UNIFORMANCES13R72C7" hidden="1">#REF!</definedName>
    <definedName name="UNIFORMANCES13R73C7" localSheetId="13" hidden="1">'[39]DCS Input Data'!$G$73:$M$73</definedName>
    <definedName name="UNIFORMANCES13R73C7" localSheetId="18" hidden="1">'[39]DCS Input Data'!$G$73:$M$73</definedName>
    <definedName name="UNIFORMANCES13R73C7" hidden="1">#REF!</definedName>
    <definedName name="UNIFORMANCES13R74C7" localSheetId="13" hidden="1">'[39]DCS Input Data'!$G$74:$M$74</definedName>
    <definedName name="UNIFORMANCES13R74C7" localSheetId="18" hidden="1">'[39]DCS Input Data'!$G$74:$M$74</definedName>
    <definedName name="UNIFORMANCES13R74C7" hidden="1">#REF!</definedName>
    <definedName name="UNIFORMANCES13R75C7" localSheetId="13" hidden="1">'[39]DCS Input Data'!$G$75:$M$75</definedName>
    <definedName name="UNIFORMANCES13R75C7" localSheetId="18" hidden="1">'[39]DCS Input Data'!$G$75:$M$75</definedName>
    <definedName name="UNIFORMANCES13R75C7" hidden="1">#REF!</definedName>
    <definedName name="UNIFORMANCES13R76C7" localSheetId="13" hidden="1">'[39]DCS Input Data'!$G$76:$M$76</definedName>
    <definedName name="UNIFORMANCES13R76C7" localSheetId="18" hidden="1">'[39]DCS Input Data'!$G$76:$M$76</definedName>
    <definedName name="UNIFORMANCES13R76C7" hidden="1">#REF!</definedName>
    <definedName name="UNIFORMANCES13R77C7" localSheetId="13" hidden="1">'[39]DCS Input Data'!$G$77:$M$77</definedName>
    <definedName name="UNIFORMANCES13R77C7" localSheetId="18" hidden="1">'[39]DCS Input Data'!$G$77:$M$77</definedName>
    <definedName name="UNIFORMANCES13R77C7" hidden="1">#REF!</definedName>
    <definedName name="UNIFORMANCES13R78C7" localSheetId="13" hidden="1">'[39]DCS Input Data'!$G$78:$M$78</definedName>
    <definedName name="UNIFORMANCES13R78C7" localSheetId="18" hidden="1">'[39]DCS Input Data'!$G$78:$M$78</definedName>
    <definedName name="UNIFORMANCES13R78C7" hidden="1">#REF!</definedName>
    <definedName name="UNIFORMANCES13R79C7" localSheetId="13" hidden="1">'[39]DCS Input Data'!$G$79:$M$79</definedName>
    <definedName name="UNIFORMANCES13R79C7" localSheetId="18" hidden="1">'[39]DCS Input Data'!$G$79:$M$79</definedName>
    <definedName name="UNIFORMANCES13R79C7" hidden="1">#REF!</definedName>
    <definedName name="UNIFORMANCES13R7C7" localSheetId="13" hidden="1">'[39]DCS Input Data'!$G$7:$M$7</definedName>
    <definedName name="UNIFORMANCES13R7C7" localSheetId="18" hidden="1">'[39]DCS Input Data'!$G$7:$M$7</definedName>
    <definedName name="UNIFORMANCES13R7C7" hidden="1">#REF!</definedName>
    <definedName name="UNIFORMANCES13R80C7" localSheetId="13" hidden="1">'[39]DCS Input Data'!$G$80:$M$80</definedName>
    <definedName name="UNIFORMANCES13R80C7" localSheetId="18" hidden="1">'[39]DCS Input Data'!$G$80:$M$80</definedName>
    <definedName name="UNIFORMANCES13R80C7" hidden="1">#REF!</definedName>
    <definedName name="UNIFORMANCES13R81C7" localSheetId="13" hidden="1">'[39]DCS Input Data'!$G$81:$M$81</definedName>
    <definedName name="UNIFORMANCES13R81C7" localSheetId="18" hidden="1">'[39]DCS Input Data'!$G$81:$M$81</definedName>
    <definedName name="UNIFORMANCES13R81C7" hidden="1">#REF!</definedName>
    <definedName name="UNIFORMANCES13R82C7" localSheetId="13" hidden="1">'[39]DCS Input Data'!$G$82:$M$82</definedName>
    <definedName name="UNIFORMANCES13R82C7" localSheetId="18" hidden="1">'[39]DCS Input Data'!$G$82:$M$82</definedName>
    <definedName name="UNIFORMANCES13R82C7" hidden="1">#REF!</definedName>
    <definedName name="UNIFORMANCES13R83C7" localSheetId="13" hidden="1">'[39]DCS Input Data'!$G$83:$M$83</definedName>
    <definedName name="UNIFORMANCES13R83C7" localSheetId="18" hidden="1">'[39]DCS Input Data'!$G$83:$M$83</definedName>
    <definedName name="UNIFORMANCES13R83C7" hidden="1">#REF!</definedName>
    <definedName name="UNIFORMANCES13R84C7" localSheetId="13" hidden="1">'[39]DCS Input Data'!$G$84:$M$84</definedName>
    <definedName name="UNIFORMANCES13R84C7" localSheetId="18" hidden="1">'[39]DCS Input Data'!$G$84:$M$84</definedName>
    <definedName name="UNIFORMANCES13R84C7" hidden="1">#REF!</definedName>
    <definedName name="UNIFORMANCES13R85C7" localSheetId="13" hidden="1">'[39]DCS Input Data'!$G$85:$M$85</definedName>
    <definedName name="UNIFORMANCES13R85C7" localSheetId="18" hidden="1">'[39]DCS Input Data'!$G$85:$M$85</definedName>
    <definedName name="UNIFORMANCES13R85C7" hidden="1">#REF!</definedName>
    <definedName name="UNIFORMANCES13R86C7" localSheetId="13" hidden="1">'[39]DCS Input Data'!$G$86:$M$86</definedName>
    <definedName name="UNIFORMANCES13R86C7" localSheetId="18" hidden="1">'[39]DCS Input Data'!$G$86:$M$86</definedName>
    <definedName name="UNIFORMANCES13R86C7" hidden="1">#REF!</definedName>
    <definedName name="UNIFORMANCES13R87C7" localSheetId="13" hidden="1">'[39]DCS Input Data'!$G$87:$M$87</definedName>
    <definedName name="UNIFORMANCES13R87C7" localSheetId="18" hidden="1">'[39]DCS Input Data'!$G$87:$M$87</definedName>
    <definedName name="UNIFORMANCES13R87C7" hidden="1">#REF!</definedName>
    <definedName name="UNIFORMANCES13R88C7" localSheetId="13" hidden="1">'[39]DCS Input Data'!$G$88:$M$88</definedName>
    <definedName name="UNIFORMANCES13R88C7" localSheetId="18" hidden="1">'[39]DCS Input Data'!$G$88:$M$88</definedName>
    <definedName name="UNIFORMANCES13R88C7" hidden="1">#REF!</definedName>
    <definedName name="UNIFORMANCES13R89C7" localSheetId="13" hidden="1">'[39]DCS Input Data'!$G$89:$M$89</definedName>
    <definedName name="UNIFORMANCES13R89C7" localSheetId="18" hidden="1">'[39]DCS Input Data'!$G$89:$M$89</definedName>
    <definedName name="UNIFORMANCES13R89C7" hidden="1">#REF!</definedName>
    <definedName name="UNIFORMANCES13R8C7" localSheetId="13" hidden="1">'[39]DCS Input Data'!$G$8:$M$8</definedName>
    <definedName name="UNIFORMANCES13R8C7" localSheetId="18" hidden="1">'[39]DCS Input Data'!$G$8:$M$8</definedName>
    <definedName name="UNIFORMANCES13R8C7" hidden="1">#REF!</definedName>
    <definedName name="UNIFORMANCES13R91C7" localSheetId="13" hidden="1">'[39]DCS Input Data'!$G$91:$M$91</definedName>
    <definedName name="UNIFORMANCES13R91C7" localSheetId="18" hidden="1">'[39]DCS Input Data'!$G$91:$M$91</definedName>
    <definedName name="UNIFORMANCES13R91C7" hidden="1">#REF!</definedName>
    <definedName name="UNIFORMANCES13R92C7" localSheetId="13" hidden="1">'[39]DCS Input Data'!$G$92:$M$92</definedName>
    <definedName name="UNIFORMANCES13R92C7" localSheetId="18" hidden="1">'[39]DCS Input Data'!$G$92:$M$92</definedName>
    <definedName name="UNIFORMANCES13R92C7" hidden="1">#REF!</definedName>
    <definedName name="UNIFORMANCES13R93C7" localSheetId="13" hidden="1">'[39]DCS Input Data'!$G$93:$M$93</definedName>
    <definedName name="UNIFORMANCES13R93C7" localSheetId="18" hidden="1">'[39]DCS Input Data'!$G$93:$M$93</definedName>
    <definedName name="UNIFORMANCES13R93C7" hidden="1">#REF!</definedName>
    <definedName name="UNIFORMANCES13R94C7" localSheetId="13" hidden="1">'[39]DCS Input Data'!$G$94:$M$94</definedName>
    <definedName name="UNIFORMANCES13R94C7" localSheetId="18" hidden="1">'[39]DCS Input Data'!$G$94:$M$94</definedName>
    <definedName name="UNIFORMANCES13R94C7" hidden="1">#REF!</definedName>
    <definedName name="UNIFORMANCES13R95C7" localSheetId="13" hidden="1">'[39]DCS Input Data'!$G$95:$M$95</definedName>
    <definedName name="UNIFORMANCES13R95C7" localSheetId="18" hidden="1">'[39]DCS Input Data'!$G$95:$M$95</definedName>
    <definedName name="UNIFORMANCES13R95C7" hidden="1">#REF!</definedName>
    <definedName name="UNIFORMANCES13R98C7" localSheetId="13" hidden="1">'[39]DCS Input Data'!$G$98:$M$98</definedName>
    <definedName name="UNIFORMANCES13R98C7" localSheetId="18" hidden="1">'[39]DCS Input Data'!$G$98:$M$98</definedName>
    <definedName name="UNIFORMANCES13R98C7" hidden="1">#REF!</definedName>
    <definedName name="UNIFORMANCES13R99C7" localSheetId="13" hidden="1">'[39]DCS Input Data'!$G$99:$M$99</definedName>
    <definedName name="UNIFORMANCES13R99C7" localSheetId="18" hidden="1">'[39]DCS Input Data'!$G$99:$M$99</definedName>
    <definedName name="UNIFORMANCES13R99C7" hidden="1">#REF!</definedName>
    <definedName name="UNIFORMANCES13R9C7" localSheetId="13" hidden="1">'[39]DCS Input Data'!$G$9:$M$9</definedName>
    <definedName name="UNIFORMANCES13R9C7" localSheetId="18" hidden="1">'[39]DCS Input Data'!$G$9:$M$9</definedName>
    <definedName name="UNIFORMANCES13R9C7" hidden="1">#REF!</definedName>
    <definedName name="uu" localSheetId="1" hidden="1">{#N/A,#N/A,FALSE,"SCA";#N/A,#N/A,FALSE,"NCA";#N/A,#N/A,FALSE,"SAZ";#N/A,#N/A,FALSE,"CAZ";#N/A,#N/A,FALSE,"SNV";#N/A,#N/A,FALSE,"NNV";#N/A,#N/A,FALSE,"PP";#N/A,#N/A,FALSE,"SA"}</definedName>
    <definedName name="uu" localSheetId="13" hidden="1">{#N/A,#N/A,FALSE,"SCA";#N/A,#N/A,FALSE,"NCA";#N/A,#N/A,FALSE,"SAZ";#N/A,#N/A,FALSE,"CAZ";#N/A,#N/A,FALSE,"SNV";#N/A,#N/A,FALSE,"NNV";#N/A,#N/A,FALSE,"PP";#N/A,#N/A,FALSE,"SA"}</definedName>
    <definedName name="uu" localSheetId="18" hidden="1">{#N/A,#N/A,FALSE,"SCA";#N/A,#N/A,FALSE,"NCA";#N/A,#N/A,FALSE,"SAZ";#N/A,#N/A,FALSE,"CAZ";#N/A,#N/A,FALSE,"SNV";#N/A,#N/A,FALSE,"NNV";#N/A,#N/A,FALSE,"PP";#N/A,#N/A,FALSE,"SA"}</definedName>
    <definedName name="uu" localSheetId="20" hidden="1">{#N/A,#N/A,FALSE,"SCA";#N/A,#N/A,FALSE,"NCA";#N/A,#N/A,FALSE,"SAZ";#N/A,#N/A,FALSE,"CAZ";#N/A,#N/A,FALSE,"SNV";#N/A,#N/A,FALSE,"NNV";#N/A,#N/A,FALSE,"PP";#N/A,#N/A,FALSE,"SA"}</definedName>
    <definedName name="uu" hidden="1">{#N/A,#N/A,FALSE,"SCA";#N/A,#N/A,FALSE,"NCA";#N/A,#N/A,FALSE,"SAZ";#N/A,#N/A,FALSE,"CAZ";#N/A,#N/A,FALSE,"SNV";#N/A,#N/A,FALSE,"NNV";#N/A,#N/A,FALSE,"PP";#N/A,#N/A,FALSE,"SA"}</definedName>
    <definedName name="uuu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localSheetId="1" hidden="1">{#N/A,#N/A,FALSE,"SCA";#N/A,#N/A,FALSE,"NCA";#N/A,#N/A,FALSE,"SAZ";#N/A,#N/A,FALSE,"CAZ";#N/A,#N/A,FALSE,"SNV";#N/A,#N/A,FALSE,"NNV";#N/A,#N/A,FALSE,"PP";#N/A,#N/A,FALSE,"SA"}</definedName>
    <definedName name="uuuu" localSheetId="13" hidden="1">{#N/A,#N/A,FALSE,"SCA";#N/A,#N/A,FALSE,"NCA";#N/A,#N/A,FALSE,"SAZ";#N/A,#N/A,FALSE,"CAZ";#N/A,#N/A,FALSE,"SNV";#N/A,#N/A,FALSE,"NNV";#N/A,#N/A,FALSE,"PP";#N/A,#N/A,FALSE,"SA"}</definedName>
    <definedName name="uuuu" localSheetId="18" hidden="1">{#N/A,#N/A,FALSE,"SCA";#N/A,#N/A,FALSE,"NCA";#N/A,#N/A,FALSE,"SAZ";#N/A,#N/A,FALSE,"CAZ";#N/A,#N/A,FALSE,"SNV";#N/A,#N/A,FALSE,"NNV";#N/A,#N/A,FALSE,"PP";#N/A,#N/A,FALSE,"SA"}</definedName>
    <definedName name="uuuu" localSheetId="20" hidden="1">{#N/A,#N/A,FALSE,"SCA";#N/A,#N/A,FALSE,"NCA";#N/A,#N/A,FALSE,"SAZ";#N/A,#N/A,FALSE,"CAZ";#N/A,#N/A,FALSE,"SNV";#N/A,#N/A,FALSE,"NNV";#N/A,#N/A,FALSE,"PP";#N/A,#N/A,FALSE,"SA"}</definedName>
    <definedName name="uuuu" hidden="1">{#N/A,#N/A,FALSE,"SCA";#N/A,#N/A,FALSE,"NCA";#N/A,#N/A,FALSE,"SAZ";#N/A,#N/A,FALSE,"CAZ";#N/A,#N/A,FALSE,"SNV";#N/A,#N/A,FALSE,"NNV";#N/A,#N/A,FALSE,"PP";#N/A,#N/A,FALSE,"SA"}</definedName>
    <definedName name="uuuuu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localSheetId="1" hidden="1">{"Overall Scorecard",#N/A,FALSE,"Overall Scorecard"}</definedName>
    <definedName name="v" localSheetId="13" hidden="1">{"Overall Scorecard",#N/A,FALSE,"Overall Scorecard"}</definedName>
    <definedName name="v" localSheetId="18" hidden="1">{"Overall Scorecard",#N/A,FALSE,"Overall Scorecard"}</definedName>
    <definedName name="v" localSheetId="20" hidden="1">{"Overall Scorecard",#N/A,FALSE,"Overall Scorecard"}</definedName>
    <definedName name="v" hidden="1">{"Overall Scorecard",#N/A,FALSE,"Overall Scorecard"}</definedName>
    <definedName name="VL_HTML_Control" localSheetId="1" hidden="1">{"'Sheet1'!$A$1:$O$40"}</definedName>
    <definedName name="VL_HTML_Control" localSheetId="13" hidden="1">{"'Sheet1'!$A$1:$O$40"}</definedName>
    <definedName name="VL_HTML_Control" localSheetId="18" hidden="1">{"'Sheet1'!$A$1:$O$40"}</definedName>
    <definedName name="VL_HTML_Control" localSheetId="20" hidden="1">{"'Sheet1'!$A$1:$O$40"}</definedName>
    <definedName name="VL_HTML_Control" hidden="1">{"'Sheet1'!$A$1:$O$40"}</definedName>
    <definedName name="VL_HTML_Control_1" localSheetId="1" hidden="1">{"'Sheet1'!$A$1:$O$40"}</definedName>
    <definedName name="VL_HTML_Control_1" localSheetId="13" hidden="1">{"'Sheet1'!$A$1:$O$40"}</definedName>
    <definedName name="VL_HTML_Control_1" localSheetId="18" hidden="1">{"'Sheet1'!$A$1:$O$40"}</definedName>
    <definedName name="VL_HTML_Control_1" localSheetId="20" hidden="1">{"'Sheet1'!$A$1:$O$40"}</definedName>
    <definedName name="VL_HTML_Control_1" hidden="1">{"'Sheet1'!$A$1:$O$40"}</definedName>
    <definedName name="VL_HTML_Control_1_1" localSheetId="1" hidden="1">{"'Sheet1'!$A$1:$O$40"}</definedName>
    <definedName name="VL_HTML_Control_1_1" localSheetId="13" hidden="1">{"'Sheet1'!$A$1:$O$40"}</definedName>
    <definedName name="VL_HTML_Control_1_1" localSheetId="18" hidden="1">{"'Sheet1'!$A$1:$O$40"}</definedName>
    <definedName name="VL_HTML_Control_1_1" localSheetId="20" hidden="1">{"'Sheet1'!$A$1:$O$40"}</definedName>
    <definedName name="VL_HTML_Control_1_1" hidden="1">{"'Sheet1'!$A$1:$O$40"}</definedName>
    <definedName name="VL_HTML_Control_1_2" localSheetId="1" hidden="1">{"'Sheet1'!$A$1:$O$40"}</definedName>
    <definedName name="VL_HTML_Control_1_2" localSheetId="13" hidden="1">{"'Sheet1'!$A$1:$O$40"}</definedName>
    <definedName name="VL_HTML_Control_1_2" localSheetId="18" hidden="1">{"'Sheet1'!$A$1:$O$40"}</definedName>
    <definedName name="VL_HTML_Control_1_2" localSheetId="20" hidden="1">{"'Sheet1'!$A$1:$O$40"}</definedName>
    <definedName name="VL_HTML_Control_1_2" hidden="1">{"'Sheet1'!$A$1:$O$40"}</definedName>
    <definedName name="VL_HTML_Control_2" localSheetId="1" hidden="1">{"'Sheet1'!$A$1:$O$40"}</definedName>
    <definedName name="VL_HTML_Control_2" localSheetId="13" hidden="1">{"'Sheet1'!$A$1:$O$40"}</definedName>
    <definedName name="VL_HTML_Control_2" localSheetId="18" hidden="1">{"'Sheet1'!$A$1:$O$40"}</definedName>
    <definedName name="VL_HTML_Control_2" localSheetId="20" hidden="1">{"'Sheet1'!$A$1:$O$40"}</definedName>
    <definedName name="VL_HTML_Control_2" hidden="1">{"'Sheet1'!$A$1:$O$40"}</definedName>
    <definedName name="VL_HTML_Control_3" localSheetId="1" hidden="1">{"'Sheet1'!$A$1:$O$40"}</definedName>
    <definedName name="VL_HTML_Control_3" localSheetId="13" hidden="1">{"'Sheet1'!$A$1:$O$40"}</definedName>
    <definedName name="VL_HTML_Control_3" localSheetId="18" hidden="1">{"'Sheet1'!$A$1:$O$40"}</definedName>
    <definedName name="VL_HTML_Control_3" localSheetId="20" hidden="1">{"'Sheet1'!$A$1:$O$40"}</definedName>
    <definedName name="VL_HTML_Control_3" hidden="1">{"'Sheet1'!$A$1:$O$40"}</definedName>
    <definedName name="VL_jhlkqFL" localSheetId="1" hidden="1">{"'Sheet1'!$A$1:$O$40"}</definedName>
    <definedName name="VL_jhlkqFL" localSheetId="13" hidden="1">{"'Sheet1'!$A$1:$O$40"}</definedName>
    <definedName name="VL_jhlkqFL" localSheetId="18" hidden="1">{"'Sheet1'!$A$1:$O$40"}</definedName>
    <definedName name="VL_jhlkqFL" localSheetId="20" hidden="1">{"'Sheet1'!$A$1:$O$40"}</definedName>
    <definedName name="VL_jhlkqFL" hidden="1">{"'Sheet1'!$A$1:$O$40"}</definedName>
    <definedName name="VL_jhlkqFL_1" localSheetId="1" hidden="1">{"'Sheet1'!$A$1:$O$40"}</definedName>
    <definedName name="VL_jhlkqFL_1" localSheetId="13" hidden="1">{"'Sheet1'!$A$1:$O$40"}</definedName>
    <definedName name="VL_jhlkqFL_1" localSheetId="18" hidden="1">{"'Sheet1'!$A$1:$O$40"}</definedName>
    <definedName name="VL_jhlkqFL_1" localSheetId="20" hidden="1">{"'Sheet1'!$A$1:$O$40"}</definedName>
    <definedName name="VL_jhlkqFL_1" hidden="1">{"'Sheet1'!$A$1:$O$40"}</definedName>
    <definedName name="VL_jhlkqFL_1_1" localSheetId="1" hidden="1">{"'Sheet1'!$A$1:$O$40"}</definedName>
    <definedName name="VL_jhlkqFL_1_1" localSheetId="13" hidden="1">{"'Sheet1'!$A$1:$O$40"}</definedName>
    <definedName name="VL_jhlkqFL_1_1" localSheetId="18" hidden="1">{"'Sheet1'!$A$1:$O$40"}</definedName>
    <definedName name="VL_jhlkqFL_1_1" localSheetId="20" hidden="1">{"'Sheet1'!$A$1:$O$40"}</definedName>
    <definedName name="VL_jhlkqFL_1_1" hidden="1">{"'Sheet1'!$A$1:$O$40"}</definedName>
    <definedName name="VL_jhlkqFL_1_2" localSheetId="1" hidden="1">{"'Sheet1'!$A$1:$O$40"}</definedName>
    <definedName name="VL_jhlkqFL_1_2" localSheetId="13" hidden="1">{"'Sheet1'!$A$1:$O$40"}</definedName>
    <definedName name="VL_jhlkqFL_1_2" localSheetId="18" hidden="1">{"'Sheet1'!$A$1:$O$40"}</definedName>
    <definedName name="VL_jhlkqFL_1_2" localSheetId="20" hidden="1">{"'Sheet1'!$A$1:$O$40"}</definedName>
    <definedName name="VL_jhlkqFL_1_2" hidden="1">{"'Sheet1'!$A$1:$O$40"}</definedName>
    <definedName name="VL_jhlkqFL_2" localSheetId="1" hidden="1">{"'Sheet1'!$A$1:$O$40"}</definedName>
    <definedName name="VL_jhlkqFL_2" localSheetId="13" hidden="1">{"'Sheet1'!$A$1:$O$40"}</definedName>
    <definedName name="VL_jhlkqFL_2" localSheetId="18" hidden="1">{"'Sheet1'!$A$1:$O$40"}</definedName>
    <definedName name="VL_jhlkqFL_2" localSheetId="20" hidden="1">{"'Sheet1'!$A$1:$O$40"}</definedName>
    <definedName name="VL_jhlkqFL_2" hidden="1">{"'Sheet1'!$A$1:$O$40"}</definedName>
    <definedName name="VL_jhlkqFL_3" localSheetId="1" hidden="1">{"'Sheet1'!$A$1:$O$40"}</definedName>
    <definedName name="VL_jhlkqFL_3" localSheetId="13" hidden="1">{"'Sheet1'!$A$1:$O$40"}</definedName>
    <definedName name="VL_jhlkqFL_3" localSheetId="18" hidden="1">{"'Sheet1'!$A$1:$O$40"}</definedName>
    <definedName name="VL_jhlkqFL_3" localSheetId="20" hidden="1">{"'Sheet1'!$A$1:$O$40"}</definedName>
    <definedName name="VL_jhlkqFL_3" hidden="1">{"'Sheet1'!$A$1:$O$40"}</definedName>
    <definedName name="VL_Key1" localSheetId="1" hidden="1">#REF!</definedName>
    <definedName name="VL_Key1" localSheetId="20" hidden="1">#REF!</definedName>
    <definedName name="VL_Key1" hidden="1">#REF!</definedName>
    <definedName name="VL_key2" localSheetId="1" hidden="1">#REF!</definedName>
    <definedName name="VL_key2" localSheetId="20" hidden="1">#REF!</definedName>
    <definedName name="VL_key2" hidden="1">#REF!</definedName>
    <definedName name="VL_Regression_Out" localSheetId="1" hidden="1">#REF!</definedName>
    <definedName name="VL_Regression_Out" localSheetId="18" hidden="1">#REF!</definedName>
    <definedName name="VL_Regression_Out" localSheetId="20" hidden="1">#REF!</definedName>
    <definedName name="VL_Regression_Out" hidden="1">#REF!</definedName>
    <definedName name="VL_Regression_X" localSheetId="1" hidden="1">#REF!</definedName>
    <definedName name="VL_Regression_X" localSheetId="18" hidden="1">#REF!</definedName>
    <definedName name="VL_Regression_X" localSheetId="20" hidden="1">#REF!</definedName>
    <definedName name="VL_Regression_X" hidden="1">#REF!</definedName>
    <definedName name="VL_Regression_Y" localSheetId="1" hidden="1">#REF!</definedName>
    <definedName name="VL_Regression_Y" localSheetId="18" hidden="1">#REF!</definedName>
    <definedName name="VL_Regression_Y" localSheetId="20" hidden="1">#REF!</definedName>
    <definedName name="VL_Regression_Y" hidden="1">#REF!</definedName>
    <definedName name="VL_Sort" localSheetId="1" hidden="1">#REF!</definedName>
    <definedName name="VL_Sort" localSheetId="20" hidden="1">#REF!</definedName>
    <definedName name="VL_Sort" hidden="1">#REF!</definedName>
    <definedName name="w" localSheetId="1" hidden="1">{"Points=O&amp;M per Customer + per Equiv Employee",#N/A,FALSE,"Points";"Points=Operating Ratio + Return on Net Plant",#N/A,FALSE,"Points";"Points=Revenue per Equivalent Employee",#N/A,FALSE,"Points"}</definedName>
    <definedName name="w" localSheetId="13" hidden="1">{"Points=O&amp;M per Customer + per Equiv Employee",#N/A,FALSE,"Points";"Points=Operating Ratio + Return on Net Plant",#N/A,FALSE,"Points";"Points=Revenue per Equivalent Employee",#N/A,FALSE,"Points"}</definedName>
    <definedName name="w" localSheetId="18" hidden="1">{"Points=O&amp;M per Customer + per Equiv Employee",#N/A,FALSE,"Points";"Points=Operating Ratio + Return on Net Plant",#N/A,FALSE,"Points";"Points=Revenue per Equivalent Employee",#N/A,FALSE,"Points"}</definedName>
    <definedName name="w" localSheetId="20" hidden="1">{"Points=O&amp;M per Customer + per Equiv Employee",#N/A,FALSE,"Points";"Points=Operating Ratio + Return on Net Plant",#N/A,FALSE,"Points";"Points=Revenue per Equivalent Employee",#N/A,FALSE,"Points"}</definedName>
    <definedName name="w" hidden="1">{"Points=O&amp;M per Customer + per Equiv Employee",#N/A,FALSE,"Points";"Points=Operating Ratio + Return on Net Plant",#N/A,FALSE,"Points";"Points=Revenue per Equivalent Employee",#N/A,FALSE,"Points"}</definedName>
    <definedName name="w_1" localSheetId="1" hidden="1">{"quarterly",#N/A,FALSE,"Income Statement";#N/A,#N/A,FALSE,"print segment";#N/A,#N/A,FALSE,"Balance Sheet";#N/A,#N/A,FALSE,"Annl Inc";#N/A,#N/A,FALSE,"Cash Flow"}</definedName>
    <definedName name="w_1" localSheetId="13" hidden="1">{"quarterly",#N/A,FALSE,"Income Statement";#N/A,#N/A,FALSE,"print segment";#N/A,#N/A,FALSE,"Balance Sheet";#N/A,#N/A,FALSE,"Annl Inc";#N/A,#N/A,FALSE,"Cash Flow"}</definedName>
    <definedName name="w_1" localSheetId="18" hidden="1">{"quarterly",#N/A,FALSE,"Income Statement";#N/A,#N/A,FALSE,"print segment";#N/A,#N/A,FALSE,"Balance Sheet";#N/A,#N/A,FALSE,"Annl Inc";#N/A,#N/A,FALSE,"Cash Flow"}</definedName>
    <definedName name="w_1" localSheetId="20" hidden="1">{"quarterly",#N/A,FALSE,"Income Statement";#N/A,#N/A,FALSE,"print segment";#N/A,#N/A,FALSE,"Balance Sheet";#N/A,#N/A,FALSE,"Annl Inc";#N/A,#N/A,FALSE,"Cash Flow"}</definedName>
    <definedName name="w_1" hidden="1">{"quarterly",#N/A,FALSE,"Income Statement";#N/A,#N/A,FALSE,"print segment";#N/A,#N/A,FALSE,"Balance Sheet";#N/A,#N/A,FALSE,"Annl Inc";#N/A,#N/A,FALSE,"Cash Flow"}</definedName>
    <definedName name="w_1_1" localSheetId="1" hidden="1">{"quarterly",#N/A,FALSE,"Income Statement";#N/A,#N/A,FALSE,"print segment";#N/A,#N/A,FALSE,"Balance Sheet";#N/A,#N/A,FALSE,"Annl Inc";#N/A,#N/A,FALSE,"Cash Flow"}</definedName>
    <definedName name="w_1_1" localSheetId="13" hidden="1">{"quarterly",#N/A,FALSE,"Income Statement";#N/A,#N/A,FALSE,"print segment";#N/A,#N/A,FALSE,"Balance Sheet";#N/A,#N/A,FALSE,"Annl Inc";#N/A,#N/A,FALSE,"Cash Flow"}</definedName>
    <definedName name="w_1_1" localSheetId="18" hidden="1">{"quarterly",#N/A,FALSE,"Income Statement";#N/A,#N/A,FALSE,"print segment";#N/A,#N/A,FALSE,"Balance Sheet";#N/A,#N/A,FALSE,"Annl Inc";#N/A,#N/A,FALSE,"Cash Flow"}</definedName>
    <definedName name="w_1_1" localSheetId="20" hidden="1">{"quarterly",#N/A,FALSE,"Income Statement";#N/A,#N/A,FALSE,"print segment";#N/A,#N/A,FALSE,"Balance Sheet";#N/A,#N/A,FALSE,"Annl Inc";#N/A,#N/A,FALSE,"Cash Flow"}</definedName>
    <definedName name="w_1_1" hidden="1">{"quarterly",#N/A,FALSE,"Income Statement";#N/A,#N/A,FALSE,"print segment";#N/A,#N/A,FALSE,"Balance Sheet";#N/A,#N/A,FALSE,"Annl Inc";#N/A,#N/A,FALSE,"Cash Flow"}</definedName>
    <definedName name="w_1_2" localSheetId="1" hidden="1">{"quarterly",#N/A,FALSE,"Income Statement";#N/A,#N/A,FALSE,"print segment";#N/A,#N/A,FALSE,"Balance Sheet";#N/A,#N/A,FALSE,"Annl Inc";#N/A,#N/A,FALSE,"Cash Flow"}</definedName>
    <definedName name="w_1_2" localSheetId="13" hidden="1">{"quarterly",#N/A,FALSE,"Income Statement";#N/A,#N/A,FALSE,"print segment";#N/A,#N/A,FALSE,"Balance Sheet";#N/A,#N/A,FALSE,"Annl Inc";#N/A,#N/A,FALSE,"Cash Flow"}</definedName>
    <definedName name="w_1_2" localSheetId="18" hidden="1">{"quarterly",#N/A,FALSE,"Income Statement";#N/A,#N/A,FALSE,"print segment";#N/A,#N/A,FALSE,"Balance Sheet";#N/A,#N/A,FALSE,"Annl Inc";#N/A,#N/A,FALSE,"Cash Flow"}</definedName>
    <definedName name="w_1_2" localSheetId="20" hidden="1">{"quarterly",#N/A,FALSE,"Income Statement";#N/A,#N/A,FALSE,"print segment";#N/A,#N/A,FALSE,"Balance Sheet";#N/A,#N/A,FALSE,"Annl Inc";#N/A,#N/A,FALSE,"Cash Flow"}</definedName>
    <definedName name="w_1_2" hidden="1">{"quarterly",#N/A,FALSE,"Income Statement";#N/A,#N/A,FALSE,"print segment";#N/A,#N/A,FALSE,"Balance Sheet";#N/A,#N/A,FALSE,"Annl Inc";#N/A,#N/A,FALSE,"Cash Flow"}</definedName>
    <definedName name="w_2" localSheetId="1" hidden="1">{"quarterly",#N/A,FALSE,"Income Statement";#N/A,#N/A,FALSE,"print segment";#N/A,#N/A,FALSE,"Balance Sheet";#N/A,#N/A,FALSE,"Annl Inc";#N/A,#N/A,FALSE,"Cash Flow"}</definedName>
    <definedName name="w_2" localSheetId="13" hidden="1">{"quarterly",#N/A,FALSE,"Income Statement";#N/A,#N/A,FALSE,"print segment";#N/A,#N/A,FALSE,"Balance Sheet";#N/A,#N/A,FALSE,"Annl Inc";#N/A,#N/A,FALSE,"Cash Flow"}</definedName>
    <definedName name="w_2" localSheetId="18" hidden="1">{"quarterly",#N/A,FALSE,"Income Statement";#N/A,#N/A,FALSE,"print segment";#N/A,#N/A,FALSE,"Balance Sheet";#N/A,#N/A,FALSE,"Annl Inc";#N/A,#N/A,FALSE,"Cash Flow"}</definedName>
    <definedName name="w_2" localSheetId="20" hidden="1">{"quarterly",#N/A,FALSE,"Income Statement";#N/A,#N/A,FALSE,"print segment";#N/A,#N/A,FALSE,"Balance Sheet";#N/A,#N/A,FALSE,"Annl Inc";#N/A,#N/A,FALSE,"Cash Flow"}</definedName>
    <definedName name="w_2" hidden="1">{"quarterly",#N/A,FALSE,"Income Statement";#N/A,#N/A,FALSE,"print segment";#N/A,#N/A,FALSE,"Balance Sheet";#N/A,#N/A,FALSE,"Annl Inc";#N/A,#N/A,FALSE,"Cash Flow"}</definedName>
    <definedName name="w_3" localSheetId="1" hidden="1">{"quarterly",#N/A,FALSE,"Income Statement";#N/A,#N/A,FALSE,"print segment";#N/A,#N/A,FALSE,"Balance Sheet";#N/A,#N/A,FALSE,"Annl Inc";#N/A,#N/A,FALSE,"Cash Flow"}</definedName>
    <definedName name="w_3" localSheetId="13" hidden="1">{"quarterly",#N/A,FALSE,"Income Statement";#N/A,#N/A,FALSE,"print segment";#N/A,#N/A,FALSE,"Balance Sheet";#N/A,#N/A,FALSE,"Annl Inc";#N/A,#N/A,FALSE,"Cash Flow"}</definedName>
    <definedName name="w_3" localSheetId="18" hidden="1">{"quarterly",#N/A,FALSE,"Income Statement";#N/A,#N/A,FALSE,"print segment";#N/A,#N/A,FALSE,"Balance Sheet";#N/A,#N/A,FALSE,"Annl Inc";#N/A,#N/A,FALSE,"Cash Flow"}</definedName>
    <definedName name="w_3" localSheetId="20" hidden="1">{"quarterly",#N/A,FALSE,"Income Statement";#N/A,#N/A,FALSE,"print segment";#N/A,#N/A,FALSE,"Balance Sheet";#N/A,#N/A,FALSE,"Annl Inc";#N/A,#N/A,FALSE,"Cash Flow"}</definedName>
    <definedName name="w_3" hidden="1">{"quarterly",#N/A,FALSE,"Income Statement";#N/A,#N/A,FALSE,"print segment";#N/A,#N/A,FALSE,"Balance Sheet";#N/A,#N/A,FALSE,"Annl Inc";#N/A,#N/A,FALSE,"Cash Flow"}</definedName>
    <definedName name="warn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13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18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20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localSheetId="1" hidden="1">#REF!</definedName>
    <definedName name="wepfo" localSheetId="20" hidden="1">#REF!</definedName>
    <definedName name="wepfo" hidden="1">#REF!</definedName>
    <definedName name="wh" localSheetId="1" hidden="1">{#N/A,#N/A,FALSE,"O&amp;M by processes";#N/A,#N/A,FALSE,"Elec Act vs Bud";#N/A,#N/A,FALSE,"G&amp;A";#N/A,#N/A,FALSE,"BGS";#N/A,#N/A,FALSE,"Res Cost"}</definedName>
    <definedName name="wh" localSheetId="13" hidden="1">{#N/A,#N/A,FALSE,"O&amp;M by processes";#N/A,#N/A,FALSE,"Elec Act vs Bud";#N/A,#N/A,FALSE,"G&amp;A";#N/A,#N/A,FALSE,"BGS";#N/A,#N/A,FALSE,"Res Cost"}</definedName>
    <definedName name="wh" localSheetId="18" hidden="1">{#N/A,#N/A,FALSE,"O&amp;M by processes";#N/A,#N/A,FALSE,"Elec Act vs Bud";#N/A,#N/A,FALSE,"G&amp;A";#N/A,#N/A,FALSE,"BGS";#N/A,#N/A,FALSE,"Res Cost"}</definedName>
    <definedName name="wh" localSheetId="20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localSheetId="1" hidden="1">{"TOT_QTR_TO_PREV",#N/A,FALSE,"Site Sum"}</definedName>
    <definedName name="what1" localSheetId="13" hidden="1">{"TOT_QTR_TO_PREV",#N/A,FALSE,"Site Sum"}</definedName>
    <definedName name="what1" localSheetId="18" hidden="1">{"TOT_QTR_TO_PREV",#N/A,FALSE,"Site Sum"}</definedName>
    <definedName name="what1" localSheetId="20" hidden="1">{"TOT_QTR_TO_PREV",#N/A,FALSE,"Site Sum"}</definedName>
    <definedName name="what1" hidden="1">{"TOT_QTR_TO_PREV",#N/A,FALSE,"Site Sum"}</definedName>
    <definedName name="what2" localSheetId="1" hidden="1">{"TOT_QTR_TO_PREV",#N/A,FALSE,"Site Sum"}</definedName>
    <definedName name="what2" localSheetId="13" hidden="1">{"TOT_QTR_TO_PREV",#N/A,FALSE,"Site Sum"}</definedName>
    <definedName name="what2" localSheetId="18" hidden="1">{"TOT_QTR_TO_PREV",#N/A,FALSE,"Site Sum"}</definedName>
    <definedName name="what2" localSheetId="20" hidden="1">{"TOT_QTR_TO_PREV",#N/A,FALSE,"Site Sum"}</definedName>
    <definedName name="what2" hidden="1">{"TOT_QTR_TO_PREV",#N/A,FALSE,"Site Sum"}</definedName>
    <definedName name="Whatwhat" localSheetId="1" hidden="1">{#N/A,#N/A,FALSE,"O&amp;M by processes";#N/A,#N/A,FALSE,"Elec Act vs Bud";#N/A,#N/A,FALSE,"G&amp;A";#N/A,#N/A,FALSE,"BGS";#N/A,#N/A,FALSE,"Res Cost"}</definedName>
    <definedName name="Whatwhat" localSheetId="13" hidden="1">{#N/A,#N/A,FALSE,"O&amp;M by processes";#N/A,#N/A,FALSE,"Elec Act vs Bud";#N/A,#N/A,FALSE,"G&amp;A";#N/A,#N/A,FALSE,"BGS";#N/A,#N/A,FALSE,"Res Cost"}</definedName>
    <definedName name="Whatwhat" localSheetId="18" hidden="1">{#N/A,#N/A,FALSE,"O&amp;M by processes";#N/A,#N/A,FALSE,"Elec Act vs Bud";#N/A,#N/A,FALSE,"G&amp;A";#N/A,#N/A,FALSE,"BGS";#N/A,#N/A,FALSE,"Res Cost"}</definedName>
    <definedName name="Whatwhat" localSheetId="20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localSheetId="1" hidden="1">{#N/A,#N/A,FALSE,"O&amp;M by processes";#N/A,#N/A,FALSE,"Elec Act vs Bud";#N/A,#N/A,FALSE,"G&amp;A";#N/A,#N/A,FALSE,"BGS";#N/A,#N/A,FALSE,"Res Cost"}</definedName>
    <definedName name="who" localSheetId="13" hidden="1">{#N/A,#N/A,FALSE,"O&amp;M by processes";#N/A,#N/A,FALSE,"Elec Act vs Bud";#N/A,#N/A,FALSE,"G&amp;A";#N/A,#N/A,FALSE,"BGS";#N/A,#N/A,FALSE,"Res Cost"}</definedName>
    <definedName name="who" localSheetId="18" hidden="1">{#N/A,#N/A,FALSE,"O&amp;M by processes";#N/A,#N/A,FALSE,"Elec Act vs Bud";#N/A,#N/A,FALSE,"G&amp;A";#N/A,#N/A,FALSE,"BGS";#N/A,#N/A,FALSE,"Res Cost"}</definedName>
    <definedName name="who" localSheetId="20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localSheetId="1" hidden="1">{#N/A,#N/A,FALSE,"O&amp;M by processes";#N/A,#N/A,FALSE,"Elec Act vs Bud";#N/A,#N/A,FALSE,"G&amp;A";#N/A,#N/A,FALSE,"BGS";#N/A,#N/A,FALSE,"Res Cost"}</definedName>
    <definedName name="whowho" localSheetId="13" hidden="1">{#N/A,#N/A,FALSE,"O&amp;M by processes";#N/A,#N/A,FALSE,"Elec Act vs Bud";#N/A,#N/A,FALSE,"G&amp;A";#N/A,#N/A,FALSE,"BGS";#N/A,#N/A,FALSE,"Res Cost"}</definedName>
    <definedName name="whowho" localSheetId="18" hidden="1">{#N/A,#N/A,FALSE,"O&amp;M by processes";#N/A,#N/A,FALSE,"Elec Act vs Bud";#N/A,#N/A,FALSE,"G&amp;A";#N/A,#N/A,FALSE,"BGS";#N/A,#N/A,FALSE,"Res Cost"}</definedName>
    <definedName name="whowho" localSheetId="20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1" hidden="1">{#N/A,#N/A,FALSE,"O&amp;M by processes";#N/A,#N/A,FALSE,"Elec Act vs Bud";#N/A,#N/A,FALSE,"G&amp;A";#N/A,#N/A,FALSE,"BGS";#N/A,#N/A,FALSE,"Res Cost"}</definedName>
    <definedName name="whwh" localSheetId="13" hidden="1">{#N/A,#N/A,FALSE,"O&amp;M by processes";#N/A,#N/A,FALSE,"Elec Act vs Bud";#N/A,#N/A,FALSE,"G&amp;A";#N/A,#N/A,FALSE,"BGS";#N/A,#N/A,FALSE,"Res Cost"}</definedName>
    <definedName name="whwh" localSheetId="18" hidden="1">{#N/A,#N/A,FALSE,"O&amp;M by processes";#N/A,#N/A,FALSE,"Elec Act vs Bud";#N/A,#N/A,FALSE,"G&amp;A";#N/A,#N/A,FALSE,"BGS";#N/A,#N/A,FALSE,"Res Cost"}</definedName>
    <definedName name="whwh" localSheetId="20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illdo" localSheetId="1" hidden="1">#REF!</definedName>
    <definedName name="willdo" localSheetId="18" hidden="1">#REF!</definedName>
    <definedName name="willdo" localSheetId="20" hidden="1">#REF!</definedName>
    <definedName name="willdo" hidden="1">#REF!</definedName>
    <definedName name="wrn" localSheetId="1" hidden="1">{#N/A,#N/A,FALSE,"O&amp;M by processes";#N/A,#N/A,FALSE,"Elec Act vs Bud";#N/A,#N/A,FALSE,"G&amp;A";#N/A,#N/A,FALSE,"BGS";#N/A,#N/A,FALSE,"Res Cost"}</definedName>
    <definedName name="wrn" localSheetId="13" hidden="1">{#N/A,#N/A,FALSE,"O&amp;M by processes";#N/A,#N/A,FALSE,"Elec Act vs Bud";#N/A,#N/A,FALSE,"G&amp;A";#N/A,#N/A,FALSE,"BGS";#N/A,#N/A,FALSE,"Res Cost"}</definedName>
    <definedName name="wrn" localSheetId="18" hidden="1">{#N/A,#N/A,FALSE,"O&amp;M by processes";#N/A,#N/A,FALSE,"Elec Act vs Bud";#N/A,#N/A,FALSE,"G&amp;A";#N/A,#N/A,FALSE,"BGS";#N/A,#N/A,FALSE,"Res Cost"}</definedName>
    <definedName name="wrn" localSheetId="20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04._.PM._.Rpt._.Draft." localSheetId="1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PM._.Rpt._.Draft." localSheetId="13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PM._.Rpt._.Draft." localSheetId="18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PM._.Rpt._.Draft." localSheetId="20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PM._.Rpt._.Draft.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Targets." localSheetId="1" hidden="1">{#N/A,#N/A,FALSE,"04 Target Calc.";#N/A,#N/A,FALSE,"03 Projection Calc"}</definedName>
    <definedName name="wrn.04._.Targets." localSheetId="13" hidden="1">{#N/A,#N/A,FALSE,"04 Target Calc.";#N/A,#N/A,FALSE,"03 Projection Calc"}</definedName>
    <definedName name="wrn.04._.Targets." localSheetId="18" hidden="1">{#N/A,#N/A,FALSE,"04 Target Calc.";#N/A,#N/A,FALSE,"03 Projection Calc"}</definedName>
    <definedName name="wrn.04._.Targets." localSheetId="20" hidden="1">{#N/A,#N/A,FALSE,"04 Target Calc.";#N/A,#N/A,FALSE,"03 Projection Calc"}</definedName>
    <definedName name="wrn.04._.Targets." hidden="1">{#N/A,#N/A,FALSE,"04 Target Calc.";#N/A,#N/A,FALSE,"03 Projection Calc"}</definedName>
    <definedName name="wrn.722." localSheetId="1" hidden="1">{#N/A,#N/A,FALSE,"CURRENT"}</definedName>
    <definedName name="wrn.722." localSheetId="13" hidden="1">{#N/A,#N/A,FALSE,"CURRENT"}</definedName>
    <definedName name="wrn.722." localSheetId="18" hidden="1">{#N/A,#N/A,FALSE,"CURRENT"}</definedName>
    <definedName name="wrn.722." localSheetId="20" hidden="1">{#N/A,#N/A,FALSE,"CURRENT"}</definedName>
    <definedName name="wrn.722." hidden="1">{#N/A,#N/A,FALSE,"CURRENT"}</definedName>
    <definedName name="wrn.ACC._.PROV." localSheetId="1" hidden="1">{"JURIS_ACC_PROV",#N/A,FALSE,"COSTSTUDY";"OKCLS_ACC_PROV",#N/A,FALSE,"COSTSTUDY"}</definedName>
    <definedName name="wrn.ACC._.PROV." localSheetId="13" hidden="1">{"JURIS_ACC_PROV",#N/A,FALSE,"COSTSTUDY";"OKCLS_ACC_PROV",#N/A,FALSE,"COSTSTUDY"}</definedName>
    <definedName name="wrn.ACC._.PROV." localSheetId="18" hidden="1">{"JURIS_ACC_PROV",#N/A,FALSE,"COSTSTUDY";"OKCLS_ACC_PROV",#N/A,FALSE,"COSTSTUDY"}</definedName>
    <definedName name="wrn.ACC._.PROV." localSheetId="20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FUDC." localSheetId="1" hidden="1">{#N/A,#N/A,FALSE,"COMPAPER";#N/A,#N/A,FALSE,"AFUDC";#N/A,#N/A,FALSE,"JE"}</definedName>
    <definedName name="wrn.AFUDC." localSheetId="13" hidden="1">{#N/A,#N/A,FALSE,"COMPAPER";#N/A,#N/A,FALSE,"AFUDC";#N/A,#N/A,FALSE,"JE"}</definedName>
    <definedName name="wrn.AFUDC." localSheetId="18" hidden="1">{#N/A,#N/A,FALSE,"COMPAPER";#N/A,#N/A,FALSE,"AFUDC";#N/A,#N/A,FALSE,"JE"}</definedName>
    <definedName name="wrn.AFUDC." localSheetId="20" hidden="1">{#N/A,#N/A,FALSE,"COMPAPER";#N/A,#N/A,FALSE,"AFUDC";#N/A,#N/A,FALSE,"JE"}</definedName>
    <definedName name="wrn.AFUDC." hidden="1">{#N/A,#N/A,FALSE,"COMPAPER";#N/A,#N/A,FALSE,"AFUDC";#N/A,#N/A,FALSE,"JE"}</definedName>
    <definedName name="wrn.agexpense." localSheetId="1" hidden="1">{"pb",#N/A,FALSE,"Sheet3";"pd",#N/A,FALSE,"Sheet3";"pe",#N/A,FALSE,"Sheet3"}</definedName>
    <definedName name="wrn.agexpense." localSheetId="13" hidden="1">{"pb",#N/A,FALSE,"Sheet3";"pd",#N/A,FALSE,"Sheet3";"pe",#N/A,FALSE,"Sheet3"}</definedName>
    <definedName name="wrn.agexpense." localSheetId="18" hidden="1">{"pb",#N/A,FALSE,"Sheet3";"pd",#N/A,FALSE,"Sheet3";"pe",#N/A,FALSE,"Sheet3"}</definedName>
    <definedName name="wrn.agexpense." localSheetId="20" hidden="1">{"pb",#N/A,FALSE,"Sheet3";"pd",#N/A,FALSE,"Sheet3";"pe",#N/A,FALSE,"Sheet3"}</definedName>
    <definedName name="wrn.agexpense." hidden="1">{"pb",#N/A,FALSE,"Sheet3";"pd",#N/A,FALSE,"Sheet3";"pe",#N/A,FALSE,"Sheet3"}</definedName>
    <definedName name="wrn.agexpense._1" localSheetId="1" hidden="1">{"pb",#N/A,FALSE,"Sheet3";"pd",#N/A,FALSE,"Sheet3";"pe",#N/A,FALSE,"Sheet3"}</definedName>
    <definedName name="wrn.agexpense._1" localSheetId="13" hidden="1">{"pb",#N/A,FALSE,"Sheet3";"pd",#N/A,FALSE,"Sheet3";"pe",#N/A,FALSE,"Sheet3"}</definedName>
    <definedName name="wrn.agexpense._1" localSheetId="18" hidden="1">{"pb",#N/A,FALSE,"Sheet3";"pd",#N/A,FALSE,"Sheet3";"pe",#N/A,FALSE,"Sheet3"}</definedName>
    <definedName name="wrn.agexpense._1" localSheetId="20" hidden="1">{"pb",#N/A,FALSE,"Sheet3";"pd",#N/A,FALSE,"Sheet3";"pe",#N/A,FALSE,"Sheet3"}</definedName>
    <definedName name="wrn.agexpense._1" hidden="1">{"pb",#N/A,FALSE,"Sheet3";"pd",#N/A,FALSE,"Sheet3";"pe",#N/A,FALSE,"Sheet3"}</definedName>
    <definedName name="wrn.agexpense._2" localSheetId="1" hidden="1">{"pb",#N/A,FALSE,"Sheet3";"pd",#N/A,FALSE,"Sheet3";"pe",#N/A,FALSE,"Sheet3"}</definedName>
    <definedName name="wrn.agexpense._2" localSheetId="13" hidden="1">{"pb",#N/A,FALSE,"Sheet3";"pd",#N/A,FALSE,"Sheet3";"pe",#N/A,FALSE,"Sheet3"}</definedName>
    <definedName name="wrn.agexpense._2" localSheetId="18" hidden="1">{"pb",#N/A,FALSE,"Sheet3";"pd",#N/A,FALSE,"Sheet3";"pe",#N/A,FALSE,"Sheet3"}</definedName>
    <definedName name="wrn.agexpense._2" localSheetId="20" hidden="1">{"pb",#N/A,FALSE,"Sheet3";"pd",#N/A,FALSE,"Sheet3";"pe",#N/A,FALSE,"Sheet3"}</definedName>
    <definedName name="wrn.agexpense._2" hidden="1">{"pb",#N/A,FALSE,"Sheet3";"pd",#N/A,FALSE,"Sheet3";"pe",#N/A,FALSE,"Sheet3"}</definedName>
    <definedName name="wrn.agexpense1" localSheetId="1" hidden="1">{"pb",#N/A,FALSE,"Sheet3";"pd",#N/A,FALSE,"Sheet3";"pe",#N/A,FALSE,"Sheet3"}</definedName>
    <definedName name="wrn.agexpense1" localSheetId="13" hidden="1">{"pb",#N/A,FALSE,"Sheet3";"pd",#N/A,FALSE,"Sheet3";"pe",#N/A,FALSE,"Sheet3"}</definedName>
    <definedName name="wrn.agexpense1" localSheetId="18" hidden="1">{"pb",#N/A,FALSE,"Sheet3";"pd",#N/A,FALSE,"Sheet3";"pe",#N/A,FALSE,"Sheet3"}</definedName>
    <definedName name="wrn.agexpense1" localSheetId="20" hidden="1">{"pb",#N/A,FALSE,"Sheet3";"pd",#N/A,FALSE,"Sheet3";"pe",#N/A,FALSE,"Sheet3"}</definedName>
    <definedName name="wrn.agexpense1" hidden="1">{"pb",#N/A,FALSE,"Sheet3";"pd",#N/A,FALSE,"Sheet3";"pe",#N/A,FALSE,"Sheet3"}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1" hidden="1">{"AGT",#N/A,FALSE,"Revenue"}</definedName>
    <definedName name="wrn.AGT." localSheetId="13" hidden="1">{"AGT",#N/A,FALSE,"Revenue"}</definedName>
    <definedName name="wrn.AGT." localSheetId="18" hidden="1">{"AGT",#N/A,FALSE,"Revenue"}</definedName>
    <definedName name="wrn.AGT." localSheetId="20" hidden="1">{"AGT",#N/A,FALSE,"Revenue"}</definedName>
    <definedName name="wrn.AGT." hidden="1">{"AGT",#N/A,FALSE,"Revenue"}</definedName>
    <definedName name="wrn.ALL." localSheetId="1" hidden="1">{#N/A,#N/A,TRUE,"1990";#N/A,#N/A,TRUE,"1991";#N/A,#N/A,TRUE,"1992";#N/A,#N/A,TRUE,"1993"}</definedName>
    <definedName name="wrn.ALL." localSheetId="13" hidden="1">{#N/A,#N/A,TRUE,"1990";#N/A,#N/A,TRUE,"1991";#N/A,#N/A,TRUE,"1992";#N/A,#N/A,TRUE,"1993"}</definedName>
    <definedName name="wrn.ALL." localSheetId="18" hidden="1">{#N/A,#N/A,TRUE,"1990";#N/A,#N/A,TRUE,"1991";#N/A,#N/A,TRUE,"1992";#N/A,#N/A,TRUE,"1993"}</definedName>
    <definedName name="wrn.ALL." localSheetId="20" hidden="1">{#N/A,#N/A,TRUE,"1990";#N/A,#N/A,TRUE,"1991";#N/A,#N/A,TRUE,"1992";#N/A,#N/A,TRUE,"1993"}</definedName>
    <definedName name="wrn.ALL." hidden="1">{#N/A,#N/A,TRUE,"1990";#N/A,#N/A,TRUE,"1991";#N/A,#N/A,TRUE,"1992";#N/A,#N/A,TRUE,"1993"}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localSheetId="1" hidden="1">{"IncSt",#N/A,FALSE,"IS";"BalSht",#N/A,FALSE,"BS";"IntCash",#N/A,FALSE,"Int. Cash";"Stats",#N/A,FALSE,"Stats"}</definedName>
    <definedName name="wrn.All._.Sheets." localSheetId="13" hidden="1">{"IncSt",#N/A,FALSE,"IS";"BalSht",#N/A,FALSE,"BS";"IntCash",#N/A,FALSE,"Int. Cash";"Stats",#N/A,FALSE,"Stats"}</definedName>
    <definedName name="wrn.All._.Sheets." localSheetId="18" hidden="1">{"IncSt",#N/A,FALSE,"IS";"BalSht",#N/A,FALSE,"BS";"IntCash",#N/A,FALSE,"Int. Cash";"Stats",#N/A,FALSE,"Stats"}</definedName>
    <definedName name="wrn.All._.Sheets." localSheetId="20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_REPORTS." localSheetId="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13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18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2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1" hidden="1">{#N/A,#N/A,FALSE,"SCA";#N/A,#N/A,FALSE,"NCA";#N/A,#N/A,FALSE,"SAZ";#N/A,#N/A,FALSE,"CAZ";#N/A,#N/A,FALSE,"SNV";#N/A,#N/A,FALSE,"NNV";#N/A,#N/A,FALSE,"PP";#N/A,#N/A,FALSE,"SA"}</definedName>
    <definedName name="wrn.AllRjs." localSheetId="13" hidden="1">{#N/A,#N/A,FALSE,"SCA";#N/A,#N/A,FALSE,"NCA";#N/A,#N/A,FALSE,"SAZ";#N/A,#N/A,FALSE,"CAZ";#N/A,#N/A,FALSE,"SNV";#N/A,#N/A,FALSE,"NNV";#N/A,#N/A,FALSE,"PP";#N/A,#N/A,FALSE,"SA"}</definedName>
    <definedName name="wrn.AllRjs." localSheetId="18" hidden="1">{#N/A,#N/A,FALSE,"SCA";#N/A,#N/A,FALSE,"NCA";#N/A,#N/A,FALSE,"SAZ";#N/A,#N/A,FALSE,"CAZ";#N/A,#N/A,FALSE,"SNV";#N/A,#N/A,FALSE,"NNV";#N/A,#N/A,FALSE,"PP";#N/A,#N/A,FALSE,"SA"}</definedName>
    <definedName name="wrn.AllRjs." localSheetId="20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lRjs._1" localSheetId="1" hidden="1">{#N/A,#N/A,FALSE,"SCA";#N/A,#N/A,FALSE,"NCA";#N/A,#N/A,FALSE,"SAZ";#N/A,#N/A,FALSE,"CAZ";#N/A,#N/A,FALSE,"SNV";#N/A,#N/A,FALSE,"NNV";#N/A,#N/A,FALSE,"PP";#N/A,#N/A,FALSE,"SA"}</definedName>
    <definedName name="wrn.AllRjs._1" localSheetId="13" hidden="1">{#N/A,#N/A,FALSE,"SCA";#N/A,#N/A,FALSE,"NCA";#N/A,#N/A,FALSE,"SAZ";#N/A,#N/A,FALSE,"CAZ";#N/A,#N/A,FALSE,"SNV";#N/A,#N/A,FALSE,"NNV";#N/A,#N/A,FALSE,"PP";#N/A,#N/A,FALSE,"SA"}</definedName>
    <definedName name="wrn.AllRjs._1" localSheetId="18" hidden="1">{#N/A,#N/A,FALSE,"SCA";#N/A,#N/A,FALSE,"NCA";#N/A,#N/A,FALSE,"SAZ";#N/A,#N/A,FALSE,"CAZ";#N/A,#N/A,FALSE,"SNV";#N/A,#N/A,FALSE,"NNV";#N/A,#N/A,FALSE,"PP";#N/A,#N/A,FALSE,"SA"}</definedName>
    <definedName name="wrn.AllRjs._1" localSheetId="20" hidden="1">{#N/A,#N/A,FALSE,"SCA";#N/A,#N/A,FALSE,"NCA";#N/A,#N/A,FALSE,"SAZ";#N/A,#N/A,FALSE,"CAZ";#N/A,#N/A,FALSE,"SNV";#N/A,#N/A,FALSE,"NNV";#N/A,#N/A,FALSE,"PP";#N/A,#N/A,FALSE,"SA"}</definedName>
    <definedName name="wrn.AllRjs._1" hidden="1">{#N/A,#N/A,FALSE,"SCA";#N/A,#N/A,FALSE,"NCA";#N/A,#N/A,FALSE,"SAZ";#N/A,#N/A,FALSE,"CAZ";#N/A,#N/A,FALSE,"SNV";#N/A,#N/A,FALSE,"NNV";#N/A,#N/A,FALSE,"PP";#N/A,#N/A,FALSE,"SA"}</definedName>
    <definedName name="wrn.AllRjs._2" localSheetId="1" hidden="1">{#N/A,#N/A,FALSE,"SCA";#N/A,#N/A,FALSE,"NCA";#N/A,#N/A,FALSE,"SAZ";#N/A,#N/A,FALSE,"CAZ";#N/A,#N/A,FALSE,"SNV";#N/A,#N/A,FALSE,"NNV";#N/A,#N/A,FALSE,"PP";#N/A,#N/A,FALSE,"SA"}</definedName>
    <definedName name="wrn.AllRjs._2" localSheetId="13" hidden="1">{#N/A,#N/A,FALSE,"SCA";#N/A,#N/A,FALSE,"NCA";#N/A,#N/A,FALSE,"SAZ";#N/A,#N/A,FALSE,"CAZ";#N/A,#N/A,FALSE,"SNV";#N/A,#N/A,FALSE,"NNV";#N/A,#N/A,FALSE,"PP";#N/A,#N/A,FALSE,"SA"}</definedName>
    <definedName name="wrn.AllRjs._2" localSheetId="18" hidden="1">{#N/A,#N/A,FALSE,"SCA";#N/A,#N/A,FALSE,"NCA";#N/A,#N/A,FALSE,"SAZ";#N/A,#N/A,FALSE,"CAZ";#N/A,#N/A,FALSE,"SNV";#N/A,#N/A,FALSE,"NNV";#N/A,#N/A,FALSE,"PP";#N/A,#N/A,FALSE,"SA"}</definedName>
    <definedName name="wrn.AllRjs._2" localSheetId="20" hidden="1">{#N/A,#N/A,FALSE,"SCA";#N/A,#N/A,FALSE,"NCA";#N/A,#N/A,FALSE,"SAZ";#N/A,#N/A,FALSE,"CAZ";#N/A,#N/A,FALSE,"SNV";#N/A,#N/A,FALSE,"NNV";#N/A,#N/A,FALSE,"PP";#N/A,#N/A,FALSE,"SA"}</definedName>
    <definedName name="wrn.AllRjs._2" hidden="1">{#N/A,#N/A,FALSE,"SCA";#N/A,#N/A,FALSE,"NCA";#N/A,#N/A,FALSE,"SAZ";#N/A,#N/A,FALSE,"CAZ";#N/A,#N/A,FALSE,"SNV";#N/A,#N/A,FALSE,"NNV";#N/A,#N/A,FALSE,"PP";#N/A,#N/A,FALSE,"SA"}</definedName>
    <definedName name="wrn.allyears." localSheetId="1" hidden="1">{"allyears",#N/A,FALSE}</definedName>
    <definedName name="wrn.allyears." localSheetId="13" hidden="1">{"allyears",#N/A,FALSE}</definedName>
    <definedName name="wrn.allyears." localSheetId="18" hidden="1">{"allyears",#N/A,FALSE}</definedName>
    <definedName name="wrn.allyears." localSheetId="20" hidden="1">{"allyears",#N/A,FALSE}</definedName>
    <definedName name="wrn.allyears." hidden="1">{"allyears",#N/A,FALSE}</definedName>
    <definedName name="wrn.alrjs." localSheetId="1" hidden="1">{#N/A,#N/A,FALSE,"SCA";#N/A,#N/A,FALSE,"NCA";#N/A,#N/A,FALSE,"SAZ";#N/A,#N/A,FALSE,"CAZ";#N/A,#N/A,FALSE,"SNV";#N/A,#N/A,FALSE,"NNV";#N/A,#N/A,FALSE,"PP";#N/A,#N/A,FALSE,"SA"}</definedName>
    <definedName name="wrn.alrjs." localSheetId="13" hidden="1">{#N/A,#N/A,FALSE,"SCA";#N/A,#N/A,FALSE,"NCA";#N/A,#N/A,FALSE,"SAZ";#N/A,#N/A,FALSE,"CAZ";#N/A,#N/A,FALSE,"SNV";#N/A,#N/A,FALSE,"NNV";#N/A,#N/A,FALSE,"PP";#N/A,#N/A,FALSE,"SA"}</definedName>
    <definedName name="wrn.alrjs." localSheetId="18" hidden="1">{#N/A,#N/A,FALSE,"SCA";#N/A,#N/A,FALSE,"NCA";#N/A,#N/A,FALSE,"SAZ";#N/A,#N/A,FALSE,"CAZ";#N/A,#N/A,FALSE,"SNV";#N/A,#N/A,FALSE,"NNV";#N/A,#N/A,FALSE,"PP";#N/A,#N/A,FALSE,"SA"}</definedName>
    <definedName name="wrn.alrjs." localSheetId="20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lrjs._1" localSheetId="1" hidden="1">{#N/A,#N/A,FALSE,"SCA";#N/A,#N/A,FALSE,"NCA";#N/A,#N/A,FALSE,"SAZ";#N/A,#N/A,FALSE,"CAZ";#N/A,#N/A,FALSE,"SNV";#N/A,#N/A,FALSE,"NNV";#N/A,#N/A,FALSE,"PP";#N/A,#N/A,FALSE,"SA"}</definedName>
    <definedName name="wrn.alrjs._1" localSheetId="13" hidden="1">{#N/A,#N/A,FALSE,"SCA";#N/A,#N/A,FALSE,"NCA";#N/A,#N/A,FALSE,"SAZ";#N/A,#N/A,FALSE,"CAZ";#N/A,#N/A,FALSE,"SNV";#N/A,#N/A,FALSE,"NNV";#N/A,#N/A,FALSE,"PP";#N/A,#N/A,FALSE,"SA"}</definedName>
    <definedName name="wrn.alrjs._1" localSheetId="18" hidden="1">{#N/A,#N/A,FALSE,"SCA";#N/A,#N/A,FALSE,"NCA";#N/A,#N/A,FALSE,"SAZ";#N/A,#N/A,FALSE,"CAZ";#N/A,#N/A,FALSE,"SNV";#N/A,#N/A,FALSE,"NNV";#N/A,#N/A,FALSE,"PP";#N/A,#N/A,FALSE,"SA"}</definedName>
    <definedName name="wrn.alrjs._1" localSheetId="20" hidden="1">{#N/A,#N/A,FALSE,"SCA";#N/A,#N/A,FALSE,"NCA";#N/A,#N/A,FALSE,"SAZ";#N/A,#N/A,FALSE,"CAZ";#N/A,#N/A,FALSE,"SNV";#N/A,#N/A,FALSE,"NNV";#N/A,#N/A,FALSE,"PP";#N/A,#N/A,FALSE,"SA"}</definedName>
    <definedName name="wrn.alrjs._1" hidden="1">{#N/A,#N/A,FALSE,"SCA";#N/A,#N/A,FALSE,"NCA";#N/A,#N/A,FALSE,"SAZ";#N/A,#N/A,FALSE,"CAZ";#N/A,#N/A,FALSE,"SNV";#N/A,#N/A,FALSE,"NNV";#N/A,#N/A,FALSE,"PP";#N/A,#N/A,FALSE,"SA"}</definedName>
    <definedName name="wrn.alrjs._2" localSheetId="1" hidden="1">{#N/A,#N/A,FALSE,"SCA";#N/A,#N/A,FALSE,"NCA";#N/A,#N/A,FALSE,"SAZ";#N/A,#N/A,FALSE,"CAZ";#N/A,#N/A,FALSE,"SNV";#N/A,#N/A,FALSE,"NNV";#N/A,#N/A,FALSE,"PP";#N/A,#N/A,FALSE,"SA"}</definedName>
    <definedName name="wrn.alrjs._2" localSheetId="13" hidden="1">{#N/A,#N/A,FALSE,"SCA";#N/A,#N/A,FALSE,"NCA";#N/A,#N/A,FALSE,"SAZ";#N/A,#N/A,FALSE,"CAZ";#N/A,#N/A,FALSE,"SNV";#N/A,#N/A,FALSE,"NNV";#N/A,#N/A,FALSE,"PP";#N/A,#N/A,FALSE,"SA"}</definedName>
    <definedName name="wrn.alrjs._2" localSheetId="18" hidden="1">{#N/A,#N/A,FALSE,"SCA";#N/A,#N/A,FALSE,"NCA";#N/A,#N/A,FALSE,"SAZ";#N/A,#N/A,FALSE,"CAZ";#N/A,#N/A,FALSE,"SNV";#N/A,#N/A,FALSE,"NNV";#N/A,#N/A,FALSE,"PP";#N/A,#N/A,FALSE,"SA"}</definedName>
    <definedName name="wrn.alrjs._2" localSheetId="20" hidden="1">{#N/A,#N/A,FALSE,"SCA";#N/A,#N/A,FALSE,"NCA";#N/A,#N/A,FALSE,"SAZ";#N/A,#N/A,FALSE,"CAZ";#N/A,#N/A,FALSE,"SNV";#N/A,#N/A,FALSE,"NNV";#N/A,#N/A,FALSE,"PP";#N/A,#N/A,FALSE,"SA"}</definedName>
    <definedName name="wrn.alrjs._2" hidden="1">{#N/A,#N/A,FALSE,"SCA";#N/A,#N/A,FALSE,"NCA";#N/A,#N/A,FALSE,"SAZ";#N/A,#N/A,FALSE,"CAZ";#N/A,#N/A,FALSE,"SNV";#N/A,#N/A,FALSE,"NNV";#N/A,#N/A,FALSE,"PP";#N/A,#N/A,FALSE,"SA"}</definedName>
    <definedName name="wrn.ARK._.JURIS._.FAC._.CALC." localSheetId="1" hidden="1">{"ARK_JURIS_FAC",#N/A,FALSE,"Ark_Fuel&amp;Rev"}</definedName>
    <definedName name="wrn.ARK._.JURIS._.FAC._.CALC." localSheetId="13" hidden="1">{"ARK_JURIS_FAC",#N/A,FALSE,"Ark_Fuel&amp;Rev"}</definedName>
    <definedName name="wrn.ARK._.JURIS._.FAC._.CALC." localSheetId="18" hidden="1">{"ARK_JURIS_FAC",#N/A,FALSE,"Ark_Fuel&amp;Rev"}</definedName>
    <definedName name="wrn.ARK._.JURIS._.FAC._.CALC." localSheetId="20" hidden="1">{"ARK_JURIS_FAC",#N/A,FALSE,"Ark_Fuel&amp;Rev"}</definedName>
    <definedName name="wrn.ARK._.JURIS._.FAC._.CALC." hidden="1">{"ARK_JURIS_FAC",#N/A,FALSE,"Ark_Fuel&amp;Rev"}</definedName>
    <definedName name="wrn.ARK._.JURIS._.FAC._.CALC._1" localSheetId="1" hidden="1">{"ARK_JURIS_FAC",#N/A,FALSE,"Ark_Fuel&amp;Rev"}</definedName>
    <definedName name="wrn.ARK._.JURIS._.FAC._.CALC._1" localSheetId="13" hidden="1">{"ARK_JURIS_FAC",#N/A,FALSE,"Ark_Fuel&amp;Rev"}</definedName>
    <definedName name="wrn.ARK._.JURIS._.FAC._.CALC._1" localSheetId="18" hidden="1">{"ARK_JURIS_FAC",#N/A,FALSE,"Ark_Fuel&amp;Rev"}</definedName>
    <definedName name="wrn.ARK._.JURIS._.FAC._.CALC._1" localSheetId="20" hidden="1">{"ARK_JURIS_FAC",#N/A,FALSE,"Ark_Fuel&amp;Rev"}</definedName>
    <definedName name="wrn.ARK._.JURIS._.FAC._.CALC._1" hidden="1">{"ARK_JURIS_FAC",#N/A,FALSE,"Ark_Fuel&amp;Rev"}</definedName>
    <definedName name="wrn.ARK._.JURIS._.FAC._.CALC._2" localSheetId="1" hidden="1">{"ARK_JURIS_FAC",#N/A,FALSE,"Ark_Fuel&amp;Rev"}</definedName>
    <definedName name="wrn.ARK._.JURIS._.FAC._.CALC._2" localSheetId="13" hidden="1">{"ARK_JURIS_FAC",#N/A,FALSE,"Ark_Fuel&amp;Rev"}</definedName>
    <definedName name="wrn.ARK._.JURIS._.FAC._.CALC._2" localSheetId="18" hidden="1">{"ARK_JURIS_FAC",#N/A,FALSE,"Ark_Fuel&amp;Rev"}</definedName>
    <definedName name="wrn.ARK._.JURIS._.FAC._.CALC._2" localSheetId="20" hidden="1">{"ARK_JURIS_FAC",#N/A,FALSE,"Ark_Fuel&amp;Rev"}</definedName>
    <definedName name="wrn.ARK._.JURIS._.FAC._.CALC._2" hidden="1">{"ARK_JURIS_FAC",#N/A,FALSE,"Ark_Fuel&amp;Rev"}</definedName>
    <definedName name="wrn.ARK._.JURIS._.FUEL._.COST." localSheetId="1" hidden="1">{"ARK_JURIS_FUEL",#N/A,FALSE,"Ark_Fuel&amp;Rev"}</definedName>
    <definedName name="wrn.ARK._.JURIS._.FUEL._.COST." localSheetId="13" hidden="1">{"ARK_JURIS_FUEL",#N/A,FALSE,"Ark_Fuel&amp;Rev"}</definedName>
    <definedName name="wrn.ARK._.JURIS._.FUEL._.COST." localSheetId="18" hidden="1">{"ARK_JURIS_FUEL",#N/A,FALSE,"Ark_Fuel&amp;Rev"}</definedName>
    <definedName name="wrn.ARK._.JURIS._.FUEL._.COST." localSheetId="20" hidden="1">{"ARK_JURIS_FUEL",#N/A,FALSE,"Ark_Fuel&amp;Rev"}</definedName>
    <definedName name="wrn.ARK._.JURIS._.FUEL._.COST." hidden="1">{"ARK_JURIS_FUEL",#N/A,FALSE,"Ark_Fuel&amp;Rev"}</definedName>
    <definedName name="wrn.ARK._.JURIS._.FUEL._.COST._1" localSheetId="1" hidden="1">{"ARK_JURIS_FUEL",#N/A,FALSE,"Ark_Fuel&amp;Rev"}</definedName>
    <definedName name="wrn.ARK._.JURIS._.FUEL._.COST._1" localSheetId="13" hidden="1">{"ARK_JURIS_FUEL",#N/A,FALSE,"Ark_Fuel&amp;Rev"}</definedName>
    <definedName name="wrn.ARK._.JURIS._.FUEL._.COST._1" localSheetId="18" hidden="1">{"ARK_JURIS_FUEL",#N/A,FALSE,"Ark_Fuel&amp;Rev"}</definedName>
    <definedName name="wrn.ARK._.JURIS._.FUEL._.COST._1" localSheetId="20" hidden="1">{"ARK_JURIS_FUEL",#N/A,FALSE,"Ark_Fuel&amp;Rev"}</definedName>
    <definedName name="wrn.ARK._.JURIS._.FUEL._.COST._1" hidden="1">{"ARK_JURIS_FUEL",#N/A,FALSE,"Ark_Fuel&amp;Rev"}</definedName>
    <definedName name="wrn.ARK._.JURIS._.FUEL._.COST._2" localSheetId="1" hidden="1">{"ARK_JURIS_FUEL",#N/A,FALSE,"Ark_Fuel&amp;Rev"}</definedName>
    <definedName name="wrn.ARK._.JURIS._.FUEL._.COST._2" localSheetId="13" hidden="1">{"ARK_JURIS_FUEL",#N/A,FALSE,"Ark_Fuel&amp;Rev"}</definedName>
    <definedName name="wrn.ARK._.JURIS._.FUEL._.COST._2" localSheetId="18" hidden="1">{"ARK_JURIS_FUEL",#N/A,FALSE,"Ark_Fuel&amp;Rev"}</definedName>
    <definedName name="wrn.ARK._.JURIS._.FUEL._.COST._2" localSheetId="20" hidden="1">{"ARK_JURIS_FUEL",#N/A,FALSE,"Ark_Fuel&amp;Rev"}</definedName>
    <definedName name="wrn.ARK._.JURIS._.FUEL._.COST._2" hidden="1">{"ARK_JURIS_FUEL",#N/A,FALSE,"Ark_Fuel&amp;Rev"}</definedName>
    <definedName name="wrn.ATOKA._.FAC._.CALC." localSheetId="1" hidden="1">{"ATOKA_FAC",#N/A,FALSE,"Atoka"}</definedName>
    <definedName name="wrn.ATOKA._.FAC._.CALC." localSheetId="13" hidden="1">{"ATOKA_FAC",#N/A,FALSE,"Atoka"}</definedName>
    <definedName name="wrn.ATOKA._.FAC._.CALC." localSheetId="18" hidden="1">{"ATOKA_FAC",#N/A,FALSE,"Atoka"}</definedName>
    <definedName name="wrn.ATOKA._.FAC._.CALC." localSheetId="20" hidden="1">{"ATOKA_FAC",#N/A,FALSE,"Atoka"}</definedName>
    <definedName name="wrn.ATOKA._.FAC._.CALC." hidden="1">{"ATOKA_FAC",#N/A,FALSE,"Atoka"}</definedName>
    <definedName name="wrn.ATOKA._.FAC._.CALC._1" localSheetId="1" hidden="1">{"ATOKA_FAC",#N/A,FALSE,"Atoka"}</definedName>
    <definedName name="wrn.ATOKA._.FAC._.CALC._1" localSheetId="13" hidden="1">{"ATOKA_FAC",#N/A,FALSE,"Atoka"}</definedName>
    <definedName name="wrn.ATOKA._.FAC._.CALC._1" localSheetId="18" hidden="1">{"ATOKA_FAC",#N/A,FALSE,"Atoka"}</definedName>
    <definedName name="wrn.ATOKA._.FAC._.CALC._1" localSheetId="20" hidden="1">{"ATOKA_FAC",#N/A,FALSE,"Atoka"}</definedName>
    <definedName name="wrn.ATOKA._.FAC._.CALC._1" hidden="1">{"ATOKA_FAC",#N/A,FALSE,"Atoka"}</definedName>
    <definedName name="wrn.ATOKA._.FAC._.CALC._2" localSheetId="1" hidden="1">{"ATOKA_FAC",#N/A,FALSE,"Atoka"}</definedName>
    <definedName name="wrn.ATOKA._.FAC._.CALC._2" localSheetId="13" hidden="1">{"ATOKA_FAC",#N/A,FALSE,"Atoka"}</definedName>
    <definedName name="wrn.ATOKA._.FAC._.CALC._2" localSheetId="18" hidden="1">{"ATOKA_FAC",#N/A,FALSE,"Atoka"}</definedName>
    <definedName name="wrn.ATOKA._.FAC._.CALC._2" localSheetId="20" hidden="1">{"ATOKA_FAC",#N/A,FALSE,"Atoka"}</definedName>
    <definedName name="wrn.ATOKA._.FAC._.CALC._2" hidden="1">{"ATOKA_FAC",#N/A,FALSE,"Atoka"}</definedName>
    <definedName name="wrn.August._.1._.2003._.Rate._.Change." localSheetId="1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13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18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20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localSheetId="1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13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18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20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localSheetId="1" hidden="1">{#N/A,#N/A,FALSE,"O&amp;M by processes";#N/A,#N/A,FALSE,"Elec Act vs Bud";#N/A,#N/A,FALSE,"G&amp;A";#N/A,#N/A,FALSE,"BGS";#N/A,#N/A,FALSE,"Res Cost"}</definedName>
    <definedName name="wrn.Basic." localSheetId="13" hidden="1">{#N/A,#N/A,FALSE,"O&amp;M by processes";#N/A,#N/A,FALSE,"Elec Act vs Bud";#N/A,#N/A,FALSE,"G&amp;A";#N/A,#N/A,FALSE,"BGS";#N/A,#N/A,FALSE,"Res Cost"}</definedName>
    <definedName name="wrn.Basic." localSheetId="18" hidden="1">{#N/A,#N/A,FALSE,"O&amp;M by processes";#N/A,#N/A,FALSE,"Elec Act vs Bud";#N/A,#N/A,FALSE,"G&amp;A";#N/A,#N/A,FALSE,"BGS";#N/A,#N/A,FALSE,"Res Cost"}</definedName>
    <definedName name="wrn.Basic." localSheetId="20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3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8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localSheetId="1" hidden="1">{#N/A,#N/A,TRUE,"Bill Comp - 60";#N/A,#N/A,TRUE,"Bill Comp - 70";#N/A,#N/A,TRUE,"Bill Comp - 71";#N/A,#N/A,TRUE,"Bill Comp- 85"}</definedName>
    <definedName name="wrn.Bill._.Comparisons." localSheetId="13" hidden="1">{#N/A,#N/A,TRUE,"Bill Comp - 60";#N/A,#N/A,TRUE,"Bill Comp - 70";#N/A,#N/A,TRUE,"Bill Comp - 71";#N/A,#N/A,TRUE,"Bill Comp- 85"}</definedName>
    <definedName name="wrn.Bill._.Comparisons." localSheetId="18" hidden="1">{#N/A,#N/A,TRUE,"Bill Comp - 60";#N/A,#N/A,TRUE,"Bill Comp - 70";#N/A,#N/A,TRUE,"Bill Comp - 71";#N/A,#N/A,TRUE,"Bill Comp- 85"}</definedName>
    <definedName name="wrn.Bill._.Comparisons." localSheetId="20" hidden="1">{#N/A,#N/A,TRUE,"Bill Comp - 60";#N/A,#N/A,TRUE,"Bill Comp - 70";#N/A,#N/A,TRUE,"Bill Comp - 71";#N/A,#N/A,TRUE,"Bill Comp- 85"}</definedName>
    <definedName name="wrn.Bill._.Comparisons." hidden="1">{#N/A,#N/A,TRUE,"Bill Comp - 60";#N/A,#N/A,TRUE,"Bill Comp - 70";#N/A,#N/A,TRUE,"Bill Comp - 71";#N/A,#N/A,TRUE,"Bill Comp- 85"}</definedName>
    <definedName name="wrn.BOD._.QTR." localSheetId="1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OD._.QTR." localSheetId="13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OD._.QTR." localSheetId="18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OD._.QTR." localSheetId="20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OD._.QTR.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udget._.Exhibits.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8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localSheetId="1" hidden="1">{"CAP_ALLOC_SUMMARY",#N/A,FALSE,"Alloc Summary"}</definedName>
    <definedName name="wrn.CAPACITY._.ALLOC._.SUMMARY." localSheetId="13" hidden="1">{"CAP_ALLOC_SUMMARY",#N/A,FALSE,"Alloc Summary"}</definedName>
    <definedName name="wrn.CAPACITY._.ALLOC._.SUMMARY." localSheetId="18" hidden="1">{"CAP_ALLOC_SUMMARY",#N/A,FALSE,"Alloc Summary"}</definedName>
    <definedName name="wrn.CAPACITY._.ALLOC._.SUMMARY." localSheetId="20" hidden="1">{"CAP_ALLOC_SUMMARY",#N/A,FALSE,"Alloc Summary"}</definedName>
    <definedName name="wrn.CAPACITY._.ALLOC._.SUMMARY." hidden="1">{"CAP_ALLOC_SUMMARY",#N/A,FALSE,"Alloc Summary"}</definedName>
    <definedName name="wrn.ChartSet." localSheetId="1" hidden="1">{#N/A,#N/A,FALSE,"Elec Deliv";#N/A,#N/A,FALSE,"Atlantic Pie";#N/A,#N/A,FALSE,"Bay Pie";#N/A,#N/A,FALSE,"New Castle Pie";#N/A,#N/A,FALSE,"Transmission Pie"}</definedName>
    <definedName name="wrn.ChartSet." localSheetId="13" hidden="1">{#N/A,#N/A,FALSE,"Elec Deliv";#N/A,#N/A,FALSE,"Atlantic Pie";#N/A,#N/A,FALSE,"Bay Pie";#N/A,#N/A,FALSE,"New Castle Pie";#N/A,#N/A,FALSE,"Transmission Pie"}</definedName>
    <definedName name="wrn.ChartSet." localSheetId="18" hidden="1">{#N/A,#N/A,FALSE,"Elec Deliv";#N/A,#N/A,FALSE,"Atlantic Pie";#N/A,#N/A,FALSE,"Bay Pie";#N/A,#N/A,FALSE,"New Castle Pie";#N/A,#N/A,FALSE,"Transmission Pie"}</definedName>
    <definedName name="wrn.ChartSet." localSheetId="20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LP._.SEG._.INPUTS." localSheetId="1" hidden="1">{#N/A,#N/A,FALSE,"Rev Seg Taxes";#N/A,#N/A,FALSE,"BookRev Seg";#N/A,#N/A,FALSE,"Supp Adj Seg";#N/A,#N/A,FALSE,"outside prov seg taxes"}</definedName>
    <definedName name="wrn.CLP._.SEG._.INPUTS." localSheetId="13" hidden="1">{#N/A,#N/A,FALSE,"Rev Seg Taxes";#N/A,#N/A,FALSE,"BookRev Seg";#N/A,#N/A,FALSE,"Supp Adj Seg";#N/A,#N/A,FALSE,"outside prov seg taxes"}</definedName>
    <definedName name="wrn.CLP._.SEG._.INPUTS." localSheetId="18" hidden="1">{#N/A,#N/A,FALSE,"Rev Seg Taxes";#N/A,#N/A,FALSE,"BookRev Seg";#N/A,#N/A,FALSE,"Supp Adj Seg";#N/A,#N/A,FALSE,"outside prov seg taxes"}</definedName>
    <definedName name="wrn.CLP._.SEG._.INPUTS." localSheetId="20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13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18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2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1" hidden="1">{#N/A,#N/A,FALSE,"GLDwnLoad"}</definedName>
    <definedName name="wrn.CLP_GL." localSheetId="13" hidden="1">{#N/A,#N/A,FALSE,"GLDwnLoad"}</definedName>
    <definedName name="wrn.CLP_GL." localSheetId="18" hidden="1">{#N/A,#N/A,FALSE,"GLDwnLoad"}</definedName>
    <definedName name="wrn.CLP_GL." localSheetId="20" hidden="1">{#N/A,#N/A,FALSE,"GLDwnLoad"}</definedName>
    <definedName name="wrn.CLP_GL." hidden="1">{#N/A,#N/A,FALSE,"GLDwnLoad"}</definedName>
    <definedName name="wrn.CLP_INPUTS." localSheetId="1" hidden="1">{#N/A,#N/A,FALSE,"OTHERINPUTS";#N/A,#N/A,FALSE,"DITRATEINPUTS";#N/A,#N/A,FALSE,"SUPPLIEDADJINPUT";#N/A,#N/A,FALSE,"BR&amp;SUPADJ."}</definedName>
    <definedName name="wrn.CLP_INPUTS." localSheetId="13" hidden="1">{#N/A,#N/A,FALSE,"OTHERINPUTS";#N/A,#N/A,FALSE,"DITRATEINPUTS";#N/A,#N/A,FALSE,"SUPPLIEDADJINPUT";#N/A,#N/A,FALSE,"BR&amp;SUPADJ."}</definedName>
    <definedName name="wrn.CLP_INPUTS." localSheetId="18" hidden="1">{#N/A,#N/A,FALSE,"OTHERINPUTS";#N/A,#N/A,FALSE,"DITRATEINPUTS";#N/A,#N/A,FALSE,"SUPPLIEDADJINPUT";#N/A,#N/A,FALSE,"BR&amp;SUPADJ."}</definedName>
    <definedName name="wrn.CLP_INPUTS." localSheetId="20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1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18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2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fig._.and._.Calcs." localSheetId="1" hidden="1">{#N/A,#N/A,FALSE,"Configuration";#N/A,#N/A,FALSE,"Summary of Transaction";#N/A,#N/A,FALSE,"Calculations"}</definedName>
    <definedName name="wrn.Config._.and._.Calcs." localSheetId="13" hidden="1">{#N/A,#N/A,FALSE,"Configuration";#N/A,#N/A,FALSE,"Summary of Transaction";#N/A,#N/A,FALSE,"Calculations"}</definedName>
    <definedName name="wrn.Config._.and._.Calcs." localSheetId="18" hidden="1">{#N/A,#N/A,FALSE,"Configuration";#N/A,#N/A,FALSE,"Summary of Transaction";#N/A,#N/A,FALSE,"Calculations"}</definedName>
    <definedName name="wrn.Config._.and._.Calcs." localSheetId="2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ONOCO._.FAC." localSheetId="1" hidden="1">{"CONOCO_FAC",#N/A,FALSE,"Conoco FAC"}</definedName>
    <definedName name="wrn.CONOCO._.FAC." localSheetId="13" hidden="1">{"CONOCO_FAC",#N/A,FALSE,"Conoco FAC"}</definedName>
    <definedName name="wrn.CONOCO._.FAC." localSheetId="18" hidden="1">{"CONOCO_FAC",#N/A,FALSE,"Conoco FAC"}</definedName>
    <definedName name="wrn.CONOCO._.FAC." localSheetId="20" hidden="1">{"CONOCO_FAC",#N/A,FALSE,"Conoco FAC"}</definedName>
    <definedName name="wrn.CONOCO._.FAC." hidden="1">{"CONOCO_FAC",#N/A,FALSE,"Conoco FAC"}</definedName>
    <definedName name="wrn.CONOCO._.FAC._1" localSheetId="1" hidden="1">{"CONOCO_FAC",#N/A,FALSE,"Conoco FAC"}</definedName>
    <definedName name="wrn.CONOCO._.FAC._1" localSheetId="13" hidden="1">{"CONOCO_FAC",#N/A,FALSE,"Conoco FAC"}</definedName>
    <definedName name="wrn.CONOCO._.FAC._1" localSheetId="18" hidden="1">{"CONOCO_FAC",#N/A,FALSE,"Conoco FAC"}</definedName>
    <definedName name="wrn.CONOCO._.FAC._1" localSheetId="20" hidden="1">{"CONOCO_FAC",#N/A,FALSE,"Conoco FAC"}</definedName>
    <definedName name="wrn.CONOCO._.FAC._1" hidden="1">{"CONOCO_FAC",#N/A,FALSE,"Conoco FAC"}</definedName>
    <definedName name="wrn.CONOCO._.FAC._2" localSheetId="1" hidden="1">{"CONOCO_FAC",#N/A,FALSE,"Conoco FAC"}</definedName>
    <definedName name="wrn.CONOCO._.FAC._2" localSheetId="13" hidden="1">{"CONOCO_FAC",#N/A,FALSE,"Conoco FAC"}</definedName>
    <definedName name="wrn.CONOCO._.FAC._2" localSheetId="18" hidden="1">{"CONOCO_FAC",#N/A,FALSE,"Conoco FAC"}</definedName>
    <definedName name="wrn.CONOCO._.FAC._2" localSheetId="20" hidden="1">{"CONOCO_FAC",#N/A,FALSE,"Conoco FAC"}</definedName>
    <definedName name="wrn.CONOCO._.FAC._2" hidden="1">{"CONOCO_FAC",#N/A,FALSE,"Conoco FAC"}</definedName>
    <definedName name="wrn.CONSOL_UWNJ_UWNY." localSheetId="1" hidden="1">{"CONSOL_UWNJ_ISV",#N/A,FALSE,"Sheet1";"CONSOL_UWNJ_SAV",#N/A,FALSE,"Sheet1";"CONSOL_UWNJ_BSV",#N/A,FALSE,"Sheet1";"CONSOL_UWNJ_SFDV",#N/A,FALSE,"Sheet1"}</definedName>
    <definedName name="wrn.CONSOL_UWNJ_UWNY." localSheetId="13" hidden="1">{"CONSOL_UWNJ_ISV",#N/A,FALSE,"Sheet1";"CONSOL_UWNJ_SAV",#N/A,FALSE,"Sheet1";"CONSOL_UWNJ_BSV",#N/A,FALSE,"Sheet1";"CONSOL_UWNJ_SFDV",#N/A,FALSE,"Sheet1"}</definedName>
    <definedName name="wrn.CONSOL_UWNJ_UWNY." localSheetId="18" hidden="1">{"CONSOL_UWNJ_ISV",#N/A,FALSE,"Sheet1";"CONSOL_UWNJ_SAV",#N/A,FALSE,"Sheet1";"CONSOL_UWNJ_BSV",#N/A,FALSE,"Sheet1";"CONSOL_UWNJ_SFDV",#N/A,FALSE,"Sheet1"}</definedName>
    <definedName name="wrn.CONSOL_UWNJ_UWNY." localSheetId="20" hidden="1">{"CONSOL_UWNJ_ISV",#N/A,FALSE,"Sheet1";"CONSOL_UWNJ_SAV",#N/A,FALSE,"Sheet1";"CONSOL_UWNJ_BSV",#N/A,FALSE,"Sheet1";"CONSOL_UWNJ_SFDV",#N/A,FALSE,"Sheet1"}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localSheetId="1" hidden="1">{"CONSOL_WO_ISV",#N/A,FALSE,"Sheet1";"CONSOL_WO_SAV",#N/A,FALSE,"Sheet1";"CONSOL_WO_BSV",#N/A,FALSE,"Sheet1";"CONSOL_WO_SFDV",#N/A,FALSE,"Sheet1"}</definedName>
    <definedName name="wrn.CONSOL_WO." localSheetId="13" hidden="1">{"CONSOL_WO_ISV",#N/A,FALSE,"Sheet1";"CONSOL_WO_SAV",#N/A,FALSE,"Sheet1";"CONSOL_WO_BSV",#N/A,FALSE,"Sheet1";"CONSOL_WO_SFDV",#N/A,FALSE,"Sheet1"}</definedName>
    <definedName name="wrn.CONSOL_WO." localSheetId="18" hidden="1">{"CONSOL_WO_ISV",#N/A,FALSE,"Sheet1";"CONSOL_WO_SAV",#N/A,FALSE,"Sheet1";"CONSOL_WO_BSV",#N/A,FALSE,"Sheet1";"CONSOL_WO_SFDV",#N/A,FALSE,"Sheet1"}</definedName>
    <definedName name="wrn.CONSOL_WO." localSheetId="20" hidden="1">{"CONSOL_WO_ISV",#N/A,FALSE,"Sheet1";"CONSOL_WO_SAV",#N/A,FALSE,"Sheet1";"CONSOL_WO_BSV",#N/A,FALSE,"Sheet1";"CONSOL_WO_SFDV",#N/A,FALSE,"Sheet1"}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localSheetId="1" hidden="1">{"SECTK_JURIS_CUSTREV",#N/A,FALSE,"COSTSTUDY";"SECTK_OKCLS_CUSTREV",#N/A,FALSE,"COSTSTUDY"}</definedName>
    <definedName name="wrn.CUST._.REV._.ALLOC._.INPUT." localSheetId="13" hidden="1">{"SECTK_JURIS_CUSTREV",#N/A,FALSE,"COSTSTUDY";"SECTK_OKCLS_CUSTREV",#N/A,FALSE,"COSTSTUDY"}</definedName>
    <definedName name="wrn.CUST._.REV._.ALLOC._.INPUT." localSheetId="18" hidden="1">{"SECTK_JURIS_CUSTREV",#N/A,FALSE,"COSTSTUDY";"SECTK_OKCLS_CUSTREV",#N/A,FALSE,"COSTSTUDY"}</definedName>
    <definedName name="wrn.CUST._.REV._.ALLOC._.INPUT." localSheetId="20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localSheetId="13" hidden="1">{"JURIS_CUST_ALLOC_RATIOS",#N/A,FALSE,"COSTSTUDY";"OKCLS_CUST_ALLOC_RATIOS",#N/A,FALSE,"COSTSTUDY"}</definedName>
    <definedName name="wrn.CUSTOMER._.ALLOC._.RATIOS." localSheetId="18" hidden="1">{"JURIS_CUST_ALLOC_RATIOS",#N/A,FALSE,"COSTSTUDY";"OKCLS_CUST_ALLOC_RATIOS",#N/A,FALSE,"COSTSTUDY"}</definedName>
    <definedName name="wrn.CUSTOMER._.ALLOC._.RATIOS." localSheetId="20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CY_GL." localSheetId="1" hidden="1">{#N/A,#N/A,FALSE,"GLDwnLoad"}</definedName>
    <definedName name="wrn.CY_GL." localSheetId="13" hidden="1">{#N/A,#N/A,FALSE,"GLDwnLoad"}</definedName>
    <definedName name="wrn.CY_GL." localSheetId="18" hidden="1">{#N/A,#N/A,FALSE,"GLDwnLoad"}</definedName>
    <definedName name="wrn.CY_GL." localSheetId="20" hidden="1">{#N/A,#N/A,FALSE,"GLDwnLoad"}</definedName>
    <definedName name="wrn.CY_GL." hidden="1">{#N/A,#N/A,FALSE,"GLDwnLoad"}</definedName>
    <definedName name="wrn.CY_INPUTS." localSheetId="1" hidden="1">{#N/A,#N/A,FALSE,"OTHERINPUTS";#N/A,#N/A,FALSE,"DITRATEINPUTS";#N/A,#N/A,FALSE,"SUPPLIEDADJINPUT";#N/A,#N/A,FALSE,"TIMINGDIFFINPUTS";#N/A,#N/A,FALSE,"COSSINPUT";#N/A,#N/A,FALSE,"BR&amp;SUPADJ."}</definedName>
    <definedName name="wrn.CY_INPUTS." localSheetId="13" hidden="1">{#N/A,#N/A,FALSE,"OTHERINPUTS";#N/A,#N/A,FALSE,"DITRATEINPUTS";#N/A,#N/A,FALSE,"SUPPLIEDADJINPUT";#N/A,#N/A,FALSE,"TIMINGDIFFINPUTS";#N/A,#N/A,FALSE,"COSSINPUT";#N/A,#N/A,FALSE,"BR&amp;SUPADJ."}</definedName>
    <definedName name="wrn.CY_INPUTS." localSheetId="18" hidden="1">{#N/A,#N/A,FALSE,"OTHERINPUTS";#N/A,#N/A,FALSE,"DITRATEINPUTS";#N/A,#N/A,FALSE,"SUPPLIEDADJINPUT";#N/A,#N/A,FALSE,"TIMINGDIFFINPUTS";#N/A,#N/A,FALSE,"COSSINPUT";#N/A,#N/A,FALSE,"BR&amp;SUPADJ."}</definedName>
    <definedName name="wrn.CY_INPUTS." localSheetId="20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1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18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13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18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2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._.dump." localSheetId="1" hidden="1">{"Input Data",#N/A,FALSE,"Input";"Income and Cash Flow",#N/A,FALSE,"Calculations"}</definedName>
    <definedName name="wrn.Data._.dump." localSheetId="13" hidden="1">{"Input Data",#N/A,FALSE,"Input";"Income and Cash Flow",#N/A,FALSE,"Calculations"}</definedName>
    <definedName name="wrn.Data._.dump." localSheetId="18" hidden="1">{"Input Data",#N/A,FALSE,"Input";"Income and Cash Flow",#N/A,FALSE,"Calculations"}</definedName>
    <definedName name="wrn.Data._.dump." localSheetId="20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1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13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18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20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MAND._.ENERGY._.RATIOS." localSheetId="1" hidden="1">{"JURIS_DMDENRGY_RATIOS",#N/A,FALSE,"COSTSTUDY";"OKCLS_DMDENRGY_RATIOS",#N/A,FALSE,"COSTSTUDY"}</definedName>
    <definedName name="wrn.DEMAND._.ENERGY._.RATIOS." localSheetId="13" hidden="1">{"JURIS_DMDENRGY_RATIOS",#N/A,FALSE,"COSTSTUDY";"OKCLS_DMDENRGY_RATIOS",#N/A,FALSE,"COSTSTUDY"}</definedName>
    <definedName name="wrn.DEMAND._.ENERGY._.RATIOS." localSheetId="18" hidden="1">{"JURIS_DMDENRGY_RATIOS",#N/A,FALSE,"COSTSTUDY";"OKCLS_DMDENRGY_RATIOS",#N/A,FALSE,"COSTSTUDY"}</definedName>
    <definedName name="wrn.DEMAND._.ENERGY._.RATIOS." localSheetId="20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1" hidden="1">{"JURIS_DEPR_EXP",#N/A,FALSE,"COSTSTUDY";"OKCLS_DEPR_EXP",#N/A,FALSE,"COSTSTUDY"}</definedName>
    <definedName name="wrn.DEPRECIATION._.EXPENSE." localSheetId="13" hidden="1">{"JURIS_DEPR_EXP",#N/A,FALSE,"COSTSTUDY";"OKCLS_DEPR_EXP",#N/A,FALSE,"COSTSTUDY"}</definedName>
    <definedName name="wrn.DEPRECIATION._.EXPENSE." localSheetId="18" hidden="1">{"JURIS_DEPR_EXP",#N/A,FALSE,"COSTSTUDY";"OKCLS_DEPR_EXP",#N/A,FALSE,"COSTSTUDY"}</definedName>
    <definedName name="wrn.DEPRECIATION._.EXPENSE." localSheetId="20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scription_._.Assumption." localSheetId="1" hidden="1">{"Assumption-Description",#N/A,FALSE,"Assumptions"}</definedName>
    <definedName name="wrn.Description_._.Assumption." localSheetId="13" hidden="1">{"Assumption-Description",#N/A,FALSE,"Assumptions"}</definedName>
    <definedName name="wrn.Description_._.Assumption." localSheetId="18" hidden="1">{"Assumption-Description",#N/A,FALSE,"Assumptions"}</definedName>
    <definedName name="wrn.Description_._.Assumption." localSheetId="20" hidden="1">{"Assumption-Description",#N/A,FALSE,"Assumptions"}</definedName>
    <definedName name="wrn.Description_._.Assumption." hidden="1">{"Assumption-Description",#N/A,FALSE,"Assumptions"}</definedName>
    <definedName name="wrn.Detail." localSheetId="1" hidden="1">{"Print_Detail",#N/A,FALSE,"Redemption_Maturity Extract"}</definedName>
    <definedName name="wrn.Detail." localSheetId="13" hidden="1">{"Print_Detail",#N/A,FALSE,"Redemption_Maturity Extract"}</definedName>
    <definedName name="wrn.Detail." localSheetId="18" hidden="1">{"Print_Detail",#N/A,FALSE,"Redemption_Maturity Extract"}</definedName>
    <definedName name="wrn.Detail." localSheetId="20" hidden="1">{"Print_Detail",#N/A,FALSE,"Redemption_Maturity Extract"}</definedName>
    <definedName name="wrn.Detail." hidden="1">{"Print_Detail",#N/A,FALSE,"Redemption_Maturity Extract"}</definedName>
    <definedName name="wrn.DEVLP._.LABOR._.ALLOC." localSheetId="1" hidden="1">{"JURIS_LAB_ALOC_DEVLP",#N/A,FALSE,"COSTSTUDY";"OKCLS_LAB_ALOC_DEVLP",#N/A,FALSE,"COSTSTUDY"}</definedName>
    <definedName name="wrn.DEVLP._.LABOR._.ALLOC." localSheetId="13" hidden="1">{"JURIS_LAB_ALOC_DEVLP",#N/A,FALSE,"COSTSTUDY";"OKCLS_LAB_ALOC_DEVLP",#N/A,FALSE,"COSTSTUDY"}</definedName>
    <definedName name="wrn.DEVLP._.LABOR._.ALLOC." localSheetId="18" hidden="1">{"JURIS_LAB_ALOC_DEVLP",#N/A,FALSE,"COSTSTUDY";"OKCLS_LAB_ALOC_DEVLP",#N/A,FALSE,"COSTSTUDY"}</definedName>
    <definedName name="wrn.DEVLP._.LABOR._.ALLOC." localSheetId="20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iane._.s._.Version." localSheetId="1" hidden="1">{"Full",#N/A,FALSE,"Sec MTN B Summary"}</definedName>
    <definedName name="wrn.Diane._.s._.Version." localSheetId="13" hidden="1">{"Full",#N/A,FALSE,"Sec MTN B Summary"}</definedName>
    <definedName name="wrn.Diane._.s._.Version." localSheetId="18" hidden="1">{"Full",#N/A,FALSE,"Sec MTN B Summary"}</definedName>
    <definedName name="wrn.Diane._.s._.Version." localSheetId="20" hidden="1">{"Full",#N/A,FALSE,"Sec MTN B Summary"}</definedName>
    <definedName name="wrn.Diane._.s._.Version." hidden="1">{"Full",#N/A,FALSE,"Sec MTN B Summary"}</definedName>
    <definedName name="wrn.Distribution._.Version." localSheetId="1" hidden="1">{"RedPrem_InitRed View",#N/A,FALSE,"Sec MTN B Summary"}</definedName>
    <definedName name="wrn.Distribution._.Version." localSheetId="13" hidden="1">{"RedPrem_InitRed View",#N/A,FALSE,"Sec MTN B Summary"}</definedName>
    <definedName name="wrn.Distribution._.Version." localSheetId="18" hidden="1">{"RedPrem_InitRed View",#N/A,FALSE,"Sec MTN B Summary"}</definedName>
    <definedName name="wrn.Distribution._.Version." localSheetId="20" hidden="1">{"RedPrem_InitRed View",#N/A,FALSE,"Sec MTN B Summary"}</definedName>
    <definedName name="wrn.Distribution._.Version." hidden="1">{"RedPrem_InitRed View",#N/A,FALSE,"Sec MTN B Summary"}</definedName>
    <definedName name="wrn.DMD._.ENERGY._.ALLOC._.INPUT." localSheetId="1" hidden="1">{"JURIS_DMDENRGY_AL_INPUT",#N/A,FALSE,"COSTSTUDY";"OKCLS_DMDENRGY_AL_INPUT",#N/A,FALSE,"COSTSTUDY"}</definedName>
    <definedName name="wrn.DMD._.ENERGY._.ALLOC._.INPUT." localSheetId="13" hidden="1">{"JURIS_DMDENRGY_AL_INPUT",#N/A,FALSE,"COSTSTUDY";"OKCLS_DMDENRGY_AL_INPUT",#N/A,FALSE,"COSTSTUDY"}</definedName>
    <definedName name="wrn.DMD._.ENERGY._.ALLOC._.INPUT." localSheetId="18" hidden="1">{"JURIS_DMDENRGY_AL_INPUT",#N/A,FALSE,"COSTSTUDY";"OKCLS_DMDENRGY_AL_INPUT",#N/A,FALSE,"COSTSTUDY"}</definedName>
    <definedName name="wrn.DMD._.ENERGY._.ALLOC._.INPUT." localSheetId="20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1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1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1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1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2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2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2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2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2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2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2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2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3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3" localSheetId="1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3" localSheetId="1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3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LIM_CWO." localSheetId="1" hidden="1">{"ELIM_CWO_ISV",#N/A,FALSE,"Sheet1";"ELIM_CWO_SAV",#N/A,FALSE,"Sheet1";"ELIM_CWO_BSV",#N/A,FALSE,"Sheet1";"ELIM_CWO_SFDV",#N/A,FALSE,"Sheet1"}</definedName>
    <definedName name="wrn.ELIM_CWO." localSheetId="13" hidden="1">{"ELIM_CWO_ISV",#N/A,FALSE,"Sheet1";"ELIM_CWO_SAV",#N/A,FALSE,"Sheet1";"ELIM_CWO_BSV",#N/A,FALSE,"Sheet1";"ELIM_CWO_SFDV",#N/A,FALSE,"Sheet1"}</definedName>
    <definedName name="wrn.ELIM_CWO." localSheetId="18" hidden="1">{"ELIM_CWO_ISV",#N/A,FALSE,"Sheet1";"ELIM_CWO_SAV",#N/A,FALSE,"Sheet1";"ELIM_CWO_BSV",#N/A,FALSE,"Sheet1";"ELIM_CWO_SFDV",#N/A,FALSE,"Sheet1"}</definedName>
    <definedName name="wrn.ELIM_CWO." localSheetId="20" hidden="1">{"ELIM_CWO_ISV",#N/A,FALSE,"Sheet1";"ELIM_CWO_SAV",#N/A,FALSE,"Sheet1";"ELIM_CWO_BSV",#N/A,FALSE,"Sheet1";"ELIM_CWO_SFDV",#N/A,FALSE,"Sheet1"}</definedName>
    <definedName name="wrn.ELIM_CWO." hidden="1">{"ELIM_CWO_ISV",#N/A,FALSE,"Sheet1";"ELIM_CWO_SAV",#N/A,FALSE,"Sheet1";"ELIM_CWO_BSV",#N/A,FALSE,"Sheet1";"ELIM_CWO_SFDV",#N/A,FALSE,"Sheet1"}</definedName>
    <definedName name="wrn.ELIM_UWNJ_UWNY." localSheetId="1" hidden="1">{"ELIM_UWNJ_UWNY_ISV",#N/A,FALSE,"Sheet1";"ELIM_UWNJ_UWNY_SAV",#N/A,FALSE,"Sheet1";"ELIM_UWNJ_UWNY_BSV",#N/A,FALSE,"Sheet1";"ELIM_UWNJ_UWNY_SFDV",#N/A,FALSE,"Sheet1"}</definedName>
    <definedName name="wrn.ELIM_UWNJ_UWNY." localSheetId="13" hidden="1">{"ELIM_UWNJ_UWNY_ISV",#N/A,FALSE,"Sheet1";"ELIM_UWNJ_UWNY_SAV",#N/A,FALSE,"Sheet1";"ELIM_UWNJ_UWNY_BSV",#N/A,FALSE,"Sheet1";"ELIM_UWNJ_UWNY_SFDV",#N/A,FALSE,"Sheet1"}</definedName>
    <definedName name="wrn.ELIM_UWNJ_UWNY." localSheetId="18" hidden="1">{"ELIM_UWNJ_UWNY_ISV",#N/A,FALSE,"Sheet1";"ELIM_UWNJ_UWNY_SAV",#N/A,FALSE,"Sheet1";"ELIM_UWNJ_UWNY_BSV",#N/A,FALSE,"Sheet1";"ELIM_UWNJ_UWNY_SFDV",#N/A,FALSE,"Sheet1"}</definedName>
    <definedName name="wrn.ELIM_UWNJ_UWNY." localSheetId="20" hidden="1">{"ELIM_UWNJ_UWNY_ISV",#N/A,FALSE,"Sheet1";"ELIM_UWNJ_UWNY_SAV",#N/A,FALSE,"Sheet1";"ELIM_UWNJ_UWNY_BSV",#N/A,FALSE,"Sheet1";"ELIM_UWNJ_UWNY_SFDV",#N/A,FALSE,"Sheet1"}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" localSheetId="1" hidden="1">{#N/A,#N/A,FALSE,"Page 1 - 2005";#N/A,#N/A,FALSE,"Page 2 - 2004";#N/A,#N/A,FALSE,"Page 3 - 2003"}</definedName>
    <definedName name="wrn.Exhibits." localSheetId="13" hidden="1">{#N/A,#N/A,FALSE,"Page 1 - 2005";#N/A,#N/A,FALSE,"Page 2 - 2004";#N/A,#N/A,FALSE,"Page 3 - 2003"}</definedName>
    <definedName name="wrn.Exhibits." localSheetId="18" hidden="1">{#N/A,#N/A,FALSE,"Page 1 - 2005";#N/A,#N/A,FALSE,"Page 2 - 2004";#N/A,#N/A,FALSE,"Page 3 - 2003"}</definedName>
    <definedName name="wrn.Exhibits." localSheetId="20" hidden="1">{#N/A,#N/A,FALSE,"Page 1 - 2005";#N/A,#N/A,FALSE,"Page 2 - 2004";#N/A,#N/A,FALSE,"Page 3 - 2003"}</definedName>
    <definedName name="wrn.Exhibits." hidden="1">{#N/A,#N/A,FALSE,"Page 1 - 2005";#N/A,#N/A,FALSE,"Page 2 - 2004";#N/A,#N/A,FALSE,"Page 3 - 2003"}</definedName>
    <definedName name="wrn.Exhibits._.Clean." localSheetId="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3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8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0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localSheetId="1" hidden="1">{"FAC_SUMMARY",#N/A,FALSE,"Summaries"}</definedName>
    <definedName name="wrn.FAC._.SUMMARY." localSheetId="13" hidden="1">{"FAC_SUMMARY",#N/A,FALSE,"Summaries"}</definedName>
    <definedName name="wrn.FAC._.SUMMARY." localSheetId="18" hidden="1">{"FAC_SUMMARY",#N/A,FALSE,"Summaries"}</definedName>
    <definedName name="wrn.FAC._.SUMMARY." localSheetId="20" hidden="1">{"FAC_SUMMARY",#N/A,FALSE,"Summaries"}</definedName>
    <definedName name="wrn.FAC._.SUMMARY." hidden="1">{"FAC_SUMMARY",#N/A,FALSE,"Summaries"}</definedName>
    <definedName name="wrn.FAC._.SUMMARY._1" localSheetId="1" hidden="1">{"FAC_SUMMARY",#N/A,FALSE,"Summaries"}</definedName>
    <definedName name="wrn.FAC._.SUMMARY._1" localSheetId="13" hidden="1">{"FAC_SUMMARY",#N/A,FALSE,"Summaries"}</definedName>
    <definedName name="wrn.FAC._.SUMMARY._1" localSheetId="18" hidden="1">{"FAC_SUMMARY",#N/A,FALSE,"Summaries"}</definedName>
    <definedName name="wrn.FAC._.SUMMARY._1" localSheetId="20" hidden="1">{"FAC_SUMMARY",#N/A,FALSE,"Summaries"}</definedName>
    <definedName name="wrn.FAC._.SUMMARY._1" hidden="1">{"FAC_SUMMARY",#N/A,FALSE,"Summaries"}</definedName>
    <definedName name="wrn.FAC._.SUMMARY._2" localSheetId="1" hidden="1">{"FAC_SUMMARY",#N/A,FALSE,"Summaries"}</definedName>
    <definedName name="wrn.FAC._.SUMMARY._2" localSheetId="13" hidden="1">{"FAC_SUMMARY",#N/A,FALSE,"Summaries"}</definedName>
    <definedName name="wrn.FAC._.SUMMARY._2" localSheetId="18" hidden="1">{"FAC_SUMMARY",#N/A,FALSE,"Summaries"}</definedName>
    <definedName name="wrn.FAC._.SUMMARY._2" localSheetId="20" hidden="1">{"FAC_SUMMARY",#N/A,FALSE,"Summaries"}</definedName>
    <definedName name="wrn.FAC._.SUMMARY._2" hidden="1">{"FAC_SUMMARY",#N/A,FALSE,"Summaries"}</definedName>
    <definedName name="wrn.FAS109." localSheetId="1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13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18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20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b._.Senior._.Staff." localSheetId="1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b._.Senior._.Staff." localSheetId="13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b._.Senior._.Staff." localSheetId="18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b._.Senior._.Staff." localSheetId="20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b._.Senior._.Staff.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RC._.FAC._.CALC." localSheetId="1" hidden="1">{"FERC_FAC",#N/A,FALSE,"FERC_Fuel&amp;Rev"}</definedName>
    <definedName name="wrn.FERC._.FAC._.CALC." localSheetId="13" hidden="1">{"FERC_FAC",#N/A,FALSE,"FERC_Fuel&amp;Rev"}</definedName>
    <definedName name="wrn.FERC._.FAC._.CALC." localSheetId="18" hidden="1">{"FERC_FAC",#N/A,FALSE,"FERC_Fuel&amp;Rev"}</definedName>
    <definedName name="wrn.FERC._.FAC._.CALC." localSheetId="20" hidden="1">{"FERC_FAC",#N/A,FALSE,"FERC_Fuel&amp;Rev"}</definedName>
    <definedName name="wrn.FERC._.FAC._.CALC." hidden="1">{"FERC_FAC",#N/A,FALSE,"FERC_Fuel&amp;Rev"}</definedName>
    <definedName name="wrn.FERC._.FAC._.CALC._1" localSheetId="1" hidden="1">{"FERC_FAC",#N/A,FALSE,"FERC_Fuel&amp;Rev"}</definedName>
    <definedName name="wrn.FERC._.FAC._.CALC._1" localSheetId="13" hidden="1">{"FERC_FAC",#N/A,FALSE,"FERC_Fuel&amp;Rev"}</definedName>
    <definedName name="wrn.FERC._.FAC._.CALC._1" localSheetId="18" hidden="1">{"FERC_FAC",#N/A,FALSE,"FERC_Fuel&amp;Rev"}</definedName>
    <definedName name="wrn.FERC._.FAC._.CALC._1" localSheetId="20" hidden="1">{"FERC_FAC",#N/A,FALSE,"FERC_Fuel&amp;Rev"}</definedName>
    <definedName name="wrn.FERC._.FAC._.CALC._1" hidden="1">{"FERC_FAC",#N/A,FALSE,"FERC_Fuel&amp;Rev"}</definedName>
    <definedName name="wrn.FERC._.FAC._.CALC._2" localSheetId="1" hidden="1">{"FERC_FAC",#N/A,FALSE,"FERC_Fuel&amp;Rev"}</definedName>
    <definedName name="wrn.FERC._.FAC._.CALC._2" localSheetId="13" hidden="1">{"FERC_FAC",#N/A,FALSE,"FERC_Fuel&amp;Rev"}</definedName>
    <definedName name="wrn.FERC._.FAC._.CALC._2" localSheetId="18" hidden="1">{"FERC_FAC",#N/A,FALSE,"FERC_Fuel&amp;Rev"}</definedName>
    <definedName name="wrn.FERC._.FAC._.CALC._2" localSheetId="20" hidden="1">{"FERC_FAC",#N/A,FALSE,"FERC_Fuel&amp;Rev"}</definedName>
    <definedName name="wrn.FERC._.FAC._.CALC._2" hidden="1">{"FERC_FAC",#N/A,FALSE,"FERC_Fuel&amp;Rev"}</definedName>
    <definedName name="wrn.FERC._.WEATHER._.and._.JURIS._.FUEL." localSheetId="1" hidden="1">{"FERC_WEATHER_AND_FUEL",#N/A,FALSE,"FERC_Fuel&amp;Rev"}</definedName>
    <definedName name="wrn.FERC._.WEATHER._.and._.JURIS._.FUEL." localSheetId="13" hidden="1">{"FERC_WEATHER_AND_FUEL",#N/A,FALSE,"FERC_Fuel&amp;Rev"}</definedName>
    <definedName name="wrn.FERC._.WEATHER._.and._.JURIS._.FUEL." localSheetId="18" hidden="1">{"FERC_WEATHER_AND_FUEL",#N/A,FALSE,"FERC_Fuel&amp;Rev"}</definedName>
    <definedName name="wrn.FERC._.WEATHER._.and._.JURIS._.FUEL." localSheetId="20" hidden="1">{"FERC_WEATHER_AND_FUEL",#N/A,FALSE,"FERC_Fuel&amp;Rev"}</definedName>
    <definedName name="wrn.FERC._.WEATHER._.and._.JURIS._.FUEL." hidden="1">{"FERC_WEATHER_AND_FUEL",#N/A,FALSE,"FERC_Fuel&amp;Rev"}</definedName>
    <definedName name="wrn.FERC._.WEATHER._.and._.JURIS._.FUEL._1" localSheetId="1" hidden="1">{"FERC_WEATHER_AND_FUEL",#N/A,FALSE,"FERC_Fuel&amp;Rev"}</definedName>
    <definedName name="wrn.FERC._.WEATHER._.and._.JURIS._.FUEL._1" localSheetId="13" hidden="1">{"FERC_WEATHER_AND_FUEL",#N/A,FALSE,"FERC_Fuel&amp;Rev"}</definedName>
    <definedName name="wrn.FERC._.WEATHER._.and._.JURIS._.FUEL._1" localSheetId="18" hidden="1">{"FERC_WEATHER_AND_FUEL",#N/A,FALSE,"FERC_Fuel&amp;Rev"}</definedName>
    <definedName name="wrn.FERC._.WEATHER._.and._.JURIS._.FUEL._1" localSheetId="20" hidden="1">{"FERC_WEATHER_AND_FUEL",#N/A,FALSE,"FERC_Fuel&amp;Rev"}</definedName>
    <definedName name="wrn.FERC._.WEATHER._.and._.JURIS._.FUEL._1" hidden="1">{"FERC_WEATHER_AND_FUEL",#N/A,FALSE,"FERC_Fuel&amp;Rev"}</definedName>
    <definedName name="wrn.FERC._.WEATHER._.and._.JURIS._.FUEL._2" localSheetId="1" hidden="1">{"FERC_WEATHER_AND_FUEL",#N/A,FALSE,"FERC_Fuel&amp;Rev"}</definedName>
    <definedName name="wrn.FERC._.WEATHER._.and._.JURIS._.FUEL._2" localSheetId="13" hidden="1">{"FERC_WEATHER_AND_FUEL",#N/A,FALSE,"FERC_Fuel&amp;Rev"}</definedName>
    <definedName name="wrn.FERC._.WEATHER._.and._.JURIS._.FUEL._2" localSheetId="18" hidden="1">{"FERC_WEATHER_AND_FUEL",#N/A,FALSE,"FERC_Fuel&amp;Rev"}</definedName>
    <definedName name="wrn.FERC._.WEATHER._.and._.JURIS._.FUEL._2" localSheetId="20" hidden="1">{"FERC_WEATHER_AND_FUEL",#N/A,FALSE,"FERC_Fuel&amp;Rev"}</definedName>
    <definedName name="wrn.FERC._.WEATHER._.and._.JURIS._.FUEL._2" hidden="1">{"FERC_WEATHER_AND_FUEL",#N/A,FALSE,"FERC_Fuel&amp;Rev"}</definedName>
    <definedName name="wrn.Filing." localSheetId="1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13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18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20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localSheetId="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13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18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20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n_Book." localSheetId="1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13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18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20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or._.filling._.out._.assessments." localSheetId="1" hidden="1">{"Print Empty Template",#N/A,FALSE,"Input"}</definedName>
    <definedName name="wrn.For._.filling._.out._.assessments." localSheetId="13" hidden="1">{"Print Empty Template",#N/A,FALSE,"Input"}</definedName>
    <definedName name="wrn.For._.filling._.out._.assessments." localSheetId="18" hidden="1">{"Print Empty Template",#N/A,FALSE,"Input"}</definedName>
    <definedName name="wrn.For._.filling._.out._.assessments." localSheetId="20" hidden="1">{"Print Empty Template",#N/A,FALSE,"Input"}</definedName>
    <definedName name="wrn.For._.filling._.out._.assessments." hidden="1">{"Print Empty Template",#N/A,FALSE,"Input"}</definedName>
    <definedName name="wrn.Fuel._.Cycle." localSheetId="1" hidden="1">{#N/A,#N/A,FALSE,"AltFuel"}</definedName>
    <definedName name="wrn.Fuel._.Cycle." localSheetId="13" hidden="1">{#N/A,#N/A,FALSE,"AltFuel"}</definedName>
    <definedName name="wrn.Fuel._.Cycle." localSheetId="18" hidden="1">{#N/A,#N/A,FALSE,"AltFuel"}</definedName>
    <definedName name="wrn.Fuel._.Cycle." localSheetId="20" hidden="1">{#N/A,#N/A,FALSE,"AltFuel"}</definedName>
    <definedName name="wrn.Fuel._.Cycle." hidden="1">{#N/A,#N/A,FALSE,"AltFuel"}</definedName>
    <definedName name="wrn.Fuel._.Cycle._1" localSheetId="1" hidden="1">{#N/A,#N/A,FALSE,"AltFuel"}</definedName>
    <definedName name="wrn.Fuel._.Cycle._1" localSheetId="13" hidden="1">{#N/A,#N/A,FALSE,"AltFuel"}</definedName>
    <definedName name="wrn.Fuel._.Cycle._1" localSheetId="18" hidden="1">{#N/A,#N/A,FALSE,"AltFuel"}</definedName>
    <definedName name="wrn.Fuel._.Cycle._1" localSheetId="20" hidden="1">{#N/A,#N/A,FALSE,"AltFuel"}</definedName>
    <definedName name="wrn.Fuel._.Cycle._1" hidden="1">{#N/A,#N/A,FALSE,"AltFuel"}</definedName>
    <definedName name="wrn.Fuel._.Cycle._1_1" localSheetId="1" hidden="1">{#N/A,#N/A,FALSE,"AltFuel"}</definedName>
    <definedName name="wrn.Fuel._.Cycle._1_1" localSheetId="13" hidden="1">{#N/A,#N/A,FALSE,"AltFuel"}</definedName>
    <definedName name="wrn.Fuel._.Cycle._1_1" localSheetId="18" hidden="1">{#N/A,#N/A,FALSE,"AltFuel"}</definedName>
    <definedName name="wrn.Fuel._.Cycle._1_1" localSheetId="20" hidden="1">{#N/A,#N/A,FALSE,"AltFuel"}</definedName>
    <definedName name="wrn.Fuel._.Cycle._1_1" hidden="1">{#N/A,#N/A,FALSE,"AltFuel"}</definedName>
    <definedName name="wrn.Fuel._.Cycle._1_2" localSheetId="1" hidden="1">{#N/A,#N/A,FALSE,"AltFuel"}</definedName>
    <definedName name="wrn.Fuel._.Cycle._1_2" localSheetId="13" hidden="1">{#N/A,#N/A,FALSE,"AltFuel"}</definedName>
    <definedName name="wrn.Fuel._.Cycle._1_2" localSheetId="18" hidden="1">{#N/A,#N/A,FALSE,"AltFuel"}</definedName>
    <definedName name="wrn.Fuel._.Cycle._1_2" localSheetId="20" hidden="1">{#N/A,#N/A,FALSE,"AltFuel"}</definedName>
    <definedName name="wrn.Fuel._.Cycle._1_2" hidden="1">{#N/A,#N/A,FALSE,"AltFuel"}</definedName>
    <definedName name="wrn.Fuel._.Cycle._2" localSheetId="1" hidden="1">{#N/A,#N/A,FALSE,"AltFuel"}</definedName>
    <definedName name="wrn.Fuel._.Cycle._2" localSheetId="13" hidden="1">{#N/A,#N/A,FALSE,"AltFuel"}</definedName>
    <definedName name="wrn.Fuel._.Cycle._2" localSheetId="18" hidden="1">{#N/A,#N/A,FALSE,"AltFuel"}</definedName>
    <definedName name="wrn.Fuel._.Cycle._2" localSheetId="20" hidden="1">{#N/A,#N/A,FALSE,"AltFuel"}</definedName>
    <definedName name="wrn.Fuel._.Cycle._2" hidden="1">{#N/A,#N/A,FALSE,"AltFuel"}</definedName>
    <definedName name="wrn.Fuel._.Cycle._3" localSheetId="1" hidden="1">{#N/A,#N/A,FALSE,"AltFuel"}</definedName>
    <definedName name="wrn.Fuel._.Cycle._3" localSheetId="13" hidden="1">{#N/A,#N/A,FALSE,"AltFuel"}</definedName>
    <definedName name="wrn.Fuel._.Cycle._3" localSheetId="18" hidden="1">{#N/A,#N/A,FALSE,"AltFuel"}</definedName>
    <definedName name="wrn.Fuel._.Cycle._3" localSheetId="20" hidden="1">{#N/A,#N/A,FALSE,"AltFuel"}</definedName>
    <definedName name="wrn.Fuel._.Cycle._3" hidden="1">{#N/A,#N/A,FALSE,"AltFuel"}</definedName>
    <definedName name="wrn.go." localSheetId="1" hidden="1">{"wp_h4.2",#N/A,FALSE,"WP_H4.2";"wp_h4.3",#N/A,FALSE,"WP_H4.3"}</definedName>
    <definedName name="wrn.go." localSheetId="13" hidden="1">{"wp_h4.2",#N/A,FALSE,"WP_H4.2";"wp_h4.3",#N/A,FALSE,"WP_H4.3"}</definedName>
    <definedName name="wrn.go." localSheetId="18" hidden="1">{"wp_h4.2",#N/A,FALSE,"WP_H4.2";"wp_h4.3",#N/A,FALSE,"WP_H4.3"}</definedName>
    <definedName name="wrn.go." localSheetId="20" hidden="1">{"wp_h4.2",#N/A,FALSE,"WP_H4.2";"wp_h4.3",#N/A,FALSE,"WP_H4.3"}</definedName>
    <definedName name="wrn.go." hidden="1">{"wp_h4.2",#N/A,FALSE,"WP_H4.2";"wp_h4.3",#N/A,FALSE,"WP_H4.3"}</definedName>
    <definedName name="wrn.go._1" localSheetId="1" hidden="1">{"wp_h4.2",#N/A,FALSE,"WP_H4.2";"wp_h4.3",#N/A,FALSE,"WP_H4.3"}</definedName>
    <definedName name="wrn.go._1" localSheetId="13" hidden="1">{"wp_h4.2",#N/A,FALSE,"WP_H4.2";"wp_h4.3",#N/A,FALSE,"WP_H4.3"}</definedName>
    <definedName name="wrn.go._1" localSheetId="18" hidden="1">{"wp_h4.2",#N/A,FALSE,"WP_H4.2";"wp_h4.3",#N/A,FALSE,"WP_H4.3"}</definedName>
    <definedName name="wrn.go._1" localSheetId="20" hidden="1">{"wp_h4.2",#N/A,FALSE,"WP_H4.2";"wp_h4.3",#N/A,FALSE,"WP_H4.3"}</definedName>
    <definedName name="wrn.go._1" hidden="1">{"wp_h4.2",#N/A,FALSE,"WP_H4.2";"wp_h4.3",#N/A,FALSE,"WP_H4.3"}</definedName>
    <definedName name="wrn.go._2" localSheetId="1" hidden="1">{"wp_h4.2",#N/A,FALSE,"WP_H4.2";"wp_h4.3",#N/A,FALSE,"WP_H4.3"}</definedName>
    <definedName name="wrn.go._2" localSheetId="13" hidden="1">{"wp_h4.2",#N/A,FALSE,"WP_H4.2";"wp_h4.3",#N/A,FALSE,"WP_H4.3"}</definedName>
    <definedName name="wrn.go._2" localSheetId="18" hidden="1">{"wp_h4.2",#N/A,FALSE,"WP_H4.2";"wp_h4.3",#N/A,FALSE,"WP_H4.3"}</definedName>
    <definedName name="wrn.go._2" localSheetId="20" hidden="1">{"wp_h4.2",#N/A,FALSE,"WP_H4.2";"wp_h4.3",#N/A,FALSE,"WP_H4.3"}</definedName>
    <definedName name="wrn.go._2" hidden="1">{"wp_h4.2",#N/A,FALSE,"WP_H4.2";"wp_h4.3",#N/A,FALSE,"WP_H4.3"}</definedName>
    <definedName name="wrn.Graph._.SBU._.by._.Year._.1997_2000." localSheetId="1" hidden="1">{"Graph SBU by Year 1997_2000",#N/A,FALSE,"Strategic Business Lines"}</definedName>
    <definedName name="wrn.Graph._.SBU._.by._.Year._.1997_2000." localSheetId="13" hidden="1">{"Graph SBU by Year 1997_2000",#N/A,FALSE,"Strategic Business Lines"}</definedName>
    <definedName name="wrn.Graph._.SBU._.by._.Year._.1997_2000." localSheetId="18" hidden="1">{"Graph SBU by Year 1997_2000",#N/A,FALSE,"Strategic Business Lines"}</definedName>
    <definedName name="wrn.Graph._.SBU._.by._.Year._.1997_2000." localSheetId="20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1" hidden="1">{"Graph_SBU_Contirbution 1991_2000",#N/A,FALSE,"Strategic Business Lines"}</definedName>
    <definedName name="wrn.Graph._.SBU._.Contribution._.1997_2000." localSheetId="13" hidden="1">{"Graph_SBU_Contirbution 1991_2000",#N/A,FALSE,"Strategic Business Lines"}</definedName>
    <definedName name="wrn.Graph._.SBU._.Contribution._.1997_2000." localSheetId="18" hidden="1">{"Graph_SBU_Contirbution 1991_2000",#N/A,FALSE,"Strategic Business Lines"}</definedName>
    <definedName name="wrn.Graph._.SBU._.Contribution._.1997_2000." localSheetId="20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handout." localSheetId="1" hidden="1">{"quarterly",#N/A,FALSE,"Income Statement";#N/A,#N/A,FALSE,"print segment";#N/A,#N/A,FALSE,"Balance Sheet";#N/A,#N/A,FALSE,"Annl Inc";#N/A,#N/A,FALSE,"Cash Flow"}</definedName>
    <definedName name="wrn.handout." localSheetId="13" hidden="1">{"quarterly",#N/A,FALSE,"Income Statement";#N/A,#N/A,FALSE,"print segment";#N/A,#N/A,FALSE,"Balance Sheet";#N/A,#N/A,FALSE,"Annl Inc";#N/A,#N/A,FALSE,"Cash Flow"}</definedName>
    <definedName name="wrn.handout." localSheetId="18" hidden="1">{"quarterly",#N/A,FALSE,"Income Statement";#N/A,#N/A,FALSE,"print segment";#N/A,#N/A,FALSE,"Balance Sheet";#N/A,#N/A,FALSE,"Annl Inc";#N/A,#N/A,FALSE,"Cash Flow"}</definedName>
    <definedName name="wrn.handout." localSheetId="20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handout._1" localSheetId="1" hidden="1">{"quarterly",#N/A,FALSE,"Income Statement";#N/A,#N/A,FALSE,"print segment";#N/A,#N/A,FALSE,"Balance Sheet";#N/A,#N/A,FALSE,"Annl Inc";#N/A,#N/A,FALSE,"Cash Flow"}</definedName>
    <definedName name="wrn.handout._1" localSheetId="13" hidden="1">{"quarterly",#N/A,FALSE,"Income Statement";#N/A,#N/A,FALSE,"print segment";#N/A,#N/A,FALSE,"Balance Sheet";#N/A,#N/A,FALSE,"Annl Inc";#N/A,#N/A,FALSE,"Cash Flow"}</definedName>
    <definedName name="wrn.handout._1" localSheetId="18" hidden="1">{"quarterly",#N/A,FALSE,"Income Statement";#N/A,#N/A,FALSE,"print segment";#N/A,#N/A,FALSE,"Balance Sheet";#N/A,#N/A,FALSE,"Annl Inc";#N/A,#N/A,FALSE,"Cash Flow"}</definedName>
    <definedName name="wrn.handout._1" localSheetId="20" hidden="1">{"quarterly",#N/A,FALSE,"Income Statement";#N/A,#N/A,FALSE,"print segment";#N/A,#N/A,FALSE,"Balance Sheet";#N/A,#N/A,FALSE,"Annl Inc";#N/A,#N/A,FALSE,"Cash Flow"}</definedName>
    <definedName name="wrn.handout._1" hidden="1">{"quarterly",#N/A,FALSE,"Income Statement";#N/A,#N/A,FALSE,"print segment";#N/A,#N/A,FALSE,"Balance Sheet";#N/A,#N/A,FALSE,"Annl Inc";#N/A,#N/A,FALSE,"Cash Flow"}</definedName>
    <definedName name="wrn.handout._1_1" localSheetId="1" hidden="1">{"quarterly",#N/A,FALSE,"Income Statement";#N/A,#N/A,FALSE,"print segment";#N/A,#N/A,FALSE,"Balance Sheet";#N/A,#N/A,FALSE,"Annl Inc";#N/A,#N/A,FALSE,"Cash Flow"}</definedName>
    <definedName name="wrn.handout._1_1" localSheetId="13" hidden="1">{"quarterly",#N/A,FALSE,"Income Statement";#N/A,#N/A,FALSE,"print segment";#N/A,#N/A,FALSE,"Balance Sheet";#N/A,#N/A,FALSE,"Annl Inc";#N/A,#N/A,FALSE,"Cash Flow"}</definedName>
    <definedName name="wrn.handout._1_1" localSheetId="18" hidden="1">{"quarterly",#N/A,FALSE,"Income Statement";#N/A,#N/A,FALSE,"print segment";#N/A,#N/A,FALSE,"Balance Sheet";#N/A,#N/A,FALSE,"Annl Inc";#N/A,#N/A,FALSE,"Cash Flow"}</definedName>
    <definedName name="wrn.handout._1_1" localSheetId="20" hidden="1">{"quarterly",#N/A,FALSE,"Income Statement";#N/A,#N/A,FALSE,"print segment";#N/A,#N/A,FALSE,"Balance Sheet";#N/A,#N/A,FALSE,"Annl Inc";#N/A,#N/A,FALSE,"Cash Flow"}</definedName>
    <definedName name="wrn.handout._1_1" hidden="1">{"quarterly",#N/A,FALSE,"Income Statement";#N/A,#N/A,FALSE,"print segment";#N/A,#N/A,FALSE,"Balance Sheet";#N/A,#N/A,FALSE,"Annl Inc";#N/A,#N/A,FALSE,"Cash Flow"}</definedName>
    <definedName name="wrn.handout._1_2" localSheetId="1" hidden="1">{"quarterly",#N/A,FALSE,"Income Statement";#N/A,#N/A,FALSE,"print segment";#N/A,#N/A,FALSE,"Balance Sheet";#N/A,#N/A,FALSE,"Annl Inc";#N/A,#N/A,FALSE,"Cash Flow"}</definedName>
    <definedName name="wrn.handout._1_2" localSheetId="13" hidden="1">{"quarterly",#N/A,FALSE,"Income Statement";#N/A,#N/A,FALSE,"print segment";#N/A,#N/A,FALSE,"Balance Sheet";#N/A,#N/A,FALSE,"Annl Inc";#N/A,#N/A,FALSE,"Cash Flow"}</definedName>
    <definedName name="wrn.handout._1_2" localSheetId="18" hidden="1">{"quarterly",#N/A,FALSE,"Income Statement";#N/A,#N/A,FALSE,"print segment";#N/A,#N/A,FALSE,"Balance Sheet";#N/A,#N/A,FALSE,"Annl Inc";#N/A,#N/A,FALSE,"Cash Flow"}</definedName>
    <definedName name="wrn.handout._1_2" localSheetId="20" hidden="1">{"quarterly",#N/A,FALSE,"Income Statement";#N/A,#N/A,FALSE,"print segment";#N/A,#N/A,FALSE,"Balance Sheet";#N/A,#N/A,FALSE,"Annl Inc";#N/A,#N/A,FALSE,"Cash Flow"}</definedName>
    <definedName name="wrn.handout._1_2" hidden="1">{"quarterly",#N/A,FALSE,"Income Statement";#N/A,#N/A,FALSE,"print segment";#N/A,#N/A,FALSE,"Balance Sheet";#N/A,#N/A,FALSE,"Annl Inc";#N/A,#N/A,FALSE,"Cash Flow"}</definedName>
    <definedName name="wrn.handout._2" localSheetId="1" hidden="1">{"quarterly",#N/A,FALSE,"Income Statement";#N/A,#N/A,FALSE,"print segment";#N/A,#N/A,FALSE,"Balance Sheet";#N/A,#N/A,FALSE,"Annl Inc";#N/A,#N/A,FALSE,"Cash Flow"}</definedName>
    <definedName name="wrn.handout._2" localSheetId="13" hidden="1">{"quarterly",#N/A,FALSE,"Income Statement";#N/A,#N/A,FALSE,"print segment";#N/A,#N/A,FALSE,"Balance Sheet";#N/A,#N/A,FALSE,"Annl Inc";#N/A,#N/A,FALSE,"Cash Flow"}</definedName>
    <definedName name="wrn.handout._2" localSheetId="18" hidden="1">{"quarterly",#N/A,FALSE,"Income Statement";#N/A,#N/A,FALSE,"print segment";#N/A,#N/A,FALSE,"Balance Sheet";#N/A,#N/A,FALSE,"Annl Inc";#N/A,#N/A,FALSE,"Cash Flow"}</definedName>
    <definedName name="wrn.handout._2" localSheetId="20" hidden="1">{"quarterly",#N/A,FALSE,"Income Statement";#N/A,#N/A,FALSE,"print segment";#N/A,#N/A,FALSE,"Balance Sheet";#N/A,#N/A,FALSE,"Annl Inc";#N/A,#N/A,FALSE,"Cash Flow"}</definedName>
    <definedName name="wrn.handout._2" hidden="1">{"quarterly",#N/A,FALSE,"Income Statement";#N/A,#N/A,FALSE,"print segment";#N/A,#N/A,FALSE,"Balance Sheet";#N/A,#N/A,FALSE,"Annl Inc";#N/A,#N/A,FALSE,"Cash Flow"}</definedName>
    <definedName name="wrn.handout._3" localSheetId="1" hidden="1">{"quarterly",#N/A,FALSE,"Income Statement";#N/A,#N/A,FALSE,"print segment";#N/A,#N/A,FALSE,"Balance Sheet";#N/A,#N/A,FALSE,"Annl Inc";#N/A,#N/A,FALSE,"Cash Flow"}</definedName>
    <definedName name="wrn.handout._3" localSheetId="13" hidden="1">{"quarterly",#N/A,FALSE,"Income Statement";#N/A,#N/A,FALSE,"print segment";#N/A,#N/A,FALSE,"Balance Sheet";#N/A,#N/A,FALSE,"Annl Inc";#N/A,#N/A,FALSE,"Cash Flow"}</definedName>
    <definedName name="wrn.handout._3" localSheetId="18" hidden="1">{"quarterly",#N/A,FALSE,"Income Statement";#N/A,#N/A,FALSE,"print segment";#N/A,#N/A,FALSE,"Balance Sheet";#N/A,#N/A,FALSE,"Annl Inc";#N/A,#N/A,FALSE,"Cash Flow"}</definedName>
    <definedName name="wrn.handout._3" localSheetId="20" hidden="1">{"quarterly",#N/A,FALSE,"Income Statement";#N/A,#N/A,FALSE,"print segment";#N/A,#N/A,FALSE,"Balance Sheet";#N/A,#N/A,FALSE,"Annl Inc";#N/A,#N/A,FALSE,"Cash Flow"}</definedName>
    <definedName name="wrn.handout._3" hidden="1">{"quarterly",#N/A,FALSE,"Income Statement";#N/A,#N/A,FALSE,"print segment";#N/A,#N/A,FALSE,"Balance Sheet";#N/A,#N/A,FALSE,"Annl Inc";#N/A,#N/A,FALSE,"Cash Flow"}</definedName>
    <definedName name="wrn.HLP._.Detail." localSheetId="1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13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18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20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U_9697." localSheetId="1" hidden="1">{#N/A,#N/A,FALSE,"Exhibit";#N/A,#N/A,FALSE,"MPPayments";#N/A,#N/A,FALSE,"Capitation";#N/A,#N/A,FALSE,"Claims";#N/A,#N/A,FALSE,"ActualPymts"}</definedName>
    <definedName name="wrn.HU_9697." localSheetId="13" hidden="1">{#N/A,#N/A,FALSE,"Exhibit";#N/A,#N/A,FALSE,"MPPayments";#N/A,#N/A,FALSE,"Capitation";#N/A,#N/A,FALSE,"Claims";#N/A,#N/A,FALSE,"ActualPymts"}</definedName>
    <definedName name="wrn.HU_9697." localSheetId="18" hidden="1">{#N/A,#N/A,FALSE,"Exhibit";#N/A,#N/A,FALSE,"MPPayments";#N/A,#N/A,FALSE,"Capitation";#N/A,#N/A,FALSE,"Claims";#N/A,#N/A,FALSE,"ActualPymts"}</definedName>
    <definedName name="wrn.HU_9697." localSheetId="20" hidden="1">{#N/A,#N/A,FALSE,"Exhibit";#N/A,#N/A,FALSE,"MPPayments";#N/A,#N/A,FALSE,"Capitation";#N/A,#N/A,FALSE,"Claims";#N/A,#N/A,FALSE,"ActualPymts"}</definedName>
    <definedName name="wrn.HU_9697." hidden="1">{#N/A,#N/A,FALSE,"Exhibit";#N/A,#N/A,FALSE,"MPPayments";#N/A,#N/A,FALSE,"Capitation";#N/A,#N/A,FALSE,"Claims";#N/A,#N/A,FALSE,"ActualPymts"}</definedName>
    <definedName name="wrn.HWP_GL." localSheetId="1" hidden="1">{#N/A,#N/A,FALSE,"GLDwnLoad"}</definedName>
    <definedName name="wrn.HWP_GL." localSheetId="13" hidden="1">{#N/A,#N/A,FALSE,"GLDwnLoad"}</definedName>
    <definedName name="wrn.HWP_GL." localSheetId="18" hidden="1">{#N/A,#N/A,FALSE,"GLDwnLoad"}</definedName>
    <definedName name="wrn.HWP_GL." localSheetId="20" hidden="1">{#N/A,#N/A,FALSE,"GLDwnLoad"}</definedName>
    <definedName name="wrn.HWP_GL." hidden="1">{#N/A,#N/A,FALSE,"GLDwnLoad"}</definedName>
    <definedName name="wrn.HWP_INPUTS." localSheetId="1" hidden="1">{#N/A,#N/A,FALSE,"OTHERINPUTS";#N/A,#N/A,FALSE,"SUPPLIEDADJINPUT";#N/A,#N/A,FALSE,"BR&amp;SUPADJ."}</definedName>
    <definedName name="wrn.HWP_INPUTS." localSheetId="13" hidden="1">{#N/A,#N/A,FALSE,"OTHERINPUTS";#N/A,#N/A,FALSE,"SUPPLIEDADJINPUT";#N/A,#N/A,FALSE,"BR&amp;SUPADJ."}</definedName>
    <definedName name="wrn.HWP_INPUTS." localSheetId="18" hidden="1">{#N/A,#N/A,FALSE,"OTHERINPUTS";#N/A,#N/A,FALSE,"SUPPLIEDADJINPUT";#N/A,#N/A,FALSE,"BR&amp;SUPADJ."}</definedName>
    <definedName name="wrn.HWP_INPUTS." localSheetId="20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13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18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2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localSheetId="1" hidden="1">{"JURIS_INC_TAX_CALC",#N/A,FALSE,"COSTSTUDY";"OKCLS_INC_TAX_CALC",#N/A,FALSE,"COSTSTUDY"}</definedName>
    <definedName name="wrn.INCOME._.TAX._.CALCULATION." localSheetId="13" hidden="1">{"JURIS_INC_TAX_CALC",#N/A,FALSE,"COSTSTUDY";"OKCLS_INC_TAX_CALC",#N/A,FALSE,"COSTSTUDY"}</definedName>
    <definedName name="wrn.INCOME._.TAX._.CALCULATION." localSheetId="18" hidden="1">{"JURIS_INC_TAX_CALC",#N/A,FALSE,"COSTSTUDY";"OKCLS_INC_TAX_CALC",#N/A,FALSE,"COSTSTUDY"}</definedName>
    <definedName name="wrn.INCOME._.TAX._.CALCULATION." localSheetId="20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cStatement._.15._.years." localSheetId="1" hidden="1">{#N/A,#N/A,FALSE,"FinStateUS"}</definedName>
    <definedName name="wrn.IncStatement._.15._.years." localSheetId="13" hidden="1">{#N/A,#N/A,FALSE,"FinStateUS"}</definedName>
    <definedName name="wrn.IncStatement._.15._.years." localSheetId="18" hidden="1">{#N/A,#N/A,FALSE,"FinStateUS"}</definedName>
    <definedName name="wrn.IncStatement._.15._.years." localSheetId="20" hidden="1">{#N/A,#N/A,FALSE,"FinStateUS"}</definedName>
    <definedName name="wrn.IncStatement._.15._.years." hidden="1">{#N/A,#N/A,FALSE,"FinStateUS"}</definedName>
    <definedName name="wrn.IncStatement._.15._.years._1" localSheetId="1" hidden="1">{#N/A,#N/A,FALSE,"FinStateUS"}</definedName>
    <definedName name="wrn.IncStatement._.15._.years._1" localSheetId="13" hidden="1">{#N/A,#N/A,FALSE,"FinStateUS"}</definedName>
    <definedName name="wrn.IncStatement._.15._.years._1" localSheetId="18" hidden="1">{#N/A,#N/A,FALSE,"FinStateUS"}</definedName>
    <definedName name="wrn.IncStatement._.15._.years._1" localSheetId="20" hidden="1">{#N/A,#N/A,FALSE,"FinStateUS"}</definedName>
    <definedName name="wrn.IncStatement._.15._.years._1" hidden="1">{#N/A,#N/A,FALSE,"FinStateUS"}</definedName>
    <definedName name="wrn.IncStatement._.15._.years._1_1" localSheetId="1" hidden="1">{#N/A,#N/A,FALSE,"FinStateUS"}</definedName>
    <definedName name="wrn.IncStatement._.15._.years._1_1" localSheetId="13" hidden="1">{#N/A,#N/A,FALSE,"FinStateUS"}</definedName>
    <definedName name="wrn.IncStatement._.15._.years._1_1" localSheetId="18" hidden="1">{#N/A,#N/A,FALSE,"FinStateUS"}</definedName>
    <definedName name="wrn.IncStatement._.15._.years._1_1" localSheetId="20" hidden="1">{#N/A,#N/A,FALSE,"FinStateUS"}</definedName>
    <definedName name="wrn.IncStatement._.15._.years._1_1" hidden="1">{#N/A,#N/A,FALSE,"FinStateUS"}</definedName>
    <definedName name="wrn.IncStatement._.15._.years._1_2" localSheetId="1" hidden="1">{#N/A,#N/A,FALSE,"FinStateUS"}</definedName>
    <definedName name="wrn.IncStatement._.15._.years._1_2" localSheetId="13" hidden="1">{#N/A,#N/A,FALSE,"FinStateUS"}</definedName>
    <definedName name="wrn.IncStatement._.15._.years._1_2" localSheetId="18" hidden="1">{#N/A,#N/A,FALSE,"FinStateUS"}</definedName>
    <definedName name="wrn.IncStatement._.15._.years._1_2" localSheetId="20" hidden="1">{#N/A,#N/A,FALSE,"FinStateUS"}</definedName>
    <definedName name="wrn.IncStatement._.15._.years._1_2" hidden="1">{#N/A,#N/A,FALSE,"FinStateUS"}</definedName>
    <definedName name="wrn.IncStatement._.15._.years._2" localSheetId="1" hidden="1">{#N/A,#N/A,FALSE,"FinStateUS"}</definedName>
    <definedName name="wrn.IncStatement._.15._.years._2" localSheetId="13" hidden="1">{#N/A,#N/A,FALSE,"FinStateUS"}</definedName>
    <definedName name="wrn.IncStatement._.15._.years._2" localSheetId="18" hidden="1">{#N/A,#N/A,FALSE,"FinStateUS"}</definedName>
    <definedName name="wrn.IncStatement._.15._.years._2" localSheetId="20" hidden="1">{#N/A,#N/A,FALSE,"FinStateUS"}</definedName>
    <definedName name="wrn.IncStatement._.15._.years._2" hidden="1">{#N/A,#N/A,FALSE,"FinStateUS"}</definedName>
    <definedName name="wrn.IncStatement._.15._.years._3" localSheetId="1" hidden="1">{#N/A,#N/A,FALSE,"FinStateUS"}</definedName>
    <definedName name="wrn.IncStatement._.15._.years._3" localSheetId="13" hidden="1">{#N/A,#N/A,FALSE,"FinStateUS"}</definedName>
    <definedName name="wrn.IncStatement._.15._.years._3" localSheetId="18" hidden="1">{#N/A,#N/A,FALSE,"FinStateUS"}</definedName>
    <definedName name="wrn.IncStatement._.15._.years._3" localSheetId="20" hidden="1">{#N/A,#N/A,FALSE,"FinStateUS"}</definedName>
    <definedName name="wrn.IncStatement._.15._.years._3" hidden="1">{#N/A,#N/A,FALSE,"FinStateUS"}</definedName>
    <definedName name="wrn.IncStatement._.6._.years." localSheetId="1" hidden="1">{"IncStatement 6 years",#N/A,FALSE,"FinStateUS"}</definedName>
    <definedName name="wrn.IncStatement._.6._.years." localSheetId="13" hidden="1">{"IncStatement 6 years",#N/A,FALSE,"FinStateUS"}</definedName>
    <definedName name="wrn.IncStatement._.6._.years." localSheetId="18" hidden="1">{"IncStatement 6 years",#N/A,FALSE,"FinStateUS"}</definedName>
    <definedName name="wrn.IncStatement._.6._.years." localSheetId="20" hidden="1">{"IncStatement 6 years",#N/A,FALSE,"FinStateUS"}</definedName>
    <definedName name="wrn.IncStatement._.6._.years." hidden="1">{"IncStatement 6 years",#N/A,FALSE,"FinStateUS"}</definedName>
    <definedName name="wrn.IncStatement._.6._.years._1" localSheetId="1" hidden="1">{"IncStatement 6 years",#N/A,FALSE,"FinStateUS"}</definedName>
    <definedName name="wrn.IncStatement._.6._.years._1" localSheetId="13" hidden="1">{"IncStatement 6 years",#N/A,FALSE,"FinStateUS"}</definedName>
    <definedName name="wrn.IncStatement._.6._.years._1" localSheetId="18" hidden="1">{"IncStatement 6 years",#N/A,FALSE,"FinStateUS"}</definedName>
    <definedName name="wrn.IncStatement._.6._.years._1" localSheetId="20" hidden="1">{"IncStatement 6 years",#N/A,FALSE,"FinStateUS"}</definedName>
    <definedName name="wrn.IncStatement._.6._.years._1" hidden="1">{"IncStatement 6 years",#N/A,FALSE,"FinStateUS"}</definedName>
    <definedName name="wrn.IncStatement._.6._.years._1_1" localSheetId="1" hidden="1">{"IncStatement 6 years",#N/A,FALSE,"FinStateUS"}</definedName>
    <definedName name="wrn.IncStatement._.6._.years._1_1" localSheetId="13" hidden="1">{"IncStatement 6 years",#N/A,FALSE,"FinStateUS"}</definedName>
    <definedName name="wrn.IncStatement._.6._.years._1_1" localSheetId="18" hidden="1">{"IncStatement 6 years",#N/A,FALSE,"FinStateUS"}</definedName>
    <definedName name="wrn.IncStatement._.6._.years._1_1" localSheetId="20" hidden="1">{"IncStatement 6 years",#N/A,FALSE,"FinStateUS"}</definedName>
    <definedName name="wrn.IncStatement._.6._.years._1_1" hidden="1">{"IncStatement 6 years",#N/A,FALSE,"FinStateUS"}</definedName>
    <definedName name="wrn.IncStatement._.6._.years._1_2" localSheetId="1" hidden="1">{"IncStatement 6 years",#N/A,FALSE,"FinStateUS"}</definedName>
    <definedName name="wrn.IncStatement._.6._.years._1_2" localSheetId="13" hidden="1">{"IncStatement 6 years",#N/A,FALSE,"FinStateUS"}</definedName>
    <definedName name="wrn.IncStatement._.6._.years._1_2" localSheetId="18" hidden="1">{"IncStatement 6 years",#N/A,FALSE,"FinStateUS"}</definedName>
    <definedName name="wrn.IncStatement._.6._.years._1_2" localSheetId="20" hidden="1">{"IncStatement 6 years",#N/A,FALSE,"FinStateUS"}</definedName>
    <definedName name="wrn.IncStatement._.6._.years._1_2" hidden="1">{"IncStatement 6 years",#N/A,FALSE,"FinStateUS"}</definedName>
    <definedName name="wrn.IncStatement._.6._.years._2" localSheetId="1" hidden="1">{"IncStatement 6 years",#N/A,FALSE,"FinStateUS"}</definedName>
    <definedName name="wrn.IncStatement._.6._.years._2" localSheetId="13" hidden="1">{"IncStatement 6 years",#N/A,FALSE,"FinStateUS"}</definedName>
    <definedName name="wrn.IncStatement._.6._.years._2" localSheetId="18" hidden="1">{"IncStatement 6 years",#N/A,FALSE,"FinStateUS"}</definedName>
    <definedName name="wrn.IncStatement._.6._.years._2" localSheetId="20" hidden="1">{"IncStatement 6 years",#N/A,FALSE,"FinStateUS"}</definedName>
    <definedName name="wrn.IncStatement._.6._.years._2" hidden="1">{"IncStatement 6 years",#N/A,FALSE,"FinStateUS"}</definedName>
    <definedName name="wrn.IncStatement._.6._.years._3" localSheetId="1" hidden="1">{"IncStatement 6 years",#N/A,FALSE,"FinStateUS"}</definedName>
    <definedName name="wrn.IncStatement._.6._.years._3" localSheetId="13" hidden="1">{"IncStatement 6 years",#N/A,FALSE,"FinStateUS"}</definedName>
    <definedName name="wrn.IncStatement._.6._.years._3" localSheetId="18" hidden="1">{"IncStatement 6 years",#N/A,FALSE,"FinStateUS"}</definedName>
    <definedName name="wrn.IncStatement._.6._.years._3" localSheetId="20" hidden="1">{"IncStatement 6 years",#N/A,FALSE,"FinStateUS"}</definedName>
    <definedName name="wrn.IncStatement._.6._.years._3" hidden="1">{"IncStatement 6 years",#N/A,FALSE,"FinStateUS"}</definedName>
    <definedName name="wrn.Initial." localSheetId="1" hidden="1">{#N/A,"Anonymous",FALSE,"30 30k Table";#N/A,#N/A,FALSE,"30 50k Table";#N/A,#N/A,FALSE,"40 100k Table"}</definedName>
    <definedName name="wrn.Initial." localSheetId="13" hidden="1">{#N/A,"Anonymous",FALSE,"30 30k Table";#N/A,#N/A,FALSE,"30 50k Table";#N/A,#N/A,FALSE,"40 100k Table"}</definedName>
    <definedName name="wrn.Initial." localSheetId="18" hidden="1">{#N/A,"Anonymous",FALSE,"30 30k Table";#N/A,#N/A,FALSE,"30 50k Table";#N/A,#N/A,FALSE,"40 100k Table"}</definedName>
    <definedName name="wrn.Initial." localSheetId="20" hidden="1">{#N/A,"Anonymous",FALSE,"30 30k Table";#N/A,#N/A,FALSE,"30 50k Table";#N/A,#N/A,FALSE,"40 100k Table"}</definedName>
    <definedName name="wrn.Initial." hidden="1">{#N/A,"Anonymous",FALSE,"30 30k Table";#N/A,#N/A,FALSE,"30 50k Table";#N/A,#N/A,FALSE,"40 100k Table"}</definedName>
    <definedName name="wrn.INTERNAL._.ALLOC._.INPUT." localSheetId="1" hidden="1">{"JURIS_INT_ALOC_AMTS",#N/A,FALSE,"COSTSTUDY";"OKCLS_INT_ALOC_AMTS",#N/A,FALSE,"COSTSTUDY"}</definedName>
    <definedName name="wrn.INTERNAL._.ALLOC._.INPUT." localSheetId="13" hidden="1">{"JURIS_INT_ALOC_AMTS",#N/A,FALSE,"COSTSTUDY";"OKCLS_INT_ALOC_AMTS",#N/A,FALSE,"COSTSTUDY"}</definedName>
    <definedName name="wrn.INTERNAL._.ALLOC._.INPUT." localSheetId="18" hidden="1">{"JURIS_INT_ALOC_AMTS",#N/A,FALSE,"COSTSTUDY";"OKCLS_INT_ALOC_AMTS",#N/A,FALSE,"COSTSTUDY"}</definedName>
    <definedName name="wrn.INTERNAL._.ALLOC._.INPUT." localSheetId="20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localSheetId="13" hidden="1">{"JURIS_INTAL_RATIOS",#N/A,FALSE,"COSTSTUDY";"OKCLS_INTAL_RATIOS",#N/A,FALSE,"COSTSTUDY"}</definedName>
    <definedName name="wrn.INTERNAL._.ALLOC._.RATIOS." localSheetId="18" hidden="1">{"JURIS_INTAL_RATIOS",#N/A,FALSE,"COSTSTUDY";"OKCLS_INTAL_RATIOS",#N/A,FALSE,"COSTSTUDY"}</definedName>
    <definedName name="wrn.INTERNAL._.ALLOC._.RATIOS." localSheetId="20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terSystem." localSheetId="1" hidden="1">{"Purchases",#N/A,TRUE,"Sheet1";"Sales",#N/A,TRUE,"Sheet1"}</definedName>
    <definedName name="wrn.InterSystem." localSheetId="13" hidden="1">{"Purchases",#N/A,TRUE,"Sheet1";"Sales",#N/A,TRUE,"Sheet1"}</definedName>
    <definedName name="wrn.InterSystem." localSheetId="18" hidden="1">{"Purchases",#N/A,TRUE,"Sheet1";"Sales",#N/A,TRUE,"Sheet1"}</definedName>
    <definedName name="wrn.InterSystem." localSheetId="20" hidden="1">{"Purchases",#N/A,TRUE,"Sheet1";"Sales",#N/A,TRUE,"Sheet1"}</definedName>
    <definedName name="wrn.InterSystem." hidden="1">{"Purchases",#N/A,TRUE,"Sheet1";"Sales",#N/A,TRUE,"Sheet1"}</definedName>
    <definedName name="wrn.MADCAPRM._.Report." localSheetId="1" hidden="1">{#N/A,#N/A,FALSE,"Documentation";#N/A,#N/A,FALSE,"Introduction";#N/A,#N/A,FALSE,"Input";#N/A,#N/A,FALSE,"PreMEA";#N/A,#N/A,FALSE,"PreMEA";#N/A,#N/A,FALSE,"PostMEA";#N/A,#N/A,FALSE,"AgeDist";#N/A,#N/A,FALSE,"IBUCalc"}</definedName>
    <definedName name="wrn.MADCAPRM._.Report." localSheetId="13" hidden="1">{#N/A,#N/A,FALSE,"Documentation";#N/A,#N/A,FALSE,"Introduction";#N/A,#N/A,FALSE,"Input";#N/A,#N/A,FALSE,"PreMEA";#N/A,#N/A,FALSE,"PreMEA";#N/A,#N/A,FALSE,"PostMEA";#N/A,#N/A,FALSE,"AgeDist";#N/A,#N/A,FALSE,"IBUCalc"}</definedName>
    <definedName name="wrn.MADCAPRM._.Report." localSheetId="18" hidden="1">{#N/A,#N/A,FALSE,"Documentation";#N/A,#N/A,FALSE,"Introduction";#N/A,#N/A,FALSE,"Input";#N/A,#N/A,FALSE,"PreMEA";#N/A,#N/A,FALSE,"PreMEA";#N/A,#N/A,FALSE,"PostMEA";#N/A,#N/A,FALSE,"AgeDist";#N/A,#N/A,FALSE,"IBUCalc"}</definedName>
    <definedName name="wrn.MADCAPRM._.Report." localSheetId="20" hidden="1">{#N/A,#N/A,FALSE,"Documentation";#N/A,#N/A,FALSE,"Introduction";#N/A,#N/A,FALSE,"Input";#N/A,#N/A,FALSE,"PreMEA";#N/A,#N/A,FALSE,"PreMEA";#N/A,#N/A,FALSE,"PostMEA";#N/A,#N/A,FALSE,"AgeDist";#N/A,#N/A,FALSE,"IBUCalc"}</definedName>
    <definedName name="wrn.MADCAPRM._.Report." hidden="1">{#N/A,#N/A,FALSE,"Documentation";#N/A,#N/A,FALSE,"Introduction";#N/A,#N/A,FALSE,"Input";#N/A,#N/A,FALSE,"PreMEA";#N/A,#N/A,FALSE,"PreMEA";#N/A,#N/A,FALSE,"PostMEA";#N/A,#N/A,FALSE,"AgeDist";#N/A,#N/A,FALSE,"IBUCalc"}</definedName>
    <definedName name="wrn.market._.share.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" localSheetId="1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" localSheetId="1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1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1" localSheetId="1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1" localSheetId="1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1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2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2" localSheetId="1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2" localSheetId="1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2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2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2" localSheetId="1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2" localSheetId="1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2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3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3" localSheetId="1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3" localSheetId="1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3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1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1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1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1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2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2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2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2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1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1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1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1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2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2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1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1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1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1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1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1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1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1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2" localSheetId="1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2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localSheetId="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3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8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0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onQuarter._.Financials." localSheetId="1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onQuarter._.Financials." localSheetId="13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onQuarter._.Financials." localSheetId="18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onQuarter._.Financials." localSheetId="20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onQuarter._.Financials.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OK._.FUEL._.COMPARISON." localSheetId="1" hidden="1">{"OK_FUEL_COMPARISON",#N/A,FALSE,"Ok_Fuel&amp;Rev"}</definedName>
    <definedName name="wrn.OK._.FUEL._.COMPARISON." localSheetId="13" hidden="1">{"OK_FUEL_COMPARISON",#N/A,FALSE,"Ok_Fuel&amp;Rev"}</definedName>
    <definedName name="wrn.OK._.FUEL._.COMPARISON." localSheetId="18" hidden="1">{"OK_FUEL_COMPARISON",#N/A,FALSE,"Ok_Fuel&amp;Rev"}</definedName>
    <definedName name="wrn.OK._.FUEL._.COMPARISON." localSheetId="20" hidden="1">{"OK_FUEL_COMPARISON",#N/A,FALSE,"Ok_Fuel&amp;Rev"}</definedName>
    <definedName name="wrn.OK._.FUEL._.COMPARISON." hidden="1">{"OK_FUEL_COMPARISON",#N/A,FALSE,"Ok_Fuel&amp;Rev"}</definedName>
    <definedName name="wrn.OK._.FUEL._.COMPARISON._1" localSheetId="1" hidden="1">{"OK_FUEL_COMPARISON",#N/A,FALSE,"Ok_Fuel&amp;Rev"}</definedName>
    <definedName name="wrn.OK._.FUEL._.COMPARISON._1" localSheetId="13" hidden="1">{"OK_FUEL_COMPARISON",#N/A,FALSE,"Ok_Fuel&amp;Rev"}</definedName>
    <definedName name="wrn.OK._.FUEL._.COMPARISON._1" localSheetId="18" hidden="1">{"OK_FUEL_COMPARISON",#N/A,FALSE,"Ok_Fuel&amp;Rev"}</definedName>
    <definedName name="wrn.OK._.FUEL._.COMPARISON._1" localSheetId="20" hidden="1">{"OK_FUEL_COMPARISON",#N/A,FALSE,"Ok_Fuel&amp;Rev"}</definedName>
    <definedName name="wrn.OK._.FUEL._.COMPARISON._1" hidden="1">{"OK_FUEL_COMPARISON",#N/A,FALSE,"Ok_Fuel&amp;Rev"}</definedName>
    <definedName name="wrn.OK._.FUEL._.COMPARISON._2" localSheetId="1" hidden="1">{"OK_FUEL_COMPARISON",#N/A,FALSE,"Ok_Fuel&amp;Rev"}</definedName>
    <definedName name="wrn.OK._.FUEL._.COMPARISON._2" localSheetId="13" hidden="1">{"OK_FUEL_COMPARISON",#N/A,FALSE,"Ok_Fuel&amp;Rev"}</definedName>
    <definedName name="wrn.OK._.FUEL._.COMPARISON._2" localSheetId="18" hidden="1">{"OK_FUEL_COMPARISON",#N/A,FALSE,"Ok_Fuel&amp;Rev"}</definedName>
    <definedName name="wrn.OK._.FUEL._.COMPARISON._2" localSheetId="20" hidden="1">{"OK_FUEL_COMPARISON",#N/A,FALSE,"Ok_Fuel&amp;Rev"}</definedName>
    <definedName name="wrn.OK._.FUEL._.COMPARISON._2" hidden="1">{"OK_FUEL_COMPARISON",#N/A,FALSE,"Ok_Fuel&amp;Rev"}</definedName>
    <definedName name="wrn.OK._.JURIS._.FAC._.CALCULATION." localSheetId="1" hidden="1">{"OK_JURIS_FAC",#N/A,FALSE,"Ok_Fuel&amp;Rev"}</definedName>
    <definedName name="wrn.OK._.JURIS._.FAC._.CALCULATION." localSheetId="13" hidden="1">{"OK_JURIS_FAC",#N/A,FALSE,"Ok_Fuel&amp;Rev"}</definedName>
    <definedName name="wrn.OK._.JURIS._.FAC._.CALCULATION." localSheetId="18" hidden="1">{"OK_JURIS_FAC",#N/A,FALSE,"Ok_Fuel&amp;Rev"}</definedName>
    <definedName name="wrn.OK._.JURIS._.FAC._.CALCULATION." localSheetId="20" hidden="1">{"OK_JURIS_FAC",#N/A,FALSE,"Ok_Fuel&amp;Rev"}</definedName>
    <definedName name="wrn.OK._.JURIS._.FAC._.CALCULATION." hidden="1">{"OK_JURIS_FAC",#N/A,FALSE,"Ok_Fuel&amp;Rev"}</definedName>
    <definedName name="wrn.OK._.JURIS._.FAC._.CALCULATION._1" localSheetId="1" hidden="1">{"OK_JURIS_FAC",#N/A,FALSE,"Ok_Fuel&amp;Rev"}</definedName>
    <definedName name="wrn.OK._.JURIS._.FAC._.CALCULATION._1" localSheetId="13" hidden="1">{"OK_JURIS_FAC",#N/A,FALSE,"Ok_Fuel&amp;Rev"}</definedName>
    <definedName name="wrn.OK._.JURIS._.FAC._.CALCULATION._1" localSheetId="18" hidden="1">{"OK_JURIS_FAC",#N/A,FALSE,"Ok_Fuel&amp;Rev"}</definedName>
    <definedName name="wrn.OK._.JURIS._.FAC._.CALCULATION._1" localSheetId="20" hidden="1">{"OK_JURIS_FAC",#N/A,FALSE,"Ok_Fuel&amp;Rev"}</definedName>
    <definedName name="wrn.OK._.JURIS._.FAC._.CALCULATION._1" hidden="1">{"OK_JURIS_FAC",#N/A,FALSE,"Ok_Fuel&amp;Rev"}</definedName>
    <definedName name="wrn.OK._.JURIS._.FAC._.CALCULATION._2" localSheetId="1" hidden="1">{"OK_JURIS_FAC",#N/A,FALSE,"Ok_Fuel&amp;Rev"}</definedName>
    <definedName name="wrn.OK._.JURIS._.FAC._.CALCULATION._2" localSheetId="13" hidden="1">{"OK_JURIS_FAC",#N/A,FALSE,"Ok_Fuel&amp;Rev"}</definedName>
    <definedName name="wrn.OK._.JURIS._.FAC._.CALCULATION._2" localSheetId="18" hidden="1">{"OK_JURIS_FAC",#N/A,FALSE,"Ok_Fuel&amp;Rev"}</definedName>
    <definedName name="wrn.OK._.JURIS._.FAC._.CALCULATION._2" localSheetId="20" hidden="1">{"OK_JURIS_FAC",#N/A,FALSE,"Ok_Fuel&amp;Rev"}</definedName>
    <definedName name="wrn.OK._.JURIS._.FAC._.CALCULATION._2" hidden="1">{"OK_JURIS_FAC",#N/A,FALSE,"Ok_Fuel&amp;Rev"}</definedName>
    <definedName name="wrn.OK._.JURIS._.FUEL._.COST." localSheetId="1" hidden="1">{"OK_JURIS_FUEL",#N/A,FALSE,"Ok_Fuel&amp;Rev"}</definedName>
    <definedName name="wrn.OK._.JURIS._.FUEL._.COST." localSheetId="13" hidden="1">{"OK_JURIS_FUEL",#N/A,FALSE,"Ok_Fuel&amp;Rev"}</definedName>
    <definedName name="wrn.OK._.JURIS._.FUEL._.COST." localSheetId="18" hidden="1">{"OK_JURIS_FUEL",#N/A,FALSE,"Ok_Fuel&amp;Rev"}</definedName>
    <definedName name="wrn.OK._.JURIS._.FUEL._.COST." localSheetId="20" hidden="1">{"OK_JURIS_FUEL",#N/A,FALSE,"Ok_Fuel&amp;Rev"}</definedName>
    <definedName name="wrn.OK._.JURIS._.FUEL._.COST." hidden="1">{"OK_JURIS_FUEL",#N/A,FALSE,"Ok_Fuel&amp;Rev"}</definedName>
    <definedName name="wrn.OK._.JURIS._.FUEL._.COST._1" localSheetId="1" hidden="1">{"OK_JURIS_FUEL",#N/A,FALSE,"Ok_Fuel&amp;Rev"}</definedName>
    <definedName name="wrn.OK._.JURIS._.FUEL._.COST._1" localSheetId="13" hidden="1">{"OK_JURIS_FUEL",#N/A,FALSE,"Ok_Fuel&amp;Rev"}</definedName>
    <definedName name="wrn.OK._.JURIS._.FUEL._.COST._1" localSheetId="18" hidden="1">{"OK_JURIS_FUEL",#N/A,FALSE,"Ok_Fuel&amp;Rev"}</definedName>
    <definedName name="wrn.OK._.JURIS._.FUEL._.COST._1" localSheetId="20" hidden="1">{"OK_JURIS_FUEL",#N/A,FALSE,"Ok_Fuel&amp;Rev"}</definedName>
    <definedName name="wrn.OK._.JURIS._.FUEL._.COST._1" hidden="1">{"OK_JURIS_FUEL",#N/A,FALSE,"Ok_Fuel&amp;Rev"}</definedName>
    <definedName name="wrn.OK._.JURIS._.FUEL._.COST._2" localSheetId="1" hidden="1">{"OK_JURIS_FUEL",#N/A,FALSE,"Ok_Fuel&amp;Rev"}</definedName>
    <definedName name="wrn.OK._.JURIS._.FUEL._.COST._2" localSheetId="13" hidden="1">{"OK_JURIS_FUEL",#N/A,FALSE,"Ok_Fuel&amp;Rev"}</definedName>
    <definedName name="wrn.OK._.JURIS._.FUEL._.COST._2" localSheetId="18" hidden="1">{"OK_JURIS_FUEL",#N/A,FALSE,"Ok_Fuel&amp;Rev"}</definedName>
    <definedName name="wrn.OK._.JURIS._.FUEL._.COST._2" localSheetId="20" hidden="1">{"OK_JURIS_FUEL",#N/A,FALSE,"Ok_Fuel&amp;Rev"}</definedName>
    <definedName name="wrn.OK._.JURIS._.FUEL._.COST._2" hidden="1">{"OK_JURIS_FUEL",#N/A,FALSE,"Ok_Fuel&amp;Rev"}</definedName>
    <definedName name="wrn.OKLA._.PRO._.FORMA._.FUEL." localSheetId="1" hidden="1">{"OK_PRO_FORMA_FUEL",#N/A,FALSE,"Ok_Fuel&amp;Rev"}</definedName>
    <definedName name="wrn.OKLA._.PRO._.FORMA._.FUEL." localSheetId="13" hidden="1">{"OK_PRO_FORMA_FUEL",#N/A,FALSE,"Ok_Fuel&amp;Rev"}</definedName>
    <definedName name="wrn.OKLA._.PRO._.FORMA._.FUEL." localSheetId="18" hidden="1">{"OK_PRO_FORMA_FUEL",#N/A,FALSE,"Ok_Fuel&amp;Rev"}</definedName>
    <definedName name="wrn.OKLA._.PRO._.FORMA._.FUEL." localSheetId="20" hidden="1">{"OK_PRO_FORMA_FUEL",#N/A,FALSE,"Ok_Fuel&amp;Rev"}</definedName>
    <definedName name="wrn.OKLA._.PRO._.FORMA._.FUEL." hidden="1">{"OK_PRO_FORMA_FUEL",#N/A,FALSE,"Ok_Fuel&amp;Rev"}</definedName>
    <definedName name="wrn.OKLA._.PRO._.FORMA._.FUEL._1" localSheetId="1" hidden="1">{"OK_PRO_FORMA_FUEL",#N/A,FALSE,"Ok_Fuel&amp;Rev"}</definedName>
    <definedName name="wrn.OKLA._.PRO._.FORMA._.FUEL._1" localSheetId="13" hidden="1">{"OK_PRO_FORMA_FUEL",#N/A,FALSE,"Ok_Fuel&amp;Rev"}</definedName>
    <definedName name="wrn.OKLA._.PRO._.FORMA._.FUEL._1" localSheetId="18" hidden="1">{"OK_PRO_FORMA_FUEL",#N/A,FALSE,"Ok_Fuel&amp;Rev"}</definedName>
    <definedName name="wrn.OKLA._.PRO._.FORMA._.FUEL._1" localSheetId="20" hidden="1">{"OK_PRO_FORMA_FUEL",#N/A,FALSE,"Ok_Fuel&amp;Rev"}</definedName>
    <definedName name="wrn.OKLA._.PRO._.FORMA._.FUEL._1" hidden="1">{"OK_PRO_FORMA_FUEL",#N/A,FALSE,"Ok_Fuel&amp;Rev"}</definedName>
    <definedName name="wrn.OKLA._.PRO._.FORMA._.FUEL._2" localSheetId="1" hidden="1">{"OK_PRO_FORMA_FUEL",#N/A,FALSE,"Ok_Fuel&amp;Rev"}</definedName>
    <definedName name="wrn.OKLA._.PRO._.FORMA._.FUEL._2" localSheetId="13" hidden="1">{"OK_PRO_FORMA_FUEL",#N/A,FALSE,"Ok_Fuel&amp;Rev"}</definedName>
    <definedName name="wrn.OKLA._.PRO._.FORMA._.FUEL._2" localSheetId="18" hidden="1">{"OK_PRO_FORMA_FUEL",#N/A,FALSE,"Ok_Fuel&amp;Rev"}</definedName>
    <definedName name="wrn.OKLA._.PRO._.FORMA._.FUEL._2" localSheetId="20" hidden="1">{"OK_PRO_FORMA_FUEL",#N/A,FALSE,"Ok_Fuel&amp;Rev"}</definedName>
    <definedName name="wrn.OKLA._.PRO._.FORMA._.FUEL._2" hidden="1">{"OK_PRO_FORMA_FUEL",#N/A,FALSE,"Ok_Fuel&amp;Rev"}</definedName>
    <definedName name="wrn.OM._.EXPENSES." localSheetId="1" hidden="1">{"JURIS_OM_EXP",#N/A,FALSE,"COSTSTUDY";"OKCLS_OM_EXP",#N/A,FALSE,"COSTSTUDY"}</definedName>
    <definedName name="wrn.OM._.EXPENSES." localSheetId="13" hidden="1">{"JURIS_OM_EXP",#N/A,FALSE,"COSTSTUDY";"OKCLS_OM_EXP",#N/A,FALSE,"COSTSTUDY"}</definedName>
    <definedName name="wrn.OM._.EXPENSES." localSheetId="18" hidden="1">{"JURIS_OM_EXP",#N/A,FALSE,"COSTSTUDY";"OKCLS_OM_EXP",#N/A,FALSE,"COSTSTUDY"}</definedName>
    <definedName name="wrn.OM._.EXPENSES." localSheetId="20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EXPENSE." localSheetId="1" hidden="1">{"PF",#N/A,FALSE,"Sheet4";"PG",#N/A,FALSE,"Sheet4";"PH",#N/A,FALSE,"Sheet4";"PI",#N/A,FALSE,"Sheet4";"PJ",#N/A,FALSE,"Sheet4"}</definedName>
    <definedName name="wrn.OMEXPENSE." localSheetId="13" hidden="1">{"PF",#N/A,FALSE,"Sheet4";"PG",#N/A,FALSE,"Sheet4";"PH",#N/A,FALSE,"Sheet4";"PI",#N/A,FALSE,"Sheet4";"PJ",#N/A,FALSE,"Sheet4"}</definedName>
    <definedName name="wrn.OMEXPENSE." localSheetId="18" hidden="1">{"PF",#N/A,FALSE,"Sheet4";"PG",#N/A,FALSE,"Sheet4";"PH",#N/A,FALSE,"Sheet4";"PI",#N/A,FALSE,"Sheet4";"PJ",#N/A,FALSE,"Sheet4"}</definedName>
    <definedName name="wrn.OMEXPENSE." localSheetId="20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EXPENSE._1" localSheetId="1" hidden="1">{"PF",#N/A,FALSE,"Sheet4";"PG",#N/A,FALSE,"Sheet4";"PH",#N/A,FALSE,"Sheet4";"PI",#N/A,FALSE,"Sheet4";"PJ",#N/A,FALSE,"Sheet4"}</definedName>
    <definedName name="wrn.OMEXPENSE._1" localSheetId="13" hidden="1">{"PF",#N/A,FALSE,"Sheet4";"PG",#N/A,FALSE,"Sheet4";"PH",#N/A,FALSE,"Sheet4";"PI",#N/A,FALSE,"Sheet4";"PJ",#N/A,FALSE,"Sheet4"}</definedName>
    <definedName name="wrn.OMEXPENSE._1" localSheetId="18" hidden="1">{"PF",#N/A,FALSE,"Sheet4";"PG",#N/A,FALSE,"Sheet4";"PH",#N/A,FALSE,"Sheet4";"PI",#N/A,FALSE,"Sheet4";"PJ",#N/A,FALSE,"Sheet4"}</definedName>
    <definedName name="wrn.OMEXPENSE._1" localSheetId="20" hidden="1">{"PF",#N/A,FALSE,"Sheet4";"PG",#N/A,FALSE,"Sheet4";"PH",#N/A,FALSE,"Sheet4";"PI",#N/A,FALSE,"Sheet4";"PJ",#N/A,FALSE,"Sheet4"}</definedName>
    <definedName name="wrn.OMEXPENSE._1" hidden="1">{"PF",#N/A,FALSE,"Sheet4";"PG",#N/A,FALSE,"Sheet4";"PH",#N/A,FALSE,"Sheet4";"PI",#N/A,FALSE,"Sheet4";"PJ",#N/A,FALSE,"Sheet4"}</definedName>
    <definedName name="wrn.OMEXPENSE._2" localSheetId="1" hidden="1">{"PF",#N/A,FALSE,"Sheet4";"PG",#N/A,FALSE,"Sheet4";"PH",#N/A,FALSE,"Sheet4";"PI",#N/A,FALSE,"Sheet4";"PJ",#N/A,FALSE,"Sheet4"}</definedName>
    <definedName name="wrn.OMEXPENSE._2" localSheetId="13" hidden="1">{"PF",#N/A,FALSE,"Sheet4";"PG",#N/A,FALSE,"Sheet4";"PH",#N/A,FALSE,"Sheet4";"PI",#N/A,FALSE,"Sheet4";"PJ",#N/A,FALSE,"Sheet4"}</definedName>
    <definedName name="wrn.OMEXPENSE._2" localSheetId="18" hidden="1">{"PF",#N/A,FALSE,"Sheet4";"PG",#N/A,FALSE,"Sheet4";"PH",#N/A,FALSE,"Sheet4";"PI",#N/A,FALSE,"Sheet4";"PJ",#N/A,FALSE,"Sheet4"}</definedName>
    <definedName name="wrn.OMEXPENSE._2" localSheetId="20" hidden="1">{"PF",#N/A,FALSE,"Sheet4";"PG",#N/A,FALSE,"Sheet4";"PH",#N/A,FALSE,"Sheet4";"PI",#N/A,FALSE,"Sheet4";"PJ",#N/A,FALSE,"Sheet4"}</definedName>
    <definedName name="wrn.OMEXPENSE._2" hidden="1">{"PF",#N/A,FALSE,"Sheet4";"PG",#N/A,FALSE,"Sheet4";"PH",#N/A,FALSE,"Sheet4";"PI",#N/A,FALSE,"Sheet4";"PJ",#N/A,FALSE,"Sheet4"}</definedName>
    <definedName name="wrn.OMEXPENSE1" localSheetId="1" hidden="1">{"PF",#N/A,FALSE,"Sheet4";"PG",#N/A,FALSE,"Sheet4";"PH",#N/A,FALSE,"Sheet4";"PI",#N/A,FALSE,"Sheet4";"PJ",#N/A,FALSE,"Sheet4"}</definedName>
    <definedName name="wrn.OMEXPENSE1" localSheetId="13" hidden="1">{"PF",#N/A,FALSE,"Sheet4";"PG",#N/A,FALSE,"Sheet4";"PH",#N/A,FALSE,"Sheet4";"PI",#N/A,FALSE,"Sheet4";"PJ",#N/A,FALSE,"Sheet4"}</definedName>
    <definedName name="wrn.OMEXPENSE1" localSheetId="18" hidden="1">{"PF",#N/A,FALSE,"Sheet4";"PG",#N/A,FALSE,"Sheet4";"PH",#N/A,FALSE,"Sheet4";"PI",#N/A,FALSE,"Sheet4";"PJ",#N/A,FALSE,"Sheet4"}</definedName>
    <definedName name="wrn.OMEXPENSE1" localSheetId="20" hidden="1">{"PF",#N/A,FALSE,"Sheet4";"PG",#N/A,FALSE,"Sheet4";"PH",#N/A,FALSE,"Sheet4";"PI",#N/A,FALSE,"Sheet4";"PJ",#N/A,FALSE,"Sheet4"}</definedName>
    <definedName name="wrn.OMEXPENSE1" hidden="1">{"PF",#N/A,FALSE,"Sheet4";"PG",#N/A,FALSE,"Sheet4";"PH",#N/A,FALSE,"Sheet4";"PI",#N/A,FALSE,"Sheet4";"PJ",#N/A,FALSE,"Sheet4"}</definedName>
    <definedName name="wrn.OMPA._.FAC." localSheetId="1" hidden="1">{"OMPA_FAC",#N/A,FALSE,"OMPA FAC"}</definedName>
    <definedName name="wrn.OMPA._.FAC." localSheetId="13" hidden="1">{"OMPA_FAC",#N/A,FALSE,"OMPA FAC"}</definedName>
    <definedName name="wrn.OMPA._.FAC." localSheetId="18" hidden="1">{"OMPA_FAC",#N/A,FALSE,"OMPA FAC"}</definedName>
    <definedName name="wrn.OMPA._.FAC." localSheetId="20" hidden="1">{"OMPA_FAC",#N/A,FALSE,"OMPA FAC"}</definedName>
    <definedName name="wrn.OMPA._.FAC." hidden="1">{"OMPA_FAC",#N/A,FALSE,"OMPA FAC"}</definedName>
    <definedName name="wrn.OMPA._.FAC._1" localSheetId="1" hidden="1">{"OMPA_FAC",#N/A,FALSE,"OMPA FAC"}</definedName>
    <definedName name="wrn.OMPA._.FAC._1" localSheetId="13" hidden="1">{"OMPA_FAC",#N/A,FALSE,"OMPA FAC"}</definedName>
    <definedName name="wrn.OMPA._.FAC._1" localSheetId="18" hidden="1">{"OMPA_FAC",#N/A,FALSE,"OMPA FAC"}</definedName>
    <definedName name="wrn.OMPA._.FAC._1" localSheetId="20" hidden="1">{"OMPA_FAC",#N/A,FALSE,"OMPA FAC"}</definedName>
    <definedName name="wrn.OMPA._.FAC._1" hidden="1">{"OMPA_FAC",#N/A,FALSE,"OMPA FAC"}</definedName>
    <definedName name="wrn.OMPA._.FAC._2" localSheetId="1" hidden="1">{"OMPA_FAC",#N/A,FALSE,"OMPA FAC"}</definedName>
    <definedName name="wrn.OMPA._.FAC._2" localSheetId="13" hidden="1">{"OMPA_FAC",#N/A,FALSE,"OMPA FAC"}</definedName>
    <definedName name="wrn.OMPA._.FAC._2" localSheetId="18" hidden="1">{"OMPA_FAC",#N/A,FALSE,"OMPA FAC"}</definedName>
    <definedName name="wrn.OMPA._.FAC._2" localSheetId="20" hidden="1">{"OMPA_FAC",#N/A,FALSE,"OMPA FAC"}</definedName>
    <definedName name="wrn.OMPA._.FAC._2" hidden="1">{"OMPA_FAC",#N/A,FALSE,"OMPA FAC"}</definedName>
    <definedName name="wrn.one." localSheetId="1" hidden="1">{"page1",#N/A,FALSE,"A";"page2",#N/A,FALSE,"A"}</definedName>
    <definedName name="wrn.one." localSheetId="13" hidden="1">{"page1",#N/A,FALSE,"A";"page2",#N/A,FALSE,"A"}</definedName>
    <definedName name="wrn.one." localSheetId="18" hidden="1">{"page1",#N/A,FALSE,"A";"page2",#N/A,FALSE,"A"}</definedName>
    <definedName name="wrn.one." localSheetId="20" hidden="1">{"page1",#N/A,FALSE,"A";"page2",#N/A,FALSE,"A"}</definedName>
    <definedName name="wrn.one." hidden="1">{"page1",#N/A,FALSE,"A";"page2",#N/A,FALSE,"A"}</definedName>
    <definedName name="wrn.one._1" localSheetId="1" hidden="1">{"page1",#N/A,FALSE,"A";"page2",#N/A,FALSE,"A"}</definedName>
    <definedName name="wrn.one._1" localSheetId="13" hidden="1">{"page1",#N/A,FALSE,"A";"page2",#N/A,FALSE,"A"}</definedName>
    <definedName name="wrn.one._1" localSheetId="18" hidden="1">{"page1",#N/A,FALSE,"A";"page2",#N/A,FALSE,"A"}</definedName>
    <definedName name="wrn.one._1" localSheetId="20" hidden="1">{"page1",#N/A,FALSE,"A";"page2",#N/A,FALSE,"A"}</definedName>
    <definedName name="wrn.one._1" hidden="1">{"page1",#N/A,FALSE,"A";"page2",#N/A,FALSE,"A"}</definedName>
    <definedName name="wrn.one._1_1" localSheetId="1" hidden="1">{"page1",#N/A,FALSE,"A";"page2",#N/A,FALSE,"A"}</definedName>
    <definedName name="wrn.one._1_1" localSheetId="13" hidden="1">{"page1",#N/A,FALSE,"A";"page2",#N/A,FALSE,"A"}</definedName>
    <definedName name="wrn.one._1_1" localSheetId="18" hidden="1">{"page1",#N/A,FALSE,"A";"page2",#N/A,FALSE,"A"}</definedName>
    <definedName name="wrn.one._1_1" localSheetId="20" hidden="1">{"page1",#N/A,FALSE,"A";"page2",#N/A,FALSE,"A"}</definedName>
    <definedName name="wrn.one._1_1" hidden="1">{"page1",#N/A,FALSE,"A";"page2",#N/A,FALSE,"A"}</definedName>
    <definedName name="wrn.one._1_2" localSheetId="1" hidden="1">{"page1",#N/A,FALSE,"A";"page2",#N/A,FALSE,"A"}</definedName>
    <definedName name="wrn.one._1_2" localSheetId="13" hidden="1">{"page1",#N/A,FALSE,"A";"page2",#N/A,FALSE,"A"}</definedName>
    <definedName name="wrn.one._1_2" localSheetId="18" hidden="1">{"page1",#N/A,FALSE,"A";"page2",#N/A,FALSE,"A"}</definedName>
    <definedName name="wrn.one._1_2" localSheetId="20" hidden="1">{"page1",#N/A,FALSE,"A";"page2",#N/A,FALSE,"A"}</definedName>
    <definedName name="wrn.one._1_2" hidden="1">{"page1",#N/A,FALSE,"A";"page2",#N/A,FALSE,"A"}</definedName>
    <definedName name="wrn.one._2" localSheetId="1" hidden="1">{"page1",#N/A,FALSE,"A";"page2",#N/A,FALSE,"A"}</definedName>
    <definedName name="wrn.one._2" localSheetId="13" hidden="1">{"page1",#N/A,FALSE,"A";"page2",#N/A,FALSE,"A"}</definedName>
    <definedName name="wrn.one._2" localSheetId="18" hidden="1">{"page1",#N/A,FALSE,"A";"page2",#N/A,FALSE,"A"}</definedName>
    <definedName name="wrn.one._2" localSheetId="20" hidden="1">{"page1",#N/A,FALSE,"A";"page2",#N/A,FALSE,"A"}</definedName>
    <definedName name="wrn.one._2" hidden="1">{"page1",#N/A,FALSE,"A";"page2",#N/A,FALSE,"A"}</definedName>
    <definedName name="wrn.one._3" localSheetId="1" hidden="1">{"page1",#N/A,FALSE,"A";"page2",#N/A,FALSE,"A"}</definedName>
    <definedName name="wrn.one._3" localSheetId="13" hidden="1">{"page1",#N/A,FALSE,"A";"page2",#N/A,FALSE,"A"}</definedName>
    <definedName name="wrn.one._3" localSheetId="18" hidden="1">{"page1",#N/A,FALSE,"A";"page2",#N/A,FALSE,"A"}</definedName>
    <definedName name="wrn.one._3" localSheetId="20" hidden="1">{"page1",#N/A,FALSE,"A";"page2",#N/A,FALSE,"A"}</definedName>
    <definedName name="wrn.one._3" hidden="1">{"page1",#N/A,FALSE,"A";"page2",#N/A,FALSE,"A"}</definedName>
    <definedName name="wrn.options." localSheetId="1" hidden="1">{"pg1",#N/A,FALSE,"Options";"pg2",#N/A,FALSE,"Options"}</definedName>
    <definedName name="wrn.options." localSheetId="13" hidden="1">{"pg1",#N/A,FALSE,"Options";"pg2",#N/A,FALSE,"Options"}</definedName>
    <definedName name="wrn.options." localSheetId="18" hidden="1">{"pg1",#N/A,FALSE,"Options";"pg2",#N/A,FALSE,"Options"}</definedName>
    <definedName name="wrn.options." localSheetId="20" hidden="1">{"pg1",#N/A,FALSE,"Options";"pg2",#N/A,FALSE,"Options"}</definedName>
    <definedName name="wrn.options." hidden="1">{"pg1",#N/A,FALSE,"Options";"pg2",#N/A,FALSE,"Options"}</definedName>
    <definedName name="wrn.OTHER._.DATA." localSheetId="1" hidden="1">{"OTHER_DATA",#N/A,FALSE,"Ok_Fuel&amp;Rev"}</definedName>
    <definedName name="wrn.OTHER._.DATA." localSheetId="13" hidden="1">{"OTHER_DATA",#N/A,FALSE,"Ok_Fuel&amp;Rev"}</definedName>
    <definedName name="wrn.OTHER._.DATA." localSheetId="18" hidden="1">{"OTHER_DATA",#N/A,FALSE,"Ok_Fuel&amp;Rev"}</definedName>
    <definedName name="wrn.OTHER._.DATA." localSheetId="20" hidden="1">{"OTHER_DATA",#N/A,FALSE,"Ok_Fuel&amp;Rev"}</definedName>
    <definedName name="wrn.OTHER._.DATA." hidden="1">{"OTHER_DATA",#N/A,FALSE,"Ok_Fuel&amp;Rev"}</definedName>
    <definedName name="wrn.OTHER._.DATA._1" localSheetId="1" hidden="1">{"OTHER_DATA",#N/A,FALSE,"Ok_Fuel&amp;Rev"}</definedName>
    <definedName name="wrn.OTHER._.DATA._1" localSheetId="13" hidden="1">{"OTHER_DATA",#N/A,FALSE,"Ok_Fuel&amp;Rev"}</definedName>
    <definedName name="wrn.OTHER._.DATA._1" localSheetId="18" hidden="1">{"OTHER_DATA",#N/A,FALSE,"Ok_Fuel&amp;Rev"}</definedName>
    <definedName name="wrn.OTHER._.DATA._1" localSheetId="20" hidden="1">{"OTHER_DATA",#N/A,FALSE,"Ok_Fuel&amp;Rev"}</definedName>
    <definedName name="wrn.OTHER._.DATA._1" hidden="1">{"OTHER_DATA",#N/A,FALSE,"Ok_Fuel&amp;Rev"}</definedName>
    <definedName name="wrn.OTHER._.DATA._2" localSheetId="1" hidden="1">{"OTHER_DATA",#N/A,FALSE,"Ok_Fuel&amp;Rev"}</definedName>
    <definedName name="wrn.OTHER._.DATA._2" localSheetId="13" hidden="1">{"OTHER_DATA",#N/A,FALSE,"Ok_Fuel&amp;Rev"}</definedName>
    <definedName name="wrn.OTHER._.DATA._2" localSheetId="18" hidden="1">{"OTHER_DATA",#N/A,FALSE,"Ok_Fuel&amp;Rev"}</definedName>
    <definedName name="wrn.OTHER._.DATA._2" localSheetId="20" hidden="1">{"OTHER_DATA",#N/A,FALSE,"Ok_Fuel&amp;Rev"}</definedName>
    <definedName name="wrn.OTHER._.DATA._2" hidden="1">{"OTHER_DATA",#N/A,FALSE,"Ok_Fuel&amp;Rev"}</definedName>
    <definedName name="wrn.Overall_Scorecard." localSheetId="1" hidden="1">{"Overall Scorecard",#N/A,FALSE,"Overall Scorecard"}</definedName>
    <definedName name="wrn.Overall_Scorecard." localSheetId="13" hidden="1">{"Overall Scorecard",#N/A,FALSE,"Overall Scorecard"}</definedName>
    <definedName name="wrn.Overall_Scorecard." localSheetId="18" hidden="1">{"Overall Scorecard",#N/A,FALSE,"Overall Scorecard"}</definedName>
    <definedName name="wrn.Overall_Scorecard." localSheetId="20" hidden="1">{"Overall Scorecard",#N/A,FALSE,"Overall Scorecard"}</definedName>
    <definedName name="wrn.Overall_Scorecard." hidden="1">{"Overall Scorecard",#N/A,FALSE,"Overall Scorecard"}</definedName>
    <definedName name="wrn.page1." localSheetId="1" hidden="1">{"page1",#N/A,FALSE,"260"}</definedName>
    <definedName name="wrn.page1." localSheetId="13" hidden="1">{"page1",#N/A,FALSE,"260"}</definedName>
    <definedName name="wrn.page1." localSheetId="18" hidden="1">{"page1",#N/A,FALSE,"260"}</definedName>
    <definedName name="wrn.page1." localSheetId="20" hidden="1">{"page1",#N/A,FALSE,"260"}</definedName>
    <definedName name="wrn.page1." hidden="1">{"page1",#N/A,FALSE,"260"}</definedName>
    <definedName name="wrn.Percent_of_Change." localSheetId="1" hidden="1">{"% of Change=O&amp;M per Customer+Equiv Employee",#N/A,FALSE,"% Change";"% o Change=OR + Rev per Equivalent Employee",#N/A,FALSE,"% Change"}</definedName>
    <definedName name="wrn.Percent_of_Change." localSheetId="13" hidden="1">{"% of Change=O&amp;M per Customer+Equiv Employee",#N/A,FALSE,"% Change";"% o Change=OR + Rev per Equivalent Employee",#N/A,FALSE,"% Change"}</definedName>
    <definedName name="wrn.Percent_of_Change." localSheetId="18" hidden="1">{"% of Change=O&amp;M per Customer+Equiv Employee",#N/A,FALSE,"% Change";"% o Change=OR + Rev per Equivalent Employee",#N/A,FALSE,"% Change"}</definedName>
    <definedName name="wrn.Percent_of_Change." localSheetId="20" hidden="1">{"% of Change=O&amp;M per Customer+Equiv Employee",#N/A,FALSE,"% Change";"% o Change=OR + Rev per Equivalent Employee",#N/A,FALSE,"% Change"}</definedName>
    <definedName name="wrn.Percent_of_Change." hidden="1">{"% of Change=O&amp;M per Customer+Equiv Employee",#N/A,FALSE,"% Change";"% o Change=OR + Rev per Equivalent Employee",#N/A,FALSE,"% Change"}</definedName>
    <definedName name="wrn.Percent_of_Goal." localSheetId="1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13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18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20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localSheetId="1" hidden="1">{"Summary",#N/A,FALSE,"Options "}</definedName>
    <definedName name="wrn.Percentage." localSheetId="13" hidden="1">{"Summary",#N/A,FALSE,"Options "}</definedName>
    <definedName name="wrn.Percentage." localSheetId="18" hidden="1">{"Summary",#N/A,FALSE,"Options "}</definedName>
    <definedName name="wrn.Percentage." localSheetId="20" hidden="1">{"Summary",#N/A,FALSE,"Options "}</definedName>
    <definedName name="wrn.Percentage." hidden="1">{"Summary",#N/A,FALSE,"Options "}</definedName>
    <definedName name="wrn.Pivot1." localSheetId="1" hidden="1">{"Pivot1",#N/A,FALSE,"Redemption_Maturity Extract"}</definedName>
    <definedName name="wrn.Pivot1." localSheetId="13" hidden="1">{"Pivot1",#N/A,FALSE,"Redemption_Maturity Extract"}</definedName>
    <definedName name="wrn.Pivot1." localSheetId="18" hidden="1">{"Pivot1",#N/A,FALSE,"Redemption_Maturity Extract"}</definedName>
    <definedName name="wrn.Pivot1." localSheetId="20" hidden="1">{"Pivot1",#N/A,FALSE,"Redemption_Maturity Extract"}</definedName>
    <definedName name="wrn.Pivot1." hidden="1">{"Pivot1",#N/A,FALSE,"Redemption_Maturity Extract"}</definedName>
    <definedName name="wrn.Pivot2." localSheetId="1" hidden="1">{"Pivot2",#N/A,FALSE,"Redemption_Maturity Extract"}</definedName>
    <definedName name="wrn.Pivot2." localSheetId="13" hidden="1">{"Pivot2",#N/A,FALSE,"Redemption_Maturity Extract"}</definedName>
    <definedName name="wrn.Pivot2." localSheetId="18" hidden="1">{"Pivot2",#N/A,FALSE,"Redemption_Maturity Extract"}</definedName>
    <definedName name="wrn.Pivot2." localSheetId="20" hidden="1">{"Pivot2",#N/A,FALSE,"Redemption_Maturity Extract"}</definedName>
    <definedName name="wrn.Pivot2." hidden="1">{"Pivot2",#N/A,FALSE,"Redemption_Maturity Extract"}</definedName>
    <definedName name="wrn.PLANT._.IN._.SERVICE." localSheetId="1" hidden="1">{"JURIS_PLT_IN_SERV",#N/A,FALSE,"COSTSTUDY";"OKCLS_PLT_IN_SERV",#N/A,FALSE,"COSTSTUDY"}</definedName>
    <definedName name="wrn.PLANT._.IN._.SERVICE." localSheetId="13" hidden="1">{"JURIS_PLT_IN_SERV",#N/A,FALSE,"COSTSTUDY";"OKCLS_PLT_IN_SERV",#N/A,FALSE,"COSTSTUDY"}</definedName>
    <definedName name="wrn.PLANT._.IN._.SERVICE." localSheetId="18" hidden="1">{"JURIS_PLT_IN_SERV",#N/A,FALSE,"COSTSTUDY";"OKCLS_PLT_IN_SERV",#N/A,FALSE,"COSTSTUDY"}</definedName>
    <definedName name="wrn.PLANT._.IN._.SERVICE." localSheetId="20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oints_Achieved." localSheetId="1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13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18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20" hidden="1">{"Points=O&amp;M per Customer + per Equiv Employee",#N/A,FALSE,"Points";"Points=Operating Ratio + Return on Net Plant",#N/A,FALSE,"Points";"Points=Revenue per Equivalent Employee",#N/A,FALSE,"Points"}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localSheetId="1" hidden="1">{"PPDEFERREDBAL",#N/A,FALSE,"PRIOR PERIOD ADJMT";#N/A,#N/A,FALSE,"PRIOR PERIOD ADJMT";"PPJOURNALENTRY",#N/A,FALSE,"PRIOR PERIOD ADJMT"}</definedName>
    <definedName name="wrn.PPJOURNAL._.ENTRY." localSheetId="13" hidden="1">{"PPDEFERREDBAL",#N/A,FALSE,"PRIOR PERIOD ADJMT";#N/A,#N/A,FALSE,"PRIOR PERIOD ADJMT";"PPJOURNALENTRY",#N/A,FALSE,"PRIOR PERIOD ADJMT"}</definedName>
    <definedName name="wrn.PPJOURNAL._.ENTRY." localSheetId="18" hidden="1">{"PPDEFERREDBAL",#N/A,FALSE,"PRIOR PERIOD ADJMT";#N/A,#N/A,FALSE,"PRIOR PERIOD ADJMT";"PPJOURNALENTRY",#N/A,FALSE,"PRIOR PERIOD ADJMT"}</definedName>
    <definedName name="wrn.PPJOURNAL._.ENTRY." localSheetId="20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." localSheetId="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13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18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2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1" localSheetId="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1" localSheetId="13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1" localSheetId="18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1" localSheetId="2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2" localSheetId="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2" localSheetId="13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2" localSheetId="18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2" localSheetId="2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2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localSheetId="1" hidden="1">{"summary",#N/A,TRUE,"E93ADJ";"detail",#N/A,TRUE,"E93ADJ"}</definedName>
    <definedName name="wrn.PRINT_ALL." localSheetId="13" hidden="1">{"summary",#N/A,TRUE,"E93ADJ";"detail",#N/A,TRUE,"E93ADJ"}</definedName>
    <definedName name="wrn.PRINT_ALL." localSheetId="18" hidden="1">{"summary",#N/A,TRUE,"E93ADJ";"detail",#N/A,TRUE,"E93ADJ"}</definedName>
    <definedName name="wrn.PRINT_ALL." localSheetId="20" hidden="1">{"summary",#N/A,TRUE,"E93ADJ";"detail",#N/A,TRUE,"E93ADJ"}</definedName>
    <definedName name="wrn.PRINT_ALL." hidden="1">{"summary",#N/A,TRUE,"E93ADJ";"detail",#N/A,TRUE,"E93ADJ"}</definedName>
    <definedName name="wrn.printall." localSheetId="1" hidden="1">{#N/A,#N/A,FALSE,"PREFDIV";#N/A,#N/A,FALSE,"STINT";#N/A,#N/A,FALSE,"LTINT";#N/A,#N/A,FALSE,"BTL";#N/A,#N/A,FALSE,"AFC";#N/A,#N/A,FALSE,"OTHNET";#N/A,#N/A,FALSE,"ATL"}</definedName>
    <definedName name="wrn.printall." localSheetId="13" hidden="1">{#N/A,#N/A,FALSE,"PREFDIV";#N/A,#N/A,FALSE,"STINT";#N/A,#N/A,FALSE,"LTINT";#N/A,#N/A,FALSE,"BTL";#N/A,#N/A,FALSE,"AFC";#N/A,#N/A,FALSE,"OTHNET";#N/A,#N/A,FALSE,"ATL"}</definedName>
    <definedName name="wrn.printall." localSheetId="18" hidden="1">{#N/A,#N/A,FALSE,"PREFDIV";#N/A,#N/A,FALSE,"STINT";#N/A,#N/A,FALSE,"LTINT";#N/A,#N/A,FALSE,"BTL";#N/A,#N/A,FALSE,"AFC";#N/A,#N/A,FALSE,"OTHNET";#N/A,#N/A,FALSE,"ATL"}</definedName>
    <definedName name="wrn.printall." localSheetId="20" hidden="1">{#N/A,#N/A,FALSE,"PREFDIV";#N/A,#N/A,FALSE,"STINT";#N/A,#N/A,FALSE,"LTINT";#N/A,#N/A,FALSE,"BTL";#N/A,#N/A,FALSE,"AFC";#N/A,#N/A,FALSE,"OTHNET";#N/A,#N/A,FALSE,"ATL"}</definedName>
    <definedName name="wrn.printall." hidden="1">{#N/A,#N/A,FALSE,"PREFDIV";#N/A,#N/A,FALSE,"STINT";#N/A,#N/A,FALSE,"LTINT";#N/A,#N/A,FALSE,"BTL";#N/A,#N/A,FALSE,"AFC";#N/A,#N/A,FALSE,"OTHNET";#N/A,#N/A,FALSE,"ATL"}</definedName>
    <definedName name="wrn.PrintExhibits." localSheetId="1" hidden="1">{"EXHSPortrait1",#N/A,FALSE,"EXHIBITS";"EXHSLandscape",#N/A,FALSE,"EXHIBITS";"EXHSPortrait2",#N/A,FALSE,"EXHIBITS";"EXHSPortrait3",#N/A,FALSE,"EXHIBITS";"EXHSPortrait4",#N/A,FALSE,"EXHIBITS"}</definedName>
    <definedName name="wrn.PrintExhibits." localSheetId="13" hidden="1">{"EXHSPortrait1",#N/A,FALSE,"EXHIBITS";"EXHSLandscape",#N/A,FALSE,"EXHIBITS";"EXHSPortrait2",#N/A,FALSE,"EXHIBITS";"EXHSPortrait3",#N/A,FALSE,"EXHIBITS";"EXHSPortrait4",#N/A,FALSE,"EXHIBITS"}</definedName>
    <definedName name="wrn.PrintExhibits." localSheetId="18" hidden="1">{"EXHSPortrait1",#N/A,FALSE,"EXHIBITS";"EXHSLandscape",#N/A,FALSE,"EXHIBITS";"EXHSPortrait2",#N/A,FALSE,"EXHIBITS";"EXHSPortrait3",#N/A,FALSE,"EXHIBITS";"EXHSPortrait4",#N/A,FALSE,"EXHIBITS"}</definedName>
    <definedName name="wrn.PrintExhibits." localSheetId="20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1" hidden="1">{"print1",#N/A,FALSE,"D21CUSTS"}</definedName>
    <definedName name="wrn.printtable1." localSheetId="13" hidden="1">{"print1",#N/A,FALSE,"D21CUSTS"}</definedName>
    <definedName name="wrn.printtable1." localSheetId="18" hidden="1">{"print1",#N/A,FALSE,"D21CUSTS"}</definedName>
    <definedName name="wrn.printtable1." localSheetId="20" hidden="1">{"print1",#N/A,FALSE,"D21CUSTS"}</definedName>
    <definedName name="wrn.printtable1." hidden="1">{"print1",#N/A,FALSE,"D21CUSTS"}</definedName>
    <definedName name="wrn.printtable1._1" localSheetId="1" hidden="1">{"print1",#N/A,FALSE,"D21CUSTS"}</definedName>
    <definedName name="wrn.printtable1._1" localSheetId="13" hidden="1">{"print1",#N/A,FALSE,"D21CUSTS"}</definedName>
    <definedName name="wrn.printtable1._1" localSheetId="18" hidden="1">{"print1",#N/A,FALSE,"D21CUSTS"}</definedName>
    <definedName name="wrn.printtable1._1" localSheetId="20" hidden="1">{"print1",#N/A,FALSE,"D21CUSTS"}</definedName>
    <definedName name="wrn.printtable1._1" hidden="1">{"print1",#N/A,FALSE,"D21CUSTS"}</definedName>
    <definedName name="wrn.printtable1._2" localSheetId="1" hidden="1">{"print1",#N/A,FALSE,"D21CUSTS"}</definedName>
    <definedName name="wrn.printtable1._2" localSheetId="13" hidden="1">{"print1",#N/A,FALSE,"D21CUSTS"}</definedName>
    <definedName name="wrn.printtable1._2" localSheetId="18" hidden="1">{"print1",#N/A,FALSE,"D21CUSTS"}</definedName>
    <definedName name="wrn.printtable1._2" localSheetId="20" hidden="1">{"print1",#N/A,FALSE,"D21CUSTS"}</definedName>
    <definedName name="wrn.printtable1._2" hidden="1">{"print1",#N/A,FALSE,"D21CUSTS"}</definedName>
    <definedName name="wrn.printtable2." localSheetId="1" hidden="1">{"print2",#N/A,FALSE,"D21CUSTS"}</definedName>
    <definedName name="wrn.printtable2." localSheetId="13" hidden="1">{"print2",#N/A,FALSE,"D21CUSTS"}</definedName>
    <definedName name="wrn.printtable2." localSheetId="18" hidden="1">{"print2",#N/A,FALSE,"D21CUSTS"}</definedName>
    <definedName name="wrn.printtable2." localSheetId="20" hidden="1">{"print2",#N/A,FALSE,"D21CUSTS"}</definedName>
    <definedName name="wrn.printtable2." hidden="1">{"print2",#N/A,FALSE,"D21CUSTS"}</definedName>
    <definedName name="wrn.printtable2._1" localSheetId="1" hidden="1">{"print2",#N/A,FALSE,"D21CUSTS"}</definedName>
    <definedName name="wrn.printtable2._1" localSheetId="13" hidden="1">{"print2",#N/A,FALSE,"D21CUSTS"}</definedName>
    <definedName name="wrn.printtable2._1" localSheetId="18" hidden="1">{"print2",#N/A,FALSE,"D21CUSTS"}</definedName>
    <definedName name="wrn.printtable2._1" localSheetId="20" hidden="1">{"print2",#N/A,FALSE,"D21CUSTS"}</definedName>
    <definedName name="wrn.printtable2._1" hidden="1">{"print2",#N/A,FALSE,"D21CUSTS"}</definedName>
    <definedName name="wrn.printtable2._2" localSheetId="1" hidden="1">{"print2",#N/A,FALSE,"D21CUSTS"}</definedName>
    <definedName name="wrn.printtable2._2" localSheetId="13" hidden="1">{"print2",#N/A,FALSE,"D21CUSTS"}</definedName>
    <definedName name="wrn.printtable2._2" localSheetId="18" hidden="1">{"print2",#N/A,FALSE,"D21CUSTS"}</definedName>
    <definedName name="wrn.printtable2._2" localSheetId="20" hidden="1">{"print2",#N/A,FALSE,"D21CUSTS"}</definedName>
    <definedName name="wrn.printtable2._2" hidden="1">{"print2",#N/A,FALSE,"D21CUSTS"}</definedName>
    <definedName name="wrn.printtable3." localSheetId="1" hidden="1">{"print3",#N/A,FALSE,"D21CUSTS"}</definedName>
    <definedName name="wrn.printtable3." localSheetId="13" hidden="1">{"print3",#N/A,FALSE,"D21CUSTS"}</definedName>
    <definedName name="wrn.printtable3." localSheetId="18" hidden="1">{"print3",#N/A,FALSE,"D21CUSTS"}</definedName>
    <definedName name="wrn.printtable3." localSheetId="20" hidden="1">{"print3",#N/A,FALSE,"D21CUSTS"}</definedName>
    <definedName name="wrn.printtable3." hidden="1">{"print3",#N/A,FALSE,"D21CUSTS"}</definedName>
    <definedName name="wrn.printtable3._1" localSheetId="1" hidden="1">{"print3",#N/A,FALSE,"D21CUSTS"}</definedName>
    <definedName name="wrn.printtable3._1" localSheetId="13" hidden="1">{"print3",#N/A,FALSE,"D21CUSTS"}</definedName>
    <definedName name="wrn.printtable3._1" localSheetId="18" hidden="1">{"print3",#N/A,FALSE,"D21CUSTS"}</definedName>
    <definedName name="wrn.printtable3._1" localSheetId="20" hidden="1">{"print3",#N/A,FALSE,"D21CUSTS"}</definedName>
    <definedName name="wrn.printtable3._1" hidden="1">{"print3",#N/A,FALSE,"D21CUSTS"}</definedName>
    <definedName name="wrn.printtable3._2" localSheetId="1" hidden="1">{"print3",#N/A,FALSE,"D21CUSTS"}</definedName>
    <definedName name="wrn.printtable3._2" localSheetId="13" hidden="1">{"print3",#N/A,FALSE,"D21CUSTS"}</definedName>
    <definedName name="wrn.printtable3._2" localSheetId="18" hidden="1">{"print3",#N/A,FALSE,"D21CUSTS"}</definedName>
    <definedName name="wrn.printtable3._2" localSheetId="20" hidden="1">{"print3",#N/A,FALSE,"D21CUSTS"}</definedName>
    <definedName name="wrn.printtable3._2" hidden="1">{"print3",#N/A,FALSE,"D21CUSTS"}</definedName>
    <definedName name="wrn.printtable4." localSheetId="1" hidden="1">{"print4",#N/A,FALSE,"D21CUSTS"}</definedName>
    <definedName name="wrn.printtable4." localSheetId="13" hidden="1">{"print4",#N/A,FALSE,"D21CUSTS"}</definedName>
    <definedName name="wrn.printtable4." localSheetId="18" hidden="1">{"print4",#N/A,FALSE,"D21CUSTS"}</definedName>
    <definedName name="wrn.printtable4." localSheetId="20" hidden="1">{"print4",#N/A,FALSE,"D21CUSTS"}</definedName>
    <definedName name="wrn.printtable4." hidden="1">{"print4",#N/A,FALSE,"D21CUSTS"}</definedName>
    <definedName name="wrn.printtable4._1" localSheetId="1" hidden="1">{"print4",#N/A,FALSE,"D21CUSTS"}</definedName>
    <definedName name="wrn.printtable4._1" localSheetId="13" hidden="1">{"print4",#N/A,FALSE,"D21CUSTS"}</definedName>
    <definedName name="wrn.printtable4._1" localSheetId="18" hidden="1">{"print4",#N/A,FALSE,"D21CUSTS"}</definedName>
    <definedName name="wrn.printtable4._1" localSheetId="20" hidden="1">{"print4",#N/A,FALSE,"D21CUSTS"}</definedName>
    <definedName name="wrn.printtable4._1" hidden="1">{"print4",#N/A,FALSE,"D21CUSTS"}</definedName>
    <definedName name="wrn.printtable4._2" localSheetId="1" hidden="1">{"print4",#N/A,FALSE,"D21CUSTS"}</definedName>
    <definedName name="wrn.printtable4._2" localSheetId="13" hidden="1">{"print4",#N/A,FALSE,"D21CUSTS"}</definedName>
    <definedName name="wrn.printtable4._2" localSheetId="18" hidden="1">{"print4",#N/A,FALSE,"D21CUSTS"}</definedName>
    <definedName name="wrn.printtable4._2" localSheetId="20" hidden="1">{"print4",#N/A,FALSE,"D21CUSTS"}</definedName>
    <definedName name="wrn.printtable4._2" hidden="1">{"print4",#N/A,FALSE,"D21CUSTS"}</definedName>
    <definedName name="wrn.PRIOR._.PERIOD._.ADJMT." localSheetId="1" hidden="1">{#N/A,#N/A,FALSE,"PRIOR PERIOD ADJMT"}</definedName>
    <definedName name="wrn.PRIOR._.PERIOD._.ADJMT." localSheetId="13" hidden="1">{#N/A,#N/A,FALSE,"PRIOR PERIOD ADJMT"}</definedName>
    <definedName name="wrn.PRIOR._.PERIOD._.ADJMT." localSheetId="18" hidden="1">{#N/A,#N/A,FALSE,"PRIOR PERIOD ADJMT"}</definedName>
    <definedName name="wrn.PRIOR._.PERIOD._.ADJMT." localSheetId="20" hidden="1">{#N/A,#N/A,FALSE,"PRIOR PERIOD ADJMT"}</definedName>
    <definedName name="wrn.PRIOR._.PERIOD._.ADJMT." hidden="1">{#N/A,#N/A,FALSE,"PRIOR PERIOD ADJMT"}</definedName>
    <definedName name="wrn.Productivity_Ratios." localSheetId="1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13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18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2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localSheetId="1" hidden="1">{"PT=O&amp;M per Cust + Equiv Employee + OR",#N/A,FALSE,"1999 Targets";"PT=Return on Net Plant &amp; Rev per Customere",#N/A,FALSE,"1999 Targets"}</definedName>
    <definedName name="wrn.Productivity_Targets." localSheetId="13" hidden="1">{"PT=O&amp;M per Cust + Equiv Employee + OR",#N/A,FALSE,"1999 Targets";"PT=Return on Net Plant &amp; Rev per Customere",#N/A,FALSE,"1999 Targets"}</definedName>
    <definedName name="wrn.Productivity_Targets." localSheetId="18" hidden="1">{"PT=O&amp;M per Cust + Equiv Employee + OR",#N/A,FALSE,"1999 Targets";"PT=Return on Net Plant &amp; Rev per Customere",#N/A,FALSE,"1999 Targets"}</definedName>
    <definedName name="wrn.Productivity_Targets." localSheetId="20" hidden="1">{"PT=O&amp;M per Cust + Equiv Employee + OR",#N/A,FALSE,"1999 Targets";"PT=Return on Net Plant &amp; Rev per Customere",#N/A,FALSE,"1999 Targets"}</definedName>
    <definedName name="wrn.Productivity_Targets." hidden="1">{"PT=O&amp;M per Cust + Equiv Employee + OR",#N/A,FALSE,"1999 Targets";"PT=Return on Net Plant &amp; Rev per Customere",#N/A,FALSE,"1999 Targets"}</definedName>
    <definedName name="wrn.Proforma." localSheetId="1" hidden="1">{#N/A,#N/A,TRUE,"SLDE";#N/A,#N/A,TRUE,"Concession Summary"}</definedName>
    <definedName name="wrn.Proforma." localSheetId="13" hidden="1">{#N/A,#N/A,TRUE,"SLDE";#N/A,#N/A,TRUE,"Concession Summary"}</definedName>
    <definedName name="wrn.Proforma." localSheetId="18" hidden="1">{#N/A,#N/A,TRUE,"SLDE";#N/A,#N/A,TRUE,"Concession Summary"}</definedName>
    <definedName name="wrn.Proforma." localSheetId="20" hidden="1">{#N/A,#N/A,TRUE,"SLDE";#N/A,#N/A,TRUE,"Concession Summary"}</definedName>
    <definedName name="wrn.Proforma." hidden="1">{#N/A,#N/A,TRUE,"SLDE";#N/A,#N/A,TRUE,"Concession Summary"}</definedName>
    <definedName name="wrn.Projected._.Def._.Adjustments.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1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1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2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2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2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2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1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1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2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2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2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2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1" hidden="1">{#N/A,#N/A,FALSE,"GLDwnLoad"}</definedName>
    <definedName name="wrn.PSNH_GL." localSheetId="13" hidden="1">{#N/A,#N/A,FALSE,"GLDwnLoad"}</definedName>
    <definedName name="wrn.PSNH_GL." localSheetId="18" hidden="1">{#N/A,#N/A,FALSE,"GLDwnLoad"}</definedName>
    <definedName name="wrn.PSNH_GL." localSheetId="20" hidden="1">{#N/A,#N/A,FALSE,"GLDwnLoad"}</definedName>
    <definedName name="wrn.PSNH_GL." hidden="1">{#N/A,#N/A,FALSE,"GLDwnLoad"}</definedName>
    <definedName name="wrn.PSNH_INPUTS." localSheetId="1" hidden="1">{#N/A,#N/A,FALSE,"OTHERINPUTS";#N/A,#N/A,FALSE,"DITRATEINPUTS";#N/A,#N/A,FALSE,"SUPPLIEDADJINPUT";#N/A,#N/A,FALSE,"TIMINGDIFFINPUTS";#N/A,#N/A,FALSE,"BR&amp;SUPADJ."}</definedName>
    <definedName name="wrn.PSNH_INPUTS." localSheetId="13" hidden="1">{#N/A,#N/A,FALSE,"OTHERINPUTS";#N/A,#N/A,FALSE,"DITRATEINPUTS";#N/A,#N/A,FALSE,"SUPPLIEDADJINPUT";#N/A,#N/A,FALSE,"TIMINGDIFFINPUTS";#N/A,#N/A,FALSE,"BR&amp;SUPADJ."}</definedName>
    <definedName name="wrn.PSNH_INPUTS." localSheetId="18" hidden="1">{#N/A,#N/A,FALSE,"OTHERINPUTS";#N/A,#N/A,FALSE,"DITRATEINPUTS";#N/A,#N/A,FALSE,"SUPPLIEDADJINPUT";#N/A,#N/A,FALSE,"TIMINGDIFFINPUTS";#N/A,#N/A,FALSE,"BR&amp;SUPADJ."}</definedName>
    <definedName name="wrn.PSNH_INPUTS." localSheetId="20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13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18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2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TR._.AUDIT." localSheetId="1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TR._.AUDIT." localSheetId="13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TR._.AUDIT." localSheetId="18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TR._.AUDIT." localSheetId="20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TR._.AUDIT.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uarter._.Financials." localSheetId="1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Quarter._.Financials." localSheetId="13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Quarter._.Financials." localSheetId="18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Quarter._.Financials." localSheetId="20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Quarter._.Financials.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Quarterly._.report." localSheetId="1" hidden="1">{#N/A,#N/A,TRUE,"1 (2)";#N/A,#N/A,TRUE,"2";#N/A,#N/A,TRUE,"3"}</definedName>
    <definedName name="wrn.Quarterly._.report." localSheetId="13" hidden="1">{#N/A,#N/A,TRUE,"1 (2)";#N/A,#N/A,TRUE,"2";#N/A,#N/A,TRUE,"3"}</definedName>
    <definedName name="wrn.Quarterly._.report." localSheetId="18" hidden="1">{#N/A,#N/A,TRUE,"1 (2)";#N/A,#N/A,TRUE,"2";#N/A,#N/A,TRUE,"3"}</definedName>
    <definedName name="wrn.Quarterly._.report." localSheetId="20" hidden="1">{#N/A,#N/A,TRUE,"1 (2)";#N/A,#N/A,TRUE,"2";#N/A,#N/A,TRUE,"3"}</definedName>
    <definedName name="wrn.Quarterly._.report." hidden="1">{#N/A,#N/A,TRUE,"1 (2)";#N/A,#N/A,TRUE,"2";#N/A,#N/A,TRUE,"3"}</definedName>
    <definedName name="wrn.Rate._.Design." localSheetId="1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13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18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20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localSheetId="1" hidden="1">{"JURIS_RB_ADJS",#N/A,FALSE,"COSTSTUDY";"OKCLS_RB_ADJS",#N/A,FALSE,"COSTSTUDY"}</definedName>
    <definedName name="wrn.RATEBASE._.ADJUSTMENTS." localSheetId="13" hidden="1">{"JURIS_RB_ADJS",#N/A,FALSE,"COSTSTUDY";"OKCLS_RB_ADJS",#N/A,FALSE,"COSTSTUDY"}</definedName>
    <definedName name="wrn.RATEBASE._.ADJUSTMENTS." localSheetId="18" hidden="1">{"JURIS_RB_ADJS",#N/A,FALSE,"COSTSTUDY";"OKCLS_RB_ADJS",#N/A,FALSE,"COSTSTUDY"}</definedName>
    <definedName name="wrn.RATEBASE._.ADJUSTMENTS." localSheetId="20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Report." localSheetId="1" hidden="1">{#N/A,#N/A,TRUE,"Summary";#N/A,#N/A,TRUE,"Ratios LDE";#N/A,#N/A,TRUE,"Ratios";#N/A,#N/A,TRUE,"Financial Statements"}</definedName>
    <definedName name="wrn.Report." localSheetId="13" hidden="1">{#N/A,#N/A,TRUE,"Summary";#N/A,#N/A,TRUE,"Ratios LDE";#N/A,#N/A,TRUE,"Ratios";#N/A,#N/A,TRUE,"Financial Statements"}</definedName>
    <definedName name="wrn.Report." localSheetId="18" hidden="1">{#N/A,#N/A,TRUE,"Summary";#N/A,#N/A,TRUE,"Ratios LDE";#N/A,#N/A,TRUE,"Ratios";#N/A,#N/A,TRUE,"Financial Statements"}</definedName>
    <definedName name="wrn.Report." localSheetId="20" hidden="1">{#N/A,#N/A,TRUE,"Summary";#N/A,#N/A,TRUE,"Ratios LDE";#N/A,#N/A,TRUE,"Ratios";#N/A,#N/A,TRUE,"Financial Statements"}</definedName>
    <definedName name="wrn.Report." hidden="1">{#N/A,#N/A,TRUE,"Summary";#N/A,#N/A,TRUE,"Ratios LDE";#N/A,#N/A,TRUE,"Ratios";#N/A,#N/A,TRUE,"Financial Statements"}</definedName>
    <definedName name="wrn.Report1.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" localSheetId="1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" localSheetId="1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1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1" localSheetId="1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1" localSheetId="1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1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2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2" localSheetId="1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2" localSheetId="1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2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2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2" localSheetId="1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2" localSheetId="1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2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3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3" localSheetId="1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3" localSheetId="1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3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SERVED." localSheetId="1" hidden="1">{"PG1",#N/A,FALSE,"ComShRsrv";"PG2",#N/A,FALSE,"ComShRsrv";"PG3",#N/A,FALSE,"ComShRsrv"}</definedName>
    <definedName name="wrn.RESERVED." localSheetId="13" hidden="1">{"PG1",#N/A,FALSE,"ComShRsrv";"PG2",#N/A,FALSE,"ComShRsrv";"PG3",#N/A,FALSE,"ComShRsrv"}</definedName>
    <definedName name="wrn.RESERVED." localSheetId="18" hidden="1">{"PG1",#N/A,FALSE,"ComShRsrv";"PG2",#N/A,FALSE,"ComShRsrv";"PG3",#N/A,FALSE,"ComShRsrv"}</definedName>
    <definedName name="wrn.RESERVED." localSheetId="20" hidden="1">{"PG1",#N/A,FALSE,"ComShRsrv";"PG2",#N/A,FALSE,"ComShRsrv";"PG3",#N/A,FALSE,"ComShRsrv"}</definedName>
    <definedName name="wrn.RESERVED." hidden="1">{"PG1",#N/A,FALSE,"ComShRsrv";"PG2",#N/A,FALSE,"ComShRsrv";"PG3",#N/A,FALSE,"ComShRsrv"}</definedName>
    <definedName name="wrn.Revenue._.Analysis." localSheetId="1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13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18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20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OR_MEMO." localSheetId="1" hidden="1">{#N/A,#N/A,FALSE,"RORMEMO";#N/A,#N/A,FALSE,"RORSUMMARY";#N/A,#N/A,FALSE,"RORDETAIL"}</definedName>
    <definedName name="wrn.ROR_MEMO." localSheetId="13" hidden="1">{#N/A,#N/A,FALSE,"RORMEMO";#N/A,#N/A,FALSE,"RORSUMMARY";#N/A,#N/A,FALSE,"RORDETAIL"}</definedName>
    <definedName name="wrn.ROR_MEMO." localSheetId="18" hidden="1">{#N/A,#N/A,FALSE,"RORMEMO";#N/A,#N/A,FALSE,"RORSUMMARY";#N/A,#N/A,FALSE,"RORDETAIL"}</definedName>
    <definedName name="wrn.ROR_MEMO." localSheetId="20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chedule._.2c." localSheetId="1" hidden="1">{"Schedule 2c",#N/A,FALSE,"SCHEDULE2c"}</definedName>
    <definedName name="wrn.Schedule._.2c." localSheetId="13" hidden="1">{"Schedule 2c",#N/A,FALSE,"SCHEDULE2c"}</definedName>
    <definedName name="wrn.Schedule._.2c." localSheetId="18" hidden="1">{"Schedule 2c",#N/A,FALSE,"SCHEDULE2c"}</definedName>
    <definedName name="wrn.Schedule._.2c." localSheetId="20" hidden="1">{"Schedule 2c",#N/A,FALSE,"SCHEDULE2c"}</definedName>
    <definedName name="wrn.Schedule._.2c." hidden="1">{"Schedule 2c",#N/A,FALSE,"SCHEDULE2c"}</definedName>
    <definedName name="wrn.SCHEDULE_K_1." localSheetId="1" hidden="1">{"SCHK1",#N/A,FALSE,"FILING REPORTS"}</definedName>
    <definedName name="wrn.SCHEDULE_K_1." localSheetId="13" hidden="1">{"SCHK1",#N/A,FALSE,"FILING REPORTS"}</definedName>
    <definedName name="wrn.SCHEDULE_K_1." localSheetId="18" hidden="1">{"SCHK1",#N/A,FALSE,"FILING REPORTS"}</definedName>
    <definedName name="wrn.SCHEDULE_K_1." localSheetId="20" hidden="1">{"SCHK1",#N/A,FALSE,"FILING REPORTS"}</definedName>
    <definedName name="wrn.SCHEDULE_K_1." hidden="1">{"SCHK1",#N/A,FALSE,"FILING REPORTS"}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8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localSheetId="1" hidden="1">{#N/A,#N/A,FALSE,"GLDwnLoad"}</definedName>
    <definedName name="wrn.SELECT_GL." localSheetId="13" hidden="1">{#N/A,#N/A,FALSE,"GLDwnLoad"}</definedName>
    <definedName name="wrn.SELECT_GL." localSheetId="18" hidden="1">{#N/A,#N/A,FALSE,"GLDwnLoad"}</definedName>
    <definedName name="wrn.SELECT_GL." localSheetId="20" hidden="1">{#N/A,#N/A,FALSE,"GLDwnLoad"}</definedName>
    <definedName name="wrn.SELECT_GL." hidden="1">{#N/A,#N/A,FALSE,"GLDwnLoad"}</definedName>
    <definedName name="wrn.SELECT_INPUTS." localSheetId="1" hidden="1">{#N/A,#N/A,FALSE,"OTHERINPUTS";#N/A,#N/A,FALSE,"SUPPLIEDADJINPUT";#N/A,#N/A,FALSE,"BR&amp;SUPADJ."}</definedName>
    <definedName name="wrn.SELECT_INPUTS." localSheetId="13" hidden="1">{#N/A,#N/A,FALSE,"OTHERINPUTS";#N/A,#N/A,FALSE,"SUPPLIEDADJINPUT";#N/A,#N/A,FALSE,"BR&amp;SUPADJ."}</definedName>
    <definedName name="wrn.SELECT_INPUTS." localSheetId="18" hidden="1">{#N/A,#N/A,FALSE,"OTHERINPUTS";#N/A,#N/A,FALSE,"SUPPLIEDADJINPUT";#N/A,#N/A,FALSE,"BR&amp;SUPADJ."}</definedName>
    <definedName name="wrn.SELECT_INPUTS." localSheetId="20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13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18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2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nior._.Staff.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nior._.Staff." localSheetId="13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nior._.Staff." localSheetId="18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nior._.Staff." localSheetId="20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nior._.Staff.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ttlement._.Analysis." localSheetId="1" hidden="1">{"Assumptions",#N/A,FALSE,"Assumptions";"2003 - 2007 Summary",#N/A,FALSE,"Income Statement";"Summary Deferral Forecast",#N/A,FALSE,"Deferral Forecast"}</definedName>
    <definedName name="wrn.Settlement._.Analysis." localSheetId="13" hidden="1">{"Assumptions",#N/A,FALSE,"Assumptions";"2003 - 2007 Summary",#N/A,FALSE,"Income Statement";"Summary Deferral Forecast",#N/A,FALSE,"Deferral Forecast"}</definedName>
    <definedName name="wrn.Settlement._.Analysis." localSheetId="18" hidden="1">{"Assumptions",#N/A,FALSE,"Assumptions";"2003 - 2007 Summary",#N/A,FALSE,"Income Statement";"Summary Deferral Forecast",#N/A,FALSE,"Deferral Forecast"}</definedName>
    <definedName name="wrn.Settlement._.Analysis." localSheetId="20" hidden="1">{"Assumptions",#N/A,FALSE,"Assumptions";"2003 - 2007 Summary",#N/A,FALSE,"Income Statement";"Summary Deferral Forecast",#N/A,FALSE,"Deferral Forecast"}</definedName>
    <definedName name="wrn.Settlement._.Analysis." hidden="1">{"Assumptions",#N/A,FALSE,"Assumptions";"2003 - 2007 Summary",#N/A,FALSE,"Income Statement";"Summary Deferral Forecast",#N/A,FALSE,"Deferral Forecast"}</definedName>
    <definedName name="wrn.SPA._.FAC." localSheetId="1" hidden="1">{"SPA_FAC",#N/A,FALSE,"OMPA SPA FAC"}</definedName>
    <definedName name="wrn.SPA._.FAC." localSheetId="13" hidden="1">{"SPA_FAC",#N/A,FALSE,"OMPA SPA FAC"}</definedName>
    <definedName name="wrn.SPA._.FAC." localSheetId="18" hidden="1">{"SPA_FAC",#N/A,FALSE,"OMPA SPA FAC"}</definedName>
    <definedName name="wrn.SPA._.FAC." localSheetId="20" hidden="1">{"SPA_FAC",#N/A,FALSE,"OMPA SPA FAC"}</definedName>
    <definedName name="wrn.SPA._.FAC." hidden="1">{"SPA_FAC",#N/A,FALSE,"OMPA SPA FAC"}</definedName>
    <definedName name="wrn.SPA._.FAC._1" localSheetId="1" hidden="1">{"SPA_FAC",#N/A,FALSE,"OMPA SPA FAC"}</definedName>
    <definedName name="wrn.SPA._.FAC._1" localSheetId="13" hidden="1">{"SPA_FAC",#N/A,FALSE,"OMPA SPA FAC"}</definedName>
    <definedName name="wrn.SPA._.FAC._1" localSheetId="18" hidden="1">{"SPA_FAC",#N/A,FALSE,"OMPA SPA FAC"}</definedName>
    <definedName name="wrn.SPA._.FAC._1" localSheetId="20" hidden="1">{"SPA_FAC",#N/A,FALSE,"OMPA SPA FAC"}</definedName>
    <definedName name="wrn.SPA._.FAC._1" hidden="1">{"SPA_FAC",#N/A,FALSE,"OMPA SPA FAC"}</definedName>
    <definedName name="wrn.SPA._.FAC._2" localSheetId="1" hidden="1">{"SPA_FAC",#N/A,FALSE,"OMPA SPA FAC"}</definedName>
    <definedName name="wrn.SPA._.FAC._2" localSheetId="13" hidden="1">{"SPA_FAC",#N/A,FALSE,"OMPA SPA FAC"}</definedName>
    <definedName name="wrn.SPA._.FAC._2" localSheetId="18" hidden="1">{"SPA_FAC",#N/A,FALSE,"OMPA SPA FAC"}</definedName>
    <definedName name="wrn.SPA._.FAC._2" localSheetId="20" hidden="1">{"SPA_FAC",#N/A,FALSE,"OMPA SPA FAC"}</definedName>
    <definedName name="wrn.SPA._.FAC._2" hidden="1">{"SPA_FAC",#N/A,FALSE,"OMPA SPA FAC"}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3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8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13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18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20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1" hidden="1">{"OKCLS_SUMMARY",#N/A,FALSE,"INTERNAL REPORTS";"JURIS_SUMMARY",#N/A,FALSE,"INTERNAL REPORTS"}</definedName>
    <definedName name="wrn.SUMMARY." localSheetId="13" hidden="1">{"OKCLS_SUMMARY",#N/A,FALSE,"INTERNAL REPORTS";"JURIS_SUMMARY",#N/A,FALSE,"INTERNAL REPORTS"}</definedName>
    <definedName name="wrn.SUMMARY." localSheetId="18" hidden="1">{"OKCLS_SUMMARY",#N/A,FALSE,"INTERNAL REPORTS";"JURIS_SUMMARY",#N/A,FALSE,"INTERNAL REPORTS"}</definedName>
    <definedName name="wrn.SUMMARY." localSheetId="20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mmary_GL." localSheetId="1" hidden="1">{#N/A,#N/A,FALSE,"GLDwnLoad"}</definedName>
    <definedName name="wrn.Summary_GL." localSheetId="13" hidden="1">{#N/A,#N/A,FALSE,"GLDwnLoad"}</definedName>
    <definedName name="wrn.Summary_GL." localSheetId="18" hidden="1">{#N/A,#N/A,FALSE,"GLDwnLoad"}</definedName>
    <definedName name="wrn.Summary_GL." localSheetId="20" hidden="1">{#N/A,#N/A,FALSE,"GLDwnLoad"}</definedName>
    <definedName name="wrn.Summary_GL." hidden="1">{#N/A,#N/A,FALSE,"GLDwnLoad"}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1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1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1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1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2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2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2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2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1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18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1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1" localSheetId="1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1" localSheetId="18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1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2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2" localSheetId="1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2" localSheetId="18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2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localSheetId="1" hidden="1">{"Support Net Plant=Net Utility Plant",#N/A,FALSE,"Net Plant"}</definedName>
    <definedName name="wrn.Support_Net_Plant." localSheetId="13" hidden="1">{"Support Net Plant=Net Utility Plant",#N/A,FALSE,"Net Plant"}</definedName>
    <definedName name="wrn.Support_Net_Plant." localSheetId="18" hidden="1">{"Support Net Plant=Net Utility Plant",#N/A,FALSE,"Net Plant"}</definedName>
    <definedName name="wrn.Support_Net_Plant." localSheetId="20" hidden="1">{"Support Net Plant=Net Utility Plant",#N/A,FALSE,"Net Plant"}</definedName>
    <definedName name="wrn.Support_Net_Plant." hidden="1">{"Support Net Plant=Net Utility Plant",#N/A,FALSE,"Net Plant"}</definedName>
    <definedName name="wrn.Support_O_M_Cust_Emp." localSheetId="1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13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18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20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localSheetId="1" hidden="1">{"Support/Rev Op Inc=Total revenue + OIBT",#N/A,FALSE,"Rev-Op Inc"}</definedName>
    <definedName name="wrn.Support_Rev_Op_Inc." localSheetId="13" hidden="1">{"Support/Rev Op Inc=Total revenue + OIBT",#N/A,FALSE,"Rev-Op Inc"}</definedName>
    <definedName name="wrn.Support_Rev_Op_Inc." localSheetId="18" hidden="1">{"Support/Rev Op Inc=Total revenue + OIBT",#N/A,FALSE,"Rev-Op Inc"}</definedName>
    <definedName name="wrn.Support_Rev_Op_Inc." localSheetId="20" hidden="1">{"Support/Rev Op Inc=Total revenue + OIBT",#N/A,FALSE,"Rev-Op Inc"}</definedName>
    <definedName name="wrn.Support_Rev_Op_Inc." hidden="1">{"Support/Rev Op Inc=Total revenue + OIBT",#N/A,FALSE,"Rev-Op Inc"}</definedName>
    <definedName name="wrn.Supporting._.Calculations." localSheetId="1" hidden="1">{#N/A,#N/A,FALSE,"Work performed";#N/A,#N/A,FALSE,"Resources"}</definedName>
    <definedName name="wrn.Supporting._.Calculations." localSheetId="13" hidden="1">{#N/A,#N/A,FALSE,"Work performed";#N/A,#N/A,FALSE,"Resources"}</definedName>
    <definedName name="wrn.Supporting._.Calculations." localSheetId="18" hidden="1">{#N/A,#N/A,FALSE,"Work performed";#N/A,#N/A,FALSE,"Resources"}</definedName>
    <definedName name="wrn.Supporting._.Calculations." localSheetId="20" hidden="1">{#N/A,#N/A,FALSE,"Work performed";#N/A,#N/A,FALSE,"Resources"}</definedName>
    <definedName name="wrn.Supporting._.Calculations." hidden="1">{#N/A,#N/A,FALSE,"Work performed";#N/A,#N/A,FALSE,"Resources"}</definedName>
    <definedName name="wrn.Table._.SBU._.1996_2002." localSheetId="1" hidden="1">{"SBU Numbers 1996_2002",#N/A,FALSE,"Strategic Business Lines"}</definedName>
    <definedName name="wrn.Table._.SBU._.1996_2002." localSheetId="13" hidden="1">{"SBU Numbers 1996_2002",#N/A,FALSE,"Strategic Business Lines"}</definedName>
    <definedName name="wrn.Table._.SBU._.1996_2002." localSheetId="18" hidden="1">{"SBU Numbers 1996_2002",#N/A,FALSE,"Strategic Business Lines"}</definedName>
    <definedName name="wrn.Table._.SBU._.1996_2002." localSheetId="20" hidden="1">{"SBU Numbers 1996_2002",#N/A,FALSE,"Strategic Business Lines"}</definedName>
    <definedName name="wrn.Table._.SBU._.1996_2002." hidden="1">{"SBU Numbers 1996_2002",#N/A,FALSE,"Strategic Business Lines"}</definedName>
    <definedName name="wrn.tables." localSheetId="1" hidden="1">{"print1",#N/A,FALSE,"D21CUSTS";"print2",#N/A,FALSE,"D21CUSTS";"print3",#N/A,FALSE,"D21CUSTS";"print4",#N/A,FALSE,"D21CUSTS"}</definedName>
    <definedName name="wrn.tables." localSheetId="13" hidden="1">{"print1",#N/A,FALSE,"D21CUSTS";"print2",#N/A,FALSE,"D21CUSTS";"print3",#N/A,FALSE,"D21CUSTS";"print4",#N/A,FALSE,"D21CUSTS"}</definedName>
    <definedName name="wrn.tables." localSheetId="18" hidden="1">{"print1",#N/A,FALSE,"D21CUSTS";"print2",#N/A,FALSE,"D21CUSTS";"print3",#N/A,FALSE,"D21CUSTS";"print4",#N/A,FALSE,"D21CUSTS"}</definedName>
    <definedName name="wrn.tables." localSheetId="20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bles._1" localSheetId="1" hidden="1">{"print1",#N/A,FALSE,"D21CUSTS";"print2",#N/A,FALSE,"D21CUSTS";"print3",#N/A,FALSE,"D21CUSTS";"print4",#N/A,FALSE,"D21CUSTS"}</definedName>
    <definedName name="wrn.tables._1" localSheetId="13" hidden="1">{"print1",#N/A,FALSE,"D21CUSTS";"print2",#N/A,FALSE,"D21CUSTS";"print3",#N/A,FALSE,"D21CUSTS";"print4",#N/A,FALSE,"D21CUSTS"}</definedName>
    <definedName name="wrn.tables._1" localSheetId="18" hidden="1">{"print1",#N/A,FALSE,"D21CUSTS";"print2",#N/A,FALSE,"D21CUSTS";"print3",#N/A,FALSE,"D21CUSTS";"print4",#N/A,FALSE,"D21CUSTS"}</definedName>
    <definedName name="wrn.tables._1" localSheetId="20" hidden="1">{"print1",#N/A,FALSE,"D21CUSTS";"print2",#N/A,FALSE,"D21CUSTS";"print3",#N/A,FALSE,"D21CUSTS";"print4",#N/A,FALSE,"D21CUSTS"}</definedName>
    <definedName name="wrn.tables._1" hidden="1">{"print1",#N/A,FALSE,"D21CUSTS";"print2",#N/A,FALSE,"D21CUSTS";"print3",#N/A,FALSE,"D21CUSTS";"print4",#N/A,FALSE,"D21CUSTS"}</definedName>
    <definedName name="wrn.tables._2" localSheetId="1" hidden="1">{"print1",#N/A,FALSE,"D21CUSTS";"print2",#N/A,FALSE,"D21CUSTS";"print3",#N/A,FALSE,"D21CUSTS";"print4",#N/A,FALSE,"D21CUSTS"}</definedName>
    <definedName name="wrn.tables._2" localSheetId="13" hidden="1">{"print1",#N/A,FALSE,"D21CUSTS";"print2",#N/A,FALSE,"D21CUSTS";"print3",#N/A,FALSE,"D21CUSTS";"print4",#N/A,FALSE,"D21CUSTS"}</definedName>
    <definedName name="wrn.tables._2" localSheetId="18" hidden="1">{"print1",#N/A,FALSE,"D21CUSTS";"print2",#N/A,FALSE,"D21CUSTS";"print3",#N/A,FALSE,"D21CUSTS";"print4",#N/A,FALSE,"D21CUSTS"}</definedName>
    <definedName name="wrn.tables._2" localSheetId="20" hidden="1">{"print1",#N/A,FALSE,"D21CUSTS";"print2",#N/A,FALSE,"D21CUSTS";"print3",#N/A,FALSE,"D21CUSTS";"print4",#N/A,FALSE,"D21CUSTS"}</definedName>
    <definedName name="wrn.tables._2" hidden="1">{"print1",#N/A,FALSE,"D21CUSTS";"print2",#N/A,FALSE,"D21CUSTS";"print3",#N/A,FALSE,"D21CUSTS";"print4",#N/A,FALSE,"D21CUSTS"}</definedName>
    <definedName name="wrn.Tax._.Accrual." localSheetId="1" hidden="1">{#N/A,#N/A,TRUE,"TAXPROV";#N/A,#N/A,TRUE,"FLOWTHRU";#N/A,#N/A,TRUE,"SCHEDULE M'S";#N/A,#N/A,TRUE,"PLANT M'S";#N/A,#N/A,TRUE,"TAXJE"}</definedName>
    <definedName name="wrn.Tax._.Accrual." localSheetId="13" hidden="1">{#N/A,#N/A,TRUE,"TAXPROV";#N/A,#N/A,TRUE,"FLOWTHRU";#N/A,#N/A,TRUE,"SCHEDULE M'S";#N/A,#N/A,TRUE,"PLANT M'S";#N/A,#N/A,TRUE,"TAXJE"}</definedName>
    <definedName name="wrn.Tax._.Accrual." localSheetId="18" hidden="1">{#N/A,#N/A,TRUE,"TAXPROV";#N/A,#N/A,TRUE,"FLOWTHRU";#N/A,#N/A,TRUE,"SCHEDULE M'S";#N/A,#N/A,TRUE,"PLANT M'S";#N/A,#N/A,TRUE,"TAXJE"}</definedName>
    <definedName name="wrn.Tax._.Accrual." localSheetId="20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TAXES._.OTHER." localSheetId="1" hidden="1">{"JURIS_TAXES_OTHER",#N/A,FALSE,"COSTSTUDY";"OKCLS_TAXES_OTHER",#N/A,FALSE,"COSTSTUDY"}</definedName>
    <definedName name="wrn.TAXES._.OTHER." localSheetId="13" hidden="1">{"JURIS_TAXES_OTHER",#N/A,FALSE,"COSTSTUDY";"OKCLS_TAXES_OTHER",#N/A,FALSE,"COSTSTUDY"}</definedName>
    <definedName name="wrn.TAXES._.OTHER." localSheetId="18" hidden="1">{"JURIS_TAXES_OTHER",#N/A,FALSE,"COSTSTUDY";"OKCLS_TAXES_OTHER",#N/A,FALSE,"COSTSTUDY"}</definedName>
    <definedName name="wrn.TAXES._.OTHER." localSheetId="20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TBC._.Update." localSheetId="1" hidden="1">{#N/A,#N/A,FALSE,"TABLE I";#N/A,#N/A,FALSE,"TBC Development";#N/A,#N/A,FALSE,"MTC -Tax Development";#N/A,#N/A,FALSE,"MTC - Tax descriptions";#N/A,#N/A,FALSE,"MTC -Tax True Up"}</definedName>
    <definedName name="wrn.TBC._.Update." localSheetId="13" hidden="1">{#N/A,#N/A,FALSE,"TABLE I";#N/A,#N/A,FALSE,"TBC Development";#N/A,#N/A,FALSE,"MTC -Tax Development";#N/A,#N/A,FALSE,"MTC - Tax descriptions";#N/A,#N/A,FALSE,"MTC -Tax True Up"}</definedName>
    <definedName name="wrn.TBC._.Update." localSheetId="18" hidden="1">{#N/A,#N/A,FALSE,"TABLE I";#N/A,#N/A,FALSE,"TBC Development";#N/A,#N/A,FALSE,"MTC -Tax Development";#N/A,#N/A,FALSE,"MTC - Tax descriptions";#N/A,#N/A,FALSE,"MTC -Tax True Up"}</definedName>
    <definedName name="wrn.TBC._.Update." localSheetId="20" hidden="1">{#N/A,#N/A,FALSE,"TABLE I";#N/A,#N/A,FALSE,"TBC Development";#N/A,#N/A,FALSE,"MTC -Tax Development";#N/A,#N/A,FALSE,"MTC - Tax descriptions";#N/A,#N/A,FALSE,"MTC -Tax True Up"}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ESTS." localSheetId="1" hidden="1">{"PAGE_1",#N/A,FALSE,"MONTH"}</definedName>
    <definedName name="wrn.TESTS." localSheetId="13" hidden="1">{"PAGE_1",#N/A,FALSE,"MONTH"}</definedName>
    <definedName name="wrn.TESTS." localSheetId="18" hidden="1">{"PAGE_1",#N/A,FALSE,"MONTH"}</definedName>
    <definedName name="wrn.TESTS." localSheetId="20" hidden="1">{"PAGE_1",#N/A,FALSE,"MONTH"}</definedName>
    <definedName name="wrn.TESTS." hidden="1">{"PAGE_1",#N/A,FALSE,"MONTH"}</definedName>
    <definedName name="wrn.Total._.Report." localSheetId="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13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18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1" localSheetId="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1" localSheetId="13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1" localSheetId="18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1" localSheetId="2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2" localSheetId="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2" localSheetId="13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2" localSheetId="18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2" localSheetId="2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2" hidden="1">{"Fuel by Type",#N/A,FALSE,"00whfuel";"Fuel by Account",#N/A,FALSE,"00whfuel";"NTEC",#N/A,FALSE,"00whfuel";"Hope",#N/A,FALSE,"00whfuel";"Net Energy Load",#N/A,FALSE,"00whfuel";"Purchased Power",#N/A,FALSE,"00whfuel"}</definedName>
    <definedName name="wrn.UWMAC." localSheetId="1" hidden="1">{"UWMACISV",#N/A,FALSE,"Sheet1";"UWMACSAV",#N/A,FALSE,"Sheet1";"UWMACBSV",#N/A,FALSE,"Sheet1";"UWMACSFDV",#N/A,FALSE,"Sheet1"}</definedName>
    <definedName name="wrn.UWMAC." localSheetId="13" hidden="1">{"UWMACISV",#N/A,FALSE,"Sheet1";"UWMACSAV",#N/A,FALSE,"Sheet1";"UWMACBSV",#N/A,FALSE,"Sheet1";"UWMACSFDV",#N/A,FALSE,"Sheet1"}</definedName>
    <definedName name="wrn.UWMAC." localSheetId="18" hidden="1">{"UWMACISV",#N/A,FALSE,"Sheet1";"UWMACSAV",#N/A,FALSE,"Sheet1";"UWMACBSV",#N/A,FALSE,"Sheet1";"UWMACSFDV",#N/A,FALSE,"Sheet1"}</definedName>
    <definedName name="wrn.UWMAC." localSheetId="20" hidden="1">{"UWMACISV",#N/A,FALSE,"Sheet1";"UWMACSAV",#N/A,FALSE,"Sheet1";"UWMACBSV",#N/A,FALSE,"Sheet1";"UWMACSFDV",#N/A,FALSE,"Sheet1"}</definedName>
    <definedName name="wrn.UWMAC." hidden="1">{"UWMACISV",#N/A,FALSE,"Sheet1";"UWMACSAV",#N/A,FALSE,"Sheet1";"UWMACBSV",#N/A,FALSE,"Sheet1";"UWMACSFDV",#N/A,FALSE,"Sheet1"}</definedName>
    <definedName name="wrn.UWNJ." localSheetId="1" hidden="1">{"UWNJISV",#N/A,FALSE,"Sheet1";"UWNJSAV",#N/A,FALSE,"Sheet1";"UWNJBSV",#N/A,FALSE,"Sheet1";"UWNJSFDV",#N/A,FALSE,"Sheet1"}</definedName>
    <definedName name="wrn.UWNJ." localSheetId="13" hidden="1">{"UWNJISV",#N/A,FALSE,"Sheet1";"UWNJSAV",#N/A,FALSE,"Sheet1";"UWNJBSV",#N/A,FALSE,"Sheet1";"UWNJSFDV",#N/A,FALSE,"Sheet1"}</definedName>
    <definedName name="wrn.UWNJ." localSheetId="18" hidden="1">{"UWNJISV",#N/A,FALSE,"Sheet1";"UWNJSAV",#N/A,FALSE,"Sheet1";"UWNJBSV",#N/A,FALSE,"Sheet1";"UWNJSFDV",#N/A,FALSE,"Sheet1"}</definedName>
    <definedName name="wrn.UWNJ." localSheetId="20" hidden="1">{"UWNJISV",#N/A,FALSE,"Sheet1";"UWNJSAV",#N/A,FALSE,"Sheet1";"UWNJBSV",#N/A,FALSE,"Sheet1";"UWNJSFDV",#N/A,FALSE,"Sheet1"}</definedName>
    <definedName name="wrn.UWNJ." hidden="1">{"UWNJISV",#N/A,FALSE,"Sheet1";"UWNJSAV",#N/A,FALSE,"Sheet1";"UWNJBSV",#N/A,FALSE,"Sheet1";"UWNJSFDV",#N/A,FALSE,"Sheet1"}</definedName>
    <definedName name="wrn.UWNY." localSheetId="1" hidden="1">{"UWNYISV",#N/A,FALSE,"Sheet1";"UWNYSAV",#N/A,FALSE,"Sheet1";"UWNYBSV",#N/A,FALSE,"Sheet1";"UWNYSFDV",#N/A,FALSE,"Sheet1"}</definedName>
    <definedName name="wrn.UWNY." localSheetId="13" hidden="1">{"UWNYISV",#N/A,FALSE,"Sheet1";"UWNYSAV",#N/A,FALSE,"Sheet1";"UWNYBSV",#N/A,FALSE,"Sheet1";"UWNYSFDV",#N/A,FALSE,"Sheet1"}</definedName>
    <definedName name="wrn.UWNY." localSheetId="18" hidden="1">{"UWNYISV",#N/A,FALSE,"Sheet1";"UWNYSAV",#N/A,FALSE,"Sheet1";"UWNYBSV",#N/A,FALSE,"Sheet1";"UWNYSFDV",#N/A,FALSE,"Sheet1"}</definedName>
    <definedName name="wrn.UWNY." localSheetId="20" hidden="1">{"UWNYISV",#N/A,FALSE,"Sheet1";"UWNYSAV",#N/A,FALSE,"Sheet1";"UWNYBSV",#N/A,FALSE,"Sheet1";"UWNYSFDV",#N/A,FALSE,"Sheet1"}</definedName>
    <definedName name="wrn.UWNY." hidden="1">{"UWNYISV",#N/A,FALSE,"Sheet1";"UWNYSAV",#N/A,FALSE,"Sheet1";"UWNYBSV",#N/A,FALSE,"Sheet1";"UWNYSFDV",#N/A,FALSE,"Sheet1"}</definedName>
    <definedName name="wrn.UWW." localSheetId="1" hidden="1">{"UWWISV",#N/A,FALSE,"Sheet1";"UWWSAV",#N/A,FALSE,"Sheet1";"UWWBSV",#N/A,FALSE,"Sheet1";"UWWSFDV",#N/A,FALSE,"Sheet1"}</definedName>
    <definedName name="wrn.UWW." localSheetId="13" hidden="1">{"UWWISV",#N/A,FALSE,"Sheet1";"UWWSAV",#N/A,FALSE,"Sheet1";"UWWBSV",#N/A,FALSE,"Sheet1";"UWWSFDV",#N/A,FALSE,"Sheet1"}</definedName>
    <definedName name="wrn.UWW." localSheetId="18" hidden="1">{"UWWISV",#N/A,FALSE,"Sheet1";"UWWSAV",#N/A,FALSE,"Sheet1";"UWWBSV",#N/A,FALSE,"Sheet1";"UWWSFDV",#N/A,FALSE,"Sheet1"}</definedName>
    <definedName name="wrn.UWW." localSheetId="20" hidden="1">{"UWWISV",#N/A,FALSE,"Sheet1";"UWWSAV",#N/A,FALSE,"Sheet1";"UWWBSV",#N/A,FALSE,"Sheet1";"UWWSFDV",#N/A,FALSE,"Sheet1"}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1" hidden="1">{"WEATHER_CUSTOMERS",#N/A,FALSE,"Ok_Fuel&amp;Rev"}</definedName>
    <definedName name="wrn.WEATHER._.AND._.YR._.END._.CUST._.ADJ." localSheetId="13" hidden="1">{"WEATHER_CUSTOMERS",#N/A,FALSE,"Ok_Fuel&amp;Rev"}</definedName>
    <definedName name="wrn.WEATHER._.AND._.YR._.END._.CUST._.ADJ." localSheetId="18" hidden="1">{"WEATHER_CUSTOMERS",#N/A,FALSE,"Ok_Fuel&amp;Rev"}</definedName>
    <definedName name="wrn.WEATHER._.AND._.YR._.END._.CUST._.ADJ." localSheetId="20" hidden="1">{"WEATHER_CUSTOMERS",#N/A,FALSE,"Ok_Fuel&amp;Rev"}</definedName>
    <definedName name="wrn.WEATHER._.AND._.YR._.END._.CUST._.ADJ." hidden="1">{"WEATHER_CUSTOMERS",#N/A,FALSE,"Ok_Fuel&amp;Rev"}</definedName>
    <definedName name="wrn.WEATHER._.AND._.YR._.END._.CUST._.ADJ._1" localSheetId="1" hidden="1">{"WEATHER_CUSTOMERS",#N/A,FALSE,"Ok_Fuel&amp;Rev"}</definedName>
    <definedName name="wrn.WEATHER._.AND._.YR._.END._.CUST._.ADJ._1" localSheetId="13" hidden="1">{"WEATHER_CUSTOMERS",#N/A,FALSE,"Ok_Fuel&amp;Rev"}</definedName>
    <definedName name="wrn.WEATHER._.AND._.YR._.END._.CUST._.ADJ._1" localSheetId="18" hidden="1">{"WEATHER_CUSTOMERS",#N/A,FALSE,"Ok_Fuel&amp;Rev"}</definedName>
    <definedName name="wrn.WEATHER._.AND._.YR._.END._.CUST._.ADJ._1" localSheetId="20" hidden="1">{"WEATHER_CUSTOMERS",#N/A,FALSE,"Ok_Fuel&amp;Rev"}</definedName>
    <definedName name="wrn.WEATHER._.AND._.YR._.END._.CUST._.ADJ._1" hidden="1">{"WEATHER_CUSTOMERS",#N/A,FALSE,"Ok_Fuel&amp;Rev"}</definedName>
    <definedName name="wrn.WEATHER._.AND._.YR._.END._.CUST._.ADJ._2" localSheetId="1" hidden="1">{"WEATHER_CUSTOMERS",#N/A,FALSE,"Ok_Fuel&amp;Rev"}</definedName>
    <definedName name="wrn.WEATHER._.AND._.YR._.END._.CUST._.ADJ._2" localSheetId="13" hidden="1">{"WEATHER_CUSTOMERS",#N/A,FALSE,"Ok_Fuel&amp;Rev"}</definedName>
    <definedName name="wrn.WEATHER._.AND._.YR._.END._.CUST._.ADJ._2" localSheetId="18" hidden="1">{"WEATHER_CUSTOMERS",#N/A,FALSE,"Ok_Fuel&amp;Rev"}</definedName>
    <definedName name="wrn.WEATHER._.AND._.YR._.END._.CUST._.ADJ._2" localSheetId="20" hidden="1">{"WEATHER_CUSTOMERS",#N/A,FALSE,"Ok_Fuel&amp;Rev"}</definedName>
    <definedName name="wrn.WEATHER._.AND._.YR._.END._.CUST._.ADJ._2" hidden="1">{"WEATHER_CUSTOMERS",#N/A,FALSE,"Ok_Fuel&amp;Rev"}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8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" hidden="1">{"Wkp ComEquity",#N/A,FALSE,"Cap Struct WPs"}</definedName>
    <definedName name="wrn.Wkp._.ComEquity." localSheetId="13" hidden="1">{"Wkp ComEquity",#N/A,FALSE,"Cap Struct WPs"}</definedName>
    <definedName name="wrn.Wkp._.ComEquity." localSheetId="18" hidden="1">{"Wkp ComEquity",#N/A,FALSE,"Cap Struct WPs"}</definedName>
    <definedName name="wrn.Wkp._.ComEquity." localSheetId="20" hidden="1">{"Wkp ComEquity",#N/A,FALSE,"Cap Struct WPs"}</definedName>
    <definedName name="wrn.Wkp._.ComEquity." hidden="1">{"Wkp ComEquity",#N/A,FALSE,"Cap Struct WPs"}</definedName>
    <definedName name="wrn.Wkp._.JDITC." localSheetId="1" hidden="1">{"Wkp JDITC",#N/A,FALSE,"Cap Struct WPs"}</definedName>
    <definedName name="wrn.Wkp._.JDITC." localSheetId="13" hidden="1">{"Wkp JDITC",#N/A,FALSE,"Cap Struct WPs"}</definedName>
    <definedName name="wrn.Wkp._.JDITC." localSheetId="18" hidden="1">{"Wkp JDITC",#N/A,FALSE,"Cap Struct WPs"}</definedName>
    <definedName name="wrn.Wkp._.JDITC." localSheetId="20" hidden="1">{"Wkp JDITC",#N/A,FALSE,"Cap Struct WPs"}</definedName>
    <definedName name="wrn.Wkp._.JDITC." hidden="1">{"Wkp JDITC",#N/A,FALSE,"Cap Struct WPs"}</definedName>
    <definedName name="wrn.Wkp._.LTerm._.Debt." localSheetId="1" hidden="1">{"Wkp LTerm Debt",#N/A,FALSE,"Cap Struct WPs"}</definedName>
    <definedName name="wrn.Wkp._.LTerm._.Debt." localSheetId="13" hidden="1">{"Wkp LTerm Debt",#N/A,FALSE,"Cap Struct WPs"}</definedName>
    <definedName name="wrn.Wkp._.LTerm._.Debt." localSheetId="18" hidden="1">{"Wkp LTerm Debt",#N/A,FALSE,"Cap Struct WPs"}</definedName>
    <definedName name="wrn.Wkp._.LTerm._.Debt." localSheetId="20" hidden="1">{"Wkp LTerm Debt",#N/A,FALSE,"Cap Struct WPs"}</definedName>
    <definedName name="wrn.Wkp._.LTerm._.Debt." hidden="1">{"Wkp LTerm Debt",#N/A,FALSE,"Cap Struct WPs"}</definedName>
    <definedName name="wrn.Wkp._.LTerm._.Debt._.13Mo._.Avg." localSheetId="1" hidden="1">{"Wkp LTerm Debt 13MoAvg",#N/A,FALSE,"Cap Struct WPs"}</definedName>
    <definedName name="wrn.Wkp._.LTerm._.Debt._.13Mo._.Avg." localSheetId="13" hidden="1">{"Wkp LTerm Debt 13MoAvg",#N/A,FALSE,"Cap Struct WPs"}</definedName>
    <definedName name="wrn.Wkp._.LTerm._.Debt._.13Mo._.Avg." localSheetId="18" hidden="1">{"Wkp LTerm Debt 13MoAvg",#N/A,FALSE,"Cap Struct WPs"}</definedName>
    <definedName name="wrn.Wkp._.LTerm._.Debt._.13Mo._.Avg." localSheetId="20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" hidden="1">{"Wkp Lterm Debt Amort",#N/A,FALSE,"Cap Struct WPs"}</definedName>
    <definedName name="wrn.Wkp._.LTerm._.Debt._.Amort." localSheetId="13" hidden="1">{"Wkp Lterm Debt Amort",#N/A,FALSE,"Cap Struct WPs"}</definedName>
    <definedName name="wrn.Wkp._.LTerm._.Debt._.Amort." localSheetId="18" hidden="1">{"Wkp Lterm Debt Amort",#N/A,FALSE,"Cap Struct WPs"}</definedName>
    <definedName name="wrn.Wkp._.LTerm._.Debt._.Amort." localSheetId="20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" hidden="1">{"Wkp LTerm Debt Int",#N/A,FALSE,"Cap Struct WPs"}</definedName>
    <definedName name="wrn.Wkp._.LTerm._.Debt._.Int." localSheetId="13" hidden="1">{"Wkp LTerm Debt Int",#N/A,FALSE,"Cap Struct WPs"}</definedName>
    <definedName name="wrn.Wkp._.LTerm._.Debt._.Int." localSheetId="18" hidden="1">{"Wkp LTerm Debt Int",#N/A,FALSE,"Cap Struct WPs"}</definedName>
    <definedName name="wrn.Wkp._.LTerm._.Debt._.Int." localSheetId="20" hidden="1">{"Wkp LTerm Debt Int",#N/A,FALSE,"Cap Struct WPs"}</definedName>
    <definedName name="wrn.Wkp._.LTerm._.Debt._.Int." hidden="1">{"Wkp LTerm Debt Int",#N/A,FALSE,"Cap Struct WPs"}</definedName>
    <definedName name="wrn.Wkp._.PreStock." localSheetId="1" hidden="1">{"Wkp PreStock",#N/A,FALSE,"Cap Struct WPs"}</definedName>
    <definedName name="wrn.Wkp._.PreStock." localSheetId="13" hidden="1">{"Wkp PreStock",#N/A,FALSE,"Cap Struct WPs"}</definedName>
    <definedName name="wrn.Wkp._.PreStock." localSheetId="18" hidden="1">{"Wkp PreStock",#N/A,FALSE,"Cap Struct WPs"}</definedName>
    <definedName name="wrn.Wkp._.PreStock." localSheetId="20" hidden="1">{"Wkp PreStock",#N/A,FALSE,"Cap Struct WPs"}</definedName>
    <definedName name="wrn.Wkp._.PreStock." hidden="1">{"Wkp PreStock",#N/A,FALSE,"Cap Struct WPs"}</definedName>
    <definedName name="wrn.Wkp._.PreStock._.13MoAvg." localSheetId="1" hidden="1">{"Wkp PreStock 13MoAvg",#N/A,FALSE,"Cap Struct WPs"}</definedName>
    <definedName name="wrn.Wkp._.PreStock._.13MoAvg." localSheetId="13" hidden="1">{"Wkp PreStock 13MoAvg",#N/A,FALSE,"Cap Struct WPs"}</definedName>
    <definedName name="wrn.Wkp._.PreStock._.13MoAvg." localSheetId="18" hidden="1">{"Wkp PreStock 13MoAvg",#N/A,FALSE,"Cap Struct WPs"}</definedName>
    <definedName name="wrn.Wkp._.PreStock._.13MoAvg." localSheetId="20" hidden="1">{"Wkp PreStock 13MoAvg",#N/A,FALSE,"Cap Struct WPs"}</definedName>
    <definedName name="wrn.Wkp._.PreStock._.13MoAvg." hidden="1">{"Wkp PreStock 13MoAvg",#N/A,FALSE,"Cap Struct WPs"}</definedName>
    <definedName name="wrn.Wkp._.PreStock._.Amort." localSheetId="1" hidden="1">{"Wkp PreStock Amort",#N/A,FALSE,"Cap Struct WPs"}</definedName>
    <definedName name="wrn.Wkp._.PreStock._.Amort." localSheetId="13" hidden="1">{"Wkp PreStock Amort",#N/A,FALSE,"Cap Struct WPs"}</definedName>
    <definedName name="wrn.Wkp._.PreStock._.Amort." localSheetId="18" hidden="1">{"Wkp PreStock Amort",#N/A,FALSE,"Cap Struct WPs"}</definedName>
    <definedName name="wrn.Wkp._.PreStock._.Amort." localSheetId="20" hidden="1">{"Wkp PreStock Amort",#N/A,FALSE,"Cap Struct WPs"}</definedName>
    <definedName name="wrn.Wkp._.PreStock._.Amort." hidden="1">{"Wkp PreStock Amort",#N/A,FALSE,"Cap Struct WPs"}</definedName>
    <definedName name="wrn.Wkp._.PreStock._.Dividend." localSheetId="1" hidden="1">{"Wkp PreStock Dividend",#N/A,FALSE,"Cap Struct WPs"}</definedName>
    <definedName name="wrn.Wkp._.PreStock._.Dividend." localSheetId="13" hidden="1">{"Wkp PreStock Dividend",#N/A,FALSE,"Cap Struct WPs"}</definedName>
    <definedName name="wrn.Wkp._.PreStock._.Dividend." localSheetId="18" hidden="1">{"Wkp PreStock Dividend",#N/A,FALSE,"Cap Struct WPs"}</definedName>
    <definedName name="wrn.Wkp._.PreStock._.Dividend." localSheetId="20" hidden="1">{"Wkp PreStock Dividend",#N/A,FALSE,"Cap Struct WPs"}</definedName>
    <definedName name="wrn.Wkp._.PreStock._.Dividend." hidden="1">{"Wkp PreStock Dividend",#N/A,FALSE,"Cap Struct WPs"}</definedName>
    <definedName name="wrn.Wkp._.STerm._.Debt." localSheetId="1" hidden="1">{"Wkp STerm Debt",#N/A,FALSE,"Cap Struct WPs"}</definedName>
    <definedName name="wrn.Wkp._.STerm._.Debt." localSheetId="13" hidden="1">{"Wkp STerm Debt",#N/A,FALSE,"Cap Struct WPs"}</definedName>
    <definedName name="wrn.Wkp._.STerm._.Debt." localSheetId="18" hidden="1">{"Wkp STerm Debt",#N/A,FALSE,"Cap Struct WPs"}</definedName>
    <definedName name="wrn.Wkp._.STerm._.Debt." localSheetId="20" hidden="1">{"Wkp STerm Debt",#N/A,FALSE,"Cap Struct WPs"}</definedName>
    <definedName name="wrn.Wkp._.STerm._.Debt." hidden="1">{"Wkp STerm Debt",#N/A,FALSE,"Cap Struct WPs"}</definedName>
    <definedName name="wrn.Wkp._.Unamort._.Debt._.Exp." localSheetId="1" hidden="1">{"Wkp Unamort Debt Exp",#N/A,FALSE,"Cap Struct WPs"}</definedName>
    <definedName name="wrn.Wkp._.Unamort._.Debt._.Exp." localSheetId="13" hidden="1">{"Wkp Unamort Debt Exp",#N/A,FALSE,"Cap Struct WPs"}</definedName>
    <definedName name="wrn.Wkp._.Unamort._.Debt._.Exp." localSheetId="18" hidden="1">{"Wkp Unamort Debt Exp",#N/A,FALSE,"Cap Struct WPs"}</definedName>
    <definedName name="wrn.Wkp._.Unamort._.Debt._.Exp." localSheetId="20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" hidden="1">{"Wkp Unamort PreStock Exp",#N/A,FALSE,"Cap Struct WPs"}</definedName>
    <definedName name="wrn.Wkp._.Unamort._.PreStock._.Exp." localSheetId="13" hidden="1">{"Wkp Unamort PreStock Exp",#N/A,FALSE,"Cap Struct WPs"}</definedName>
    <definedName name="wrn.Wkp._.Unamort._.PreStock._.Exp." localSheetId="18" hidden="1">{"Wkp Unamort PreStock Exp",#N/A,FALSE,"Cap Struct WPs"}</definedName>
    <definedName name="wrn.Wkp._.Unamort._.PreStock._.Exp." localSheetId="20" hidden="1">{"Wkp Unamort PreStock Exp",#N/A,FALSE,"Cap Struct WPs"}</definedName>
    <definedName name="wrn.Wkp._.Unamort._.PreStock._.Exp." hidden="1">{"Wkp Unamort PreStock Exp",#N/A,FALSE,"Cap Struct WPs"}</definedName>
    <definedName name="wrn.WMECO_GL." localSheetId="1" hidden="1">{#N/A,#N/A,FALSE,"GLDwnLoad"}</definedName>
    <definedName name="wrn.WMECO_GL." localSheetId="13" hidden="1">{#N/A,#N/A,FALSE,"GLDwnLoad"}</definedName>
    <definedName name="wrn.WMECO_GL." localSheetId="18" hidden="1">{#N/A,#N/A,FALSE,"GLDwnLoad"}</definedName>
    <definedName name="wrn.WMECO_GL." localSheetId="20" hidden="1">{#N/A,#N/A,FALSE,"GLDwnLoad"}</definedName>
    <definedName name="wrn.WMECO_GL." hidden="1">{#N/A,#N/A,FALSE,"GLDwnLoad"}</definedName>
    <definedName name="wrn.WMECO_INPUTS." localSheetId="1" hidden="1">{#N/A,#N/A,FALSE,"OTHERINPUTS";#N/A,#N/A,FALSE,"DITRATEINPUTS";#N/A,#N/A,FALSE,"SUPPLIEDADJINPUT";#N/A,#N/A,FALSE,"TIMINGDIFFINPUTS";#N/A,#N/A,FALSE,"BR&amp;SUPADJ."}</definedName>
    <definedName name="wrn.WMECO_INPUTS." localSheetId="13" hidden="1">{#N/A,#N/A,FALSE,"OTHERINPUTS";#N/A,#N/A,FALSE,"DITRATEINPUTS";#N/A,#N/A,FALSE,"SUPPLIEDADJINPUT";#N/A,#N/A,FALSE,"TIMINGDIFFINPUTS";#N/A,#N/A,FALSE,"BR&amp;SUPADJ."}</definedName>
    <definedName name="wrn.WMECO_INPUTS." localSheetId="18" hidden="1">{#N/A,#N/A,FALSE,"OTHERINPUTS";#N/A,#N/A,FALSE,"DITRATEINPUTS";#N/A,#N/A,FALSE,"SUPPLIEDADJINPUT";#N/A,#N/A,FALSE,"TIMINGDIFFINPUTS";#N/A,#N/A,FALSE,"BR&amp;SUPADJ."}</definedName>
    <definedName name="wrn.WMECO_INPUTS." localSheetId="20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13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18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file." localSheetId="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3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8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0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3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8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0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1.printal." localSheetId="1" hidden="1">{#N/A,#N/A,FALSE,"PREFDIV";#N/A,#N/A,FALSE,"STINT";#N/A,#N/A,FALSE,"LTINT";#N/A,#N/A,FALSE,"BTL";#N/A,#N/A,FALSE,"AFC";#N/A,#N/A,FALSE,"OTHNET";#N/A,#N/A,FALSE,"ATL"}</definedName>
    <definedName name="wrn1.printal." localSheetId="13" hidden="1">{#N/A,#N/A,FALSE,"PREFDIV";#N/A,#N/A,FALSE,"STINT";#N/A,#N/A,FALSE,"LTINT";#N/A,#N/A,FALSE,"BTL";#N/A,#N/A,FALSE,"AFC";#N/A,#N/A,FALSE,"OTHNET";#N/A,#N/A,FALSE,"ATL"}</definedName>
    <definedName name="wrn1.printal." localSheetId="18" hidden="1">{#N/A,#N/A,FALSE,"PREFDIV";#N/A,#N/A,FALSE,"STINT";#N/A,#N/A,FALSE,"LTINT";#N/A,#N/A,FALSE,"BTL";#N/A,#N/A,FALSE,"AFC";#N/A,#N/A,FALSE,"OTHNET";#N/A,#N/A,FALSE,"ATL"}</definedName>
    <definedName name="wrn1.printal." localSheetId="20" hidden="1">{#N/A,#N/A,FALSE,"PREFDIV";#N/A,#N/A,FALSE,"STINT";#N/A,#N/A,FALSE,"LTINT";#N/A,#N/A,FALSE,"BTL";#N/A,#N/A,FALSE,"AFC";#N/A,#N/A,FALSE,"OTHNET";#N/A,#N/A,FALSE,"ATL"}</definedName>
    <definedName name="wrn1.printal." hidden="1">{#N/A,#N/A,FALSE,"PREFDIV";#N/A,#N/A,FALSE,"STINT";#N/A,#N/A,FALSE,"LTINT";#N/A,#N/A,FALSE,"BTL";#N/A,#N/A,FALSE,"AFC";#N/A,#N/A,FALSE,"OTHNET";#N/A,#N/A,FALSE,"ATL"}</definedName>
    <definedName name="wvu.allyears." localSheetId="1" hidden="1">{TRUE,TRUE,-0.5,-14.75,483,300,FALSE,TRUE,TRUE,TRUE,0,20,20,6,1,10.35,2,4,TRUE,TRUE,3,TRUE,1,FALSE,100,"Swvu.allyears.","ACwvu.allyears.",1,FALSE,FALSE,0.25,0.25,1,0.5,1,"&amp;L&amp;F &amp;D &amp;T&amp;CPSC
1994 Equity Budget","Page &amp;P",TRUE,FALSE,FALSE,FALSE,1,100,#N/A,#N/A,"=R1C20:R237C40","=C1:C3","Rwvu.allyears.","Cwvu.allyears.",FALSE,FALSE}</definedName>
    <definedName name="wvu.allyears." localSheetId="13" hidden="1">{TRUE,TRUE,-0.5,-14.75,483,300,FALSE,TRUE,TRUE,TRUE,0,20,20,6,1,10.35,2,4,TRUE,TRUE,3,TRUE,1,FALSE,100,"Swvu.allyears.","ACwvu.allyears.",1,FALSE,FALSE,0.25,0.25,1,0.5,1,"&amp;L&amp;F &amp;D &amp;T&amp;CPSC
1994 Equity Budget","Page &amp;P",TRUE,FALSE,FALSE,FALSE,1,100,#N/A,#N/A,"=R1C20:R237C40","=C1:C3","Rwvu.allyears.","Cwvu.allyears.",FALSE,FALSE}</definedName>
    <definedName name="wvu.allyears." localSheetId="18" hidden="1">{TRUE,TRUE,-0.5,-14.75,483,300,FALSE,TRUE,TRUE,TRUE,0,20,20,6,1,10.35,2,4,TRUE,TRUE,3,TRUE,1,FALSE,100,"Swvu.allyears.","ACwvu.allyears.",1,FALSE,FALSE,0.25,0.25,1,0.5,1,"&amp;L&amp;F &amp;D &amp;T&amp;CPSC
1994 Equity Budget","Page &amp;P",TRUE,FALSE,FALSE,FALSE,1,100,#N/A,#N/A,"=R1C20:R237C40","=C1:C3","Rwvu.allyears.","Cwvu.allyears.",FALSE,FALSE}</definedName>
    <definedName name="wvu.allyears." localSheetId="20" hidden="1">{TRUE,TRUE,-0.5,-14.75,483,300,FALSE,TRUE,TRUE,TRUE,0,20,20,6,1,10.35,2,4,TRUE,TRUE,3,TRUE,1,FALSE,100,"Swvu.allyears.","ACwvu.allyears.",1,FALSE,FALSE,0.25,0.25,1,0.5,1,"&amp;L&amp;F &amp;D &amp;T&amp;CPSC
1994 Equity Budget","Page &amp;P",TRUE,FALSE,FALSE,FALSE,1,100,#N/A,#N/A,"=R1C20:R237C40","=C1:C3","Rwvu.allyears.","Cwvu.allyears.",FALSE,FALSE}</definedName>
    <definedName name="wvu.allyears." hidden="1">{TRUE,TRUE,-0.5,-14.75,483,300,FALSE,TRUE,TRUE,TRUE,0,20,20,6,1,10.35,2,4,TRUE,TRUE,3,TRUE,1,FALSE,100,"Swvu.allyears.","ACwvu.allyears.",1,FALSE,FALSE,0.25,0.25,1,0.5,1,"&amp;L&amp;F &amp;D &amp;T&amp;CPSC
1994 Equity Budget","Page &amp;P",TRUE,FALSE,FALSE,FALSE,1,100,#N/A,#N/A,"=R1C20:R237C40","=C1:C3","Rwvu.allyears.","Cwvu.allyears.",FALSE,FALSE}</definedName>
    <definedName name="wvu.DATABASE." localSheetId="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3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8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3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8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yr1fullrpt." localSheetId="1" hidden="1">{TRUE,TRUE,-1.25,-15.5,484.5,279.75,FALSE,TRUE,TRUE,TRUE,0,1,2,5,28,2.98305084745763,3,4,TRUE,TRUE,3,TRUE,1,FALSE,100,"Swvu.yr1fullrpt.","ACwvu.yr1fullrpt.",1,FALSE,FALSE,0.25,0.25,1,0.5,2,"&amp;L&amp;F &amp;D &amp;T&amp;CPSC
1995 Equity Forecast","Page &amp;P",TRUE,FALSE,FALSE,FALSE,1,55,#N/A,#N/A,"=R1C1:R336C20","=C1:C3",#N/A,"Cwvu.yr1fullrpt.",FALSE,FALSE}</definedName>
    <definedName name="wvu.yr1fullrpt." localSheetId="13" hidden="1">{TRUE,TRUE,-1.25,-15.5,484.5,279.75,FALSE,TRUE,TRUE,TRUE,0,1,2,5,28,2.98305084745763,3,4,TRUE,TRUE,3,TRUE,1,FALSE,100,"Swvu.yr1fullrpt.","ACwvu.yr1fullrpt.",1,FALSE,FALSE,0.25,0.25,1,0.5,2,"&amp;L&amp;F &amp;D &amp;T&amp;CPSC
1995 Equity Forecast","Page &amp;P",TRUE,FALSE,FALSE,FALSE,1,55,#N/A,#N/A,"=R1C1:R336C20","=C1:C3",#N/A,"Cwvu.yr1fullrpt.",FALSE,FALSE}</definedName>
    <definedName name="wvu.yr1fullrpt." localSheetId="18" hidden="1">{TRUE,TRUE,-1.25,-15.5,484.5,279.75,FALSE,TRUE,TRUE,TRUE,0,1,2,5,28,2.98305084745763,3,4,TRUE,TRUE,3,TRUE,1,FALSE,100,"Swvu.yr1fullrpt.","ACwvu.yr1fullrpt.",1,FALSE,FALSE,0.25,0.25,1,0.5,2,"&amp;L&amp;F &amp;D &amp;T&amp;CPSC
1995 Equity Forecast","Page &amp;P",TRUE,FALSE,FALSE,FALSE,1,55,#N/A,#N/A,"=R1C1:R336C20","=C1:C3",#N/A,"Cwvu.yr1fullrpt.",FALSE,FALSE}</definedName>
    <definedName name="wvu.yr1fullrpt." localSheetId="20" hidden="1">{TRUE,TRUE,-1.25,-15.5,484.5,279.75,FALSE,TRUE,TRUE,TRUE,0,1,2,5,28,2.98305084745763,3,4,TRUE,TRUE,3,TRUE,1,FALSE,100,"Swvu.yr1fullrpt.","ACwvu.yr1fullrpt.",1,FALSE,FALSE,0.25,0.25,1,0.5,2,"&amp;L&amp;F &amp;D &amp;T&amp;CPSC
1995 Equity Forecast","Page &amp;P",TRUE,FALSE,FALSE,FALSE,1,55,#N/A,#N/A,"=R1C1:R336C20","=C1:C3",#N/A,"Cwvu.yr1fullrpt.",FALSE,FALSE}</definedName>
    <definedName name="wvu.yr1fullrpt." hidden="1">{TRUE,TRUE,-1.25,-15.5,484.5,279.75,FALSE,TRUE,TRUE,TRUE,0,1,2,5,28,2.98305084745763,3,4,TRUE,TRUE,3,TRUE,1,FALSE,100,"Swvu.yr1fullrpt.","ACwvu.yr1fullrpt.",1,FALSE,FALSE,0.25,0.25,1,0.5,2,"&amp;L&amp;F &amp;D &amp;T&amp;CPSC
1995 Equity Forecast","Page &amp;P",TRUE,FALSE,FALSE,FALSE,1,55,#N/A,#N/A,"=R1C1:R336C20","=C1:C3",#N/A,"Cwvu.yr1fullrpt.",FALSE,FALSE}</definedName>
    <definedName name="wvu.yr1quarter." localSheetId="1" hidden="1">{TRUE,TRUE,-1.25,-15.5,484.5,279.75,FALSE,TRUE,TRUE,TRUE,0,1,3,5,4,2.98305084745763,3,4,TRUE,TRUE,3,TRUE,1,FALSE,100,"Swvu.yr1quarter.","ACwvu.yr1quarter.",1,FALSE,FALSE,0.25,0.25,1,0.5,2,"&amp;L&amp;F &amp;D &amp;T&amp;CPSC
1995 Equity Forecast","Page &amp;P",TRUE,FALSE,FALSE,FALSE,1,100,#N/A,#N/A,"=R1C1:R336C20","=C1:C3","Rwvu.yr1quarter.","Cwvu.yr1quarter.",FALSE,FALSE}</definedName>
    <definedName name="wvu.yr1quarter." localSheetId="13" hidden="1">{TRUE,TRUE,-1.25,-15.5,484.5,279.75,FALSE,TRUE,TRUE,TRUE,0,1,3,5,4,2.98305084745763,3,4,TRUE,TRUE,3,TRUE,1,FALSE,100,"Swvu.yr1quarter.","ACwvu.yr1quarter.",1,FALSE,FALSE,0.25,0.25,1,0.5,2,"&amp;L&amp;F &amp;D &amp;T&amp;CPSC
1995 Equity Forecast","Page &amp;P",TRUE,FALSE,FALSE,FALSE,1,100,#N/A,#N/A,"=R1C1:R336C20","=C1:C3","Rwvu.yr1quarter.","Cwvu.yr1quarter.",FALSE,FALSE}</definedName>
    <definedName name="wvu.yr1quarter." localSheetId="18" hidden="1">{TRUE,TRUE,-1.25,-15.5,484.5,279.75,FALSE,TRUE,TRUE,TRUE,0,1,3,5,4,2.98305084745763,3,4,TRUE,TRUE,3,TRUE,1,FALSE,100,"Swvu.yr1quarter.","ACwvu.yr1quarter.",1,FALSE,FALSE,0.25,0.25,1,0.5,2,"&amp;L&amp;F &amp;D &amp;T&amp;CPSC
1995 Equity Forecast","Page &amp;P",TRUE,FALSE,FALSE,FALSE,1,100,#N/A,#N/A,"=R1C1:R336C20","=C1:C3","Rwvu.yr1quarter.","Cwvu.yr1quarter.",FALSE,FALSE}</definedName>
    <definedName name="wvu.yr1quarter." localSheetId="20" hidden="1">{TRUE,TRUE,-1.25,-15.5,484.5,279.75,FALSE,TRUE,TRUE,TRUE,0,1,3,5,4,2.98305084745763,3,4,TRUE,TRUE,3,TRUE,1,FALSE,100,"Swvu.yr1quarter.","ACwvu.yr1quarter.",1,FALSE,FALSE,0.25,0.25,1,0.5,2,"&amp;L&amp;F &amp;D &amp;T&amp;CPSC
1995 Equity Forecast","Page &amp;P",TRUE,FALSE,FALSE,FALSE,1,100,#N/A,#N/A,"=R1C1:R336C20","=C1:C3","Rwvu.yr1quarter.","Cwvu.yr1quarter.",FALSE,FALSE}</definedName>
    <definedName name="wvu.yr1quarter." hidden="1">{TRUE,TRUE,-1.25,-15.5,484.5,279.75,FALSE,TRUE,TRUE,TRUE,0,1,3,5,4,2.98305084745763,3,4,TRUE,TRUE,3,TRUE,1,FALSE,100,"Swvu.yr1quarter.","ACwvu.yr1quarter.",1,FALSE,FALSE,0.25,0.25,1,0.5,2,"&amp;L&amp;F &amp;D &amp;T&amp;CPSC
1995 Equity Forecast","Page &amp;P",TRUE,FALSE,FALSE,FALSE,1,100,#N/A,#N/A,"=R1C1:R336C20","=C1:C3","Rwvu.yr1quarter.","Cwvu.yr1quarter.",FALSE,FALSE}</definedName>
    <definedName name="www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www" localSheetId="1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www" localSheetId="18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www" localSheetId="20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www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wwwww" localSheetId="1" hidden="1">{#N/A,#N/A,FALSE,"Exhibit";#N/A,#N/A,FALSE,"MPPayments";#N/A,#N/A,FALSE,"Capitation";#N/A,#N/A,FALSE,"Claims";#N/A,#N/A,FALSE,"ActualPymts"}</definedName>
    <definedName name="wwwww" localSheetId="13" hidden="1">{#N/A,#N/A,FALSE,"Exhibit";#N/A,#N/A,FALSE,"MPPayments";#N/A,#N/A,FALSE,"Capitation";#N/A,#N/A,FALSE,"Claims";#N/A,#N/A,FALSE,"ActualPymts"}</definedName>
    <definedName name="wwwww" localSheetId="18" hidden="1">{#N/A,#N/A,FALSE,"Exhibit";#N/A,#N/A,FALSE,"MPPayments";#N/A,#N/A,FALSE,"Capitation";#N/A,#N/A,FALSE,"Claims";#N/A,#N/A,FALSE,"ActualPymts"}</definedName>
    <definedName name="wwwww" localSheetId="20" hidden="1">{#N/A,#N/A,FALSE,"Exhibit";#N/A,#N/A,FALSE,"MPPayments";#N/A,#N/A,FALSE,"Capitation";#N/A,#N/A,FALSE,"Claims";#N/A,#N/A,FALSE,"ActualPymts"}</definedName>
    <definedName name="wwwww" hidden="1">{#N/A,#N/A,FALSE,"Exhibit";#N/A,#N/A,FALSE,"MPPayments";#N/A,#N/A,FALSE,"Capitation";#N/A,#N/A,FALSE,"Claims";#N/A,#N/A,FALSE,"ActualPymts"}</definedName>
    <definedName name="X" localSheetId="1" hidden="1">#REF!</definedName>
    <definedName name="X" localSheetId="18" hidden="1">#REF!</definedName>
    <definedName name="X" localSheetId="20" hidden="1">#REF!</definedName>
    <definedName name="X" hidden="1">#REF!</definedName>
    <definedName name="xx" localSheetId="1" hidden="1">{#N/A,#N/A,TRUE,"TAXPROV";#N/A,#N/A,TRUE,"FLOWTHRU";#N/A,#N/A,TRUE,"SCHEDULE M'S";#N/A,#N/A,TRUE,"PLANT M'S";#N/A,#N/A,TRUE,"TAXJE"}</definedName>
    <definedName name="xx" localSheetId="13" hidden="1">{#N/A,#N/A,TRUE,"TAXPROV";#N/A,#N/A,TRUE,"FLOWTHRU";#N/A,#N/A,TRUE,"SCHEDULE M'S";#N/A,#N/A,TRUE,"PLANT M'S";#N/A,#N/A,TRUE,"TAXJE"}</definedName>
    <definedName name="xx" localSheetId="18" hidden="1">{#N/A,#N/A,TRUE,"TAXPROV";#N/A,#N/A,TRUE,"FLOWTHRU";#N/A,#N/A,TRUE,"SCHEDULE M'S";#N/A,#N/A,TRUE,"PLANT M'S";#N/A,#N/A,TRUE,"TAXJE"}</definedName>
    <definedName name="xx" localSheetId="20" hidden="1">{#N/A,#N/A,TRUE,"TAXPROV";#N/A,#N/A,TRUE,"FLOWTHRU";#N/A,#N/A,TRUE,"SCHEDULE M'S";#N/A,#N/A,TRUE,"PLANT M'S";#N/A,#N/A,TRUE,"TAXJE"}</definedName>
    <definedName name="xx" hidden="1">{#N/A,#N/A,TRUE,"TAXPROV";#N/A,#N/A,TRUE,"FLOWTHRU";#N/A,#N/A,TRUE,"SCHEDULE M'S";#N/A,#N/A,TRUE,"PLANT M'S";#N/A,#N/A,TRUE,"TAXJE"}</definedName>
    <definedName name="xxx" localSheetId="1" hidden="1">{#N/A,#N/A,FALSE,"GLDwnLoad"}</definedName>
    <definedName name="xxx" localSheetId="13" hidden="1">{#N/A,#N/A,FALSE,"GLDwnLoad"}</definedName>
    <definedName name="xxx" localSheetId="18" hidden="1">{#N/A,#N/A,FALSE,"GLDwnLoad"}</definedName>
    <definedName name="xxx" localSheetId="20" hidden="1">{#N/A,#N/A,FALSE,"GLDwnLoad"}</definedName>
    <definedName name="xxx" hidden="1">{#N/A,#N/A,FALSE,"GLDwnLoad"}</definedName>
    <definedName name="xxx_1" localSheetId="1" hidden="1">{"'Sheet1'!$A$1:$O$40"}</definedName>
    <definedName name="xxx_1" localSheetId="13" hidden="1">{"'Sheet1'!$A$1:$O$40"}</definedName>
    <definedName name="xxx_1" localSheetId="18" hidden="1">{"'Sheet1'!$A$1:$O$40"}</definedName>
    <definedName name="xxx_1" localSheetId="20" hidden="1">{"'Sheet1'!$A$1:$O$40"}</definedName>
    <definedName name="xxx_1" hidden="1">{"'Sheet1'!$A$1:$O$40"}</definedName>
    <definedName name="xxx_1_1" localSheetId="1" hidden="1">{"'Sheet1'!$A$1:$O$40"}</definedName>
    <definedName name="xxx_1_1" localSheetId="13" hidden="1">{"'Sheet1'!$A$1:$O$40"}</definedName>
    <definedName name="xxx_1_1" localSheetId="18" hidden="1">{"'Sheet1'!$A$1:$O$40"}</definedName>
    <definedName name="xxx_1_1" localSheetId="20" hidden="1">{"'Sheet1'!$A$1:$O$40"}</definedName>
    <definedName name="xxx_1_1" hidden="1">{"'Sheet1'!$A$1:$O$40"}</definedName>
    <definedName name="xxx_1_2" localSheetId="1" hidden="1">{"'Sheet1'!$A$1:$O$40"}</definedName>
    <definedName name="xxx_1_2" localSheetId="13" hidden="1">{"'Sheet1'!$A$1:$O$40"}</definedName>
    <definedName name="xxx_1_2" localSheetId="18" hidden="1">{"'Sheet1'!$A$1:$O$40"}</definedName>
    <definedName name="xxx_1_2" localSheetId="20" hidden="1">{"'Sheet1'!$A$1:$O$40"}</definedName>
    <definedName name="xxx_1_2" hidden="1">{"'Sheet1'!$A$1:$O$40"}</definedName>
    <definedName name="xxx_2" localSheetId="1" hidden="1">{"'Sheet1'!$A$1:$O$40"}</definedName>
    <definedName name="xxx_2" localSheetId="13" hidden="1">{"'Sheet1'!$A$1:$O$40"}</definedName>
    <definedName name="xxx_2" localSheetId="18" hidden="1">{"'Sheet1'!$A$1:$O$40"}</definedName>
    <definedName name="xxx_2" localSheetId="20" hidden="1">{"'Sheet1'!$A$1:$O$40"}</definedName>
    <definedName name="xxx_2" hidden="1">{"'Sheet1'!$A$1:$O$40"}</definedName>
    <definedName name="xxx_3" localSheetId="1" hidden="1">{"'Sheet1'!$A$1:$O$40"}</definedName>
    <definedName name="xxx_3" localSheetId="13" hidden="1">{"'Sheet1'!$A$1:$O$40"}</definedName>
    <definedName name="xxx_3" localSheetId="18" hidden="1">{"'Sheet1'!$A$1:$O$40"}</definedName>
    <definedName name="xxx_3" localSheetId="20" hidden="1">{"'Sheet1'!$A$1:$O$40"}</definedName>
    <definedName name="xxx_3" hidden="1">{"'Sheet1'!$A$1:$O$40"}</definedName>
    <definedName name="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8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8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1" hidden="1">#REF!</definedName>
    <definedName name="Y" localSheetId="18" hidden="1">#REF!</definedName>
    <definedName name="Y" localSheetId="20" hidden="1">#REF!</definedName>
    <definedName name="Y" hidden="1">#REF!</definedName>
    <definedName name="yes" localSheetId="1" hidden="1">#REF!</definedName>
    <definedName name="yes" localSheetId="20" hidden="1">#REF!</definedName>
    <definedName name="yes" hidden="1">#REF!</definedName>
    <definedName name="yesindeed" localSheetId="1" hidden="1">#REF!</definedName>
    <definedName name="yesindeed" localSheetId="20" hidden="1">#REF!</definedName>
    <definedName name="yesindeed" hidden="1">#REF!</definedName>
    <definedName name="yesir" localSheetId="1" hidden="1">#REF!</definedName>
    <definedName name="yesir" localSheetId="20" hidden="1">#REF!</definedName>
    <definedName name="yesir" hidden="1">#REF!</definedName>
    <definedName name="yyy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1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1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localSheetId="1" hidden="1">#REF!</definedName>
    <definedName name="yyyyyy" localSheetId="18" hidden="1">#REF!</definedName>
    <definedName name="yyyyyy" localSheetId="20" hidden="1">#REF!</definedName>
    <definedName name="yyyyyy" hidden="1">#REF!</definedName>
    <definedName name="yyyyyyyy" localSheetId="1" hidden="1">{#N/A,#N/A,FALSE,"SCA";#N/A,#N/A,FALSE,"NCA";#N/A,#N/A,FALSE,"SAZ";#N/A,#N/A,FALSE,"CAZ";#N/A,#N/A,FALSE,"SNV";#N/A,#N/A,FALSE,"NNV";#N/A,#N/A,FALSE,"PP";#N/A,#N/A,FALSE,"SA"}</definedName>
    <definedName name="yyyyyyyy" localSheetId="13" hidden="1">{#N/A,#N/A,FALSE,"SCA";#N/A,#N/A,FALSE,"NCA";#N/A,#N/A,FALSE,"SAZ";#N/A,#N/A,FALSE,"CAZ";#N/A,#N/A,FALSE,"SNV";#N/A,#N/A,FALSE,"NNV";#N/A,#N/A,FALSE,"PP";#N/A,#N/A,FALSE,"SA"}</definedName>
    <definedName name="yyyyyyyy" localSheetId="18" hidden="1">{#N/A,#N/A,FALSE,"SCA";#N/A,#N/A,FALSE,"NCA";#N/A,#N/A,FALSE,"SAZ";#N/A,#N/A,FALSE,"CAZ";#N/A,#N/A,FALSE,"SNV";#N/A,#N/A,FALSE,"NNV";#N/A,#N/A,FALSE,"PP";#N/A,#N/A,FALSE,"SA"}</definedName>
    <definedName name="yyyyyyyy" localSheetId="20" hidden="1">{#N/A,#N/A,FALSE,"SCA";#N/A,#N/A,FALSE,"NCA";#N/A,#N/A,FALSE,"SAZ";#N/A,#N/A,FALSE,"CAZ";#N/A,#N/A,FALSE,"SNV";#N/A,#N/A,FALSE,"NNV";#N/A,#N/A,FALSE,"PP";#N/A,#N/A,FALSE,"SA"}</definedName>
    <definedName name="yyyyyyyy" hidden="1">{#N/A,#N/A,FALSE,"SCA";#N/A,#N/A,FALSE,"NCA";#N/A,#N/A,FALSE,"SAZ";#N/A,#N/A,FALSE,"CAZ";#N/A,#N/A,FALSE,"SNV";#N/A,#N/A,FALSE,"NNV";#N/A,#N/A,FALSE,"PP";#N/A,#N/A,FALSE,"SA"}</definedName>
    <definedName name="Z" localSheetId="1" hidden="1">#REF!</definedName>
    <definedName name="Z" localSheetId="18" hidden="1">#REF!</definedName>
    <definedName name="Z" localSheetId="20" hidden="1">#REF!</definedName>
    <definedName name="Z" hidden="1">#REF!</definedName>
    <definedName name="Z_055ABE5A_5E06_11D2_8EED_0008C7BCAF29_.wvu.PrintArea" localSheetId="1" hidden="1">#REF!</definedName>
    <definedName name="Z_055ABE5A_5E06_11D2_8EED_0008C7BCAF29_.wvu.PrintArea" localSheetId="20" hidden="1">#REF!</definedName>
    <definedName name="Z_055ABE5A_5E06_11D2_8EED_0008C7BCAF29_.wvu.PrintArea" hidden="1">#REF!</definedName>
    <definedName name="Z_055ABE5A_5E06_11D2_8EED_0008C7BCAF29_.wvu.PrintTitles" localSheetId="1" hidden="1">#REF!</definedName>
    <definedName name="Z_055ABE5A_5E06_11D2_8EED_0008C7BCAF29_.wvu.PrintTitles" localSheetId="20" hidden="1">#REF!</definedName>
    <definedName name="Z_055ABE5A_5E06_11D2_8EED_0008C7BCAF29_.wvu.PrintTitles" hidden="1">#REF!</definedName>
    <definedName name="Z_055ABE69_5E06_11D2_8EED_0008C7BCAF29_.wvu.PrintArea" localSheetId="1" hidden="1">#REF!</definedName>
    <definedName name="Z_055ABE69_5E06_11D2_8EED_0008C7BCAF29_.wvu.PrintArea" localSheetId="20" hidden="1">#REF!</definedName>
    <definedName name="Z_055ABE69_5E06_11D2_8EED_0008C7BCAF29_.wvu.PrintArea" hidden="1">#REF!</definedName>
    <definedName name="Z_055ABE69_5E06_11D2_8EED_0008C7BCAF29_.wvu.PrintTitles" localSheetId="1" hidden="1">#REF!</definedName>
    <definedName name="Z_055ABE69_5E06_11D2_8EED_0008C7BCAF29_.wvu.PrintTitles" localSheetId="20" hidden="1">#REF!</definedName>
    <definedName name="Z_055ABE69_5E06_11D2_8EED_0008C7BCAF29_.wvu.PrintTitles" hidden="1">#REF!</definedName>
    <definedName name="Z_055ABE76_5E06_11D2_8EED_0008C7BCAF29_.wvu.PrintArea" localSheetId="1" hidden="1">#REF!</definedName>
    <definedName name="Z_055ABE76_5E06_11D2_8EED_0008C7BCAF29_.wvu.PrintArea" localSheetId="20" hidden="1">#REF!</definedName>
    <definedName name="Z_055ABE76_5E06_11D2_8EED_0008C7BCAF29_.wvu.PrintArea" hidden="1">#REF!</definedName>
    <definedName name="Z_055ABE76_5E06_11D2_8EED_0008C7BCAF29_.wvu.PrintTitles" localSheetId="1" hidden="1">#REF!,#REF!</definedName>
    <definedName name="Z_055ABE76_5E06_11D2_8EED_0008C7BCAF29_.wvu.PrintTitles" localSheetId="18" hidden="1">#REF!,#REF!</definedName>
    <definedName name="Z_055ABE76_5E06_11D2_8EED_0008C7BCAF29_.wvu.PrintTitles" localSheetId="20" hidden="1">#REF!,#REF!</definedName>
    <definedName name="Z_055ABE76_5E06_11D2_8EED_0008C7BCAF29_.wvu.PrintTitles" hidden="1">#REF!,#REF!</definedName>
    <definedName name="Z_055ABE84_5E06_11D2_8EED_0008C7BCAF29_.wvu.PrintArea" localSheetId="1" hidden="1">#REF!</definedName>
    <definedName name="Z_055ABE84_5E06_11D2_8EED_0008C7BCAF29_.wvu.PrintArea" localSheetId="18" hidden="1">#REF!</definedName>
    <definedName name="Z_055ABE84_5E06_11D2_8EED_0008C7BCAF29_.wvu.PrintArea" localSheetId="20" hidden="1">#REF!</definedName>
    <definedName name="Z_055ABE84_5E06_11D2_8EED_0008C7BCAF29_.wvu.PrintArea" hidden="1">#REF!</definedName>
    <definedName name="Z_055ABE84_5E06_11D2_8EED_0008C7BCAF29_.wvu.PrintTitles" localSheetId="1" hidden="1">#REF!</definedName>
    <definedName name="Z_055ABE84_5E06_11D2_8EED_0008C7BCAF29_.wvu.PrintTitles" localSheetId="20" hidden="1">#REF!</definedName>
    <definedName name="Z_055ABE84_5E06_11D2_8EED_0008C7BCAF29_.wvu.PrintTitles" hidden="1">#REF!</definedName>
    <definedName name="Z_055ABE93_5E06_11D2_8EED_0008C7BCAF29_.wvu.PrintArea" localSheetId="1" hidden="1">#REF!</definedName>
    <definedName name="Z_055ABE93_5E06_11D2_8EED_0008C7BCAF29_.wvu.PrintArea" localSheetId="20" hidden="1">#REF!</definedName>
    <definedName name="Z_055ABE93_5E06_11D2_8EED_0008C7BCAF29_.wvu.PrintArea" hidden="1">#REF!</definedName>
    <definedName name="Z_055ABE93_5E06_11D2_8EED_0008C7BCAF29_.wvu.PrintTitles" localSheetId="1" hidden="1">#REF!</definedName>
    <definedName name="Z_055ABE93_5E06_11D2_8EED_0008C7BCAF29_.wvu.PrintTitles" localSheetId="20" hidden="1">#REF!</definedName>
    <definedName name="Z_055ABE93_5E06_11D2_8EED_0008C7BCAF29_.wvu.PrintTitles" hidden="1">#REF!</definedName>
    <definedName name="Z_055ABEA0_5E06_11D2_8EED_0008C7BCAF29_.wvu.PrintArea" localSheetId="1" hidden="1">#REF!</definedName>
    <definedName name="Z_055ABEA0_5E06_11D2_8EED_0008C7BCAF29_.wvu.PrintArea" localSheetId="20" hidden="1">#REF!</definedName>
    <definedName name="Z_055ABEA0_5E06_11D2_8EED_0008C7BCAF29_.wvu.PrintArea" hidden="1">#REF!</definedName>
    <definedName name="Z_055ABEA0_5E06_11D2_8EED_0008C7BCAF29_.wvu.PrintTitles" localSheetId="1" hidden="1">#REF!,#REF!</definedName>
    <definedName name="Z_055ABEA0_5E06_11D2_8EED_0008C7BCAF29_.wvu.PrintTitles" localSheetId="18" hidden="1">#REF!,#REF!</definedName>
    <definedName name="Z_055ABEA0_5E06_11D2_8EED_0008C7BCAF29_.wvu.PrintTitles" localSheetId="20" hidden="1">#REF!,#REF!</definedName>
    <definedName name="Z_055ABEA0_5E06_11D2_8EED_0008C7BCAF29_.wvu.PrintTitles" hidden="1">#REF!,#REF!</definedName>
    <definedName name="Z_05DE23E1_1046_11D2_8E70_0008C77C0743_.wvu.PrintArea" localSheetId="1" hidden="1">#REF!</definedName>
    <definedName name="Z_05DE23E1_1046_11D2_8E70_0008C77C0743_.wvu.PrintArea" localSheetId="18" hidden="1">#REF!</definedName>
    <definedName name="Z_05DE23E1_1046_11D2_8E70_0008C77C0743_.wvu.PrintArea" localSheetId="20" hidden="1">#REF!</definedName>
    <definedName name="Z_05DE23E1_1046_11D2_8E70_0008C77C0743_.wvu.PrintArea" hidden="1">#REF!</definedName>
    <definedName name="Z_05DE23E1_1046_11D2_8E70_0008C77C0743_.wvu.PrintTitles" localSheetId="1" hidden="1">#REF!,#REF!</definedName>
    <definedName name="Z_05DE23E1_1046_11D2_8E70_0008C77C0743_.wvu.PrintTitles" localSheetId="18" hidden="1">#REF!,#REF!</definedName>
    <definedName name="Z_05DE23E1_1046_11D2_8E70_0008C77C0743_.wvu.PrintTitles" localSheetId="20" hidden="1">#REF!,#REF!</definedName>
    <definedName name="Z_05DE23E1_1046_11D2_8E70_0008C77C0743_.wvu.PrintTitles" hidden="1">#REF!,#REF!</definedName>
    <definedName name="Z_05DE23E4_1046_11D2_8E70_0008C77C0743_.wvu.PrintArea" localSheetId="1" hidden="1">#REF!</definedName>
    <definedName name="Z_05DE23E4_1046_11D2_8E70_0008C77C0743_.wvu.PrintArea" localSheetId="18" hidden="1">#REF!</definedName>
    <definedName name="Z_05DE23E4_1046_11D2_8E70_0008C77C0743_.wvu.PrintArea" localSheetId="20" hidden="1">#REF!</definedName>
    <definedName name="Z_05DE23E4_1046_11D2_8E70_0008C77C0743_.wvu.PrintArea" hidden="1">#REF!</definedName>
    <definedName name="Z_05DE23E4_1046_11D2_8E70_0008C77C0743_.wvu.PrintTitles" localSheetId="1" hidden="1">#REF!</definedName>
    <definedName name="Z_05DE23E4_1046_11D2_8E70_0008C77C0743_.wvu.PrintTitles" localSheetId="20" hidden="1">#REF!</definedName>
    <definedName name="Z_05DE23E4_1046_11D2_8E70_0008C77C0743_.wvu.PrintTitles" hidden="1">#REF!</definedName>
    <definedName name="Z_05DE23E9_1046_11D2_8E70_0008C77C0743_.wvu.PrintArea" localSheetId="1" hidden="1">#REF!</definedName>
    <definedName name="Z_05DE23E9_1046_11D2_8E70_0008C77C0743_.wvu.PrintArea" localSheetId="20" hidden="1">#REF!</definedName>
    <definedName name="Z_05DE23E9_1046_11D2_8E70_0008C77C0743_.wvu.PrintArea" hidden="1">#REF!</definedName>
    <definedName name="Z_05DE23E9_1046_11D2_8E70_0008C77C0743_.wvu.PrintTitles" localSheetId="1" hidden="1">#REF!,#REF!</definedName>
    <definedName name="Z_05DE23E9_1046_11D2_8E70_0008C77C0743_.wvu.PrintTitles" localSheetId="18" hidden="1">#REF!,#REF!</definedName>
    <definedName name="Z_05DE23E9_1046_11D2_8E70_0008C77C0743_.wvu.PrintTitles" localSheetId="20" hidden="1">#REF!,#REF!</definedName>
    <definedName name="Z_05DE23E9_1046_11D2_8E70_0008C77C0743_.wvu.PrintTitles" hidden="1">#REF!,#REF!</definedName>
    <definedName name="Z_05DE23EB_1046_11D2_8E70_0008C77C0743_.wvu.PrintArea" localSheetId="1" hidden="1">#REF!</definedName>
    <definedName name="Z_05DE23EB_1046_11D2_8E70_0008C77C0743_.wvu.PrintArea" localSheetId="18" hidden="1">#REF!</definedName>
    <definedName name="Z_05DE23EB_1046_11D2_8E70_0008C77C0743_.wvu.PrintArea" localSheetId="20" hidden="1">#REF!</definedName>
    <definedName name="Z_05DE23EB_1046_11D2_8E70_0008C77C0743_.wvu.PrintArea" hidden="1">#REF!</definedName>
    <definedName name="Z_05DE23EB_1046_11D2_8E70_0008C77C0743_.wvu.PrintTitles" localSheetId="1" hidden="1">#REF!,#REF!</definedName>
    <definedName name="Z_05DE23EB_1046_11D2_8E70_0008C77C0743_.wvu.PrintTitles" localSheetId="18" hidden="1">#REF!,#REF!</definedName>
    <definedName name="Z_05DE23EB_1046_11D2_8E70_0008C77C0743_.wvu.PrintTitles" localSheetId="20" hidden="1">#REF!,#REF!</definedName>
    <definedName name="Z_05DE23EB_1046_11D2_8E70_0008C77C0743_.wvu.PrintTitles" hidden="1">#REF!,#REF!</definedName>
    <definedName name="Z_05DE23EE_1046_11D2_8E70_0008C77C0743_.wvu.PrintArea" localSheetId="1" hidden="1">#REF!</definedName>
    <definedName name="Z_05DE23EE_1046_11D2_8E70_0008C77C0743_.wvu.PrintArea" localSheetId="18" hidden="1">#REF!</definedName>
    <definedName name="Z_05DE23EE_1046_11D2_8E70_0008C77C0743_.wvu.PrintArea" localSheetId="20" hidden="1">#REF!</definedName>
    <definedName name="Z_05DE23EE_1046_11D2_8E70_0008C77C0743_.wvu.PrintArea" hidden="1">#REF!</definedName>
    <definedName name="Z_05DE23EE_1046_11D2_8E70_0008C77C0743_.wvu.PrintTitles" localSheetId="1" hidden="1">#REF!</definedName>
    <definedName name="Z_05DE23EE_1046_11D2_8E70_0008C77C0743_.wvu.PrintTitles" localSheetId="20" hidden="1">#REF!</definedName>
    <definedName name="Z_05DE23EE_1046_11D2_8E70_0008C77C0743_.wvu.PrintTitles" hidden="1">#REF!</definedName>
    <definedName name="Z_05DE23F3_1046_11D2_8E70_0008C77C0743_.wvu.PrintArea" localSheetId="1" hidden="1">#REF!</definedName>
    <definedName name="Z_05DE23F3_1046_11D2_8E70_0008C77C0743_.wvu.PrintArea" localSheetId="20" hidden="1">#REF!</definedName>
    <definedName name="Z_05DE23F3_1046_11D2_8E70_0008C77C0743_.wvu.PrintArea" hidden="1">#REF!</definedName>
    <definedName name="Z_05DE23F3_1046_11D2_8E70_0008C77C0743_.wvu.PrintTitles" localSheetId="1" hidden="1">#REF!,#REF!</definedName>
    <definedName name="Z_05DE23F3_1046_11D2_8E70_0008C77C0743_.wvu.PrintTitles" localSheetId="18" hidden="1">#REF!,#REF!</definedName>
    <definedName name="Z_05DE23F3_1046_11D2_8E70_0008C77C0743_.wvu.PrintTitles" localSheetId="20" hidden="1">#REF!,#REF!</definedName>
    <definedName name="Z_05DE23F3_1046_11D2_8E70_0008C77C0743_.wvu.PrintTitles" hidden="1">#REF!,#REF!</definedName>
    <definedName name="Z_05DE23F6_1046_11D2_8E70_0008C77C0743_.wvu.PrintArea" localSheetId="1" hidden="1">#REF!</definedName>
    <definedName name="Z_05DE23F6_1046_11D2_8E70_0008C77C0743_.wvu.PrintArea" localSheetId="18" hidden="1">#REF!</definedName>
    <definedName name="Z_05DE23F6_1046_11D2_8E70_0008C77C0743_.wvu.PrintArea" localSheetId="20" hidden="1">#REF!</definedName>
    <definedName name="Z_05DE23F6_1046_11D2_8E70_0008C77C0743_.wvu.PrintArea" hidden="1">#REF!</definedName>
    <definedName name="Z_05DE23F6_1046_11D2_8E70_0008C77C0743_.wvu.PrintTitles" localSheetId="1" hidden="1">#REF!,#REF!</definedName>
    <definedName name="Z_05DE23F6_1046_11D2_8E70_0008C77C0743_.wvu.PrintTitles" localSheetId="18" hidden="1">#REF!,#REF!</definedName>
    <definedName name="Z_05DE23F6_1046_11D2_8E70_0008C77C0743_.wvu.PrintTitles" localSheetId="20" hidden="1">#REF!,#REF!</definedName>
    <definedName name="Z_05DE23F6_1046_11D2_8E70_0008C77C0743_.wvu.PrintTitles" hidden="1">#REF!,#REF!</definedName>
    <definedName name="Z_0CE6A482_5DEF_11D2_8EC3_0008C77C0743_.wvu.PrintArea" localSheetId="1" hidden="1">#REF!</definedName>
    <definedName name="Z_0CE6A482_5DEF_11D2_8EC3_0008C77C0743_.wvu.PrintArea" localSheetId="18" hidden="1">#REF!</definedName>
    <definedName name="Z_0CE6A482_5DEF_11D2_8EC3_0008C77C0743_.wvu.PrintArea" localSheetId="20" hidden="1">#REF!</definedName>
    <definedName name="Z_0CE6A482_5DEF_11D2_8EC3_0008C77C0743_.wvu.PrintArea" hidden="1">#REF!</definedName>
    <definedName name="Z_0CE6A482_5DEF_11D2_8EC3_0008C77C0743_.wvu.PrintTitles" localSheetId="1" hidden="1">#REF!</definedName>
    <definedName name="Z_0CE6A482_5DEF_11D2_8EC3_0008C77C0743_.wvu.PrintTitles" localSheetId="20" hidden="1">#REF!</definedName>
    <definedName name="Z_0CE6A482_5DEF_11D2_8EC3_0008C77C0743_.wvu.PrintTitles" hidden="1">#REF!</definedName>
    <definedName name="Z_0CE6A491_5DEF_11D2_8EC3_0008C77C0743_.wvu.PrintArea" localSheetId="1" hidden="1">#REF!</definedName>
    <definedName name="Z_0CE6A491_5DEF_11D2_8EC3_0008C77C0743_.wvu.PrintArea" localSheetId="20" hidden="1">#REF!</definedName>
    <definedName name="Z_0CE6A491_5DEF_11D2_8EC3_0008C77C0743_.wvu.PrintArea" hidden="1">#REF!</definedName>
    <definedName name="Z_0CE6A491_5DEF_11D2_8EC3_0008C77C0743_.wvu.PrintTitles" localSheetId="1" hidden="1">#REF!</definedName>
    <definedName name="Z_0CE6A491_5DEF_11D2_8EC3_0008C77C0743_.wvu.PrintTitles" localSheetId="20" hidden="1">#REF!</definedName>
    <definedName name="Z_0CE6A491_5DEF_11D2_8EC3_0008C77C0743_.wvu.PrintTitles" hidden="1">#REF!</definedName>
    <definedName name="Z_0CE6A49E_5DEF_11D2_8EC3_0008C77C0743_.wvu.PrintArea" localSheetId="1" hidden="1">#REF!</definedName>
    <definedName name="Z_0CE6A49E_5DEF_11D2_8EC3_0008C77C0743_.wvu.PrintArea" localSheetId="20" hidden="1">#REF!</definedName>
    <definedName name="Z_0CE6A49E_5DEF_11D2_8EC3_0008C77C0743_.wvu.PrintArea" hidden="1">#REF!</definedName>
    <definedName name="Z_0CE6A49E_5DEF_11D2_8EC3_0008C77C0743_.wvu.PrintTitles" localSheetId="1" hidden="1">#REF!,#REF!</definedName>
    <definedName name="Z_0CE6A49E_5DEF_11D2_8EC3_0008C77C0743_.wvu.PrintTitles" localSheetId="18" hidden="1">#REF!,#REF!</definedName>
    <definedName name="Z_0CE6A49E_5DEF_11D2_8EC3_0008C77C0743_.wvu.PrintTitles" localSheetId="20" hidden="1">#REF!,#REF!</definedName>
    <definedName name="Z_0CE6A49E_5DEF_11D2_8EC3_0008C77C0743_.wvu.PrintTitles" hidden="1">#REF!,#REF!</definedName>
    <definedName name="Z_0CE6A4AB_5DEF_11D2_8EC3_0008C77C0743_.wvu.PrintArea" localSheetId="1" hidden="1">#REF!</definedName>
    <definedName name="Z_0CE6A4AB_5DEF_11D2_8EC3_0008C77C0743_.wvu.PrintArea" localSheetId="18" hidden="1">#REF!</definedName>
    <definedName name="Z_0CE6A4AB_5DEF_11D2_8EC3_0008C77C0743_.wvu.PrintArea" localSheetId="20" hidden="1">#REF!</definedName>
    <definedName name="Z_0CE6A4AB_5DEF_11D2_8EC3_0008C77C0743_.wvu.PrintArea" hidden="1">#REF!</definedName>
    <definedName name="Z_0CE6A4AB_5DEF_11D2_8EC3_0008C77C0743_.wvu.PrintTitles" localSheetId="1" hidden="1">#REF!</definedName>
    <definedName name="Z_0CE6A4AB_5DEF_11D2_8EC3_0008C77C0743_.wvu.PrintTitles" localSheetId="20" hidden="1">#REF!</definedName>
    <definedName name="Z_0CE6A4AB_5DEF_11D2_8EC3_0008C77C0743_.wvu.PrintTitles" hidden="1">#REF!</definedName>
    <definedName name="Z_0CE6A4BA_5DEF_11D2_8EC3_0008C77C0743_.wvu.PrintArea" localSheetId="1" hidden="1">#REF!</definedName>
    <definedName name="Z_0CE6A4BA_5DEF_11D2_8EC3_0008C77C0743_.wvu.PrintArea" localSheetId="20" hidden="1">#REF!</definedName>
    <definedName name="Z_0CE6A4BA_5DEF_11D2_8EC3_0008C77C0743_.wvu.PrintArea" hidden="1">#REF!</definedName>
    <definedName name="Z_0CE6A4BA_5DEF_11D2_8EC3_0008C77C0743_.wvu.PrintTitles" localSheetId="1" hidden="1">#REF!</definedName>
    <definedName name="Z_0CE6A4BA_5DEF_11D2_8EC3_0008C77C0743_.wvu.PrintTitles" localSheetId="20" hidden="1">#REF!</definedName>
    <definedName name="Z_0CE6A4BA_5DEF_11D2_8EC3_0008C77C0743_.wvu.PrintTitles" hidden="1">#REF!</definedName>
    <definedName name="Z_0CE6A4C7_5DEF_11D2_8EC3_0008C77C0743_.wvu.PrintArea" localSheetId="1" hidden="1">#REF!</definedName>
    <definedName name="Z_0CE6A4C7_5DEF_11D2_8EC3_0008C77C0743_.wvu.PrintArea" localSheetId="20" hidden="1">#REF!</definedName>
    <definedName name="Z_0CE6A4C7_5DEF_11D2_8EC3_0008C77C0743_.wvu.PrintArea" hidden="1">#REF!</definedName>
    <definedName name="Z_0CE6A4C7_5DEF_11D2_8EC3_0008C77C0743_.wvu.PrintTitles" localSheetId="1" hidden="1">#REF!,#REF!</definedName>
    <definedName name="Z_0CE6A4C7_5DEF_11D2_8EC3_0008C77C0743_.wvu.PrintTitles" localSheetId="18" hidden="1">#REF!,#REF!</definedName>
    <definedName name="Z_0CE6A4C7_5DEF_11D2_8EC3_0008C77C0743_.wvu.PrintTitles" localSheetId="20" hidden="1">#REF!,#REF!</definedName>
    <definedName name="Z_0CE6A4C7_5DEF_11D2_8EC3_0008C77C0743_.wvu.PrintTitles" hidden="1">#REF!,#REF!</definedName>
    <definedName name="Z_0CE6A4D4_5DEF_11D2_8EC3_0008C77C0743_.wvu.PrintArea" localSheetId="1" hidden="1">#REF!</definedName>
    <definedName name="Z_0CE6A4D4_5DEF_11D2_8EC3_0008C77C0743_.wvu.PrintArea" localSheetId="18" hidden="1">#REF!</definedName>
    <definedName name="Z_0CE6A4D4_5DEF_11D2_8EC3_0008C77C0743_.wvu.PrintArea" localSheetId="20" hidden="1">#REF!</definedName>
    <definedName name="Z_0CE6A4D4_5DEF_11D2_8EC3_0008C77C0743_.wvu.PrintArea" hidden="1">#REF!</definedName>
    <definedName name="Z_0CE6A4D4_5DEF_11D2_8EC3_0008C77C0743_.wvu.PrintTitles" localSheetId="1" hidden="1">#REF!</definedName>
    <definedName name="Z_0CE6A4D4_5DEF_11D2_8EC3_0008C77C0743_.wvu.PrintTitles" localSheetId="20" hidden="1">#REF!</definedName>
    <definedName name="Z_0CE6A4D4_5DEF_11D2_8EC3_0008C77C0743_.wvu.PrintTitles" hidden="1">#REF!</definedName>
    <definedName name="Z_0CE6A4E3_5DEF_11D2_8EC3_0008C77C0743_.wvu.PrintArea" localSheetId="1" hidden="1">#REF!</definedName>
    <definedName name="Z_0CE6A4E3_5DEF_11D2_8EC3_0008C77C0743_.wvu.PrintArea" localSheetId="20" hidden="1">#REF!</definedName>
    <definedName name="Z_0CE6A4E3_5DEF_11D2_8EC3_0008C77C0743_.wvu.PrintArea" hidden="1">#REF!</definedName>
    <definedName name="Z_0CE6A4E3_5DEF_11D2_8EC3_0008C77C0743_.wvu.PrintTitles" localSheetId="1" hidden="1">#REF!</definedName>
    <definedName name="Z_0CE6A4E3_5DEF_11D2_8EC3_0008C77C0743_.wvu.PrintTitles" localSheetId="20" hidden="1">#REF!</definedName>
    <definedName name="Z_0CE6A4E3_5DEF_11D2_8EC3_0008C77C0743_.wvu.PrintTitles" hidden="1">#REF!</definedName>
    <definedName name="Z_0CE6A4F0_5DEF_11D2_8EC3_0008C77C0743_.wvu.PrintArea" localSheetId="1" hidden="1">#REF!</definedName>
    <definedName name="Z_0CE6A4F0_5DEF_11D2_8EC3_0008C77C0743_.wvu.PrintArea" localSheetId="20" hidden="1">#REF!</definedName>
    <definedName name="Z_0CE6A4F0_5DEF_11D2_8EC3_0008C77C0743_.wvu.PrintArea" hidden="1">#REF!</definedName>
    <definedName name="Z_0CE6A4F0_5DEF_11D2_8EC3_0008C77C0743_.wvu.PrintTitles" localSheetId="1" hidden="1">#REF!,#REF!</definedName>
    <definedName name="Z_0CE6A4F0_5DEF_11D2_8EC3_0008C77C0743_.wvu.PrintTitles" localSheetId="18" hidden="1">#REF!,#REF!</definedName>
    <definedName name="Z_0CE6A4F0_5DEF_11D2_8EC3_0008C77C0743_.wvu.PrintTitles" localSheetId="20" hidden="1">#REF!,#REF!</definedName>
    <definedName name="Z_0CE6A4F0_5DEF_11D2_8EC3_0008C77C0743_.wvu.PrintTitles" hidden="1">#REF!,#REF!</definedName>
    <definedName name="Z_0CE6A4FD_5DEF_11D2_8EC3_0008C77C0743_.wvu.PrintArea" localSheetId="1" hidden="1">#REF!</definedName>
    <definedName name="Z_0CE6A4FD_5DEF_11D2_8EC3_0008C77C0743_.wvu.PrintArea" localSheetId="18" hidden="1">#REF!</definedName>
    <definedName name="Z_0CE6A4FD_5DEF_11D2_8EC3_0008C77C0743_.wvu.PrintArea" localSheetId="20" hidden="1">#REF!</definedName>
    <definedName name="Z_0CE6A4FD_5DEF_11D2_8EC3_0008C77C0743_.wvu.PrintArea" hidden="1">#REF!</definedName>
    <definedName name="Z_0CE6A4FD_5DEF_11D2_8EC3_0008C77C0743_.wvu.PrintTitles" localSheetId="1" hidden="1">#REF!</definedName>
    <definedName name="Z_0CE6A4FD_5DEF_11D2_8EC3_0008C77C0743_.wvu.PrintTitles" localSheetId="20" hidden="1">#REF!</definedName>
    <definedName name="Z_0CE6A4FD_5DEF_11D2_8EC3_0008C77C0743_.wvu.PrintTitles" hidden="1">#REF!</definedName>
    <definedName name="Z_0CE6A50C_5DEF_11D2_8EC3_0008C77C0743_.wvu.PrintArea" localSheetId="1" hidden="1">#REF!</definedName>
    <definedName name="Z_0CE6A50C_5DEF_11D2_8EC3_0008C77C0743_.wvu.PrintArea" localSheetId="20" hidden="1">#REF!</definedName>
    <definedName name="Z_0CE6A50C_5DEF_11D2_8EC3_0008C77C0743_.wvu.PrintArea" hidden="1">#REF!</definedName>
    <definedName name="Z_0CE6A50C_5DEF_11D2_8EC3_0008C77C0743_.wvu.PrintTitles" localSheetId="1" hidden="1">#REF!</definedName>
    <definedName name="Z_0CE6A50C_5DEF_11D2_8EC3_0008C77C0743_.wvu.PrintTitles" localSheetId="20" hidden="1">#REF!</definedName>
    <definedName name="Z_0CE6A50C_5DEF_11D2_8EC3_0008C77C0743_.wvu.PrintTitles" hidden="1">#REF!</definedName>
    <definedName name="Z_0CE6A519_5DEF_11D2_8EC3_0008C77C0743_.wvu.PrintArea" localSheetId="1" hidden="1">#REF!</definedName>
    <definedName name="Z_0CE6A519_5DEF_11D2_8EC3_0008C77C0743_.wvu.PrintArea" localSheetId="20" hidden="1">#REF!</definedName>
    <definedName name="Z_0CE6A519_5DEF_11D2_8EC3_0008C77C0743_.wvu.PrintArea" hidden="1">#REF!</definedName>
    <definedName name="Z_0CE6A519_5DEF_11D2_8EC3_0008C77C0743_.wvu.PrintTitles" localSheetId="1" hidden="1">#REF!,#REF!</definedName>
    <definedName name="Z_0CE6A519_5DEF_11D2_8EC3_0008C77C0743_.wvu.PrintTitles" localSheetId="18" hidden="1">#REF!,#REF!</definedName>
    <definedName name="Z_0CE6A519_5DEF_11D2_8EC3_0008C77C0743_.wvu.PrintTitles" localSheetId="20" hidden="1">#REF!,#REF!</definedName>
    <definedName name="Z_0CE6A519_5DEF_11D2_8EC3_0008C77C0743_.wvu.PrintTitles" hidden="1">#REF!,#REF!</definedName>
    <definedName name="Z_0E8DEF60_5D61_11D2_8EEB_0008C7BCAF29_.wvu.PrintArea" localSheetId="1" hidden="1">#REF!</definedName>
    <definedName name="Z_0E8DEF60_5D61_11D2_8EEB_0008C7BCAF29_.wvu.PrintArea" localSheetId="18" hidden="1">#REF!</definedName>
    <definedName name="Z_0E8DEF60_5D61_11D2_8EEB_0008C7BCAF29_.wvu.PrintArea" localSheetId="20" hidden="1">#REF!</definedName>
    <definedName name="Z_0E8DEF60_5D61_11D2_8EEB_0008C7BCAF29_.wvu.PrintArea" hidden="1">#REF!</definedName>
    <definedName name="Z_0E8DEF60_5D61_11D2_8EEB_0008C7BCAF29_.wvu.PrintTitles" localSheetId="1" hidden="1">#REF!,#REF!</definedName>
    <definedName name="Z_0E8DEF60_5D61_11D2_8EEB_0008C7BCAF29_.wvu.PrintTitles" localSheetId="18" hidden="1">#REF!,#REF!</definedName>
    <definedName name="Z_0E8DEF60_5D61_11D2_8EEB_0008C7BCAF29_.wvu.PrintTitles" localSheetId="20" hidden="1">#REF!,#REF!</definedName>
    <definedName name="Z_0E8DEF60_5D61_11D2_8EEB_0008C7BCAF29_.wvu.PrintTitles" hidden="1">#REF!,#REF!</definedName>
    <definedName name="Z_0E8DEF63_5D61_11D2_8EEB_0008C7BCAF29_.wvu.PrintArea" localSheetId="1" hidden="1">#REF!</definedName>
    <definedName name="Z_0E8DEF63_5D61_11D2_8EEB_0008C7BCAF29_.wvu.PrintArea" localSheetId="18" hidden="1">#REF!</definedName>
    <definedName name="Z_0E8DEF63_5D61_11D2_8EEB_0008C7BCAF29_.wvu.PrintArea" localSheetId="20" hidden="1">#REF!</definedName>
    <definedName name="Z_0E8DEF63_5D61_11D2_8EEB_0008C7BCAF29_.wvu.PrintArea" hidden="1">#REF!</definedName>
    <definedName name="Z_0E8DEF63_5D61_11D2_8EEB_0008C7BCAF29_.wvu.PrintTitles" localSheetId="1" hidden="1">#REF!</definedName>
    <definedName name="Z_0E8DEF63_5D61_11D2_8EEB_0008C7BCAF29_.wvu.PrintTitles" localSheetId="20" hidden="1">#REF!</definedName>
    <definedName name="Z_0E8DEF63_5D61_11D2_8EEB_0008C7BCAF29_.wvu.PrintTitles" hidden="1">#REF!</definedName>
    <definedName name="Z_0E8DEF68_5D61_11D2_8EEB_0008C7BCAF29_.wvu.PrintArea" localSheetId="1" hidden="1">#REF!</definedName>
    <definedName name="Z_0E8DEF68_5D61_11D2_8EEB_0008C7BCAF29_.wvu.PrintArea" localSheetId="20" hidden="1">#REF!</definedName>
    <definedName name="Z_0E8DEF68_5D61_11D2_8EEB_0008C7BCAF29_.wvu.PrintArea" hidden="1">#REF!</definedName>
    <definedName name="Z_0E8DEF68_5D61_11D2_8EEB_0008C7BCAF29_.wvu.PrintTitles" localSheetId="1" hidden="1">#REF!,#REF!</definedName>
    <definedName name="Z_0E8DEF68_5D61_11D2_8EEB_0008C7BCAF29_.wvu.PrintTitles" localSheetId="18" hidden="1">#REF!,#REF!</definedName>
    <definedName name="Z_0E8DEF68_5D61_11D2_8EEB_0008C7BCAF29_.wvu.PrintTitles" localSheetId="20" hidden="1">#REF!,#REF!</definedName>
    <definedName name="Z_0E8DEF68_5D61_11D2_8EEB_0008C7BCAF29_.wvu.PrintTitles" hidden="1">#REF!,#REF!</definedName>
    <definedName name="Z_0E8DEF6A_5D61_11D2_8EEB_0008C7BCAF29_.wvu.PrintArea" localSheetId="1" hidden="1">#REF!</definedName>
    <definedName name="Z_0E8DEF6A_5D61_11D2_8EEB_0008C7BCAF29_.wvu.PrintArea" localSheetId="18" hidden="1">#REF!</definedName>
    <definedName name="Z_0E8DEF6A_5D61_11D2_8EEB_0008C7BCAF29_.wvu.PrintArea" localSheetId="20" hidden="1">#REF!</definedName>
    <definedName name="Z_0E8DEF6A_5D61_11D2_8EEB_0008C7BCAF29_.wvu.PrintArea" hidden="1">#REF!</definedName>
    <definedName name="Z_0E8DEF6A_5D61_11D2_8EEB_0008C7BCAF29_.wvu.PrintTitles" localSheetId="1" hidden="1">#REF!,#REF!</definedName>
    <definedName name="Z_0E8DEF6A_5D61_11D2_8EEB_0008C7BCAF29_.wvu.PrintTitles" localSheetId="18" hidden="1">#REF!,#REF!</definedName>
    <definedName name="Z_0E8DEF6A_5D61_11D2_8EEB_0008C7BCAF29_.wvu.PrintTitles" localSheetId="20" hidden="1">#REF!,#REF!</definedName>
    <definedName name="Z_0E8DEF6A_5D61_11D2_8EEB_0008C7BCAF29_.wvu.PrintTitles" hidden="1">#REF!,#REF!</definedName>
    <definedName name="Z_0E8DEF6D_5D61_11D2_8EEB_0008C7BCAF29_.wvu.PrintArea" localSheetId="1" hidden="1">#REF!</definedName>
    <definedName name="Z_0E8DEF6D_5D61_11D2_8EEB_0008C7BCAF29_.wvu.PrintArea" localSheetId="18" hidden="1">#REF!</definedName>
    <definedName name="Z_0E8DEF6D_5D61_11D2_8EEB_0008C7BCAF29_.wvu.PrintArea" localSheetId="20" hidden="1">#REF!</definedName>
    <definedName name="Z_0E8DEF6D_5D61_11D2_8EEB_0008C7BCAF29_.wvu.PrintArea" hidden="1">#REF!</definedName>
    <definedName name="Z_0E8DEF6D_5D61_11D2_8EEB_0008C7BCAF29_.wvu.PrintTitles" localSheetId="1" hidden="1">#REF!</definedName>
    <definedName name="Z_0E8DEF6D_5D61_11D2_8EEB_0008C7BCAF29_.wvu.PrintTitles" localSheetId="20" hidden="1">#REF!</definedName>
    <definedName name="Z_0E8DEF6D_5D61_11D2_8EEB_0008C7BCAF29_.wvu.PrintTitles" hidden="1">#REF!</definedName>
    <definedName name="Z_0E8DEF72_5D61_11D2_8EEB_0008C7BCAF29_.wvu.PrintArea" localSheetId="1" hidden="1">#REF!</definedName>
    <definedName name="Z_0E8DEF72_5D61_11D2_8EEB_0008C7BCAF29_.wvu.PrintArea" localSheetId="20" hidden="1">#REF!</definedName>
    <definedName name="Z_0E8DEF72_5D61_11D2_8EEB_0008C7BCAF29_.wvu.PrintArea" hidden="1">#REF!</definedName>
    <definedName name="Z_0E8DEF72_5D61_11D2_8EEB_0008C7BCAF29_.wvu.PrintTitles" localSheetId="1" hidden="1">#REF!,#REF!</definedName>
    <definedName name="Z_0E8DEF72_5D61_11D2_8EEB_0008C7BCAF29_.wvu.PrintTitles" localSheetId="18" hidden="1">#REF!,#REF!</definedName>
    <definedName name="Z_0E8DEF72_5D61_11D2_8EEB_0008C7BCAF29_.wvu.PrintTitles" localSheetId="20" hidden="1">#REF!,#REF!</definedName>
    <definedName name="Z_0E8DEF72_5D61_11D2_8EEB_0008C7BCAF29_.wvu.PrintTitles" hidden="1">#REF!,#REF!</definedName>
    <definedName name="Z_0E8DEF75_5D61_11D2_8EEB_0008C7BCAF29_.wvu.PrintArea" localSheetId="1" hidden="1">#REF!</definedName>
    <definedName name="Z_0E8DEF75_5D61_11D2_8EEB_0008C7BCAF29_.wvu.PrintArea" localSheetId="18" hidden="1">#REF!</definedName>
    <definedName name="Z_0E8DEF75_5D61_11D2_8EEB_0008C7BCAF29_.wvu.PrintArea" localSheetId="20" hidden="1">#REF!</definedName>
    <definedName name="Z_0E8DEF75_5D61_11D2_8EEB_0008C7BCAF29_.wvu.PrintArea" hidden="1">#REF!</definedName>
    <definedName name="Z_0E8DEF75_5D61_11D2_8EEB_0008C7BCAF29_.wvu.PrintTitles" localSheetId="1" hidden="1">#REF!,#REF!</definedName>
    <definedName name="Z_0E8DEF75_5D61_11D2_8EEB_0008C7BCAF29_.wvu.PrintTitles" localSheetId="18" hidden="1">#REF!,#REF!</definedName>
    <definedName name="Z_0E8DEF75_5D61_11D2_8EEB_0008C7BCAF29_.wvu.PrintTitles" localSheetId="20" hidden="1">#REF!,#REF!</definedName>
    <definedName name="Z_0E8DEF75_5D61_11D2_8EEB_0008C7BCAF29_.wvu.PrintTitles" hidden="1">#REF!,#REF!</definedName>
    <definedName name="Z_179EFDC8_A1B1_11D3_8FA9_0008C7809E09_.wvu.PrintArea" localSheetId="1" hidden="1">#REF!</definedName>
    <definedName name="Z_179EFDC8_A1B1_11D3_8FA9_0008C7809E09_.wvu.PrintArea" localSheetId="18" hidden="1">#REF!</definedName>
    <definedName name="Z_179EFDC8_A1B1_11D3_8FA9_0008C7809E09_.wvu.PrintArea" localSheetId="20" hidden="1">#REF!</definedName>
    <definedName name="Z_179EFDC8_A1B1_11D3_8FA9_0008C7809E09_.wvu.PrintArea" hidden="1">#REF!</definedName>
    <definedName name="Z_179EFDC8_A1B1_11D3_8FA9_0008C7809E09_.wvu.PrintTitles" localSheetId="1" hidden="1">#REF!,#REF!</definedName>
    <definedName name="Z_179EFDC8_A1B1_11D3_8FA9_0008C7809E09_.wvu.PrintTitles" localSheetId="18" hidden="1">#REF!,#REF!</definedName>
    <definedName name="Z_179EFDC8_A1B1_11D3_8FA9_0008C7809E09_.wvu.PrintTitles" localSheetId="20" hidden="1">#REF!,#REF!</definedName>
    <definedName name="Z_179EFDC8_A1B1_11D3_8FA9_0008C7809E09_.wvu.PrintTitles" hidden="1">#REF!,#REF!</definedName>
    <definedName name="Z_179EFDC9_A1B1_11D3_8FA9_0008C7809E09_.wvu.PrintArea" localSheetId="1" hidden="1">#REF!</definedName>
    <definedName name="Z_179EFDC9_A1B1_11D3_8FA9_0008C7809E09_.wvu.PrintArea" localSheetId="18" hidden="1">#REF!</definedName>
    <definedName name="Z_179EFDC9_A1B1_11D3_8FA9_0008C7809E09_.wvu.PrintArea" localSheetId="20" hidden="1">#REF!</definedName>
    <definedName name="Z_179EFDC9_A1B1_11D3_8FA9_0008C7809E09_.wvu.PrintArea" hidden="1">#REF!</definedName>
    <definedName name="Z_179EFDC9_A1B1_11D3_8FA9_0008C7809E09_.wvu.PrintTitles" localSheetId="1" hidden="1">#REF!,#REF!</definedName>
    <definedName name="Z_179EFDC9_A1B1_11D3_8FA9_0008C7809E09_.wvu.PrintTitles" localSheetId="18" hidden="1">#REF!,#REF!</definedName>
    <definedName name="Z_179EFDC9_A1B1_11D3_8FA9_0008C7809E09_.wvu.PrintTitles" localSheetId="20" hidden="1">#REF!,#REF!</definedName>
    <definedName name="Z_179EFDC9_A1B1_11D3_8FA9_0008C7809E09_.wvu.PrintTitles" hidden="1">#REF!,#REF!</definedName>
    <definedName name="Z_179EFDCA_A1B1_11D3_8FA9_0008C7809E09_.wvu.PrintArea" localSheetId="1" hidden="1">#REF!</definedName>
    <definedName name="Z_179EFDCA_A1B1_11D3_8FA9_0008C7809E09_.wvu.PrintArea" localSheetId="18" hidden="1">#REF!</definedName>
    <definedName name="Z_179EFDCA_A1B1_11D3_8FA9_0008C7809E09_.wvu.PrintArea" localSheetId="20" hidden="1">#REF!</definedName>
    <definedName name="Z_179EFDCA_A1B1_11D3_8FA9_0008C7809E09_.wvu.PrintArea" hidden="1">#REF!</definedName>
    <definedName name="Z_179EFDCA_A1B1_11D3_8FA9_0008C7809E09_.wvu.PrintTitles" localSheetId="1" hidden="1">#REF!,#REF!</definedName>
    <definedName name="Z_179EFDCA_A1B1_11D3_8FA9_0008C7809E09_.wvu.PrintTitles" localSheetId="18" hidden="1">#REF!,#REF!</definedName>
    <definedName name="Z_179EFDCA_A1B1_11D3_8FA9_0008C7809E09_.wvu.PrintTitles" localSheetId="20" hidden="1">#REF!,#REF!</definedName>
    <definedName name="Z_179EFDCA_A1B1_11D3_8FA9_0008C7809E09_.wvu.PrintTitles" hidden="1">#REF!,#REF!</definedName>
    <definedName name="Z_179EFDCB_A1B1_11D3_8FA9_0008C7809E09_.wvu.PrintArea" localSheetId="1" hidden="1">#REF!</definedName>
    <definedName name="Z_179EFDCB_A1B1_11D3_8FA9_0008C7809E09_.wvu.PrintArea" localSheetId="18" hidden="1">#REF!</definedName>
    <definedName name="Z_179EFDCB_A1B1_11D3_8FA9_0008C7809E09_.wvu.PrintArea" localSheetId="20" hidden="1">#REF!</definedName>
    <definedName name="Z_179EFDCB_A1B1_11D3_8FA9_0008C7809E09_.wvu.PrintArea" hidden="1">#REF!</definedName>
    <definedName name="Z_179EFDCB_A1B1_11D3_8FA9_0008C7809E09_.wvu.PrintTitles" localSheetId="1" hidden="1">#REF!,#REF!</definedName>
    <definedName name="Z_179EFDCB_A1B1_11D3_8FA9_0008C7809E09_.wvu.PrintTitles" localSheetId="18" hidden="1">#REF!,#REF!</definedName>
    <definedName name="Z_179EFDCB_A1B1_11D3_8FA9_0008C7809E09_.wvu.PrintTitles" localSheetId="20" hidden="1">#REF!,#REF!</definedName>
    <definedName name="Z_179EFDCB_A1B1_11D3_8FA9_0008C7809E09_.wvu.PrintTitles" hidden="1">#REF!,#REF!</definedName>
    <definedName name="Z_179EFDCC_A1B1_11D3_8FA9_0008C7809E09_.wvu.PrintArea" localSheetId="1" hidden="1">#REF!</definedName>
    <definedName name="Z_179EFDCC_A1B1_11D3_8FA9_0008C7809E09_.wvu.PrintArea" localSheetId="18" hidden="1">#REF!</definedName>
    <definedName name="Z_179EFDCC_A1B1_11D3_8FA9_0008C7809E09_.wvu.PrintArea" localSheetId="20" hidden="1">#REF!</definedName>
    <definedName name="Z_179EFDCC_A1B1_11D3_8FA9_0008C7809E09_.wvu.PrintArea" hidden="1">#REF!</definedName>
    <definedName name="Z_179EFDCC_A1B1_11D3_8FA9_0008C7809E09_.wvu.PrintTitles" localSheetId="1" hidden="1">#REF!,#REF!</definedName>
    <definedName name="Z_179EFDCC_A1B1_11D3_8FA9_0008C7809E09_.wvu.PrintTitles" localSheetId="18" hidden="1">#REF!,#REF!</definedName>
    <definedName name="Z_179EFDCC_A1B1_11D3_8FA9_0008C7809E09_.wvu.PrintTitles" localSheetId="20" hidden="1">#REF!,#REF!</definedName>
    <definedName name="Z_179EFDCC_A1B1_11D3_8FA9_0008C7809E09_.wvu.PrintTitles" hidden="1">#REF!,#REF!</definedName>
    <definedName name="Z_179EFDCD_A1B1_11D3_8FA9_0008C7809E09_.wvu.PrintArea" localSheetId="1" hidden="1">#REF!</definedName>
    <definedName name="Z_179EFDCD_A1B1_11D3_8FA9_0008C7809E09_.wvu.PrintArea" localSheetId="18" hidden="1">#REF!</definedName>
    <definedName name="Z_179EFDCD_A1B1_11D3_8FA9_0008C7809E09_.wvu.PrintArea" localSheetId="20" hidden="1">#REF!</definedName>
    <definedName name="Z_179EFDCD_A1B1_11D3_8FA9_0008C7809E09_.wvu.PrintArea" hidden="1">#REF!</definedName>
    <definedName name="Z_179EFDCD_A1B1_11D3_8FA9_0008C7809E09_.wvu.PrintTitles" localSheetId="1" hidden="1">#REF!,#REF!</definedName>
    <definedName name="Z_179EFDCD_A1B1_11D3_8FA9_0008C7809E09_.wvu.PrintTitles" localSheetId="18" hidden="1">#REF!,#REF!</definedName>
    <definedName name="Z_179EFDCD_A1B1_11D3_8FA9_0008C7809E09_.wvu.PrintTitles" localSheetId="20" hidden="1">#REF!,#REF!</definedName>
    <definedName name="Z_179EFDCD_A1B1_11D3_8FA9_0008C7809E09_.wvu.PrintTitles" hidden="1">#REF!,#REF!</definedName>
    <definedName name="Z_179EFDCE_A1B1_11D3_8FA9_0008C7809E09_.wvu.PrintArea" localSheetId="1" hidden="1">#REF!</definedName>
    <definedName name="Z_179EFDCE_A1B1_11D3_8FA9_0008C7809E09_.wvu.PrintArea" localSheetId="18" hidden="1">#REF!</definedName>
    <definedName name="Z_179EFDCE_A1B1_11D3_8FA9_0008C7809E09_.wvu.PrintArea" localSheetId="20" hidden="1">#REF!</definedName>
    <definedName name="Z_179EFDCE_A1B1_11D3_8FA9_0008C7809E09_.wvu.PrintArea" hidden="1">#REF!</definedName>
    <definedName name="Z_179EFDCE_A1B1_11D3_8FA9_0008C7809E09_.wvu.PrintTitles" localSheetId="1" hidden="1">#REF!,#REF!</definedName>
    <definedName name="Z_179EFDCE_A1B1_11D3_8FA9_0008C7809E09_.wvu.PrintTitles" localSheetId="18" hidden="1">#REF!,#REF!</definedName>
    <definedName name="Z_179EFDCE_A1B1_11D3_8FA9_0008C7809E09_.wvu.PrintTitles" localSheetId="20" hidden="1">#REF!,#REF!</definedName>
    <definedName name="Z_179EFDCE_A1B1_11D3_8FA9_0008C7809E09_.wvu.PrintTitles" hidden="1">#REF!,#REF!</definedName>
    <definedName name="Z_179EFDCF_A1B1_11D3_8FA9_0008C7809E09_.wvu.PrintArea" localSheetId="1" hidden="1">#REF!</definedName>
    <definedName name="Z_179EFDCF_A1B1_11D3_8FA9_0008C7809E09_.wvu.PrintArea" localSheetId="18" hidden="1">#REF!</definedName>
    <definedName name="Z_179EFDCF_A1B1_11D3_8FA9_0008C7809E09_.wvu.PrintArea" localSheetId="20" hidden="1">#REF!</definedName>
    <definedName name="Z_179EFDCF_A1B1_11D3_8FA9_0008C7809E09_.wvu.PrintArea" hidden="1">#REF!</definedName>
    <definedName name="Z_179EFDCF_A1B1_11D3_8FA9_0008C7809E09_.wvu.PrintTitles" localSheetId="1" hidden="1">#REF!,#REF!</definedName>
    <definedName name="Z_179EFDCF_A1B1_11D3_8FA9_0008C7809E09_.wvu.PrintTitles" localSheetId="18" hidden="1">#REF!,#REF!</definedName>
    <definedName name="Z_179EFDCF_A1B1_11D3_8FA9_0008C7809E09_.wvu.PrintTitles" localSheetId="20" hidden="1">#REF!,#REF!</definedName>
    <definedName name="Z_179EFDCF_A1B1_11D3_8FA9_0008C7809E09_.wvu.PrintTitles" hidden="1">#REF!,#REF!</definedName>
    <definedName name="Z_179EFDD0_A1B1_11D3_8FA9_0008C7809E09_.wvu.PrintArea" localSheetId="1" hidden="1">#REF!</definedName>
    <definedName name="Z_179EFDD0_A1B1_11D3_8FA9_0008C7809E09_.wvu.PrintArea" localSheetId="18" hidden="1">#REF!</definedName>
    <definedName name="Z_179EFDD0_A1B1_11D3_8FA9_0008C7809E09_.wvu.PrintArea" localSheetId="20" hidden="1">#REF!</definedName>
    <definedName name="Z_179EFDD0_A1B1_11D3_8FA9_0008C7809E09_.wvu.PrintArea" hidden="1">#REF!</definedName>
    <definedName name="Z_179EFDD0_A1B1_11D3_8FA9_0008C7809E09_.wvu.PrintTitles" localSheetId="1" hidden="1">#REF!,#REF!</definedName>
    <definedName name="Z_179EFDD0_A1B1_11D3_8FA9_0008C7809E09_.wvu.PrintTitles" localSheetId="18" hidden="1">#REF!,#REF!</definedName>
    <definedName name="Z_179EFDD0_A1B1_11D3_8FA9_0008C7809E09_.wvu.PrintTitles" localSheetId="20" hidden="1">#REF!,#REF!</definedName>
    <definedName name="Z_179EFDD0_A1B1_11D3_8FA9_0008C7809E09_.wvu.PrintTitles" hidden="1">#REF!,#REF!</definedName>
    <definedName name="Z_179EFDD1_A1B1_11D3_8FA9_0008C7809E09_.wvu.PrintArea" localSheetId="1" hidden="1">#REF!</definedName>
    <definedName name="Z_179EFDD1_A1B1_11D3_8FA9_0008C7809E09_.wvu.PrintArea" localSheetId="18" hidden="1">#REF!</definedName>
    <definedName name="Z_179EFDD1_A1B1_11D3_8FA9_0008C7809E09_.wvu.PrintArea" localSheetId="20" hidden="1">#REF!</definedName>
    <definedName name="Z_179EFDD1_A1B1_11D3_8FA9_0008C7809E09_.wvu.PrintArea" hidden="1">#REF!</definedName>
    <definedName name="Z_179EFDD1_A1B1_11D3_8FA9_0008C7809E09_.wvu.PrintTitles" localSheetId="1" hidden="1">#REF!,#REF!</definedName>
    <definedName name="Z_179EFDD1_A1B1_11D3_8FA9_0008C7809E09_.wvu.PrintTitles" localSheetId="18" hidden="1">#REF!,#REF!</definedName>
    <definedName name="Z_179EFDD1_A1B1_11D3_8FA9_0008C7809E09_.wvu.PrintTitles" localSheetId="20" hidden="1">#REF!,#REF!</definedName>
    <definedName name="Z_179EFDD1_A1B1_11D3_8FA9_0008C7809E09_.wvu.PrintTitles" hidden="1">#REF!,#REF!</definedName>
    <definedName name="Z_179EFDD2_A1B1_11D3_8FA9_0008C7809E09_.wvu.PrintArea" localSheetId="1" hidden="1">#REF!</definedName>
    <definedName name="Z_179EFDD2_A1B1_11D3_8FA9_0008C7809E09_.wvu.PrintArea" localSheetId="18" hidden="1">#REF!</definedName>
    <definedName name="Z_179EFDD2_A1B1_11D3_8FA9_0008C7809E09_.wvu.PrintArea" localSheetId="20" hidden="1">#REF!</definedName>
    <definedName name="Z_179EFDD2_A1B1_11D3_8FA9_0008C7809E09_.wvu.PrintArea" hidden="1">#REF!</definedName>
    <definedName name="Z_179EFDD2_A1B1_11D3_8FA9_0008C7809E09_.wvu.PrintTitles" localSheetId="1" hidden="1">#REF!,#REF!</definedName>
    <definedName name="Z_179EFDD2_A1B1_11D3_8FA9_0008C7809E09_.wvu.PrintTitles" localSheetId="18" hidden="1">#REF!,#REF!</definedName>
    <definedName name="Z_179EFDD2_A1B1_11D3_8FA9_0008C7809E09_.wvu.PrintTitles" localSheetId="20" hidden="1">#REF!,#REF!</definedName>
    <definedName name="Z_179EFDD2_A1B1_11D3_8FA9_0008C7809E09_.wvu.PrintTitles" hidden="1">#REF!,#REF!</definedName>
    <definedName name="Z_179EFDD3_A1B1_11D3_8FA9_0008C7809E09_.wvu.PrintArea" localSheetId="1" hidden="1">#REF!</definedName>
    <definedName name="Z_179EFDD3_A1B1_11D3_8FA9_0008C7809E09_.wvu.PrintArea" localSheetId="18" hidden="1">#REF!</definedName>
    <definedName name="Z_179EFDD3_A1B1_11D3_8FA9_0008C7809E09_.wvu.PrintArea" localSheetId="20" hidden="1">#REF!</definedName>
    <definedName name="Z_179EFDD3_A1B1_11D3_8FA9_0008C7809E09_.wvu.PrintArea" hidden="1">#REF!</definedName>
    <definedName name="Z_179EFDD3_A1B1_11D3_8FA9_0008C7809E09_.wvu.PrintTitles" localSheetId="1" hidden="1">#REF!,#REF!</definedName>
    <definedName name="Z_179EFDD3_A1B1_11D3_8FA9_0008C7809E09_.wvu.PrintTitles" localSheetId="18" hidden="1">#REF!,#REF!</definedName>
    <definedName name="Z_179EFDD3_A1B1_11D3_8FA9_0008C7809E09_.wvu.PrintTitles" localSheetId="20" hidden="1">#REF!,#REF!</definedName>
    <definedName name="Z_179EFDD3_A1B1_11D3_8FA9_0008C7809E09_.wvu.PrintTitles" hidden="1">#REF!,#REF!</definedName>
    <definedName name="Z_179EFDD4_A1B1_11D3_8FA9_0008C7809E09_.wvu.PrintArea" localSheetId="1" hidden="1">#REF!</definedName>
    <definedName name="Z_179EFDD4_A1B1_11D3_8FA9_0008C7809E09_.wvu.PrintArea" localSheetId="18" hidden="1">#REF!</definedName>
    <definedName name="Z_179EFDD4_A1B1_11D3_8FA9_0008C7809E09_.wvu.PrintArea" localSheetId="20" hidden="1">#REF!</definedName>
    <definedName name="Z_179EFDD4_A1B1_11D3_8FA9_0008C7809E09_.wvu.PrintArea" hidden="1">#REF!</definedName>
    <definedName name="Z_179EFDD4_A1B1_11D3_8FA9_0008C7809E09_.wvu.PrintTitles" localSheetId="1" hidden="1">#REF!,#REF!</definedName>
    <definedName name="Z_179EFDD4_A1B1_11D3_8FA9_0008C7809E09_.wvu.PrintTitles" localSheetId="18" hidden="1">#REF!,#REF!</definedName>
    <definedName name="Z_179EFDD4_A1B1_11D3_8FA9_0008C7809E09_.wvu.PrintTitles" localSheetId="20" hidden="1">#REF!,#REF!</definedName>
    <definedName name="Z_179EFDD4_A1B1_11D3_8FA9_0008C7809E09_.wvu.PrintTitles" hidden="1">#REF!,#REF!</definedName>
    <definedName name="Z_179EFDD5_A1B1_11D3_8FA9_0008C7809E09_.wvu.PrintArea" localSheetId="1" hidden="1">#REF!</definedName>
    <definedName name="Z_179EFDD5_A1B1_11D3_8FA9_0008C7809E09_.wvu.PrintArea" localSheetId="18" hidden="1">#REF!</definedName>
    <definedName name="Z_179EFDD5_A1B1_11D3_8FA9_0008C7809E09_.wvu.PrintArea" localSheetId="20" hidden="1">#REF!</definedName>
    <definedName name="Z_179EFDD5_A1B1_11D3_8FA9_0008C7809E09_.wvu.PrintArea" hidden="1">#REF!</definedName>
    <definedName name="Z_179EFDD5_A1B1_11D3_8FA9_0008C7809E09_.wvu.PrintTitles" localSheetId="1" hidden="1">#REF!,#REF!</definedName>
    <definedName name="Z_179EFDD5_A1B1_11D3_8FA9_0008C7809E09_.wvu.PrintTitles" localSheetId="18" hidden="1">#REF!,#REF!</definedName>
    <definedName name="Z_179EFDD5_A1B1_11D3_8FA9_0008C7809E09_.wvu.PrintTitles" localSheetId="20" hidden="1">#REF!,#REF!</definedName>
    <definedName name="Z_179EFDD5_A1B1_11D3_8FA9_0008C7809E09_.wvu.PrintTitles" hidden="1">#REF!,#REF!</definedName>
    <definedName name="Z_179EFDD6_A1B1_11D3_8FA9_0008C7809E09_.wvu.PrintArea" localSheetId="1" hidden="1">#REF!</definedName>
    <definedName name="Z_179EFDD6_A1B1_11D3_8FA9_0008C7809E09_.wvu.PrintArea" localSheetId="18" hidden="1">#REF!</definedName>
    <definedName name="Z_179EFDD6_A1B1_11D3_8FA9_0008C7809E09_.wvu.PrintArea" localSheetId="20" hidden="1">#REF!</definedName>
    <definedName name="Z_179EFDD6_A1B1_11D3_8FA9_0008C7809E09_.wvu.PrintArea" hidden="1">#REF!</definedName>
    <definedName name="Z_179EFDD6_A1B1_11D3_8FA9_0008C7809E09_.wvu.PrintTitles" localSheetId="1" hidden="1">#REF!,#REF!</definedName>
    <definedName name="Z_179EFDD6_A1B1_11D3_8FA9_0008C7809E09_.wvu.PrintTitles" localSheetId="18" hidden="1">#REF!,#REF!</definedName>
    <definedName name="Z_179EFDD6_A1B1_11D3_8FA9_0008C7809E09_.wvu.PrintTitles" localSheetId="20" hidden="1">#REF!,#REF!</definedName>
    <definedName name="Z_179EFDD6_A1B1_11D3_8FA9_0008C7809E09_.wvu.PrintTitles" hidden="1">#REF!,#REF!</definedName>
    <definedName name="Z_179EFDD7_A1B1_11D3_8FA9_0008C7809E09_.wvu.PrintArea" localSheetId="1" hidden="1">#REF!</definedName>
    <definedName name="Z_179EFDD7_A1B1_11D3_8FA9_0008C7809E09_.wvu.PrintArea" localSheetId="18" hidden="1">#REF!</definedName>
    <definedName name="Z_179EFDD7_A1B1_11D3_8FA9_0008C7809E09_.wvu.PrintArea" localSheetId="20" hidden="1">#REF!</definedName>
    <definedName name="Z_179EFDD7_A1B1_11D3_8FA9_0008C7809E09_.wvu.PrintArea" hidden="1">#REF!</definedName>
    <definedName name="Z_179EFDD7_A1B1_11D3_8FA9_0008C7809E09_.wvu.PrintTitles" localSheetId="1" hidden="1">#REF!,#REF!</definedName>
    <definedName name="Z_179EFDD7_A1B1_11D3_8FA9_0008C7809E09_.wvu.PrintTitles" localSheetId="18" hidden="1">#REF!,#REF!</definedName>
    <definedName name="Z_179EFDD7_A1B1_11D3_8FA9_0008C7809E09_.wvu.PrintTitles" localSheetId="20" hidden="1">#REF!,#REF!</definedName>
    <definedName name="Z_179EFDD7_A1B1_11D3_8FA9_0008C7809E09_.wvu.PrintTitles" hidden="1">#REF!,#REF!</definedName>
    <definedName name="Z_179EFDD8_A1B1_11D3_8FA9_0008C7809E09_.wvu.PrintArea" localSheetId="1" hidden="1">#REF!</definedName>
    <definedName name="Z_179EFDD8_A1B1_11D3_8FA9_0008C7809E09_.wvu.PrintArea" localSheetId="18" hidden="1">#REF!</definedName>
    <definedName name="Z_179EFDD8_A1B1_11D3_8FA9_0008C7809E09_.wvu.PrintArea" localSheetId="20" hidden="1">#REF!</definedName>
    <definedName name="Z_179EFDD8_A1B1_11D3_8FA9_0008C7809E09_.wvu.PrintArea" hidden="1">#REF!</definedName>
    <definedName name="Z_179EFDD8_A1B1_11D3_8FA9_0008C7809E09_.wvu.PrintTitles" localSheetId="1" hidden="1">#REF!,#REF!</definedName>
    <definedName name="Z_179EFDD8_A1B1_11D3_8FA9_0008C7809E09_.wvu.PrintTitles" localSheetId="18" hidden="1">#REF!,#REF!</definedName>
    <definedName name="Z_179EFDD8_A1B1_11D3_8FA9_0008C7809E09_.wvu.PrintTitles" localSheetId="20" hidden="1">#REF!,#REF!</definedName>
    <definedName name="Z_179EFDD8_A1B1_11D3_8FA9_0008C7809E09_.wvu.PrintTitles" hidden="1">#REF!,#REF!</definedName>
    <definedName name="Z_179EFDD9_A1B1_11D3_8FA9_0008C7809E09_.wvu.PrintArea" localSheetId="1" hidden="1">#REF!</definedName>
    <definedName name="Z_179EFDD9_A1B1_11D3_8FA9_0008C7809E09_.wvu.PrintArea" localSheetId="18" hidden="1">#REF!</definedName>
    <definedName name="Z_179EFDD9_A1B1_11D3_8FA9_0008C7809E09_.wvu.PrintArea" localSheetId="20" hidden="1">#REF!</definedName>
    <definedName name="Z_179EFDD9_A1B1_11D3_8FA9_0008C7809E09_.wvu.PrintArea" hidden="1">#REF!</definedName>
    <definedName name="Z_179EFDD9_A1B1_11D3_8FA9_0008C7809E09_.wvu.PrintTitles" localSheetId="1" hidden="1">#REF!,#REF!</definedName>
    <definedName name="Z_179EFDD9_A1B1_11D3_8FA9_0008C7809E09_.wvu.PrintTitles" localSheetId="18" hidden="1">#REF!,#REF!</definedName>
    <definedName name="Z_179EFDD9_A1B1_11D3_8FA9_0008C7809E09_.wvu.PrintTitles" localSheetId="20" hidden="1">#REF!,#REF!</definedName>
    <definedName name="Z_179EFDD9_A1B1_11D3_8FA9_0008C7809E09_.wvu.PrintTitles" hidden="1">#REF!,#REF!</definedName>
    <definedName name="Z_179EFDDA_A1B1_11D3_8FA9_0008C7809E09_.wvu.PrintArea" localSheetId="1" hidden="1">#REF!</definedName>
    <definedName name="Z_179EFDDA_A1B1_11D3_8FA9_0008C7809E09_.wvu.PrintArea" localSheetId="18" hidden="1">#REF!</definedName>
    <definedName name="Z_179EFDDA_A1B1_11D3_8FA9_0008C7809E09_.wvu.PrintArea" localSheetId="20" hidden="1">#REF!</definedName>
    <definedName name="Z_179EFDDA_A1B1_11D3_8FA9_0008C7809E09_.wvu.PrintArea" hidden="1">#REF!</definedName>
    <definedName name="Z_179EFDDA_A1B1_11D3_8FA9_0008C7809E09_.wvu.PrintTitles" localSheetId="1" hidden="1">#REF!,#REF!</definedName>
    <definedName name="Z_179EFDDA_A1B1_11D3_8FA9_0008C7809E09_.wvu.PrintTitles" localSheetId="18" hidden="1">#REF!,#REF!</definedName>
    <definedName name="Z_179EFDDA_A1B1_11D3_8FA9_0008C7809E09_.wvu.PrintTitles" localSheetId="20" hidden="1">#REF!,#REF!</definedName>
    <definedName name="Z_179EFDDA_A1B1_11D3_8FA9_0008C7809E09_.wvu.PrintTitles" hidden="1">#REF!,#REF!</definedName>
    <definedName name="Z_179EFDDB_A1B1_11D3_8FA9_0008C7809E09_.wvu.PrintArea" localSheetId="1" hidden="1">#REF!</definedName>
    <definedName name="Z_179EFDDB_A1B1_11D3_8FA9_0008C7809E09_.wvu.PrintArea" localSheetId="18" hidden="1">#REF!</definedName>
    <definedName name="Z_179EFDDB_A1B1_11D3_8FA9_0008C7809E09_.wvu.PrintArea" localSheetId="20" hidden="1">#REF!</definedName>
    <definedName name="Z_179EFDDB_A1B1_11D3_8FA9_0008C7809E09_.wvu.PrintArea" hidden="1">#REF!</definedName>
    <definedName name="Z_179EFDDB_A1B1_11D3_8FA9_0008C7809E09_.wvu.PrintTitles" localSheetId="1" hidden="1">#REF!,#REF!</definedName>
    <definedName name="Z_179EFDDB_A1B1_11D3_8FA9_0008C7809E09_.wvu.PrintTitles" localSheetId="18" hidden="1">#REF!,#REF!</definedName>
    <definedName name="Z_179EFDDB_A1B1_11D3_8FA9_0008C7809E09_.wvu.PrintTitles" localSheetId="20" hidden="1">#REF!,#REF!</definedName>
    <definedName name="Z_179EFDDB_A1B1_11D3_8FA9_0008C7809E09_.wvu.PrintTitles" hidden="1">#REF!,#REF!</definedName>
    <definedName name="Z_179EFDDC_A1B1_11D3_8FA9_0008C7809E09_.wvu.PrintArea" localSheetId="1" hidden="1">#REF!</definedName>
    <definedName name="Z_179EFDDC_A1B1_11D3_8FA9_0008C7809E09_.wvu.PrintArea" localSheetId="18" hidden="1">#REF!</definedName>
    <definedName name="Z_179EFDDC_A1B1_11D3_8FA9_0008C7809E09_.wvu.PrintArea" localSheetId="20" hidden="1">#REF!</definedName>
    <definedName name="Z_179EFDDC_A1B1_11D3_8FA9_0008C7809E09_.wvu.PrintArea" hidden="1">#REF!</definedName>
    <definedName name="Z_179EFDDC_A1B1_11D3_8FA9_0008C7809E09_.wvu.PrintTitles" localSheetId="1" hidden="1">#REF!,#REF!</definedName>
    <definedName name="Z_179EFDDC_A1B1_11D3_8FA9_0008C7809E09_.wvu.PrintTitles" localSheetId="18" hidden="1">#REF!,#REF!</definedName>
    <definedName name="Z_179EFDDC_A1B1_11D3_8FA9_0008C7809E09_.wvu.PrintTitles" localSheetId="20" hidden="1">#REF!,#REF!</definedName>
    <definedName name="Z_179EFDDC_A1B1_11D3_8FA9_0008C7809E09_.wvu.PrintTitles" hidden="1">#REF!,#REF!</definedName>
    <definedName name="Z_179EFDDD_A1B1_11D3_8FA9_0008C7809E09_.wvu.PrintArea" localSheetId="1" hidden="1">#REF!</definedName>
    <definedName name="Z_179EFDDD_A1B1_11D3_8FA9_0008C7809E09_.wvu.PrintArea" localSheetId="18" hidden="1">#REF!</definedName>
    <definedName name="Z_179EFDDD_A1B1_11D3_8FA9_0008C7809E09_.wvu.PrintArea" localSheetId="20" hidden="1">#REF!</definedName>
    <definedName name="Z_179EFDDD_A1B1_11D3_8FA9_0008C7809E09_.wvu.PrintArea" hidden="1">#REF!</definedName>
    <definedName name="Z_179EFDDD_A1B1_11D3_8FA9_0008C7809E09_.wvu.PrintTitles" localSheetId="1" hidden="1">#REF!,#REF!</definedName>
    <definedName name="Z_179EFDDD_A1B1_11D3_8FA9_0008C7809E09_.wvu.PrintTitles" localSheetId="18" hidden="1">#REF!,#REF!</definedName>
    <definedName name="Z_179EFDDD_A1B1_11D3_8FA9_0008C7809E09_.wvu.PrintTitles" localSheetId="20" hidden="1">#REF!,#REF!</definedName>
    <definedName name="Z_179EFDDD_A1B1_11D3_8FA9_0008C7809E09_.wvu.PrintTitles" hidden="1">#REF!,#REF!</definedName>
    <definedName name="Z_179EFDDE_A1B1_11D3_8FA9_0008C7809E09_.wvu.PrintArea" localSheetId="1" hidden="1">#REF!</definedName>
    <definedName name="Z_179EFDDE_A1B1_11D3_8FA9_0008C7809E09_.wvu.PrintArea" localSheetId="18" hidden="1">#REF!</definedName>
    <definedName name="Z_179EFDDE_A1B1_11D3_8FA9_0008C7809E09_.wvu.PrintArea" localSheetId="20" hidden="1">#REF!</definedName>
    <definedName name="Z_179EFDDE_A1B1_11D3_8FA9_0008C7809E09_.wvu.PrintArea" hidden="1">#REF!</definedName>
    <definedName name="Z_179EFDDE_A1B1_11D3_8FA9_0008C7809E09_.wvu.PrintTitles" localSheetId="1" hidden="1">#REF!,#REF!</definedName>
    <definedName name="Z_179EFDDE_A1B1_11D3_8FA9_0008C7809E09_.wvu.PrintTitles" localSheetId="18" hidden="1">#REF!,#REF!</definedName>
    <definedName name="Z_179EFDDE_A1B1_11D3_8FA9_0008C7809E09_.wvu.PrintTitles" localSheetId="20" hidden="1">#REF!,#REF!</definedName>
    <definedName name="Z_179EFDDE_A1B1_11D3_8FA9_0008C7809E09_.wvu.PrintTitles" hidden="1">#REF!,#REF!</definedName>
    <definedName name="Z_179EFDDF_A1B1_11D3_8FA9_0008C7809E09_.wvu.PrintArea" localSheetId="1" hidden="1">#REF!</definedName>
    <definedName name="Z_179EFDDF_A1B1_11D3_8FA9_0008C7809E09_.wvu.PrintArea" localSheetId="18" hidden="1">#REF!</definedName>
    <definedName name="Z_179EFDDF_A1B1_11D3_8FA9_0008C7809E09_.wvu.PrintArea" localSheetId="20" hidden="1">#REF!</definedName>
    <definedName name="Z_179EFDDF_A1B1_11D3_8FA9_0008C7809E09_.wvu.PrintArea" hidden="1">#REF!</definedName>
    <definedName name="Z_179EFDDF_A1B1_11D3_8FA9_0008C7809E09_.wvu.PrintTitles" localSheetId="1" hidden="1">#REF!,#REF!</definedName>
    <definedName name="Z_179EFDDF_A1B1_11D3_8FA9_0008C7809E09_.wvu.PrintTitles" localSheetId="18" hidden="1">#REF!,#REF!</definedName>
    <definedName name="Z_179EFDDF_A1B1_11D3_8FA9_0008C7809E09_.wvu.PrintTitles" localSheetId="20" hidden="1">#REF!,#REF!</definedName>
    <definedName name="Z_179EFDDF_A1B1_11D3_8FA9_0008C7809E09_.wvu.PrintTitles" hidden="1">#REF!,#REF!</definedName>
    <definedName name="Z_179EFDE0_A1B1_11D3_8FA9_0008C7809E09_.wvu.PrintArea" localSheetId="1" hidden="1">#REF!</definedName>
    <definedName name="Z_179EFDE0_A1B1_11D3_8FA9_0008C7809E09_.wvu.PrintArea" localSheetId="18" hidden="1">#REF!</definedName>
    <definedName name="Z_179EFDE0_A1B1_11D3_8FA9_0008C7809E09_.wvu.PrintArea" localSheetId="20" hidden="1">#REF!</definedName>
    <definedName name="Z_179EFDE0_A1B1_11D3_8FA9_0008C7809E09_.wvu.PrintArea" hidden="1">#REF!</definedName>
    <definedName name="Z_179EFDE0_A1B1_11D3_8FA9_0008C7809E09_.wvu.PrintTitles" localSheetId="1" hidden="1">#REF!,#REF!</definedName>
    <definedName name="Z_179EFDE0_A1B1_11D3_8FA9_0008C7809E09_.wvu.PrintTitles" localSheetId="18" hidden="1">#REF!,#REF!</definedName>
    <definedName name="Z_179EFDE0_A1B1_11D3_8FA9_0008C7809E09_.wvu.PrintTitles" localSheetId="20" hidden="1">#REF!,#REF!</definedName>
    <definedName name="Z_179EFDE0_A1B1_11D3_8FA9_0008C7809E09_.wvu.PrintTitles" hidden="1">#REF!,#REF!</definedName>
    <definedName name="Z_179EFDE1_A1B1_11D3_8FA9_0008C7809E09_.wvu.PrintArea" localSheetId="1" hidden="1">#REF!</definedName>
    <definedName name="Z_179EFDE1_A1B1_11D3_8FA9_0008C7809E09_.wvu.PrintArea" localSheetId="18" hidden="1">#REF!</definedName>
    <definedName name="Z_179EFDE1_A1B1_11D3_8FA9_0008C7809E09_.wvu.PrintArea" localSheetId="20" hidden="1">#REF!</definedName>
    <definedName name="Z_179EFDE1_A1B1_11D3_8FA9_0008C7809E09_.wvu.PrintArea" hidden="1">#REF!</definedName>
    <definedName name="Z_179EFDE1_A1B1_11D3_8FA9_0008C7809E09_.wvu.PrintTitles" localSheetId="1" hidden="1">#REF!,#REF!</definedName>
    <definedName name="Z_179EFDE1_A1B1_11D3_8FA9_0008C7809E09_.wvu.PrintTitles" localSheetId="18" hidden="1">#REF!,#REF!</definedName>
    <definedName name="Z_179EFDE1_A1B1_11D3_8FA9_0008C7809E09_.wvu.PrintTitles" localSheetId="20" hidden="1">#REF!,#REF!</definedName>
    <definedName name="Z_179EFDE1_A1B1_11D3_8FA9_0008C7809E09_.wvu.PrintTitles" hidden="1">#REF!,#REF!</definedName>
    <definedName name="Z_179EFDE2_A1B1_11D3_8FA9_0008C7809E09_.wvu.PrintArea" localSheetId="1" hidden="1">#REF!</definedName>
    <definedName name="Z_179EFDE2_A1B1_11D3_8FA9_0008C7809E09_.wvu.PrintArea" localSheetId="18" hidden="1">#REF!</definedName>
    <definedName name="Z_179EFDE2_A1B1_11D3_8FA9_0008C7809E09_.wvu.PrintArea" localSheetId="20" hidden="1">#REF!</definedName>
    <definedName name="Z_179EFDE2_A1B1_11D3_8FA9_0008C7809E09_.wvu.PrintArea" hidden="1">#REF!</definedName>
    <definedName name="Z_179EFDE2_A1B1_11D3_8FA9_0008C7809E09_.wvu.PrintTitles" localSheetId="1" hidden="1">#REF!,#REF!</definedName>
    <definedName name="Z_179EFDE2_A1B1_11D3_8FA9_0008C7809E09_.wvu.PrintTitles" localSheetId="18" hidden="1">#REF!,#REF!</definedName>
    <definedName name="Z_179EFDE2_A1B1_11D3_8FA9_0008C7809E09_.wvu.PrintTitles" localSheetId="20" hidden="1">#REF!,#REF!</definedName>
    <definedName name="Z_179EFDE2_A1B1_11D3_8FA9_0008C7809E09_.wvu.PrintTitles" hidden="1">#REF!,#REF!</definedName>
    <definedName name="Z_179EFDE3_A1B1_11D3_8FA9_0008C7809E09_.wvu.PrintArea" localSheetId="1" hidden="1">#REF!</definedName>
    <definedName name="Z_179EFDE3_A1B1_11D3_8FA9_0008C7809E09_.wvu.PrintArea" localSheetId="18" hidden="1">#REF!</definedName>
    <definedName name="Z_179EFDE3_A1B1_11D3_8FA9_0008C7809E09_.wvu.PrintArea" localSheetId="20" hidden="1">#REF!</definedName>
    <definedName name="Z_179EFDE3_A1B1_11D3_8FA9_0008C7809E09_.wvu.PrintArea" hidden="1">#REF!</definedName>
    <definedName name="Z_179EFDE3_A1B1_11D3_8FA9_0008C7809E09_.wvu.PrintTitles" localSheetId="1" hidden="1">#REF!,#REF!</definedName>
    <definedName name="Z_179EFDE3_A1B1_11D3_8FA9_0008C7809E09_.wvu.PrintTitles" localSheetId="18" hidden="1">#REF!,#REF!</definedName>
    <definedName name="Z_179EFDE3_A1B1_11D3_8FA9_0008C7809E09_.wvu.PrintTitles" localSheetId="20" hidden="1">#REF!,#REF!</definedName>
    <definedName name="Z_179EFDE3_A1B1_11D3_8FA9_0008C7809E09_.wvu.PrintTitles" hidden="1">#REF!,#REF!</definedName>
    <definedName name="Z_179EFDE4_A1B1_11D3_8FA9_0008C7809E09_.wvu.PrintArea" localSheetId="1" hidden="1">#REF!</definedName>
    <definedName name="Z_179EFDE4_A1B1_11D3_8FA9_0008C7809E09_.wvu.PrintArea" localSheetId="18" hidden="1">#REF!</definedName>
    <definedName name="Z_179EFDE4_A1B1_11D3_8FA9_0008C7809E09_.wvu.PrintArea" localSheetId="20" hidden="1">#REF!</definedName>
    <definedName name="Z_179EFDE4_A1B1_11D3_8FA9_0008C7809E09_.wvu.PrintArea" hidden="1">#REF!</definedName>
    <definedName name="Z_179EFDE4_A1B1_11D3_8FA9_0008C7809E09_.wvu.PrintTitles" localSheetId="1" hidden="1">#REF!,#REF!</definedName>
    <definedName name="Z_179EFDE4_A1B1_11D3_8FA9_0008C7809E09_.wvu.PrintTitles" localSheetId="18" hidden="1">#REF!,#REF!</definedName>
    <definedName name="Z_179EFDE4_A1B1_11D3_8FA9_0008C7809E09_.wvu.PrintTitles" localSheetId="20" hidden="1">#REF!,#REF!</definedName>
    <definedName name="Z_179EFDE4_A1B1_11D3_8FA9_0008C7809E09_.wvu.PrintTitles" hidden="1">#REF!,#REF!</definedName>
    <definedName name="Z_179EFDE5_A1B1_11D3_8FA9_0008C7809E09_.wvu.PrintArea" localSheetId="1" hidden="1">#REF!</definedName>
    <definedName name="Z_179EFDE5_A1B1_11D3_8FA9_0008C7809E09_.wvu.PrintArea" localSheetId="18" hidden="1">#REF!</definedName>
    <definedName name="Z_179EFDE5_A1B1_11D3_8FA9_0008C7809E09_.wvu.PrintArea" localSheetId="20" hidden="1">#REF!</definedName>
    <definedName name="Z_179EFDE5_A1B1_11D3_8FA9_0008C7809E09_.wvu.PrintArea" hidden="1">#REF!</definedName>
    <definedName name="Z_179EFDE5_A1B1_11D3_8FA9_0008C7809E09_.wvu.PrintTitles" localSheetId="1" hidden="1">#REF!,#REF!</definedName>
    <definedName name="Z_179EFDE5_A1B1_11D3_8FA9_0008C7809E09_.wvu.PrintTitles" localSheetId="18" hidden="1">#REF!,#REF!</definedName>
    <definedName name="Z_179EFDE5_A1B1_11D3_8FA9_0008C7809E09_.wvu.PrintTitles" localSheetId="20" hidden="1">#REF!,#REF!</definedName>
    <definedName name="Z_179EFDE5_A1B1_11D3_8FA9_0008C7809E09_.wvu.PrintTitles" hidden="1">#REF!,#REF!</definedName>
    <definedName name="Z_179EFDE6_A1B1_11D3_8FA9_0008C7809E09_.wvu.PrintArea" localSheetId="1" hidden="1">#REF!</definedName>
    <definedName name="Z_179EFDE6_A1B1_11D3_8FA9_0008C7809E09_.wvu.PrintArea" localSheetId="18" hidden="1">#REF!</definedName>
    <definedName name="Z_179EFDE6_A1B1_11D3_8FA9_0008C7809E09_.wvu.PrintArea" localSheetId="20" hidden="1">#REF!</definedName>
    <definedName name="Z_179EFDE6_A1B1_11D3_8FA9_0008C7809E09_.wvu.PrintArea" hidden="1">#REF!</definedName>
    <definedName name="Z_179EFDE6_A1B1_11D3_8FA9_0008C7809E09_.wvu.PrintTitles" localSheetId="1" hidden="1">#REF!</definedName>
    <definedName name="Z_179EFDE6_A1B1_11D3_8FA9_0008C7809E09_.wvu.PrintTitles" localSheetId="20" hidden="1">#REF!</definedName>
    <definedName name="Z_179EFDE6_A1B1_11D3_8FA9_0008C7809E09_.wvu.PrintTitles" hidden="1">#REF!</definedName>
    <definedName name="Z_179EFDE7_A1B1_11D3_8FA9_0008C7809E09_.wvu.PrintArea" localSheetId="1" hidden="1">#REF!</definedName>
    <definedName name="Z_179EFDE7_A1B1_11D3_8FA9_0008C7809E09_.wvu.PrintArea" localSheetId="20" hidden="1">#REF!</definedName>
    <definedName name="Z_179EFDE7_A1B1_11D3_8FA9_0008C7809E09_.wvu.PrintArea" hidden="1">#REF!</definedName>
    <definedName name="Z_179EFDE7_A1B1_11D3_8FA9_0008C7809E09_.wvu.PrintTitles" localSheetId="1" hidden="1">#REF!</definedName>
    <definedName name="Z_179EFDE7_A1B1_11D3_8FA9_0008C7809E09_.wvu.PrintTitles" localSheetId="20" hidden="1">#REF!</definedName>
    <definedName name="Z_179EFDE7_A1B1_11D3_8FA9_0008C7809E09_.wvu.PrintTitles" hidden="1">#REF!</definedName>
    <definedName name="Z_179EFDE8_A1B1_11D3_8FA9_0008C7809E09_.wvu.PrintArea" localSheetId="1" hidden="1">#REF!</definedName>
    <definedName name="Z_179EFDE8_A1B1_11D3_8FA9_0008C7809E09_.wvu.PrintArea" localSheetId="20" hidden="1">#REF!</definedName>
    <definedName name="Z_179EFDE8_A1B1_11D3_8FA9_0008C7809E09_.wvu.PrintArea" hidden="1">#REF!</definedName>
    <definedName name="Z_179EFDE8_A1B1_11D3_8FA9_0008C7809E09_.wvu.PrintTitles" localSheetId="1" hidden="1">#REF!</definedName>
    <definedName name="Z_179EFDE8_A1B1_11D3_8FA9_0008C7809E09_.wvu.PrintTitles" localSheetId="20" hidden="1">#REF!</definedName>
    <definedName name="Z_179EFDE8_A1B1_11D3_8FA9_0008C7809E09_.wvu.PrintTitles" hidden="1">#REF!</definedName>
    <definedName name="Z_179EFDE9_A1B1_11D3_8FA9_0008C7809E09_.wvu.PrintArea" localSheetId="1" hidden="1">#REF!</definedName>
    <definedName name="Z_179EFDE9_A1B1_11D3_8FA9_0008C7809E09_.wvu.PrintArea" localSheetId="20" hidden="1">#REF!</definedName>
    <definedName name="Z_179EFDE9_A1B1_11D3_8FA9_0008C7809E09_.wvu.PrintArea" hidden="1">#REF!</definedName>
    <definedName name="Z_179EFDE9_A1B1_11D3_8FA9_0008C7809E09_.wvu.PrintTitles" localSheetId="1" hidden="1">#REF!</definedName>
    <definedName name="Z_179EFDE9_A1B1_11D3_8FA9_0008C7809E09_.wvu.PrintTitles" localSheetId="20" hidden="1">#REF!</definedName>
    <definedName name="Z_179EFDE9_A1B1_11D3_8FA9_0008C7809E09_.wvu.PrintTitles" hidden="1">#REF!</definedName>
    <definedName name="Z_179EFDEA_A1B1_11D3_8FA9_0008C7809E09_.wvu.PrintArea" localSheetId="1" hidden="1">#REF!</definedName>
    <definedName name="Z_179EFDEA_A1B1_11D3_8FA9_0008C7809E09_.wvu.PrintArea" localSheetId="20" hidden="1">#REF!</definedName>
    <definedName name="Z_179EFDEA_A1B1_11D3_8FA9_0008C7809E09_.wvu.PrintArea" hidden="1">#REF!</definedName>
    <definedName name="Z_179EFDEA_A1B1_11D3_8FA9_0008C7809E09_.wvu.PrintTitles" localSheetId="1" hidden="1">#REF!</definedName>
    <definedName name="Z_179EFDEA_A1B1_11D3_8FA9_0008C7809E09_.wvu.PrintTitles" localSheetId="20" hidden="1">#REF!</definedName>
    <definedName name="Z_179EFDEA_A1B1_11D3_8FA9_0008C7809E09_.wvu.PrintTitles" hidden="1">#REF!</definedName>
    <definedName name="Z_179EFDEB_A1B1_11D3_8FA9_0008C7809E09_.wvu.PrintArea" localSheetId="1" hidden="1">#REF!</definedName>
    <definedName name="Z_179EFDEB_A1B1_11D3_8FA9_0008C7809E09_.wvu.PrintArea" localSheetId="20" hidden="1">#REF!</definedName>
    <definedName name="Z_179EFDEB_A1B1_11D3_8FA9_0008C7809E09_.wvu.PrintArea" hidden="1">#REF!</definedName>
    <definedName name="Z_179EFDEB_A1B1_11D3_8FA9_0008C7809E09_.wvu.PrintTitles" localSheetId="1" hidden="1">#REF!</definedName>
    <definedName name="Z_179EFDEB_A1B1_11D3_8FA9_0008C7809E09_.wvu.PrintTitles" localSheetId="20" hidden="1">#REF!</definedName>
    <definedName name="Z_179EFDEB_A1B1_11D3_8FA9_0008C7809E09_.wvu.PrintTitles" hidden="1">#REF!</definedName>
    <definedName name="Z_179EFDEC_A1B1_11D3_8FA9_0008C7809E09_.wvu.PrintArea" localSheetId="1" hidden="1">#REF!</definedName>
    <definedName name="Z_179EFDEC_A1B1_11D3_8FA9_0008C7809E09_.wvu.PrintArea" localSheetId="20" hidden="1">#REF!</definedName>
    <definedName name="Z_179EFDEC_A1B1_11D3_8FA9_0008C7809E09_.wvu.PrintArea" hidden="1">#REF!</definedName>
    <definedName name="Z_179EFDEC_A1B1_11D3_8FA9_0008C7809E09_.wvu.PrintTitles" localSheetId="1" hidden="1">#REF!</definedName>
    <definedName name="Z_179EFDEC_A1B1_11D3_8FA9_0008C7809E09_.wvu.PrintTitles" localSheetId="20" hidden="1">#REF!</definedName>
    <definedName name="Z_179EFDEC_A1B1_11D3_8FA9_0008C7809E09_.wvu.PrintTitles" hidden="1">#REF!</definedName>
    <definedName name="Z_179EFDED_A1B1_11D3_8FA9_0008C7809E09_.wvu.PrintArea" localSheetId="1" hidden="1">#REF!</definedName>
    <definedName name="Z_179EFDED_A1B1_11D3_8FA9_0008C7809E09_.wvu.PrintArea" localSheetId="20" hidden="1">#REF!</definedName>
    <definedName name="Z_179EFDED_A1B1_11D3_8FA9_0008C7809E09_.wvu.PrintArea" hidden="1">#REF!</definedName>
    <definedName name="Z_179EFDED_A1B1_11D3_8FA9_0008C7809E09_.wvu.PrintTitles" localSheetId="1" hidden="1">#REF!</definedName>
    <definedName name="Z_179EFDED_A1B1_11D3_8FA9_0008C7809E09_.wvu.PrintTitles" localSheetId="20" hidden="1">#REF!</definedName>
    <definedName name="Z_179EFDED_A1B1_11D3_8FA9_0008C7809E09_.wvu.PrintTitles" hidden="1">#REF!</definedName>
    <definedName name="Z_179EFDEE_A1B1_11D3_8FA9_0008C7809E09_.wvu.PrintArea" localSheetId="1" hidden="1">#REF!</definedName>
    <definedName name="Z_179EFDEE_A1B1_11D3_8FA9_0008C7809E09_.wvu.PrintArea" localSheetId="20" hidden="1">#REF!</definedName>
    <definedName name="Z_179EFDEE_A1B1_11D3_8FA9_0008C7809E09_.wvu.PrintArea" hidden="1">#REF!</definedName>
    <definedName name="Z_179EFDEE_A1B1_11D3_8FA9_0008C7809E09_.wvu.PrintTitles" localSheetId="1" hidden="1">#REF!</definedName>
    <definedName name="Z_179EFDEE_A1B1_11D3_8FA9_0008C7809E09_.wvu.PrintTitles" localSheetId="20" hidden="1">#REF!</definedName>
    <definedName name="Z_179EFDEE_A1B1_11D3_8FA9_0008C7809E09_.wvu.PrintTitles" hidden="1">#REF!</definedName>
    <definedName name="Z_179EFDEF_A1B1_11D3_8FA9_0008C7809E09_.wvu.PrintArea" localSheetId="1" hidden="1">#REF!</definedName>
    <definedName name="Z_179EFDEF_A1B1_11D3_8FA9_0008C7809E09_.wvu.PrintArea" localSheetId="20" hidden="1">#REF!</definedName>
    <definedName name="Z_179EFDEF_A1B1_11D3_8FA9_0008C7809E09_.wvu.PrintArea" hidden="1">#REF!</definedName>
    <definedName name="Z_179EFDEF_A1B1_11D3_8FA9_0008C7809E09_.wvu.PrintTitles" localSheetId="1" hidden="1">#REF!</definedName>
    <definedName name="Z_179EFDEF_A1B1_11D3_8FA9_0008C7809E09_.wvu.PrintTitles" localSheetId="20" hidden="1">#REF!</definedName>
    <definedName name="Z_179EFDEF_A1B1_11D3_8FA9_0008C7809E09_.wvu.PrintTitles" hidden="1">#REF!</definedName>
    <definedName name="Z_179EFDF0_A1B1_11D3_8FA9_0008C7809E09_.wvu.PrintArea" localSheetId="1" hidden="1">#REF!</definedName>
    <definedName name="Z_179EFDF0_A1B1_11D3_8FA9_0008C7809E09_.wvu.PrintArea" localSheetId="20" hidden="1">#REF!</definedName>
    <definedName name="Z_179EFDF0_A1B1_11D3_8FA9_0008C7809E09_.wvu.PrintArea" hidden="1">#REF!</definedName>
    <definedName name="Z_179EFDF0_A1B1_11D3_8FA9_0008C7809E09_.wvu.PrintTitles" localSheetId="1" hidden="1">#REF!</definedName>
    <definedName name="Z_179EFDF0_A1B1_11D3_8FA9_0008C7809E09_.wvu.PrintTitles" localSheetId="20" hidden="1">#REF!</definedName>
    <definedName name="Z_179EFDF0_A1B1_11D3_8FA9_0008C7809E09_.wvu.PrintTitles" hidden="1">#REF!</definedName>
    <definedName name="Z_179EFDF1_A1B1_11D3_8FA9_0008C7809E09_.wvu.PrintArea" localSheetId="1" hidden="1">#REF!</definedName>
    <definedName name="Z_179EFDF1_A1B1_11D3_8FA9_0008C7809E09_.wvu.PrintArea" localSheetId="20" hidden="1">#REF!</definedName>
    <definedName name="Z_179EFDF1_A1B1_11D3_8FA9_0008C7809E09_.wvu.PrintArea" hidden="1">#REF!</definedName>
    <definedName name="Z_179EFDF1_A1B1_11D3_8FA9_0008C7809E09_.wvu.PrintTitles" localSheetId="1" hidden="1">#REF!</definedName>
    <definedName name="Z_179EFDF1_A1B1_11D3_8FA9_0008C7809E09_.wvu.PrintTitles" localSheetId="20" hidden="1">#REF!</definedName>
    <definedName name="Z_179EFDF1_A1B1_11D3_8FA9_0008C7809E09_.wvu.PrintTitles" hidden="1">#REF!</definedName>
    <definedName name="Z_179EFDF2_A1B1_11D3_8FA9_0008C7809E09_.wvu.PrintArea" localSheetId="1" hidden="1">#REF!</definedName>
    <definedName name="Z_179EFDF2_A1B1_11D3_8FA9_0008C7809E09_.wvu.PrintArea" localSheetId="20" hidden="1">#REF!</definedName>
    <definedName name="Z_179EFDF2_A1B1_11D3_8FA9_0008C7809E09_.wvu.PrintArea" hidden="1">#REF!</definedName>
    <definedName name="Z_179EFDF2_A1B1_11D3_8FA9_0008C7809E09_.wvu.PrintTitles" localSheetId="1" hidden="1">#REF!</definedName>
    <definedName name="Z_179EFDF2_A1B1_11D3_8FA9_0008C7809E09_.wvu.PrintTitles" localSheetId="20" hidden="1">#REF!</definedName>
    <definedName name="Z_179EFDF2_A1B1_11D3_8FA9_0008C7809E09_.wvu.PrintTitles" hidden="1">#REF!</definedName>
    <definedName name="Z_179EFDF3_A1B1_11D3_8FA9_0008C7809E09_.wvu.PrintArea" localSheetId="1" hidden="1">#REF!</definedName>
    <definedName name="Z_179EFDF3_A1B1_11D3_8FA9_0008C7809E09_.wvu.PrintArea" localSheetId="20" hidden="1">#REF!</definedName>
    <definedName name="Z_179EFDF3_A1B1_11D3_8FA9_0008C7809E09_.wvu.PrintArea" hidden="1">#REF!</definedName>
    <definedName name="Z_179EFDF3_A1B1_11D3_8FA9_0008C7809E09_.wvu.PrintTitles" localSheetId="1" hidden="1">#REF!,#REF!</definedName>
    <definedName name="Z_179EFDF3_A1B1_11D3_8FA9_0008C7809E09_.wvu.PrintTitles" localSheetId="18" hidden="1">#REF!,#REF!</definedName>
    <definedName name="Z_179EFDF3_A1B1_11D3_8FA9_0008C7809E09_.wvu.PrintTitles" localSheetId="20" hidden="1">#REF!,#REF!</definedName>
    <definedName name="Z_179EFDF3_A1B1_11D3_8FA9_0008C7809E09_.wvu.PrintTitles" hidden="1">#REF!,#REF!</definedName>
    <definedName name="Z_179EFDF4_A1B1_11D3_8FA9_0008C7809E09_.wvu.PrintArea" localSheetId="1" hidden="1">#REF!</definedName>
    <definedName name="Z_179EFDF4_A1B1_11D3_8FA9_0008C7809E09_.wvu.PrintArea" localSheetId="18" hidden="1">#REF!</definedName>
    <definedName name="Z_179EFDF4_A1B1_11D3_8FA9_0008C7809E09_.wvu.PrintArea" localSheetId="20" hidden="1">#REF!</definedName>
    <definedName name="Z_179EFDF4_A1B1_11D3_8FA9_0008C7809E09_.wvu.PrintArea" hidden="1">#REF!</definedName>
    <definedName name="Z_179EFDF4_A1B1_11D3_8FA9_0008C7809E09_.wvu.PrintTitles" localSheetId="1" hidden="1">#REF!,#REF!</definedName>
    <definedName name="Z_179EFDF4_A1B1_11D3_8FA9_0008C7809E09_.wvu.PrintTitles" localSheetId="18" hidden="1">#REF!,#REF!</definedName>
    <definedName name="Z_179EFDF4_A1B1_11D3_8FA9_0008C7809E09_.wvu.PrintTitles" localSheetId="20" hidden="1">#REF!,#REF!</definedName>
    <definedName name="Z_179EFDF4_A1B1_11D3_8FA9_0008C7809E09_.wvu.PrintTitles" hidden="1">#REF!,#REF!</definedName>
    <definedName name="Z_179EFDF5_A1B1_11D3_8FA9_0008C7809E09_.wvu.PrintArea" localSheetId="1" hidden="1">#REF!</definedName>
    <definedName name="Z_179EFDF5_A1B1_11D3_8FA9_0008C7809E09_.wvu.PrintArea" localSheetId="18" hidden="1">#REF!</definedName>
    <definedName name="Z_179EFDF5_A1B1_11D3_8FA9_0008C7809E09_.wvu.PrintArea" localSheetId="20" hidden="1">#REF!</definedName>
    <definedName name="Z_179EFDF5_A1B1_11D3_8FA9_0008C7809E09_.wvu.PrintArea" hidden="1">#REF!</definedName>
    <definedName name="Z_179EFDF5_A1B1_11D3_8FA9_0008C7809E09_.wvu.PrintTitles" localSheetId="1" hidden="1">#REF!,#REF!</definedName>
    <definedName name="Z_179EFDF5_A1B1_11D3_8FA9_0008C7809E09_.wvu.PrintTitles" localSheetId="18" hidden="1">#REF!,#REF!</definedName>
    <definedName name="Z_179EFDF5_A1B1_11D3_8FA9_0008C7809E09_.wvu.PrintTitles" localSheetId="20" hidden="1">#REF!,#REF!</definedName>
    <definedName name="Z_179EFDF5_A1B1_11D3_8FA9_0008C7809E09_.wvu.PrintTitles" hidden="1">#REF!,#REF!</definedName>
    <definedName name="Z_179EFDF6_A1B1_11D3_8FA9_0008C7809E09_.wvu.PrintArea" localSheetId="1" hidden="1">#REF!</definedName>
    <definedName name="Z_179EFDF6_A1B1_11D3_8FA9_0008C7809E09_.wvu.PrintArea" localSheetId="18" hidden="1">#REF!</definedName>
    <definedName name="Z_179EFDF6_A1B1_11D3_8FA9_0008C7809E09_.wvu.PrintArea" localSheetId="20" hidden="1">#REF!</definedName>
    <definedName name="Z_179EFDF6_A1B1_11D3_8FA9_0008C7809E09_.wvu.PrintArea" hidden="1">#REF!</definedName>
    <definedName name="Z_179EFDF6_A1B1_11D3_8FA9_0008C7809E09_.wvu.PrintTitles" localSheetId="1" hidden="1">#REF!,#REF!</definedName>
    <definedName name="Z_179EFDF6_A1B1_11D3_8FA9_0008C7809E09_.wvu.PrintTitles" localSheetId="18" hidden="1">#REF!,#REF!</definedName>
    <definedName name="Z_179EFDF6_A1B1_11D3_8FA9_0008C7809E09_.wvu.PrintTitles" localSheetId="20" hidden="1">#REF!,#REF!</definedName>
    <definedName name="Z_179EFDF6_A1B1_11D3_8FA9_0008C7809E09_.wvu.PrintTitles" hidden="1">#REF!,#REF!</definedName>
    <definedName name="Z_179EFDF7_A1B1_11D3_8FA9_0008C7809E09_.wvu.PrintArea" localSheetId="1" hidden="1">#REF!</definedName>
    <definedName name="Z_179EFDF7_A1B1_11D3_8FA9_0008C7809E09_.wvu.PrintArea" localSheetId="18" hidden="1">#REF!</definedName>
    <definedName name="Z_179EFDF7_A1B1_11D3_8FA9_0008C7809E09_.wvu.PrintArea" localSheetId="20" hidden="1">#REF!</definedName>
    <definedName name="Z_179EFDF7_A1B1_11D3_8FA9_0008C7809E09_.wvu.PrintArea" hidden="1">#REF!</definedName>
    <definedName name="Z_179EFDF7_A1B1_11D3_8FA9_0008C7809E09_.wvu.PrintTitles" localSheetId="1" hidden="1">#REF!,#REF!</definedName>
    <definedName name="Z_179EFDF7_A1B1_11D3_8FA9_0008C7809E09_.wvu.PrintTitles" localSheetId="18" hidden="1">#REF!,#REF!</definedName>
    <definedName name="Z_179EFDF7_A1B1_11D3_8FA9_0008C7809E09_.wvu.PrintTitles" localSheetId="20" hidden="1">#REF!,#REF!</definedName>
    <definedName name="Z_179EFDF7_A1B1_11D3_8FA9_0008C7809E09_.wvu.PrintTitles" hidden="1">#REF!,#REF!</definedName>
    <definedName name="Z_179EFDF8_A1B1_11D3_8FA9_0008C7809E09_.wvu.PrintArea" localSheetId="1" hidden="1">#REF!</definedName>
    <definedName name="Z_179EFDF8_A1B1_11D3_8FA9_0008C7809E09_.wvu.PrintArea" localSheetId="18" hidden="1">#REF!</definedName>
    <definedName name="Z_179EFDF8_A1B1_11D3_8FA9_0008C7809E09_.wvu.PrintArea" localSheetId="20" hidden="1">#REF!</definedName>
    <definedName name="Z_179EFDF8_A1B1_11D3_8FA9_0008C7809E09_.wvu.PrintArea" hidden="1">#REF!</definedName>
    <definedName name="Z_179EFDF8_A1B1_11D3_8FA9_0008C7809E09_.wvu.PrintTitles" localSheetId="1" hidden="1">#REF!,#REF!</definedName>
    <definedName name="Z_179EFDF8_A1B1_11D3_8FA9_0008C7809E09_.wvu.PrintTitles" localSheetId="18" hidden="1">#REF!,#REF!</definedName>
    <definedName name="Z_179EFDF8_A1B1_11D3_8FA9_0008C7809E09_.wvu.PrintTitles" localSheetId="20" hidden="1">#REF!,#REF!</definedName>
    <definedName name="Z_179EFDF8_A1B1_11D3_8FA9_0008C7809E09_.wvu.PrintTitles" hidden="1">#REF!,#REF!</definedName>
    <definedName name="Z_179EFDF9_A1B1_11D3_8FA9_0008C7809E09_.wvu.PrintArea" localSheetId="1" hidden="1">#REF!</definedName>
    <definedName name="Z_179EFDF9_A1B1_11D3_8FA9_0008C7809E09_.wvu.PrintArea" localSheetId="18" hidden="1">#REF!</definedName>
    <definedName name="Z_179EFDF9_A1B1_11D3_8FA9_0008C7809E09_.wvu.PrintArea" localSheetId="20" hidden="1">#REF!</definedName>
    <definedName name="Z_179EFDF9_A1B1_11D3_8FA9_0008C7809E09_.wvu.PrintArea" hidden="1">#REF!</definedName>
    <definedName name="Z_179EFDF9_A1B1_11D3_8FA9_0008C7809E09_.wvu.PrintTitles" localSheetId="1" hidden="1">#REF!,#REF!</definedName>
    <definedName name="Z_179EFDF9_A1B1_11D3_8FA9_0008C7809E09_.wvu.PrintTitles" localSheetId="18" hidden="1">#REF!,#REF!</definedName>
    <definedName name="Z_179EFDF9_A1B1_11D3_8FA9_0008C7809E09_.wvu.PrintTitles" localSheetId="20" hidden="1">#REF!,#REF!</definedName>
    <definedName name="Z_179EFDF9_A1B1_11D3_8FA9_0008C7809E09_.wvu.PrintTitles" hidden="1">#REF!,#REF!</definedName>
    <definedName name="Z_179EFDFA_A1B1_11D3_8FA9_0008C7809E09_.wvu.PrintArea" localSheetId="1" hidden="1">#REF!</definedName>
    <definedName name="Z_179EFDFA_A1B1_11D3_8FA9_0008C7809E09_.wvu.PrintArea" localSheetId="18" hidden="1">#REF!</definedName>
    <definedName name="Z_179EFDFA_A1B1_11D3_8FA9_0008C7809E09_.wvu.PrintArea" localSheetId="20" hidden="1">#REF!</definedName>
    <definedName name="Z_179EFDFA_A1B1_11D3_8FA9_0008C7809E09_.wvu.PrintArea" hidden="1">#REF!</definedName>
    <definedName name="Z_179EFDFA_A1B1_11D3_8FA9_0008C7809E09_.wvu.PrintTitles" localSheetId="1" hidden="1">#REF!,#REF!</definedName>
    <definedName name="Z_179EFDFA_A1B1_11D3_8FA9_0008C7809E09_.wvu.PrintTitles" localSheetId="18" hidden="1">#REF!,#REF!</definedName>
    <definedName name="Z_179EFDFA_A1B1_11D3_8FA9_0008C7809E09_.wvu.PrintTitles" localSheetId="20" hidden="1">#REF!,#REF!</definedName>
    <definedName name="Z_179EFDFA_A1B1_11D3_8FA9_0008C7809E09_.wvu.PrintTitles" hidden="1">#REF!,#REF!</definedName>
    <definedName name="Z_179EFDFB_A1B1_11D3_8FA9_0008C7809E09_.wvu.PrintArea" localSheetId="1" hidden="1">#REF!</definedName>
    <definedName name="Z_179EFDFB_A1B1_11D3_8FA9_0008C7809E09_.wvu.PrintArea" localSheetId="18" hidden="1">#REF!</definedName>
    <definedName name="Z_179EFDFB_A1B1_11D3_8FA9_0008C7809E09_.wvu.PrintArea" localSheetId="20" hidden="1">#REF!</definedName>
    <definedName name="Z_179EFDFB_A1B1_11D3_8FA9_0008C7809E09_.wvu.PrintArea" hidden="1">#REF!</definedName>
    <definedName name="Z_179EFDFB_A1B1_11D3_8FA9_0008C7809E09_.wvu.PrintTitles" localSheetId="1" hidden="1">#REF!,#REF!</definedName>
    <definedName name="Z_179EFDFB_A1B1_11D3_8FA9_0008C7809E09_.wvu.PrintTitles" localSheetId="18" hidden="1">#REF!,#REF!</definedName>
    <definedName name="Z_179EFDFB_A1B1_11D3_8FA9_0008C7809E09_.wvu.PrintTitles" localSheetId="20" hidden="1">#REF!,#REF!</definedName>
    <definedName name="Z_179EFDFB_A1B1_11D3_8FA9_0008C7809E09_.wvu.PrintTitles" hidden="1">#REF!,#REF!</definedName>
    <definedName name="Z_179EFDFC_A1B1_11D3_8FA9_0008C7809E09_.wvu.PrintArea" localSheetId="1" hidden="1">#REF!</definedName>
    <definedName name="Z_179EFDFC_A1B1_11D3_8FA9_0008C7809E09_.wvu.PrintArea" localSheetId="18" hidden="1">#REF!</definedName>
    <definedName name="Z_179EFDFC_A1B1_11D3_8FA9_0008C7809E09_.wvu.PrintArea" localSheetId="20" hidden="1">#REF!</definedName>
    <definedName name="Z_179EFDFC_A1B1_11D3_8FA9_0008C7809E09_.wvu.PrintArea" hidden="1">#REF!</definedName>
    <definedName name="Z_179EFDFC_A1B1_11D3_8FA9_0008C7809E09_.wvu.PrintTitles" localSheetId="1" hidden="1">#REF!,#REF!</definedName>
    <definedName name="Z_179EFDFC_A1B1_11D3_8FA9_0008C7809E09_.wvu.PrintTitles" localSheetId="18" hidden="1">#REF!,#REF!</definedName>
    <definedName name="Z_179EFDFC_A1B1_11D3_8FA9_0008C7809E09_.wvu.PrintTitles" localSheetId="20" hidden="1">#REF!,#REF!</definedName>
    <definedName name="Z_179EFDFC_A1B1_11D3_8FA9_0008C7809E09_.wvu.PrintTitles" hidden="1">#REF!,#REF!</definedName>
    <definedName name="Z_179EFDFD_A1B1_11D3_8FA9_0008C7809E09_.wvu.PrintArea" localSheetId="1" hidden="1">#REF!</definedName>
    <definedName name="Z_179EFDFD_A1B1_11D3_8FA9_0008C7809E09_.wvu.PrintArea" localSheetId="18" hidden="1">#REF!</definedName>
    <definedName name="Z_179EFDFD_A1B1_11D3_8FA9_0008C7809E09_.wvu.PrintArea" localSheetId="20" hidden="1">#REF!</definedName>
    <definedName name="Z_179EFDFD_A1B1_11D3_8FA9_0008C7809E09_.wvu.PrintArea" hidden="1">#REF!</definedName>
    <definedName name="Z_179EFDFD_A1B1_11D3_8FA9_0008C7809E09_.wvu.PrintTitles" localSheetId="1" hidden="1">#REF!,#REF!</definedName>
    <definedName name="Z_179EFDFD_A1B1_11D3_8FA9_0008C7809E09_.wvu.PrintTitles" localSheetId="18" hidden="1">#REF!,#REF!</definedName>
    <definedName name="Z_179EFDFD_A1B1_11D3_8FA9_0008C7809E09_.wvu.PrintTitles" localSheetId="20" hidden="1">#REF!,#REF!</definedName>
    <definedName name="Z_179EFDFD_A1B1_11D3_8FA9_0008C7809E09_.wvu.PrintTitles" hidden="1">#REF!,#REF!</definedName>
    <definedName name="Z_179EFDFE_A1B1_11D3_8FA9_0008C7809E09_.wvu.PrintArea" localSheetId="1" hidden="1">#REF!</definedName>
    <definedName name="Z_179EFDFE_A1B1_11D3_8FA9_0008C7809E09_.wvu.PrintArea" localSheetId="18" hidden="1">#REF!</definedName>
    <definedName name="Z_179EFDFE_A1B1_11D3_8FA9_0008C7809E09_.wvu.PrintArea" localSheetId="20" hidden="1">#REF!</definedName>
    <definedName name="Z_179EFDFE_A1B1_11D3_8FA9_0008C7809E09_.wvu.PrintArea" hidden="1">#REF!</definedName>
    <definedName name="Z_179EFDFE_A1B1_11D3_8FA9_0008C7809E09_.wvu.PrintTitles" localSheetId="1" hidden="1">#REF!,#REF!</definedName>
    <definedName name="Z_179EFDFE_A1B1_11D3_8FA9_0008C7809E09_.wvu.PrintTitles" localSheetId="18" hidden="1">#REF!,#REF!</definedName>
    <definedName name="Z_179EFDFE_A1B1_11D3_8FA9_0008C7809E09_.wvu.PrintTitles" localSheetId="20" hidden="1">#REF!,#REF!</definedName>
    <definedName name="Z_179EFDFE_A1B1_11D3_8FA9_0008C7809E09_.wvu.PrintTitles" hidden="1">#REF!,#REF!</definedName>
    <definedName name="Z_179EFDFF_A1B1_11D3_8FA9_0008C7809E09_.wvu.PrintArea" localSheetId="1" hidden="1">#REF!</definedName>
    <definedName name="Z_179EFDFF_A1B1_11D3_8FA9_0008C7809E09_.wvu.PrintArea" localSheetId="18" hidden="1">#REF!</definedName>
    <definedName name="Z_179EFDFF_A1B1_11D3_8FA9_0008C7809E09_.wvu.PrintArea" localSheetId="20" hidden="1">#REF!</definedName>
    <definedName name="Z_179EFDFF_A1B1_11D3_8FA9_0008C7809E09_.wvu.PrintArea" hidden="1">#REF!</definedName>
    <definedName name="Z_179EFDFF_A1B1_11D3_8FA9_0008C7809E09_.wvu.PrintTitles" localSheetId="1" hidden="1">#REF!,#REF!</definedName>
    <definedName name="Z_179EFDFF_A1B1_11D3_8FA9_0008C7809E09_.wvu.PrintTitles" localSheetId="18" hidden="1">#REF!,#REF!</definedName>
    <definedName name="Z_179EFDFF_A1B1_11D3_8FA9_0008C7809E09_.wvu.PrintTitles" localSheetId="20" hidden="1">#REF!,#REF!</definedName>
    <definedName name="Z_179EFDFF_A1B1_11D3_8FA9_0008C7809E09_.wvu.PrintTitles" hidden="1">#REF!,#REF!</definedName>
    <definedName name="Z_179EFE00_A1B1_11D3_8FA9_0008C7809E09_.wvu.PrintArea" localSheetId="1" hidden="1">#REF!</definedName>
    <definedName name="Z_179EFE00_A1B1_11D3_8FA9_0008C7809E09_.wvu.PrintArea" localSheetId="18" hidden="1">#REF!</definedName>
    <definedName name="Z_179EFE00_A1B1_11D3_8FA9_0008C7809E09_.wvu.PrintArea" localSheetId="20" hidden="1">#REF!</definedName>
    <definedName name="Z_179EFE00_A1B1_11D3_8FA9_0008C7809E09_.wvu.PrintArea" hidden="1">#REF!</definedName>
    <definedName name="Z_179EFE00_A1B1_11D3_8FA9_0008C7809E09_.wvu.PrintTitles" localSheetId="1" hidden="1">#REF!,#REF!</definedName>
    <definedName name="Z_179EFE00_A1B1_11D3_8FA9_0008C7809E09_.wvu.PrintTitles" localSheetId="18" hidden="1">#REF!,#REF!</definedName>
    <definedName name="Z_179EFE00_A1B1_11D3_8FA9_0008C7809E09_.wvu.PrintTitles" localSheetId="20" hidden="1">#REF!,#REF!</definedName>
    <definedName name="Z_179EFE00_A1B1_11D3_8FA9_0008C7809E09_.wvu.PrintTitles" hidden="1">#REF!,#REF!</definedName>
    <definedName name="Z_179EFE01_A1B1_11D3_8FA9_0008C7809E09_.wvu.PrintArea" localSheetId="1" hidden="1">#REF!</definedName>
    <definedName name="Z_179EFE01_A1B1_11D3_8FA9_0008C7809E09_.wvu.PrintArea" localSheetId="18" hidden="1">#REF!</definedName>
    <definedName name="Z_179EFE01_A1B1_11D3_8FA9_0008C7809E09_.wvu.PrintArea" localSheetId="20" hidden="1">#REF!</definedName>
    <definedName name="Z_179EFE01_A1B1_11D3_8FA9_0008C7809E09_.wvu.PrintArea" hidden="1">#REF!</definedName>
    <definedName name="Z_179EFE01_A1B1_11D3_8FA9_0008C7809E09_.wvu.PrintTitles" localSheetId="1" hidden="1">#REF!,#REF!</definedName>
    <definedName name="Z_179EFE01_A1B1_11D3_8FA9_0008C7809E09_.wvu.PrintTitles" localSheetId="18" hidden="1">#REF!,#REF!</definedName>
    <definedName name="Z_179EFE01_A1B1_11D3_8FA9_0008C7809E09_.wvu.PrintTitles" localSheetId="20" hidden="1">#REF!,#REF!</definedName>
    <definedName name="Z_179EFE01_A1B1_11D3_8FA9_0008C7809E09_.wvu.PrintTitles" hidden="1">#REF!,#REF!</definedName>
    <definedName name="Z_179EFE02_A1B1_11D3_8FA9_0008C7809E09_.wvu.PrintArea" localSheetId="1" hidden="1">#REF!</definedName>
    <definedName name="Z_179EFE02_A1B1_11D3_8FA9_0008C7809E09_.wvu.PrintArea" localSheetId="18" hidden="1">#REF!</definedName>
    <definedName name="Z_179EFE02_A1B1_11D3_8FA9_0008C7809E09_.wvu.PrintArea" localSheetId="20" hidden="1">#REF!</definedName>
    <definedName name="Z_179EFE02_A1B1_11D3_8FA9_0008C7809E09_.wvu.PrintArea" hidden="1">#REF!</definedName>
    <definedName name="Z_179EFE02_A1B1_11D3_8FA9_0008C7809E09_.wvu.PrintTitles" localSheetId="1" hidden="1">#REF!,#REF!</definedName>
    <definedName name="Z_179EFE02_A1B1_11D3_8FA9_0008C7809E09_.wvu.PrintTitles" localSheetId="18" hidden="1">#REF!,#REF!</definedName>
    <definedName name="Z_179EFE02_A1B1_11D3_8FA9_0008C7809E09_.wvu.PrintTitles" localSheetId="20" hidden="1">#REF!,#REF!</definedName>
    <definedName name="Z_179EFE02_A1B1_11D3_8FA9_0008C7809E09_.wvu.PrintTitles" hidden="1">#REF!,#REF!</definedName>
    <definedName name="Z_179EFE03_A1B1_11D3_8FA9_0008C7809E09_.wvu.PrintArea" localSheetId="1" hidden="1">#REF!</definedName>
    <definedName name="Z_179EFE03_A1B1_11D3_8FA9_0008C7809E09_.wvu.PrintArea" localSheetId="18" hidden="1">#REF!</definedName>
    <definedName name="Z_179EFE03_A1B1_11D3_8FA9_0008C7809E09_.wvu.PrintArea" localSheetId="20" hidden="1">#REF!</definedName>
    <definedName name="Z_179EFE03_A1B1_11D3_8FA9_0008C7809E09_.wvu.PrintArea" hidden="1">#REF!</definedName>
    <definedName name="Z_179EFE03_A1B1_11D3_8FA9_0008C7809E09_.wvu.PrintTitles" localSheetId="1" hidden="1">#REF!,#REF!</definedName>
    <definedName name="Z_179EFE03_A1B1_11D3_8FA9_0008C7809E09_.wvu.PrintTitles" localSheetId="18" hidden="1">#REF!,#REF!</definedName>
    <definedName name="Z_179EFE03_A1B1_11D3_8FA9_0008C7809E09_.wvu.PrintTitles" localSheetId="20" hidden="1">#REF!,#REF!</definedName>
    <definedName name="Z_179EFE03_A1B1_11D3_8FA9_0008C7809E09_.wvu.PrintTitles" hidden="1">#REF!,#REF!</definedName>
    <definedName name="Z_179EFE04_A1B1_11D3_8FA9_0008C7809E09_.wvu.PrintArea" localSheetId="1" hidden="1">#REF!</definedName>
    <definedName name="Z_179EFE04_A1B1_11D3_8FA9_0008C7809E09_.wvu.PrintArea" localSheetId="18" hidden="1">#REF!</definedName>
    <definedName name="Z_179EFE04_A1B1_11D3_8FA9_0008C7809E09_.wvu.PrintArea" localSheetId="20" hidden="1">#REF!</definedName>
    <definedName name="Z_179EFE04_A1B1_11D3_8FA9_0008C7809E09_.wvu.PrintArea" hidden="1">#REF!</definedName>
    <definedName name="Z_179EFE04_A1B1_11D3_8FA9_0008C7809E09_.wvu.PrintTitles" localSheetId="1" hidden="1">#REF!,#REF!</definedName>
    <definedName name="Z_179EFE04_A1B1_11D3_8FA9_0008C7809E09_.wvu.PrintTitles" localSheetId="18" hidden="1">#REF!,#REF!</definedName>
    <definedName name="Z_179EFE04_A1B1_11D3_8FA9_0008C7809E09_.wvu.PrintTitles" localSheetId="20" hidden="1">#REF!,#REF!</definedName>
    <definedName name="Z_179EFE04_A1B1_11D3_8FA9_0008C7809E09_.wvu.PrintTitles" hidden="1">#REF!,#REF!</definedName>
    <definedName name="Z_179EFE05_A1B1_11D3_8FA9_0008C7809E09_.wvu.PrintArea" localSheetId="1" hidden="1">#REF!</definedName>
    <definedName name="Z_179EFE05_A1B1_11D3_8FA9_0008C7809E09_.wvu.PrintArea" localSheetId="18" hidden="1">#REF!</definedName>
    <definedName name="Z_179EFE05_A1B1_11D3_8FA9_0008C7809E09_.wvu.PrintArea" localSheetId="20" hidden="1">#REF!</definedName>
    <definedName name="Z_179EFE05_A1B1_11D3_8FA9_0008C7809E09_.wvu.PrintArea" hidden="1">#REF!</definedName>
    <definedName name="Z_179EFE05_A1B1_11D3_8FA9_0008C7809E09_.wvu.PrintTitles" localSheetId="1" hidden="1">#REF!,#REF!</definedName>
    <definedName name="Z_179EFE05_A1B1_11D3_8FA9_0008C7809E09_.wvu.PrintTitles" localSheetId="18" hidden="1">#REF!,#REF!</definedName>
    <definedName name="Z_179EFE05_A1B1_11D3_8FA9_0008C7809E09_.wvu.PrintTitles" localSheetId="20" hidden="1">#REF!,#REF!</definedName>
    <definedName name="Z_179EFE05_A1B1_11D3_8FA9_0008C7809E09_.wvu.PrintTitles" hidden="1">#REF!,#REF!</definedName>
    <definedName name="Z_179EFE06_A1B1_11D3_8FA9_0008C7809E09_.wvu.PrintArea" localSheetId="1" hidden="1">#REF!</definedName>
    <definedName name="Z_179EFE06_A1B1_11D3_8FA9_0008C7809E09_.wvu.PrintArea" localSheetId="18" hidden="1">#REF!</definedName>
    <definedName name="Z_179EFE06_A1B1_11D3_8FA9_0008C7809E09_.wvu.PrintArea" localSheetId="20" hidden="1">#REF!</definedName>
    <definedName name="Z_179EFE06_A1B1_11D3_8FA9_0008C7809E09_.wvu.PrintArea" hidden="1">#REF!</definedName>
    <definedName name="Z_179EFE06_A1B1_11D3_8FA9_0008C7809E09_.wvu.PrintTitles" localSheetId="1" hidden="1">#REF!,#REF!</definedName>
    <definedName name="Z_179EFE06_A1B1_11D3_8FA9_0008C7809E09_.wvu.PrintTitles" localSheetId="18" hidden="1">#REF!,#REF!</definedName>
    <definedName name="Z_179EFE06_A1B1_11D3_8FA9_0008C7809E09_.wvu.PrintTitles" localSheetId="20" hidden="1">#REF!,#REF!</definedName>
    <definedName name="Z_179EFE06_A1B1_11D3_8FA9_0008C7809E09_.wvu.PrintTitles" hidden="1">#REF!,#REF!</definedName>
    <definedName name="Z_179EFE07_A1B1_11D3_8FA9_0008C7809E09_.wvu.PrintArea" localSheetId="1" hidden="1">#REF!</definedName>
    <definedName name="Z_179EFE07_A1B1_11D3_8FA9_0008C7809E09_.wvu.PrintArea" localSheetId="18" hidden="1">#REF!</definedName>
    <definedName name="Z_179EFE07_A1B1_11D3_8FA9_0008C7809E09_.wvu.PrintArea" localSheetId="20" hidden="1">#REF!</definedName>
    <definedName name="Z_179EFE07_A1B1_11D3_8FA9_0008C7809E09_.wvu.PrintArea" hidden="1">#REF!</definedName>
    <definedName name="Z_179EFE07_A1B1_11D3_8FA9_0008C7809E09_.wvu.PrintTitles" localSheetId="1" hidden="1">#REF!,#REF!</definedName>
    <definedName name="Z_179EFE07_A1B1_11D3_8FA9_0008C7809E09_.wvu.PrintTitles" localSheetId="18" hidden="1">#REF!,#REF!</definedName>
    <definedName name="Z_179EFE07_A1B1_11D3_8FA9_0008C7809E09_.wvu.PrintTitles" localSheetId="20" hidden="1">#REF!,#REF!</definedName>
    <definedName name="Z_179EFE07_A1B1_11D3_8FA9_0008C7809E09_.wvu.PrintTitles" hidden="1">#REF!,#REF!</definedName>
    <definedName name="Z_179EFE08_A1B1_11D3_8FA9_0008C7809E09_.wvu.PrintArea" localSheetId="1" hidden="1">#REF!</definedName>
    <definedName name="Z_179EFE08_A1B1_11D3_8FA9_0008C7809E09_.wvu.PrintArea" localSheetId="18" hidden="1">#REF!</definedName>
    <definedName name="Z_179EFE08_A1B1_11D3_8FA9_0008C7809E09_.wvu.PrintArea" localSheetId="20" hidden="1">#REF!</definedName>
    <definedName name="Z_179EFE08_A1B1_11D3_8FA9_0008C7809E09_.wvu.PrintArea" hidden="1">#REF!</definedName>
    <definedName name="Z_179EFE08_A1B1_11D3_8FA9_0008C7809E09_.wvu.PrintTitles" localSheetId="1" hidden="1">#REF!,#REF!</definedName>
    <definedName name="Z_179EFE08_A1B1_11D3_8FA9_0008C7809E09_.wvu.PrintTitles" localSheetId="18" hidden="1">#REF!,#REF!</definedName>
    <definedName name="Z_179EFE08_A1B1_11D3_8FA9_0008C7809E09_.wvu.PrintTitles" localSheetId="20" hidden="1">#REF!,#REF!</definedName>
    <definedName name="Z_179EFE08_A1B1_11D3_8FA9_0008C7809E09_.wvu.PrintTitles" hidden="1">#REF!,#REF!</definedName>
    <definedName name="Z_179EFE09_A1B1_11D3_8FA9_0008C7809E09_.wvu.PrintArea" localSheetId="1" hidden="1">#REF!</definedName>
    <definedName name="Z_179EFE09_A1B1_11D3_8FA9_0008C7809E09_.wvu.PrintArea" localSheetId="18" hidden="1">#REF!</definedName>
    <definedName name="Z_179EFE09_A1B1_11D3_8FA9_0008C7809E09_.wvu.PrintArea" localSheetId="20" hidden="1">#REF!</definedName>
    <definedName name="Z_179EFE09_A1B1_11D3_8FA9_0008C7809E09_.wvu.PrintArea" hidden="1">#REF!</definedName>
    <definedName name="Z_179EFE09_A1B1_11D3_8FA9_0008C7809E09_.wvu.PrintTitles" localSheetId="1" hidden="1">#REF!,#REF!</definedName>
    <definedName name="Z_179EFE09_A1B1_11D3_8FA9_0008C7809E09_.wvu.PrintTitles" localSheetId="18" hidden="1">#REF!,#REF!</definedName>
    <definedName name="Z_179EFE09_A1B1_11D3_8FA9_0008C7809E09_.wvu.PrintTitles" localSheetId="20" hidden="1">#REF!,#REF!</definedName>
    <definedName name="Z_179EFE09_A1B1_11D3_8FA9_0008C7809E09_.wvu.PrintTitles" hidden="1">#REF!,#REF!</definedName>
    <definedName name="Z_179EFE0A_A1B1_11D3_8FA9_0008C7809E09_.wvu.PrintArea" localSheetId="1" hidden="1">#REF!</definedName>
    <definedName name="Z_179EFE0A_A1B1_11D3_8FA9_0008C7809E09_.wvu.PrintArea" localSheetId="18" hidden="1">#REF!</definedName>
    <definedName name="Z_179EFE0A_A1B1_11D3_8FA9_0008C7809E09_.wvu.PrintArea" localSheetId="20" hidden="1">#REF!</definedName>
    <definedName name="Z_179EFE0A_A1B1_11D3_8FA9_0008C7809E09_.wvu.PrintArea" hidden="1">#REF!</definedName>
    <definedName name="Z_179EFE0A_A1B1_11D3_8FA9_0008C7809E09_.wvu.PrintTitles" localSheetId="1" hidden="1">#REF!,#REF!</definedName>
    <definedName name="Z_179EFE0A_A1B1_11D3_8FA9_0008C7809E09_.wvu.PrintTitles" localSheetId="18" hidden="1">#REF!,#REF!</definedName>
    <definedName name="Z_179EFE0A_A1B1_11D3_8FA9_0008C7809E09_.wvu.PrintTitles" localSheetId="20" hidden="1">#REF!,#REF!</definedName>
    <definedName name="Z_179EFE0A_A1B1_11D3_8FA9_0008C7809E09_.wvu.PrintTitles" hidden="1">#REF!,#REF!</definedName>
    <definedName name="Z_179EFE0B_A1B1_11D3_8FA9_0008C7809E09_.wvu.PrintArea" localSheetId="1" hidden="1">#REF!</definedName>
    <definedName name="Z_179EFE0B_A1B1_11D3_8FA9_0008C7809E09_.wvu.PrintArea" localSheetId="18" hidden="1">#REF!</definedName>
    <definedName name="Z_179EFE0B_A1B1_11D3_8FA9_0008C7809E09_.wvu.PrintArea" localSheetId="20" hidden="1">#REF!</definedName>
    <definedName name="Z_179EFE0B_A1B1_11D3_8FA9_0008C7809E09_.wvu.PrintArea" hidden="1">#REF!</definedName>
    <definedName name="Z_179EFE0B_A1B1_11D3_8FA9_0008C7809E09_.wvu.PrintTitles" localSheetId="1" hidden="1">#REF!,#REF!</definedName>
    <definedName name="Z_179EFE0B_A1B1_11D3_8FA9_0008C7809E09_.wvu.PrintTitles" localSheetId="18" hidden="1">#REF!,#REF!</definedName>
    <definedName name="Z_179EFE0B_A1B1_11D3_8FA9_0008C7809E09_.wvu.PrintTitles" localSheetId="20" hidden="1">#REF!,#REF!</definedName>
    <definedName name="Z_179EFE0B_A1B1_11D3_8FA9_0008C7809E09_.wvu.PrintTitles" hidden="1">#REF!,#REF!</definedName>
    <definedName name="Z_179EFE0C_A1B1_11D3_8FA9_0008C7809E09_.wvu.PrintArea" localSheetId="1" hidden="1">#REF!</definedName>
    <definedName name="Z_179EFE0C_A1B1_11D3_8FA9_0008C7809E09_.wvu.PrintArea" localSheetId="18" hidden="1">#REF!</definedName>
    <definedName name="Z_179EFE0C_A1B1_11D3_8FA9_0008C7809E09_.wvu.PrintArea" localSheetId="20" hidden="1">#REF!</definedName>
    <definedName name="Z_179EFE0C_A1B1_11D3_8FA9_0008C7809E09_.wvu.PrintArea" hidden="1">#REF!</definedName>
    <definedName name="Z_179EFE0C_A1B1_11D3_8FA9_0008C7809E09_.wvu.PrintTitles" localSheetId="1" hidden="1">#REF!,#REF!</definedName>
    <definedName name="Z_179EFE0C_A1B1_11D3_8FA9_0008C7809E09_.wvu.PrintTitles" localSheetId="18" hidden="1">#REF!,#REF!</definedName>
    <definedName name="Z_179EFE0C_A1B1_11D3_8FA9_0008C7809E09_.wvu.PrintTitles" localSheetId="20" hidden="1">#REF!,#REF!</definedName>
    <definedName name="Z_179EFE0C_A1B1_11D3_8FA9_0008C7809E09_.wvu.PrintTitles" hidden="1">#REF!,#REF!</definedName>
    <definedName name="Z_179EFE0D_A1B1_11D3_8FA9_0008C7809E09_.wvu.PrintArea" localSheetId="1" hidden="1">#REF!</definedName>
    <definedName name="Z_179EFE0D_A1B1_11D3_8FA9_0008C7809E09_.wvu.PrintArea" localSheetId="18" hidden="1">#REF!</definedName>
    <definedName name="Z_179EFE0D_A1B1_11D3_8FA9_0008C7809E09_.wvu.PrintArea" localSheetId="20" hidden="1">#REF!</definedName>
    <definedName name="Z_179EFE0D_A1B1_11D3_8FA9_0008C7809E09_.wvu.PrintArea" hidden="1">#REF!</definedName>
    <definedName name="Z_179EFE0D_A1B1_11D3_8FA9_0008C7809E09_.wvu.PrintTitles" localSheetId="1" hidden="1">#REF!,#REF!</definedName>
    <definedName name="Z_179EFE0D_A1B1_11D3_8FA9_0008C7809E09_.wvu.PrintTitles" localSheetId="18" hidden="1">#REF!,#REF!</definedName>
    <definedName name="Z_179EFE0D_A1B1_11D3_8FA9_0008C7809E09_.wvu.PrintTitles" localSheetId="20" hidden="1">#REF!,#REF!</definedName>
    <definedName name="Z_179EFE0D_A1B1_11D3_8FA9_0008C7809E09_.wvu.PrintTitles" hidden="1">#REF!,#REF!</definedName>
    <definedName name="Z_179EFE0E_A1B1_11D3_8FA9_0008C7809E09_.wvu.PrintArea" localSheetId="1" hidden="1">#REF!</definedName>
    <definedName name="Z_179EFE0E_A1B1_11D3_8FA9_0008C7809E09_.wvu.PrintArea" localSheetId="18" hidden="1">#REF!</definedName>
    <definedName name="Z_179EFE0E_A1B1_11D3_8FA9_0008C7809E09_.wvu.PrintArea" localSheetId="20" hidden="1">#REF!</definedName>
    <definedName name="Z_179EFE0E_A1B1_11D3_8FA9_0008C7809E09_.wvu.PrintArea" hidden="1">#REF!</definedName>
    <definedName name="Z_179EFE0E_A1B1_11D3_8FA9_0008C7809E09_.wvu.PrintTitles" localSheetId="1" hidden="1">#REF!,#REF!</definedName>
    <definedName name="Z_179EFE0E_A1B1_11D3_8FA9_0008C7809E09_.wvu.PrintTitles" localSheetId="18" hidden="1">#REF!,#REF!</definedName>
    <definedName name="Z_179EFE0E_A1B1_11D3_8FA9_0008C7809E09_.wvu.PrintTitles" localSheetId="20" hidden="1">#REF!,#REF!</definedName>
    <definedName name="Z_179EFE0E_A1B1_11D3_8FA9_0008C7809E09_.wvu.PrintTitles" hidden="1">#REF!,#REF!</definedName>
    <definedName name="Z_179EFE0F_A1B1_11D3_8FA9_0008C7809E09_.wvu.PrintArea" localSheetId="1" hidden="1">#REF!</definedName>
    <definedName name="Z_179EFE0F_A1B1_11D3_8FA9_0008C7809E09_.wvu.PrintArea" localSheetId="18" hidden="1">#REF!</definedName>
    <definedName name="Z_179EFE0F_A1B1_11D3_8FA9_0008C7809E09_.wvu.PrintArea" localSheetId="20" hidden="1">#REF!</definedName>
    <definedName name="Z_179EFE0F_A1B1_11D3_8FA9_0008C7809E09_.wvu.PrintArea" hidden="1">#REF!</definedName>
    <definedName name="Z_179EFE0F_A1B1_11D3_8FA9_0008C7809E09_.wvu.PrintTitles" localSheetId="1" hidden="1">#REF!,#REF!</definedName>
    <definedName name="Z_179EFE0F_A1B1_11D3_8FA9_0008C7809E09_.wvu.PrintTitles" localSheetId="18" hidden="1">#REF!,#REF!</definedName>
    <definedName name="Z_179EFE0F_A1B1_11D3_8FA9_0008C7809E09_.wvu.PrintTitles" localSheetId="20" hidden="1">#REF!,#REF!</definedName>
    <definedName name="Z_179EFE0F_A1B1_11D3_8FA9_0008C7809E09_.wvu.PrintTitles" hidden="1">#REF!,#REF!</definedName>
    <definedName name="Z_179EFE10_A1B1_11D3_8FA9_0008C7809E09_.wvu.PrintArea" localSheetId="1" hidden="1">#REF!</definedName>
    <definedName name="Z_179EFE10_A1B1_11D3_8FA9_0008C7809E09_.wvu.PrintArea" localSheetId="18" hidden="1">#REF!</definedName>
    <definedName name="Z_179EFE10_A1B1_11D3_8FA9_0008C7809E09_.wvu.PrintArea" localSheetId="20" hidden="1">#REF!</definedName>
    <definedName name="Z_179EFE10_A1B1_11D3_8FA9_0008C7809E09_.wvu.PrintArea" hidden="1">#REF!</definedName>
    <definedName name="Z_179EFE10_A1B1_11D3_8FA9_0008C7809E09_.wvu.PrintTitles" localSheetId="1" hidden="1">#REF!,#REF!</definedName>
    <definedName name="Z_179EFE10_A1B1_11D3_8FA9_0008C7809E09_.wvu.PrintTitles" localSheetId="18" hidden="1">#REF!,#REF!</definedName>
    <definedName name="Z_179EFE10_A1B1_11D3_8FA9_0008C7809E09_.wvu.PrintTitles" localSheetId="20" hidden="1">#REF!,#REF!</definedName>
    <definedName name="Z_179EFE10_A1B1_11D3_8FA9_0008C7809E09_.wvu.PrintTitles" hidden="1">#REF!,#REF!</definedName>
    <definedName name="Z_179EFE11_A1B1_11D3_8FA9_0008C7809E09_.wvu.PrintArea" localSheetId="1" hidden="1">#REF!</definedName>
    <definedName name="Z_179EFE11_A1B1_11D3_8FA9_0008C7809E09_.wvu.PrintArea" localSheetId="18" hidden="1">#REF!</definedName>
    <definedName name="Z_179EFE11_A1B1_11D3_8FA9_0008C7809E09_.wvu.PrintArea" localSheetId="20" hidden="1">#REF!</definedName>
    <definedName name="Z_179EFE11_A1B1_11D3_8FA9_0008C7809E09_.wvu.PrintArea" hidden="1">#REF!</definedName>
    <definedName name="Z_179EFE11_A1B1_11D3_8FA9_0008C7809E09_.wvu.PrintTitles" localSheetId="1" hidden="1">#REF!,#REF!</definedName>
    <definedName name="Z_179EFE11_A1B1_11D3_8FA9_0008C7809E09_.wvu.PrintTitles" localSheetId="18" hidden="1">#REF!,#REF!</definedName>
    <definedName name="Z_179EFE11_A1B1_11D3_8FA9_0008C7809E09_.wvu.PrintTitles" localSheetId="20" hidden="1">#REF!,#REF!</definedName>
    <definedName name="Z_179EFE11_A1B1_11D3_8FA9_0008C7809E09_.wvu.PrintTitles" hidden="1">#REF!,#REF!</definedName>
    <definedName name="Z_179EFE12_A1B1_11D3_8FA9_0008C7809E09_.wvu.PrintArea" localSheetId="1" hidden="1">#REF!</definedName>
    <definedName name="Z_179EFE12_A1B1_11D3_8FA9_0008C7809E09_.wvu.PrintArea" localSheetId="18" hidden="1">#REF!</definedName>
    <definedName name="Z_179EFE12_A1B1_11D3_8FA9_0008C7809E09_.wvu.PrintArea" localSheetId="20" hidden="1">#REF!</definedName>
    <definedName name="Z_179EFE12_A1B1_11D3_8FA9_0008C7809E09_.wvu.PrintArea" hidden="1">#REF!</definedName>
    <definedName name="Z_179EFE12_A1B1_11D3_8FA9_0008C7809E09_.wvu.PrintTitles" localSheetId="1" hidden="1">#REF!,#REF!</definedName>
    <definedName name="Z_179EFE12_A1B1_11D3_8FA9_0008C7809E09_.wvu.PrintTitles" localSheetId="18" hidden="1">#REF!,#REF!</definedName>
    <definedName name="Z_179EFE12_A1B1_11D3_8FA9_0008C7809E09_.wvu.PrintTitles" localSheetId="20" hidden="1">#REF!,#REF!</definedName>
    <definedName name="Z_179EFE12_A1B1_11D3_8FA9_0008C7809E09_.wvu.PrintTitles" hidden="1">#REF!,#REF!</definedName>
    <definedName name="Z_179EFE13_A1B1_11D3_8FA9_0008C7809E09_.wvu.PrintArea" localSheetId="1" hidden="1">#REF!</definedName>
    <definedName name="Z_179EFE13_A1B1_11D3_8FA9_0008C7809E09_.wvu.PrintArea" localSheetId="18" hidden="1">#REF!</definedName>
    <definedName name="Z_179EFE13_A1B1_11D3_8FA9_0008C7809E09_.wvu.PrintArea" localSheetId="20" hidden="1">#REF!</definedName>
    <definedName name="Z_179EFE13_A1B1_11D3_8FA9_0008C7809E09_.wvu.PrintArea" hidden="1">#REF!</definedName>
    <definedName name="Z_179EFE13_A1B1_11D3_8FA9_0008C7809E09_.wvu.PrintTitles" localSheetId="1" hidden="1">#REF!,#REF!</definedName>
    <definedName name="Z_179EFE13_A1B1_11D3_8FA9_0008C7809E09_.wvu.PrintTitles" localSheetId="18" hidden="1">#REF!,#REF!</definedName>
    <definedName name="Z_179EFE13_A1B1_11D3_8FA9_0008C7809E09_.wvu.PrintTitles" localSheetId="20" hidden="1">#REF!,#REF!</definedName>
    <definedName name="Z_179EFE13_A1B1_11D3_8FA9_0008C7809E09_.wvu.PrintTitles" hidden="1">#REF!,#REF!</definedName>
    <definedName name="Z_179EFE14_A1B1_11D3_8FA9_0008C7809E09_.wvu.PrintArea" localSheetId="1" hidden="1">#REF!</definedName>
    <definedName name="Z_179EFE14_A1B1_11D3_8FA9_0008C7809E09_.wvu.PrintArea" localSheetId="18" hidden="1">#REF!</definedName>
    <definedName name="Z_179EFE14_A1B1_11D3_8FA9_0008C7809E09_.wvu.PrintArea" localSheetId="20" hidden="1">#REF!</definedName>
    <definedName name="Z_179EFE14_A1B1_11D3_8FA9_0008C7809E09_.wvu.PrintArea" hidden="1">#REF!</definedName>
    <definedName name="Z_179EFE14_A1B1_11D3_8FA9_0008C7809E09_.wvu.PrintTitles" localSheetId="1" hidden="1">#REF!,#REF!</definedName>
    <definedName name="Z_179EFE14_A1B1_11D3_8FA9_0008C7809E09_.wvu.PrintTitles" localSheetId="18" hidden="1">#REF!,#REF!</definedName>
    <definedName name="Z_179EFE14_A1B1_11D3_8FA9_0008C7809E09_.wvu.PrintTitles" localSheetId="20" hidden="1">#REF!,#REF!</definedName>
    <definedName name="Z_179EFE14_A1B1_11D3_8FA9_0008C7809E09_.wvu.PrintTitles" hidden="1">#REF!,#REF!</definedName>
    <definedName name="Z_179EFE15_A1B1_11D3_8FA9_0008C7809E09_.wvu.PrintArea" localSheetId="1" hidden="1">#REF!</definedName>
    <definedName name="Z_179EFE15_A1B1_11D3_8FA9_0008C7809E09_.wvu.PrintArea" localSheetId="18" hidden="1">#REF!</definedName>
    <definedName name="Z_179EFE15_A1B1_11D3_8FA9_0008C7809E09_.wvu.PrintArea" localSheetId="20" hidden="1">#REF!</definedName>
    <definedName name="Z_179EFE15_A1B1_11D3_8FA9_0008C7809E09_.wvu.PrintArea" hidden="1">#REF!</definedName>
    <definedName name="Z_179EFE15_A1B1_11D3_8FA9_0008C7809E09_.wvu.PrintTitles" localSheetId="1" hidden="1">#REF!,#REF!</definedName>
    <definedName name="Z_179EFE15_A1B1_11D3_8FA9_0008C7809E09_.wvu.PrintTitles" localSheetId="18" hidden="1">#REF!,#REF!</definedName>
    <definedName name="Z_179EFE15_A1B1_11D3_8FA9_0008C7809E09_.wvu.PrintTitles" localSheetId="20" hidden="1">#REF!,#REF!</definedName>
    <definedName name="Z_179EFE15_A1B1_11D3_8FA9_0008C7809E09_.wvu.PrintTitles" hidden="1">#REF!,#REF!</definedName>
    <definedName name="Z_179EFE16_A1B1_11D3_8FA9_0008C7809E09_.wvu.PrintArea" localSheetId="1" hidden="1">#REF!</definedName>
    <definedName name="Z_179EFE16_A1B1_11D3_8FA9_0008C7809E09_.wvu.PrintArea" localSheetId="18" hidden="1">#REF!</definedName>
    <definedName name="Z_179EFE16_A1B1_11D3_8FA9_0008C7809E09_.wvu.PrintArea" localSheetId="20" hidden="1">#REF!</definedName>
    <definedName name="Z_179EFE16_A1B1_11D3_8FA9_0008C7809E09_.wvu.PrintArea" hidden="1">#REF!</definedName>
    <definedName name="Z_179EFE16_A1B1_11D3_8FA9_0008C7809E09_.wvu.PrintTitles" localSheetId="1" hidden="1">#REF!,#REF!</definedName>
    <definedName name="Z_179EFE16_A1B1_11D3_8FA9_0008C7809E09_.wvu.PrintTitles" localSheetId="18" hidden="1">#REF!,#REF!</definedName>
    <definedName name="Z_179EFE16_A1B1_11D3_8FA9_0008C7809E09_.wvu.PrintTitles" localSheetId="20" hidden="1">#REF!,#REF!</definedName>
    <definedName name="Z_179EFE16_A1B1_11D3_8FA9_0008C7809E09_.wvu.PrintTitles" hidden="1">#REF!,#REF!</definedName>
    <definedName name="Z_179EFE17_A1B1_11D3_8FA9_0008C7809E09_.wvu.PrintArea" localSheetId="1" hidden="1">#REF!</definedName>
    <definedName name="Z_179EFE17_A1B1_11D3_8FA9_0008C7809E09_.wvu.PrintArea" localSheetId="18" hidden="1">#REF!</definedName>
    <definedName name="Z_179EFE17_A1B1_11D3_8FA9_0008C7809E09_.wvu.PrintArea" localSheetId="20" hidden="1">#REF!</definedName>
    <definedName name="Z_179EFE17_A1B1_11D3_8FA9_0008C7809E09_.wvu.PrintArea" hidden="1">#REF!</definedName>
    <definedName name="Z_179EFE17_A1B1_11D3_8FA9_0008C7809E09_.wvu.PrintTitles" localSheetId="1" hidden="1">#REF!,#REF!</definedName>
    <definedName name="Z_179EFE17_A1B1_11D3_8FA9_0008C7809E09_.wvu.PrintTitles" localSheetId="18" hidden="1">#REF!,#REF!</definedName>
    <definedName name="Z_179EFE17_A1B1_11D3_8FA9_0008C7809E09_.wvu.PrintTitles" localSheetId="20" hidden="1">#REF!,#REF!</definedName>
    <definedName name="Z_179EFE17_A1B1_11D3_8FA9_0008C7809E09_.wvu.PrintTitles" hidden="1">#REF!,#REF!</definedName>
    <definedName name="Z_179EFE18_A1B1_11D3_8FA9_0008C7809E09_.wvu.PrintArea" localSheetId="1" hidden="1">#REF!</definedName>
    <definedName name="Z_179EFE18_A1B1_11D3_8FA9_0008C7809E09_.wvu.PrintArea" localSheetId="18" hidden="1">#REF!</definedName>
    <definedName name="Z_179EFE18_A1B1_11D3_8FA9_0008C7809E09_.wvu.PrintArea" localSheetId="20" hidden="1">#REF!</definedName>
    <definedName name="Z_179EFE18_A1B1_11D3_8FA9_0008C7809E09_.wvu.PrintArea" hidden="1">#REF!</definedName>
    <definedName name="Z_179EFE18_A1B1_11D3_8FA9_0008C7809E09_.wvu.PrintTitles" localSheetId="1" hidden="1">#REF!,#REF!</definedName>
    <definedName name="Z_179EFE18_A1B1_11D3_8FA9_0008C7809E09_.wvu.PrintTitles" localSheetId="18" hidden="1">#REF!,#REF!</definedName>
    <definedName name="Z_179EFE18_A1B1_11D3_8FA9_0008C7809E09_.wvu.PrintTitles" localSheetId="20" hidden="1">#REF!,#REF!</definedName>
    <definedName name="Z_179EFE18_A1B1_11D3_8FA9_0008C7809E09_.wvu.PrintTitles" hidden="1">#REF!,#REF!</definedName>
    <definedName name="Z_179EFE19_A1B1_11D3_8FA9_0008C7809E09_.wvu.PrintArea" localSheetId="1" hidden="1">#REF!</definedName>
    <definedName name="Z_179EFE19_A1B1_11D3_8FA9_0008C7809E09_.wvu.PrintArea" localSheetId="18" hidden="1">#REF!</definedName>
    <definedName name="Z_179EFE19_A1B1_11D3_8FA9_0008C7809E09_.wvu.PrintArea" localSheetId="20" hidden="1">#REF!</definedName>
    <definedName name="Z_179EFE19_A1B1_11D3_8FA9_0008C7809E09_.wvu.PrintArea" hidden="1">#REF!</definedName>
    <definedName name="Z_179EFE19_A1B1_11D3_8FA9_0008C7809E09_.wvu.PrintTitles" localSheetId="1" hidden="1">#REF!,#REF!</definedName>
    <definedName name="Z_179EFE19_A1B1_11D3_8FA9_0008C7809E09_.wvu.PrintTitles" localSheetId="18" hidden="1">#REF!,#REF!</definedName>
    <definedName name="Z_179EFE19_A1B1_11D3_8FA9_0008C7809E09_.wvu.PrintTitles" localSheetId="20" hidden="1">#REF!,#REF!</definedName>
    <definedName name="Z_179EFE19_A1B1_11D3_8FA9_0008C7809E09_.wvu.PrintTitles" hidden="1">#REF!,#REF!</definedName>
    <definedName name="Z_179EFE1A_A1B1_11D3_8FA9_0008C7809E09_.wvu.PrintArea" localSheetId="1" hidden="1">#REF!</definedName>
    <definedName name="Z_179EFE1A_A1B1_11D3_8FA9_0008C7809E09_.wvu.PrintArea" localSheetId="18" hidden="1">#REF!</definedName>
    <definedName name="Z_179EFE1A_A1B1_11D3_8FA9_0008C7809E09_.wvu.PrintArea" localSheetId="20" hidden="1">#REF!</definedName>
    <definedName name="Z_179EFE1A_A1B1_11D3_8FA9_0008C7809E09_.wvu.PrintArea" hidden="1">#REF!</definedName>
    <definedName name="Z_179EFE1A_A1B1_11D3_8FA9_0008C7809E09_.wvu.PrintTitles" localSheetId="1" hidden="1">#REF!,#REF!</definedName>
    <definedName name="Z_179EFE1A_A1B1_11D3_8FA9_0008C7809E09_.wvu.PrintTitles" localSheetId="18" hidden="1">#REF!,#REF!</definedName>
    <definedName name="Z_179EFE1A_A1B1_11D3_8FA9_0008C7809E09_.wvu.PrintTitles" localSheetId="20" hidden="1">#REF!,#REF!</definedName>
    <definedName name="Z_179EFE1A_A1B1_11D3_8FA9_0008C7809E09_.wvu.PrintTitles" hidden="1">#REF!,#REF!</definedName>
    <definedName name="Z_179EFE1B_A1B1_11D3_8FA9_0008C7809E09_.wvu.PrintArea" localSheetId="1" hidden="1">#REF!</definedName>
    <definedName name="Z_179EFE1B_A1B1_11D3_8FA9_0008C7809E09_.wvu.PrintArea" localSheetId="18" hidden="1">#REF!</definedName>
    <definedName name="Z_179EFE1B_A1B1_11D3_8FA9_0008C7809E09_.wvu.PrintArea" localSheetId="20" hidden="1">#REF!</definedName>
    <definedName name="Z_179EFE1B_A1B1_11D3_8FA9_0008C7809E09_.wvu.PrintArea" hidden="1">#REF!</definedName>
    <definedName name="Z_179EFE1B_A1B1_11D3_8FA9_0008C7809E09_.wvu.PrintTitles" localSheetId="1" hidden="1">#REF!,#REF!</definedName>
    <definedName name="Z_179EFE1B_A1B1_11D3_8FA9_0008C7809E09_.wvu.PrintTitles" localSheetId="18" hidden="1">#REF!,#REF!</definedName>
    <definedName name="Z_179EFE1B_A1B1_11D3_8FA9_0008C7809E09_.wvu.PrintTitles" localSheetId="20" hidden="1">#REF!,#REF!</definedName>
    <definedName name="Z_179EFE1B_A1B1_11D3_8FA9_0008C7809E09_.wvu.PrintTitles" hidden="1">#REF!,#REF!</definedName>
    <definedName name="Z_179EFE1C_A1B1_11D3_8FA9_0008C7809E09_.wvu.PrintArea" localSheetId="1" hidden="1">#REF!</definedName>
    <definedName name="Z_179EFE1C_A1B1_11D3_8FA9_0008C7809E09_.wvu.PrintArea" localSheetId="18" hidden="1">#REF!</definedName>
    <definedName name="Z_179EFE1C_A1B1_11D3_8FA9_0008C7809E09_.wvu.PrintArea" localSheetId="20" hidden="1">#REF!</definedName>
    <definedName name="Z_179EFE1C_A1B1_11D3_8FA9_0008C7809E09_.wvu.PrintArea" hidden="1">#REF!</definedName>
    <definedName name="Z_179EFE1C_A1B1_11D3_8FA9_0008C7809E09_.wvu.PrintTitles" localSheetId="1" hidden="1">#REF!,#REF!</definedName>
    <definedName name="Z_179EFE1C_A1B1_11D3_8FA9_0008C7809E09_.wvu.PrintTitles" localSheetId="18" hidden="1">#REF!,#REF!</definedName>
    <definedName name="Z_179EFE1C_A1B1_11D3_8FA9_0008C7809E09_.wvu.PrintTitles" localSheetId="20" hidden="1">#REF!,#REF!</definedName>
    <definedName name="Z_179EFE1C_A1B1_11D3_8FA9_0008C7809E09_.wvu.PrintTitles" hidden="1">#REF!,#REF!</definedName>
    <definedName name="Z_179EFE1D_A1B1_11D3_8FA9_0008C7809E09_.wvu.PrintArea" localSheetId="1" hidden="1">#REF!</definedName>
    <definedName name="Z_179EFE1D_A1B1_11D3_8FA9_0008C7809E09_.wvu.PrintArea" localSheetId="18" hidden="1">#REF!</definedName>
    <definedName name="Z_179EFE1D_A1B1_11D3_8FA9_0008C7809E09_.wvu.PrintArea" localSheetId="20" hidden="1">#REF!</definedName>
    <definedName name="Z_179EFE1D_A1B1_11D3_8FA9_0008C7809E09_.wvu.PrintArea" hidden="1">#REF!</definedName>
    <definedName name="Z_179EFE1D_A1B1_11D3_8FA9_0008C7809E09_.wvu.PrintTitles" localSheetId="1" hidden="1">#REF!,#REF!</definedName>
    <definedName name="Z_179EFE1D_A1B1_11D3_8FA9_0008C7809E09_.wvu.PrintTitles" localSheetId="18" hidden="1">#REF!,#REF!</definedName>
    <definedName name="Z_179EFE1D_A1B1_11D3_8FA9_0008C7809E09_.wvu.PrintTitles" localSheetId="20" hidden="1">#REF!,#REF!</definedName>
    <definedName name="Z_179EFE1D_A1B1_11D3_8FA9_0008C7809E09_.wvu.PrintTitles" hidden="1">#REF!,#REF!</definedName>
    <definedName name="Z_179EFE1E_A1B1_11D3_8FA9_0008C7809E09_.wvu.PrintArea" localSheetId="1" hidden="1">#REF!</definedName>
    <definedName name="Z_179EFE1E_A1B1_11D3_8FA9_0008C7809E09_.wvu.PrintArea" localSheetId="18" hidden="1">#REF!</definedName>
    <definedName name="Z_179EFE1E_A1B1_11D3_8FA9_0008C7809E09_.wvu.PrintArea" localSheetId="20" hidden="1">#REF!</definedName>
    <definedName name="Z_179EFE1E_A1B1_11D3_8FA9_0008C7809E09_.wvu.PrintArea" hidden="1">#REF!</definedName>
    <definedName name="Z_179EFE1E_A1B1_11D3_8FA9_0008C7809E09_.wvu.PrintTitles" localSheetId="1" hidden="1">#REF!,#REF!</definedName>
    <definedName name="Z_179EFE1E_A1B1_11D3_8FA9_0008C7809E09_.wvu.PrintTitles" localSheetId="18" hidden="1">#REF!,#REF!</definedName>
    <definedName name="Z_179EFE1E_A1B1_11D3_8FA9_0008C7809E09_.wvu.PrintTitles" localSheetId="20" hidden="1">#REF!,#REF!</definedName>
    <definedName name="Z_179EFE1E_A1B1_11D3_8FA9_0008C7809E09_.wvu.PrintTitles" hidden="1">#REF!,#REF!</definedName>
    <definedName name="Z_179EFE1F_A1B1_11D3_8FA9_0008C7809E09_.wvu.PrintArea" localSheetId="1" hidden="1">#REF!</definedName>
    <definedName name="Z_179EFE1F_A1B1_11D3_8FA9_0008C7809E09_.wvu.PrintArea" localSheetId="18" hidden="1">#REF!</definedName>
    <definedName name="Z_179EFE1F_A1B1_11D3_8FA9_0008C7809E09_.wvu.PrintArea" localSheetId="20" hidden="1">#REF!</definedName>
    <definedName name="Z_179EFE1F_A1B1_11D3_8FA9_0008C7809E09_.wvu.PrintArea" hidden="1">#REF!</definedName>
    <definedName name="Z_179EFE1F_A1B1_11D3_8FA9_0008C7809E09_.wvu.PrintTitles" localSheetId="1" hidden="1">#REF!,#REF!</definedName>
    <definedName name="Z_179EFE1F_A1B1_11D3_8FA9_0008C7809E09_.wvu.PrintTitles" localSheetId="18" hidden="1">#REF!,#REF!</definedName>
    <definedName name="Z_179EFE1F_A1B1_11D3_8FA9_0008C7809E09_.wvu.PrintTitles" localSheetId="20" hidden="1">#REF!,#REF!</definedName>
    <definedName name="Z_179EFE1F_A1B1_11D3_8FA9_0008C7809E09_.wvu.PrintTitles" hidden="1">#REF!,#REF!</definedName>
    <definedName name="Z_179EFE20_A1B1_11D3_8FA9_0008C7809E09_.wvu.PrintArea" localSheetId="1" hidden="1">#REF!</definedName>
    <definedName name="Z_179EFE20_A1B1_11D3_8FA9_0008C7809E09_.wvu.PrintArea" localSheetId="18" hidden="1">#REF!</definedName>
    <definedName name="Z_179EFE20_A1B1_11D3_8FA9_0008C7809E09_.wvu.PrintArea" localSheetId="20" hidden="1">#REF!</definedName>
    <definedName name="Z_179EFE20_A1B1_11D3_8FA9_0008C7809E09_.wvu.PrintArea" hidden="1">#REF!</definedName>
    <definedName name="Z_179EFE20_A1B1_11D3_8FA9_0008C7809E09_.wvu.PrintTitles" localSheetId="1" hidden="1">#REF!,#REF!</definedName>
    <definedName name="Z_179EFE20_A1B1_11D3_8FA9_0008C7809E09_.wvu.PrintTitles" localSheetId="18" hidden="1">#REF!,#REF!</definedName>
    <definedName name="Z_179EFE20_A1B1_11D3_8FA9_0008C7809E09_.wvu.PrintTitles" localSheetId="20" hidden="1">#REF!,#REF!</definedName>
    <definedName name="Z_179EFE20_A1B1_11D3_8FA9_0008C7809E09_.wvu.PrintTitles" hidden="1">#REF!,#REF!</definedName>
    <definedName name="Z_179EFE21_A1B1_11D3_8FA9_0008C7809E09_.wvu.PrintArea" localSheetId="1" hidden="1">#REF!</definedName>
    <definedName name="Z_179EFE21_A1B1_11D3_8FA9_0008C7809E09_.wvu.PrintArea" localSheetId="18" hidden="1">#REF!</definedName>
    <definedName name="Z_179EFE21_A1B1_11D3_8FA9_0008C7809E09_.wvu.PrintArea" localSheetId="20" hidden="1">#REF!</definedName>
    <definedName name="Z_179EFE21_A1B1_11D3_8FA9_0008C7809E09_.wvu.PrintArea" hidden="1">#REF!</definedName>
    <definedName name="Z_179EFE21_A1B1_11D3_8FA9_0008C7809E09_.wvu.PrintTitles" localSheetId="1" hidden="1">#REF!,#REF!</definedName>
    <definedName name="Z_179EFE21_A1B1_11D3_8FA9_0008C7809E09_.wvu.PrintTitles" localSheetId="18" hidden="1">#REF!,#REF!</definedName>
    <definedName name="Z_179EFE21_A1B1_11D3_8FA9_0008C7809E09_.wvu.PrintTitles" localSheetId="20" hidden="1">#REF!,#REF!</definedName>
    <definedName name="Z_179EFE21_A1B1_11D3_8FA9_0008C7809E09_.wvu.PrintTitles" hidden="1">#REF!,#REF!</definedName>
    <definedName name="Z_179EFE22_A1B1_11D3_8FA9_0008C7809E09_.wvu.PrintArea" localSheetId="1" hidden="1">#REF!</definedName>
    <definedName name="Z_179EFE22_A1B1_11D3_8FA9_0008C7809E09_.wvu.PrintArea" localSheetId="18" hidden="1">#REF!</definedName>
    <definedName name="Z_179EFE22_A1B1_11D3_8FA9_0008C7809E09_.wvu.PrintArea" localSheetId="20" hidden="1">#REF!</definedName>
    <definedName name="Z_179EFE22_A1B1_11D3_8FA9_0008C7809E09_.wvu.PrintArea" hidden="1">#REF!</definedName>
    <definedName name="Z_179EFE22_A1B1_11D3_8FA9_0008C7809E09_.wvu.PrintTitles" localSheetId="1" hidden="1">#REF!,#REF!</definedName>
    <definedName name="Z_179EFE22_A1B1_11D3_8FA9_0008C7809E09_.wvu.PrintTitles" localSheetId="18" hidden="1">#REF!,#REF!</definedName>
    <definedName name="Z_179EFE22_A1B1_11D3_8FA9_0008C7809E09_.wvu.PrintTitles" localSheetId="20" hidden="1">#REF!,#REF!</definedName>
    <definedName name="Z_179EFE22_A1B1_11D3_8FA9_0008C7809E09_.wvu.PrintTitles" hidden="1">#REF!,#REF!</definedName>
    <definedName name="Z_179EFE23_A1B1_11D3_8FA9_0008C7809E09_.wvu.PrintArea" localSheetId="1" hidden="1">#REF!</definedName>
    <definedName name="Z_179EFE23_A1B1_11D3_8FA9_0008C7809E09_.wvu.PrintArea" localSheetId="18" hidden="1">#REF!</definedName>
    <definedName name="Z_179EFE23_A1B1_11D3_8FA9_0008C7809E09_.wvu.PrintArea" localSheetId="20" hidden="1">#REF!</definedName>
    <definedName name="Z_179EFE23_A1B1_11D3_8FA9_0008C7809E09_.wvu.PrintArea" hidden="1">#REF!</definedName>
    <definedName name="Z_179EFE23_A1B1_11D3_8FA9_0008C7809E09_.wvu.PrintTitles" localSheetId="1" hidden="1">#REF!,#REF!</definedName>
    <definedName name="Z_179EFE23_A1B1_11D3_8FA9_0008C7809E09_.wvu.PrintTitles" localSheetId="18" hidden="1">#REF!,#REF!</definedName>
    <definedName name="Z_179EFE23_A1B1_11D3_8FA9_0008C7809E09_.wvu.PrintTitles" localSheetId="20" hidden="1">#REF!,#REF!</definedName>
    <definedName name="Z_179EFE23_A1B1_11D3_8FA9_0008C7809E09_.wvu.PrintTitles" hidden="1">#REF!,#REF!</definedName>
    <definedName name="Z_179EFE24_A1B1_11D3_8FA9_0008C7809E09_.wvu.PrintArea" localSheetId="1" hidden="1">#REF!</definedName>
    <definedName name="Z_179EFE24_A1B1_11D3_8FA9_0008C7809E09_.wvu.PrintArea" localSheetId="18" hidden="1">#REF!</definedName>
    <definedName name="Z_179EFE24_A1B1_11D3_8FA9_0008C7809E09_.wvu.PrintArea" localSheetId="20" hidden="1">#REF!</definedName>
    <definedName name="Z_179EFE24_A1B1_11D3_8FA9_0008C7809E09_.wvu.PrintArea" hidden="1">#REF!</definedName>
    <definedName name="Z_179EFE24_A1B1_11D3_8FA9_0008C7809E09_.wvu.PrintTitles" localSheetId="1" hidden="1">#REF!,#REF!</definedName>
    <definedName name="Z_179EFE24_A1B1_11D3_8FA9_0008C7809E09_.wvu.PrintTitles" localSheetId="18" hidden="1">#REF!,#REF!</definedName>
    <definedName name="Z_179EFE24_A1B1_11D3_8FA9_0008C7809E09_.wvu.PrintTitles" localSheetId="20" hidden="1">#REF!,#REF!</definedName>
    <definedName name="Z_179EFE24_A1B1_11D3_8FA9_0008C7809E09_.wvu.PrintTitles" hidden="1">#REF!,#REF!</definedName>
    <definedName name="Z_179EFE25_A1B1_11D3_8FA9_0008C7809E09_.wvu.PrintArea" localSheetId="1" hidden="1">#REF!</definedName>
    <definedName name="Z_179EFE25_A1B1_11D3_8FA9_0008C7809E09_.wvu.PrintArea" localSheetId="18" hidden="1">#REF!</definedName>
    <definedName name="Z_179EFE25_A1B1_11D3_8FA9_0008C7809E09_.wvu.PrintArea" localSheetId="20" hidden="1">#REF!</definedName>
    <definedName name="Z_179EFE25_A1B1_11D3_8FA9_0008C7809E09_.wvu.PrintArea" hidden="1">#REF!</definedName>
    <definedName name="Z_179EFE25_A1B1_11D3_8FA9_0008C7809E09_.wvu.PrintTitles" localSheetId="1" hidden="1">#REF!,#REF!</definedName>
    <definedName name="Z_179EFE25_A1B1_11D3_8FA9_0008C7809E09_.wvu.PrintTitles" localSheetId="18" hidden="1">#REF!,#REF!</definedName>
    <definedName name="Z_179EFE25_A1B1_11D3_8FA9_0008C7809E09_.wvu.PrintTitles" localSheetId="20" hidden="1">#REF!,#REF!</definedName>
    <definedName name="Z_179EFE25_A1B1_11D3_8FA9_0008C7809E09_.wvu.PrintTitles" hidden="1">#REF!,#REF!</definedName>
    <definedName name="Z_179EFE26_A1B1_11D3_8FA9_0008C7809E09_.wvu.PrintArea" localSheetId="1" hidden="1">#REF!</definedName>
    <definedName name="Z_179EFE26_A1B1_11D3_8FA9_0008C7809E09_.wvu.PrintArea" localSheetId="18" hidden="1">#REF!</definedName>
    <definedName name="Z_179EFE26_A1B1_11D3_8FA9_0008C7809E09_.wvu.PrintArea" localSheetId="20" hidden="1">#REF!</definedName>
    <definedName name="Z_179EFE26_A1B1_11D3_8FA9_0008C7809E09_.wvu.PrintArea" hidden="1">#REF!</definedName>
    <definedName name="Z_179EFE26_A1B1_11D3_8FA9_0008C7809E09_.wvu.PrintTitles" localSheetId="1" hidden="1">#REF!,#REF!</definedName>
    <definedName name="Z_179EFE26_A1B1_11D3_8FA9_0008C7809E09_.wvu.PrintTitles" localSheetId="18" hidden="1">#REF!,#REF!</definedName>
    <definedName name="Z_179EFE26_A1B1_11D3_8FA9_0008C7809E09_.wvu.PrintTitles" localSheetId="20" hidden="1">#REF!,#REF!</definedName>
    <definedName name="Z_179EFE26_A1B1_11D3_8FA9_0008C7809E09_.wvu.PrintTitles" hidden="1">#REF!,#REF!</definedName>
    <definedName name="Z_179EFE27_A1B1_11D3_8FA9_0008C7809E09_.wvu.PrintArea" localSheetId="1" hidden="1">#REF!</definedName>
    <definedName name="Z_179EFE27_A1B1_11D3_8FA9_0008C7809E09_.wvu.PrintArea" localSheetId="18" hidden="1">#REF!</definedName>
    <definedName name="Z_179EFE27_A1B1_11D3_8FA9_0008C7809E09_.wvu.PrintArea" localSheetId="20" hidden="1">#REF!</definedName>
    <definedName name="Z_179EFE27_A1B1_11D3_8FA9_0008C7809E09_.wvu.PrintArea" hidden="1">#REF!</definedName>
    <definedName name="Z_179EFE27_A1B1_11D3_8FA9_0008C7809E09_.wvu.PrintTitles" localSheetId="1" hidden="1">#REF!,#REF!</definedName>
    <definedName name="Z_179EFE27_A1B1_11D3_8FA9_0008C7809E09_.wvu.PrintTitles" localSheetId="18" hidden="1">#REF!,#REF!</definedName>
    <definedName name="Z_179EFE27_A1B1_11D3_8FA9_0008C7809E09_.wvu.PrintTitles" localSheetId="20" hidden="1">#REF!,#REF!</definedName>
    <definedName name="Z_179EFE27_A1B1_11D3_8FA9_0008C7809E09_.wvu.PrintTitles" hidden="1">#REF!,#REF!</definedName>
    <definedName name="Z_179EFE28_A1B1_11D3_8FA9_0008C7809E09_.wvu.PrintArea" localSheetId="1" hidden="1">#REF!</definedName>
    <definedName name="Z_179EFE28_A1B1_11D3_8FA9_0008C7809E09_.wvu.PrintArea" localSheetId="18" hidden="1">#REF!</definedName>
    <definedName name="Z_179EFE28_A1B1_11D3_8FA9_0008C7809E09_.wvu.PrintArea" localSheetId="20" hidden="1">#REF!</definedName>
    <definedName name="Z_179EFE28_A1B1_11D3_8FA9_0008C7809E09_.wvu.PrintArea" hidden="1">#REF!</definedName>
    <definedName name="Z_179EFE28_A1B1_11D3_8FA9_0008C7809E09_.wvu.PrintTitles" localSheetId="1" hidden="1">#REF!,#REF!</definedName>
    <definedName name="Z_179EFE28_A1B1_11D3_8FA9_0008C7809E09_.wvu.PrintTitles" localSheetId="18" hidden="1">#REF!,#REF!</definedName>
    <definedName name="Z_179EFE28_A1B1_11D3_8FA9_0008C7809E09_.wvu.PrintTitles" localSheetId="20" hidden="1">#REF!,#REF!</definedName>
    <definedName name="Z_179EFE28_A1B1_11D3_8FA9_0008C7809E09_.wvu.PrintTitles" hidden="1">#REF!,#REF!</definedName>
    <definedName name="Z_179EFE29_A1B1_11D3_8FA9_0008C7809E09_.wvu.PrintArea" localSheetId="1" hidden="1">#REF!</definedName>
    <definedName name="Z_179EFE29_A1B1_11D3_8FA9_0008C7809E09_.wvu.PrintArea" localSheetId="18" hidden="1">#REF!</definedName>
    <definedName name="Z_179EFE29_A1B1_11D3_8FA9_0008C7809E09_.wvu.PrintArea" localSheetId="20" hidden="1">#REF!</definedName>
    <definedName name="Z_179EFE29_A1B1_11D3_8FA9_0008C7809E09_.wvu.PrintArea" hidden="1">#REF!</definedName>
    <definedName name="Z_179EFE29_A1B1_11D3_8FA9_0008C7809E09_.wvu.PrintTitles" localSheetId="1" hidden="1">#REF!,#REF!</definedName>
    <definedName name="Z_179EFE29_A1B1_11D3_8FA9_0008C7809E09_.wvu.PrintTitles" localSheetId="18" hidden="1">#REF!,#REF!</definedName>
    <definedName name="Z_179EFE29_A1B1_11D3_8FA9_0008C7809E09_.wvu.PrintTitles" localSheetId="20" hidden="1">#REF!,#REF!</definedName>
    <definedName name="Z_179EFE29_A1B1_11D3_8FA9_0008C7809E09_.wvu.PrintTitles" hidden="1">#REF!,#REF!</definedName>
    <definedName name="Z_179EFE2A_A1B1_11D3_8FA9_0008C7809E09_.wvu.PrintArea" localSheetId="1" hidden="1">#REF!</definedName>
    <definedName name="Z_179EFE2A_A1B1_11D3_8FA9_0008C7809E09_.wvu.PrintArea" localSheetId="18" hidden="1">#REF!</definedName>
    <definedName name="Z_179EFE2A_A1B1_11D3_8FA9_0008C7809E09_.wvu.PrintArea" localSheetId="20" hidden="1">#REF!</definedName>
    <definedName name="Z_179EFE2A_A1B1_11D3_8FA9_0008C7809E09_.wvu.PrintArea" hidden="1">#REF!</definedName>
    <definedName name="Z_179EFE2A_A1B1_11D3_8FA9_0008C7809E09_.wvu.PrintTitles" localSheetId="1" hidden="1">#REF!,#REF!</definedName>
    <definedName name="Z_179EFE2A_A1B1_11D3_8FA9_0008C7809E09_.wvu.PrintTitles" localSheetId="18" hidden="1">#REF!,#REF!</definedName>
    <definedName name="Z_179EFE2A_A1B1_11D3_8FA9_0008C7809E09_.wvu.PrintTitles" localSheetId="20" hidden="1">#REF!,#REF!</definedName>
    <definedName name="Z_179EFE2A_A1B1_11D3_8FA9_0008C7809E09_.wvu.PrintTitles" hidden="1">#REF!,#REF!</definedName>
    <definedName name="Z_179EFE2B_A1B1_11D3_8FA9_0008C7809E09_.wvu.PrintArea" localSheetId="1" hidden="1">#REF!</definedName>
    <definedName name="Z_179EFE2B_A1B1_11D3_8FA9_0008C7809E09_.wvu.PrintArea" localSheetId="18" hidden="1">#REF!</definedName>
    <definedName name="Z_179EFE2B_A1B1_11D3_8FA9_0008C7809E09_.wvu.PrintArea" localSheetId="20" hidden="1">#REF!</definedName>
    <definedName name="Z_179EFE2B_A1B1_11D3_8FA9_0008C7809E09_.wvu.PrintArea" hidden="1">#REF!</definedName>
    <definedName name="Z_179EFE2B_A1B1_11D3_8FA9_0008C7809E09_.wvu.PrintTitles" localSheetId="1" hidden="1">#REF!,#REF!</definedName>
    <definedName name="Z_179EFE2B_A1B1_11D3_8FA9_0008C7809E09_.wvu.PrintTitles" localSheetId="18" hidden="1">#REF!,#REF!</definedName>
    <definedName name="Z_179EFE2B_A1B1_11D3_8FA9_0008C7809E09_.wvu.PrintTitles" localSheetId="20" hidden="1">#REF!,#REF!</definedName>
    <definedName name="Z_179EFE2B_A1B1_11D3_8FA9_0008C7809E09_.wvu.PrintTitles" hidden="1">#REF!,#REF!</definedName>
    <definedName name="Z_179EFE2C_A1B1_11D3_8FA9_0008C7809E09_.wvu.PrintArea" localSheetId="1" hidden="1">#REF!</definedName>
    <definedName name="Z_179EFE2C_A1B1_11D3_8FA9_0008C7809E09_.wvu.PrintArea" localSheetId="18" hidden="1">#REF!</definedName>
    <definedName name="Z_179EFE2C_A1B1_11D3_8FA9_0008C7809E09_.wvu.PrintArea" localSheetId="20" hidden="1">#REF!</definedName>
    <definedName name="Z_179EFE2C_A1B1_11D3_8FA9_0008C7809E09_.wvu.PrintArea" hidden="1">#REF!</definedName>
    <definedName name="Z_179EFE2C_A1B1_11D3_8FA9_0008C7809E09_.wvu.PrintTitles" localSheetId="1" hidden="1">#REF!,#REF!</definedName>
    <definedName name="Z_179EFE2C_A1B1_11D3_8FA9_0008C7809E09_.wvu.PrintTitles" localSheetId="18" hidden="1">#REF!,#REF!</definedName>
    <definedName name="Z_179EFE2C_A1B1_11D3_8FA9_0008C7809E09_.wvu.PrintTitles" localSheetId="20" hidden="1">#REF!,#REF!</definedName>
    <definedName name="Z_179EFE2C_A1B1_11D3_8FA9_0008C7809E09_.wvu.PrintTitles" hidden="1">#REF!,#REF!</definedName>
    <definedName name="Z_179EFE2D_A1B1_11D3_8FA9_0008C7809E09_.wvu.PrintArea" localSheetId="1" hidden="1">#REF!</definedName>
    <definedName name="Z_179EFE2D_A1B1_11D3_8FA9_0008C7809E09_.wvu.PrintArea" localSheetId="18" hidden="1">#REF!</definedName>
    <definedName name="Z_179EFE2D_A1B1_11D3_8FA9_0008C7809E09_.wvu.PrintArea" localSheetId="20" hidden="1">#REF!</definedName>
    <definedName name="Z_179EFE2D_A1B1_11D3_8FA9_0008C7809E09_.wvu.PrintArea" hidden="1">#REF!</definedName>
    <definedName name="Z_179EFE2D_A1B1_11D3_8FA9_0008C7809E09_.wvu.PrintTitles" localSheetId="1" hidden="1">#REF!,#REF!</definedName>
    <definedName name="Z_179EFE2D_A1B1_11D3_8FA9_0008C7809E09_.wvu.PrintTitles" localSheetId="18" hidden="1">#REF!,#REF!</definedName>
    <definedName name="Z_179EFE2D_A1B1_11D3_8FA9_0008C7809E09_.wvu.PrintTitles" localSheetId="20" hidden="1">#REF!,#REF!</definedName>
    <definedName name="Z_179EFE2D_A1B1_11D3_8FA9_0008C7809E09_.wvu.PrintTitles" hidden="1">#REF!,#REF!</definedName>
    <definedName name="Z_179EFE2E_A1B1_11D3_8FA9_0008C7809E09_.wvu.PrintArea" localSheetId="1" hidden="1">#REF!</definedName>
    <definedName name="Z_179EFE2E_A1B1_11D3_8FA9_0008C7809E09_.wvu.PrintArea" localSheetId="18" hidden="1">#REF!</definedName>
    <definedName name="Z_179EFE2E_A1B1_11D3_8FA9_0008C7809E09_.wvu.PrintArea" localSheetId="20" hidden="1">#REF!</definedName>
    <definedName name="Z_179EFE2E_A1B1_11D3_8FA9_0008C7809E09_.wvu.PrintArea" hidden="1">#REF!</definedName>
    <definedName name="Z_179EFE2E_A1B1_11D3_8FA9_0008C7809E09_.wvu.PrintTitles" localSheetId="1" hidden="1">#REF!,#REF!</definedName>
    <definedName name="Z_179EFE2E_A1B1_11D3_8FA9_0008C7809E09_.wvu.PrintTitles" localSheetId="18" hidden="1">#REF!,#REF!</definedName>
    <definedName name="Z_179EFE2E_A1B1_11D3_8FA9_0008C7809E09_.wvu.PrintTitles" localSheetId="20" hidden="1">#REF!,#REF!</definedName>
    <definedName name="Z_179EFE2E_A1B1_11D3_8FA9_0008C7809E09_.wvu.PrintTitles" hidden="1">#REF!,#REF!</definedName>
    <definedName name="Z_179EFE2F_A1B1_11D3_8FA9_0008C7809E09_.wvu.PrintArea" localSheetId="1" hidden="1">#REF!</definedName>
    <definedName name="Z_179EFE2F_A1B1_11D3_8FA9_0008C7809E09_.wvu.PrintArea" localSheetId="18" hidden="1">#REF!</definedName>
    <definedName name="Z_179EFE2F_A1B1_11D3_8FA9_0008C7809E09_.wvu.PrintArea" localSheetId="20" hidden="1">#REF!</definedName>
    <definedName name="Z_179EFE2F_A1B1_11D3_8FA9_0008C7809E09_.wvu.PrintArea" hidden="1">#REF!</definedName>
    <definedName name="Z_179EFE2F_A1B1_11D3_8FA9_0008C7809E09_.wvu.PrintTitles" localSheetId="1" hidden="1">#REF!</definedName>
    <definedName name="Z_179EFE2F_A1B1_11D3_8FA9_0008C7809E09_.wvu.PrintTitles" localSheetId="20" hidden="1">#REF!</definedName>
    <definedName name="Z_179EFE2F_A1B1_11D3_8FA9_0008C7809E09_.wvu.PrintTitles" hidden="1">#REF!</definedName>
    <definedName name="Z_179EFE30_A1B1_11D3_8FA9_0008C7809E09_.wvu.PrintArea" localSheetId="1" hidden="1">#REF!</definedName>
    <definedName name="Z_179EFE30_A1B1_11D3_8FA9_0008C7809E09_.wvu.PrintArea" localSheetId="20" hidden="1">#REF!</definedName>
    <definedName name="Z_179EFE30_A1B1_11D3_8FA9_0008C7809E09_.wvu.PrintArea" hidden="1">#REF!</definedName>
    <definedName name="Z_179EFE30_A1B1_11D3_8FA9_0008C7809E09_.wvu.PrintTitles" localSheetId="1" hidden="1">#REF!</definedName>
    <definedName name="Z_179EFE30_A1B1_11D3_8FA9_0008C7809E09_.wvu.PrintTitles" localSheetId="20" hidden="1">#REF!</definedName>
    <definedName name="Z_179EFE30_A1B1_11D3_8FA9_0008C7809E09_.wvu.PrintTitles" hidden="1">#REF!</definedName>
    <definedName name="Z_179EFE31_A1B1_11D3_8FA9_0008C7809E09_.wvu.PrintArea" localSheetId="1" hidden="1">#REF!</definedName>
    <definedName name="Z_179EFE31_A1B1_11D3_8FA9_0008C7809E09_.wvu.PrintArea" localSheetId="20" hidden="1">#REF!</definedName>
    <definedName name="Z_179EFE31_A1B1_11D3_8FA9_0008C7809E09_.wvu.PrintArea" hidden="1">#REF!</definedName>
    <definedName name="Z_179EFE31_A1B1_11D3_8FA9_0008C7809E09_.wvu.PrintTitles" localSheetId="1" hidden="1">#REF!</definedName>
    <definedName name="Z_179EFE31_A1B1_11D3_8FA9_0008C7809E09_.wvu.PrintTitles" localSheetId="20" hidden="1">#REF!</definedName>
    <definedName name="Z_179EFE31_A1B1_11D3_8FA9_0008C7809E09_.wvu.PrintTitles" hidden="1">#REF!</definedName>
    <definedName name="Z_179EFE32_A1B1_11D3_8FA9_0008C7809E09_.wvu.PrintArea" localSheetId="1" hidden="1">#REF!</definedName>
    <definedName name="Z_179EFE32_A1B1_11D3_8FA9_0008C7809E09_.wvu.PrintArea" localSheetId="20" hidden="1">#REF!</definedName>
    <definedName name="Z_179EFE32_A1B1_11D3_8FA9_0008C7809E09_.wvu.PrintArea" hidden="1">#REF!</definedName>
    <definedName name="Z_179EFE32_A1B1_11D3_8FA9_0008C7809E09_.wvu.PrintTitles" localSheetId="1" hidden="1">#REF!</definedName>
    <definedName name="Z_179EFE32_A1B1_11D3_8FA9_0008C7809E09_.wvu.PrintTitles" localSheetId="20" hidden="1">#REF!</definedName>
    <definedName name="Z_179EFE32_A1B1_11D3_8FA9_0008C7809E09_.wvu.PrintTitles" hidden="1">#REF!</definedName>
    <definedName name="Z_179EFE33_A1B1_11D3_8FA9_0008C7809E09_.wvu.PrintArea" localSheetId="1" hidden="1">#REF!</definedName>
    <definedName name="Z_179EFE33_A1B1_11D3_8FA9_0008C7809E09_.wvu.PrintArea" localSheetId="20" hidden="1">#REF!</definedName>
    <definedName name="Z_179EFE33_A1B1_11D3_8FA9_0008C7809E09_.wvu.PrintArea" hidden="1">#REF!</definedName>
    <definedName name="Z_179EFE33_A1B1_11D3_8FA9_0008C7809E09_.wvu.PrintTitles" localSheetId="1" hidden="1">#REF!</definedName>
    <definedName name="Z_179EFE33_A1B1_11D3_8FA9_0008C7809E09_.wvu.PrintTitles" localSheetId="20" hidden="1">#REF!</definedName>
    <definedName name="Z_179EFE33_A1B1_11D3_8FA9_0008C7809E09_.wvu.PrintTitles" hidden="1">#REF!</definedName>
    <definedName name="Z_179EFE34_A1B1_11D3_8FA9_0008C7809E09_.wvu.PrintArea" localSheetId="1" hidden="1">#REF!</definedName>
    <definedName name="Z_179EFE34_A1B1_11D3_8FA9_0008C7809E09_.wvu.PrintArea" localSheetId="20" hidden="1">#REF!</definedName>
    <definedName name="Z_179EFE34_A1B1_11D3_8FA9_0008C7809E09_.wvu.PrintArea" hidden="1">#REF!</definedName>
    <definedName name="Z_179EFE34_A1B1_11D3_8FA9_0008C7809E09_.wvu.PrintTitles" localSheetId="1" hidden="1">#REF!</definedName>
    <definedName name="Z_179EFE34_A1B1_11D3_8FA9_0008C7809E09_.wvu.PrintTitles" localSheetId="20" hidden="1">#REF!</definedName>
    <definedName name="Z_179EFE34_A1B1_11D3_8FA9_0008C7809E09_.wvu.PrintTitles" hidden="1">#REF!</definedName>
    <definedName name="Z_179EFE35_A1B1_11D3_8FA9_0008C7809E09_.wvu.PrintArea" localSheetId="1" hidden="1">#REF!</definedName>
    <definedName name="Z_179EFE35_A1B1_11D3_8FA9_0008C7809E09_.wvu.PrintArea" localSheetId="20" hidden="1">#REF!</definedName>
    <definedName name="Z_179EFE35_A1B1_11D3_8FA9_0008C7809E09_.wvu.PrintArea" hidden="1">#REF!</definedName>
    <definedName name="Z_179EFE35_A1B1_11D3_8FA9_0008C7809E09_.wvu.PrintTitles" localSheetId="1" hidden="1">#REF!</definedName>
    <definedName name="Z_179EFE35_A1B1_11D3_8FA9_0008C7809E09_.wvu.PrintTitles" localSheetId="20" hidden="1">#REF!</definedName>
    <definedName name="Z_179EFE35_A1B1_11D3_8FA9_0008C7809E09_.wvu.PrintTitles" hidden="1">#REF!</definedName>
    <definedName name="Z_179EFE36_A1B1_11D3_8FA9_0008C7809E09_.wvu.PrintArea" localSheetId="1" hidden="1">#REF!</definedName>
    <definedName name="Z_179EFE36_A1B1_11D3_8FA9_0008C7809E09_.wvu.PrintArea" localSheetId="20" hidden="1">#REF!</definedName>
    <definedName name="Z_179EFE36_A1B1_11D3_8FA9_0008C7809E09_.wvu.PrintArea" hidden="1">#REF!</definedName>
    <definedName name="Z_179EFE36_A1B1_11D3_8FA9_0008C7809E09_.wvu.PrintTitles" localSheetId="1" hidden="1">#REF!</definedName>
    <definedName name="Z_179EFE36_A1B1_11D3_8FA9_0008C7809E09_.wvu.PrintTitles" localSheetId="20" hidden="1">#REF!</definedName>
    <definedName name="Z_179EFE36_A1B1_11D3_8FA9_0008C7809E09_.wvu.PrintTitles" hidden="1">#REF!</definedName>
    <definedName name="Z_179EFE37_A1B1_11D3_8FA9_0008C7809E09_.wvu.PrintArea" localSheetId="1" hidden="1">#REF!</definedName>
    <definedName name="Z_179EFE37_A1B1_11D3_8FA9_0008C7809E09_.wvu.PrintArea" localSheetId="20" hidden="1">#REF!</definedName>
    <definedName name="Z_179EFE37_A1B1_11D3_8FA9_0008C7809E09_.wvu.PrintArea" hidden="1">#REF!</definedName>
    <definedName name="Z_179EFE37_A1B1_11D3_8FA9_0008C7809E09_.wvu.PrintTitles" localSheetId="1" hidden="1">#REF!</definedName>
    <definedName name="Z_179EFE37_A1B1_11D3_8FA9_0008C7809E09_.wvu.PrintTitles" localSheetId="20" hidden="1">#REF!</definedName>
    <definedName name="Z_179EFE37_A1B1_11D3_8FA9_0008C7809E09_.wvu.PrintTitles" hidden="1">#REF!</definedName>
    <definedName name="Z_179EFE38_A1B1_11D3_8FA9_0008C7809E09_.wvu.PrintArea" localSheetId="1" hidden="1">#REF!</definedName>
    <definedName name="Z_179EFE38_A1B1_11D3_8FA9_0008C7809E09_.wvu.PrintArea" localSheetId="20" hidden="1">#REF!</definedName>
    <definedName name="Z_179EFE38_A1B1_11D3_8FA9_0008C7809E09_.wvu.PrintArea" hidden="1">#REF!</definedName>
    <definedName name="Z_179EFE38_A1B1_11D3_8FA9_0008C7809E09_.wvu.PrintTitles" localSheetId="1" hidden="1">#REF!</definedName>
    <definedName name="Z_179EFE38_A1B1_11D3_8FA9_0008C7809E09_.wvu.PrintTitles" localSheetId="20" hidden="1">#REF!</definedName>
    <definedName name="Z_179EFE38_A1B1_11D3_8FA9_0008C7809E09_.wvu.PrintTitles" hidden="1">#REF!</definedName>
    <definedName name="Z_179EFE39_A1B1_11D3_8FA9_0008C7809E09_.wvu.PrintArea" localSheetId="1" hidden="1">#REF!</definedName>
    <definedName name="Z_179EFE39_A1B1_11D3_8FA9_0008C7809E09_.wvu.PrintArea" localSheetId="20" hidden="1">#REF!</definedName>
    <definedName name="Z_179EFE39_A1B1_11D3_8FA9_0008C7809E09_.wvu.PrintArea" hidden="1">#REF!</definedName>
    <definedName name="Z_179EFE39_A1B1_11D3_8FA9_0008C7809E09_.wvu.PrintTitles" localSheetId="1" hidden="1">#REF!</definedName>
    <definedName name="Z_179EFE39_A1B1_11D3_8FA9_0008C7809E09_.wvu.PrintTitles" localSheetId="20" hidden="1">#REF!</definedName>
    <definedName name="Z_179EFE39_A1B1_11D3_8FA9_0008C7809E09_.wvu.PrintTitles" hidden="1">#REF!</definedName>
    <definedName name="Z_179EFE3A_A1B1_11D3_8FA9_0008C7809E09_.wvu.PrintArea" localSheetId="1" hidden="1">#REF!</definedName>
    <definedName name="Z_179EFE3A_A1B1_11D3_8FA9_0008C7809E09_.wvu.PrintArea" localSheetId="20" hidden="1">#REF!</definedName>
    <definedName name="Z_179EFE3A_A1B1_11D3_8FA9_0008C7809E09_.wvu.PrintArea" hidden="1">#REF!</definedName>
    <definedName name="Z_179EFE3A_A1B1_11D3_8FA9_0008C7809E09_.wvu.PrintTitles" localSheetId="1" hidden="1">#REF!</definedName>
    <definedName name="Z_179EFE3A_A1B1_11D3_8FA9_0008C7809E09_.wvu.PrintTitles" localSheetId="20" hidden="1">#REF!</definedName>
    <definedName name="Z_179EFE3A_A1B1_11D3_8FA9_0008C7809E09_.wvu.PrintTitles" hidden="1">#REF!</definedName>
    <definedName name="Z_179EFE3B_A1B1_11D3_8FA9_0008C7809E09_.wvu.PrintArea" localSheetId="1" hidden="1">#REF!</definedName>
    <definedName name="Z_179EFE3B_A1B1_11D3_8FA9_0008C7809E09_.wvu.PrintArea" localSheetId="20" hidden="1">#REF!</definedName>
    <definedName name="Z_179EFE3B_A1B1_11D3_8FA9_0008C7809E09_.wvu.PrintArea" hidden="1">#REF!</definedName>
    <definedName name="Z_179EFE3B_A1B1_11D3_8FA9_0008C7809E09_.wvu.PrintTitles" localSheetId="1" hidden="1">#REF!</definedName>
    <definedName name="Z_179EFE3B_A1B1_11D3_8FA9_0008C7809E09_.wvu.PrintTitles" localSheetId="20" hidden="1">#REF!</definedName>
    <definedName name="Z_179EFE3B_A1B1_11D3_8FA9_0008C7809E09_.wvu.PrintTitles" hidden="1">#REF!</definedName>
    <definedName name="Z_179EFE3C_A1B1_11D3_8FA9_0008C7809E09_.wvu.PrintArea" localSheetId="1" hidden="1">#REF!</definedName>
    <definedName name="Z_179EFE3C_A1B1_11D3_8FA9_0008C7809E09_.wvu.PrintArea" localSheetId="20" hidden="1">#REF!</definedName>
    <definedName name="Z_179EFE3C_A1B1_11D3_8FA9_0008C7809E09_.wvu.PrintArea" hidden="1">#REF!</definedName>
    <definedName name="Z_179EFE3C_A1B1_11D3_8FA9_0008C7809E09_.wvu.PrintTitles" localSheetId="1" hidden="1">#REF!,#REF!</definedName>
    <definedName name="Z_179EFE3C_A1B1_11D3_8FA9_0008C7809E09_.wvu.PrintTitles" localSheetId="18" hidden="1">#REF!,#REF!</definedName>
    <definedName name="Z_179EFE3C_A1B1_11D3_8FA9_0008C7809E09_.wvu.PrintTitles" localSheetId="20" hidden="1">#REF!,#REF!</definedName>
    <definedName name="Z_179EFE3C_A1B1_11D3_8FA9_0008C7809E09_.wvu.PrintTitles" hidden="1">#REF!,#REF!</definedName>
    <definedName name="Z_179EFE3D_A1B1_11D3_8FA9_0008C7809E09_.wvu.PrintArea" localSheetId="1" hidden="1">#REF!</definedName>
    <definedName name="Z_179EFE3D_A1B1_11D3_8FA9_0008C7809E09_.wvu.PrintArea" localSheetId="18" hidden="1">#REF!</definedName>
    <definedName name="Z_179EFE3D_A1B1_11D3_8FA9_0008C7809E09_.wvu.PrintArea" localSheetId="20" hidden="1">#REF!</definedName>
    <definedName name="Z_179EFE3D_A1B1_11D3_8FA9_0008C7809E09_.wvu.PrintArea" hidden="1">#REF!</definedName>
    <definedName name="Z_179EFE3D_A1B1_11D3_8FA9_0008C7809E09_.wvu.PrintTitles" localSheetId="1" hidden="1">#REF!,#REF!</definedName>
    <definedName name="Z_179EFE3D_A1B1_11D3_8FA9_0008C7809E09_.wvu.PrintTitles" localSheetId="18" hidden="1">#REF!,#REF!</definedName>
    <definedName name="Z_179EFE3D_A1B1_11D3_8FA9_0008C7809E09_.wvu.PrintTitles" localSheetId="20" hidden="1">#REF!,#REF!</definedName>
    <definedName name="Z_179EFE3D_A1B1_11D3_8FA9_0008C7809E09_.wvu.PrintTitles" hidden="1">#REF!,#REF!</definedName>
    <definedName name="Z_179EFE3E_A1B1_11D3_8FA9_0008C7809E09_.wvu.PrintArea" localSheetId="1" hidden="1">#REF!</definedName>
    <definedName name="Z_179EFE3E_A1B1_11D3_8FA9_0008C7809E09_.wvu.PrintArea" localSheetId="18" hidden="1">#REF!</definedName>
    <definedName name="Z_179EFE3E_A1B1_11D3_8FA9_0008C7809E09_.wvu.PrintArea" localSheetId="20" hidden="1">#REF!</definedName>
    <definedName name="Z_179EFE3E_A1B1_11D3_8FA9_0008C7809E09_.wvu.PrintArea" hidden="1">#REF!</definedName>
    <definedName name="Z_179EFE3E_A1B1_11D3_8FA9_0008C7809E09_.wvu.PrintTitles" localSheetId="1" hidden="1">#REF!,#REF!</definedName>
    <definedName name="Z_179EFE3E_A1B1_11D3_8FA9_0008C7809E09_.wvu.PrintTitles" localSheetId="18" hidden="1">#REF!,#REF!</definedName>
    <definedName name="Z_179EFE3E_A1B1_11D3_8FA9_0008C7809E09_.wvu.PrintTitles" localSheetId="20" hidden="1">#REF!,#REF!</definedName>
    <definedName name="Z_179EFE3E_A1B1_11D3_8FA9_0008C7809E09_.wvu.PrintTitles" hidden="1">#REF!,#REF!</definedName>
    <definedName name="Z_179EFE3F_A1B1_11D3_8FA9_0008C7809E09_.wvu.PrintArea" localSheetId="1" hidden="1">#REF!</definedName>
    <definedName name="Z_179EFE3F_A1B1_11D3_8FA9_0008C7809E09_.wvu.PrintArea" localSheetId="18" hidden="1">#REF!</definedName>
    <definedName name="Z_179EFE3F_A1B1_11D3_8FA9_0008C7809E09_.wvu.PrintArea" localSheetId="20" hidden="1">#REF!</definedName>
    <definedName name="Z_179EFE3F_A1B1_11D3_8FA9_0008C7809E09_.wvu.PrintArea" hidden="1">#REF!</definedName>
    <definedName name="Z_179EFE3F_A1B1_11D3_8FA9_0008C7809E09_.wvu.PrintTitles" localSheetId="1" hidden="1">#REF!,#REF!</definedName>
    <definedName name="Z_179EFE3F_A1B1_11D3_8FA9_0008C7809E09_.wvu.PrintTitles" localSheetId="18" hidden="1">#REF!,#REF!</definedName>
    <definedName name="Z_179EFE3F_A1B1_11D3_8FA9_0008C7809E09_.wvu.PrintTitles" localSheetId="20" hidden="1">#REF!,#REF!</definedName>
    <definedName name="Z_179EFE3F_A1B1_11D3_8FA9_0008C7809E09_.wvu.PrintTitles" hidden="1">#REF!,#REF!</definedName>
    <definedName name="Z_179EFE40_A1B1_11D3_8FA9_0008C7809E09_.wvu.PrintArea" localSheetId="1" hidden="1">#REF!</definedName>
    <definedName name="Z_179EFE40_A1B1_11D3_8FA9_0008C7809E09_.wvu.PrintArea" localSheetId="18" hidden="1">#REF!</definedName>
    <definedName name="Z_179EFE40_A1B1_11D3_8FA9_0008C7809E09_.wvu.PrintArea" localSheetId="20" hidden="1">#REF!</definedName>
    <definedName name="Z_179EFE40_A1B1_11D3_8FA9_0008C7809E09_.wvu.PrintArea" hidden="1">#REF!</definedName>
    <definedName name="Z_179EFE40_A1B1_11D3_8FA9_0008C7809E09_.wvu.PrintTitles" localSheetId="1" hidden="1">#REF!,#REF!</definedName>
    <definedName name="Z_179EFE40_A1B1_11D3_8FA9_0008C7809E09_.wvu.PrintTitles" localSheetId="18" hidden="1">#REF!,#REF!</definedName>
    <definedName name="Z_179EFE40_A1B1_11D3_8FA9_0008C7809E09_.wvu.PrintTitles" localSheetId="20" hidden="1">#REF!,#REF!</definedName>
    <definedName name="Z_179EFE40_A1B1_11D3_8FA9_0008C7809E09_.wvu.PrintTitles" hidden="1">#REF!,#REF!</definedName>
    <definedName name="Z_179EFE41_A1B1_11D3_8FA9_0008C7809E09_.wvu.PrintArea" localSheetId="1" hidden="1">#REF!</definedName>
    <definedName name="Z_179EFE41_A1B1_11D3_8FA9_0008C7809E09_.wvu.PrintArea" localSheetId="18" hidden="1">#REF!</definedName>
    <definedName name="Z_179EFE41_A1B1_11D3_8FA9_0008C7809E09_.wvu.PrintArea" localSheetId="20" hidden="1">#REF!</definedName>
    <definedName name="Z_179EFE41_A1B1_11D3_8FA9_0008C7809E09_.wvu.PrintArea" hidden="1">#REF!</definedName>
    <definedName name="Z_179EFE41_A1B1_11D3_8FA9_0008C7809E09_.wvu.PrintTitles" localSheetId="1" hidden="1">#REF!,#REF!</definedName>
    <definedName name="Z_179EFE41_A1B1_11D3_8FA9_0008C7809E09_.wvu.PrintTitles" localSheetId="18" hidden="1">#REF!,#REF!</definedName>
    <definedName name="Z_179EFE41_A1B1_11D3_8FA9_0008C7809E09_.wvu.PrintTitles" localSheetId="20" hidden="1">#REF!,#REF!</definedName>
    <definedName name="Z_179EFE41_A1B1_11D3_8FA9_0008C7809E09_.wvu.PrintTitles" hidden="1">#REF!,#REF!</definedName>
    <definedName name="Z_179EFE42_A1B1_11D3_8FA9_0008C7809E09_.wvu.PrintArea" localSheetId="1" hidden="1">#REF!</definedName>
    <definedName name="Z_179EFE42_A1B1_11D3_8FA9_0008C7809E09_.wvu.PrintArea" localSheetId="18" hidden="1">#REF!</definedName>
    <definedName name="Z_179EFE42_A1B1_11D3_8FA9_0008C7809E09_.wvu.PrintArea" localSheetId="20" hidden="1">#REF!</definedName>
    <definedName name="Z_179EFE42_A1B1_11D3_8FA9_0008C7809E09_.wvu.PrintArea" hidden="1">#REF!</definedName>
    <definedName name="Z_179EFE42_A1B1_11D3_8FA9_0008C7809E09_.wvu.PrintTitles" localSheetId="1" hidden="1">#REF!,#REF!</definedName>
    <definedName name="Z_179EFE42_A1B1_11D3_8FA9_0008C7809E09_.wvu.PrintTitles" localSheetId="18" hidden="1">#REF!,#REF!</definedName>
    <definedName name="Z_179EFE42_A1B1_11D3_8FA9_0008C7809E09_.wvu.PrintTitles" localSheetId="20" hidden="1">#REF!,#REF!</definedName>
    <definedName name="Z_179EFE42_A1B1_11D3_8FA9_0008C7809E09_.wvu.PrintTitles" hidden="1">#REF!,#REF!</definedName>
    <definedName name="Z_179EFE43_A1B1_11D3_8FA9_0008C7809E09_.wvu.PrintArea" localSheetId="1" hidden="1">#REF!</definedName>
    <definedName name="Z_179EFE43_A1B1_11D3_8FA9_0008C7809E09_.wvu.PrintArea" localSheetId="18" hidden="1">#REF!</definedName>
    <definedName name="Z_179EFE43_A1B1_11D3_8FA9_0008C7809E09_.wvu.PrintArea" localSheetId="20" hidden="1">#REF!</definedName>
    <definedName name="Z_179EFE43_A1B1_11D3_8FA9_0008C7809E09_.wvu.PrintArea" hidden="1">#REF!</definedName>
    <definedName name="Z_179EFE43_A1B1_11D3_8FA9_0008C7809E09_.wvu.PrintTitles" localSheetId="1" hidden="1">#REF!,#REF!</definedName>
    <definedName name="Z_179EFE43_A1B1_11D3_8FA9_0008C7809E09_.wvu.PrintTitles" localSheetId="18" hidden="1">#REF!,#REF!</definedName>
    <definedName name="Z_179EFE43_A1B1_11D3_8FA9_0008C7809E09_.wvu.PrintTitles" localSheetId="20" hidden="1">#REF!,#REF!</definedName>
    <definedName name="Z_179EFE43_A1B1_11D3_8FA9_0008C7809E09_.wvu.PrintTitles" hidden="1">#REF!,#REF!</definedName>
    <definedName name="Z_179EFE44_A1B1_11D3_8FA9_0008C7809E09_.wvu.PrintArea" localSheetId="1" hidden="1">#REF!</definedName>
    <definedName name="Z_179EFE44_A1B1_11D3_8FA9_0008C7809E09_.wvu.PrintArea" localSheetId="18" hidden="1">#REF!</definedName>
    <definedName name="Z_179EFE44_A1B1_11D3_8FA9_0008C7809E09_.wvu.PrintArea" localSheetId="20" hidden="1">#REF!</definedName>
    <definedName name="Z_179EFE44_A1B1_11D3_8FA9_0008C7809E09_.wvu.PrintArea" hidden="1">#REF!</definedName>
    <definedName name="Z_179EFE44_A1B1_11D3_8FA9_0008C7809E09_.wvu.PrintTitles" localSheetId="1" hidden="1">#REF!,#REF!</definedName>
    <definedName name="Z_179EFE44_A1B1_11D3_8FA9_0008C7809E09_.wvu.PrintTitles" localSheetId="18" hidden="1">#REF!,#REF!</definedName>
    <definedName name="Z_179EFE44_A1B1_11D3_8FA9_0008C7809E09_.wvu.PrintTitles" localSheetId="20" hidden="1">#REF!,#REF!</definedName>
    <definedName name="Z_179EFE44_A1B1_11D3_8FA9_0008C7809E09_.wvu.PrintTitles" hidden="1">#REF!,#REF!</definedName>
    <definedName name="Z_179EFE45_A1B1_11D3_8FA9_0008C7809E09_.wvu.PrintArea" localSheetId="1" hidden="1">#REF!</definedName>
    <definedName name="Z_179EFE45_A1B1_11D3_8FA9_0008C7809E09_.wvu.PrintArea" localSheetId="18" hidden="1">#REF!</definedName>
    <definedName name="Z_179EFE45_A1B1_11D3_8FA9_0008C7809E09_.wvu.PrintArea" localSheetId="20" hidden="1">#REF!</definedName>
    <definedName name="Z_179EFE45_A1B1_11D3_8FA9_0008C7809E09_.wvu.PrintArea" hidden="1">#REF!</definedName>
    <definedName name="Z_179EFE45_A1B1_11D3_8FA9_0008C7809E09_.wvu.PrintTitles" localSheetId="1" hidden="1">#REF!,#REF!</definedName>
    <definedName name="Z_179EFE45_A1B1_11D3_8FA9_0008C7809E09_.wvu.PrintTitles" localSheetId="18" hidden="1">#REF!,#REF!</definedName>
    <definedName name="Z_179EFE45_A1B1_11D3_8FA9_0008C7809E09_.wvu.PrintTitles" localSheetId="20" hidden="1">#REF!,#REF!</definedName>
    <definedName name="Z_179EFE45_A1B1_11D3_8FA9_0008C7809E09_.wvu.PrintTitles" hidden="1">#REF!,#REF!</definedName>
    <definedName name="Z_179EFE46_A1B1_11D3_8FA9_0008C7809E09_.wvu.PrintArea" localSheetId="1" hidden="1">#REF!</definedName>
    <definedName name="Z_179EFE46_A1B1_11D3_8FA9_0008C7809E09_.wvu.PrintArea" localSheetId="18" hidden="1">#REF!</definedName>
    <definedName name="Z_179EFE46_A1B1_11D3_8FA9_0008C7809E09_.wvu.PrintArea" localSheetId="20" hidden="1">#REF!</definedName>
    <definedName name="Z_179EFE46_A1B1_11D3_8FA9_0008C7809E09_.wvu.PrintArea" hidden="1">#REF!</definedName>
    <definedName name="Z_179EFE46_A1B1_11D3_8FA9_0008C7809E09_.wvu.PrintTitles" localSheetId="1" hidden="1">#REF!,#REF!</definedName>
    <definedName name="Z_179EFE46_A1B1_11D3_8FA9_0008C7809E09_.wvu.PrintTitles" localSheetId="18" hidden="1">#REF!,#REF!</definedName>
    <definedName name="Z_179EFE46_A1B1_11D3_8FA9_0008C7809E09_.wvu.PrintTitles" localSheetId="20" hidden="1">#REF!,#REF!</definedName>
    <definedName name="Z_179EFE46_A1B1_11D3_8FA9_0008C7809E09_.wvu.PrintTitles" hidden="1">#REF!,#REF!</definedName>
    <definedName name="Z_179EFE47_A1B1_11D3_8FA9_0008C7809E09_.wvu.PrintArea" localSheetId="1" hidden="1">#REF!</definedName>
    <definedName name="Z_179EFE47_A1B1_11D3_8FA9_0008C7809E09_.wvu.PrintArea" localSheetId="18" hidden="1">#REF!</definedName>
    <definedName name="Z_179EFE47_A1B1_11D3_8FA9_0008C7809E09_.wvu.PrintArea" localSheetId="20" hidden="1">#REF!</definedName>
    <definedName name="Z_179EFE47_A1B1_11D3_8FA9_0008C7809E09_.wvu.PrintArea" hidden="1">#REF!</definedName>
    <definedName name="Z_179EFE47_A1B1_11D3_8FA9_0008C7809E09_.wvu.PrintTitles" localSheetId="1" hidden="1">#REF!,#REF!</definedName>
    <definedName name="Z_179EFE47_A1B1_11D3_8FA9_0008C7809E09_.wvu.PrintTitles" localSheetId="18" hidden="1">#REF!,#REF!</definedName>
    <definedName name="Z_179EFE47_A1B1_11D3_8FA9_0008C7809E09_.wvu.PrintTitles" localSheetId="20" hidden="1">#REF!,#REF!</definedName>
    <definedName name="Z_179EFE47_A1B1_11D3_8FA9_0008C7809E09_.wvu.PrintTitles" hidden="1">#REF!,#REF!</definedName>
    <definedName name="Z_179EFE48_A1B1_11D3_8FA9_0008C7809E09_.wvu.PrintArea" localSheetId="1" hidden="1">#REF!</definedName>
    <definedName name="Z_179EFE48_A1B1_11D3_8FA9_0008C7809E09_.wvu.PrintArea" localSheetId="18" hidden="1">#REF!</definedName>
    <definedName name="Z_179EFE48_A1B1_11D3_8FA9_0008C7809E09_.wvu.PrintArea" localSheetId="20" hidden="1">#REF!</definedName>
    <definedName name="Z_179EFE48_A1B1_11D3_8FA9_0008C7809E09_.wvu.PrintArea" hidden="1">#REF!</definedName>
    <definedName name="Z_179EFE48_A1B1_11D3_8FA9_0008C7809E09_.wvu.PrintTitles" localSheetId="1" hidden="1">#REF!,#REF!</definedName>
    <definedName name="Z_179EFE48_A1B1_11D3_8FA9_0008C7809E09_.wvu.PrintTitles" localSheetId="18" hidden="1">#REF!,#REF!</definedName>
    <definedName name="Z_179EFE48_A1B1_11D3_8FA9_0008C7809E09_.wvu.PrintTitles" localSheetId="20" hidden="1">#REF!,#REF!</definedName>
    <definedName name="Z_179EFE48_A1B1_11D3_8FA9_0008C7809E09_.wvu.PrintTitles" hidden="1">#REF!,#REF!</definedName>
    <definedName name="Z_179EFE49_A1B1_11D3_8FA9_0008C7809E09_.wvu.PrintArea" localSheetId="1" hidden="1">#REF!</definedName>
    <definedName name="Z_179EFE49_A1B1_11D3_8FA9_0008C7809E09_.wvu.PrintArea" localSheetId="18" hidden="1">#REF!</definedName>
    <definedName name="Z_179EFE49_A1B1_11D3_8FA9_0008C7809E09_.wvu.PrintArea" localSheetId="20" hidden="1">#REF!</definedName>
    <definedName name="Z_179EFE49_A1B1_11D3_8FA9_0008C7809E09_.wvu.PrintArea" hidden="1">#REF!</definedName>
    <definedName name="Z_179EFE49_A1B1_11D3_8FA9_0008C7809E09_.wvu.PrintTitles" localSheetId="1" hidden="1">#REF!,#REF!</definedName>
    <definedName name="Z_179EFE49_A1B1_11D3_8FA9_0008C7809E09_.wvu.PrintTitles" localSheetId="18" hidden="1">#REF!,#REF!</definedName>
    <definedName name="Z_179EFE49_A1B1_11D3_8FA9_0008C7809E09_.wvu.PrintTitles" localSheetId="20" hidden="1">#REF!,#REF!</definedName>
    <definedName name="Z_179EFE49_A1B1_11D3_8FA9_0008C7809E09_.wvu.PrintTitles" hidden="1">#REF!,#REF!</definedName>
    <definedName name="Z_179EFE4A_A1B1_11D3_8FA9_0008C7809E09_.wvu.PrintArea" localSheetId="1" hidden="1">#REF!</definedName>
    <definedName name="Z_179EFE4A_A1B1_11D3_8FA9_0008C7809E09_.wvu.PrintArea" localSheetId="18" hidden="1">#REF!</definedName>
    <definedName name="Z_179EFE4A_A1B1_11D3_8FA9_0008C7809E09_.wvu.PrintArea" localSheetId="20" hidden="1">#REF!</definedName>
    <definedName name="Z_179EFE4A_A1B1_11D3_8FA9_0008C7809E09_.wvu.PrintArea" hidden="1">#REF!</definedName>
    <definedName name="Z_179EFE4A_A1B1_11D3_8FA9_0008C7809E09_.wvu.PrintTitles" localSheetId="1" hidden="1">#REF!,#REF!</definedName>
    <definedName name="Z_179EFE4A_A1B1_11D3_8FA9_0008C7809E09_.wvu.PrintTitles" localSheetId="18" hidden="1">#REF!,#REF!</definedName>
    <definedName name="Z_179EFE4A_A1B1_11D3_8FA9_0008C7809E09_.wvu.PrintTitles" localSheetId="20" hidden="1">#REF!,#REF!</definedName>
    <definedName name="Z_179EFE4A_A1B1_11D3_8FA9_0008C7809E09_.wvu.PrintTitles" hidden="1">#REF!,#REF!</definedName>
    <definedName name="Z_179EFE4B_A1B1_11D3_8FA9_0008C7809E09_.wvu.PrintArea" localSheetId="1" hidden="1">#REF!</definedName>
    <definedName name="Z_179EFE4B_A1B1_11D3_8FA9_0008C7809E09_.wvu.PrintArea" localSheetId="18" hidden="1">#REF!</definedName>
    <definedName name="Z_179EFE4B_A1B1_11D3_8FA9_0008C7809E09_.wvu.PrintArea" localSheetId="20" hidden="1">#REF!</definedName>
    <definedName name="Z_179EFE4B_A1B1_11D3_8FA9_0008C7809E09_.wvu.PrintArea" hidden="1">#REF!</definedName>
    <definedName name="Z_179EFE4B_A1B1_11D3_8FA9_0008C7809E09_.wvu.PrintTitles" localSheetId="1" hidden="1">#REF!,#REF!</definedName>
    <definedName name="Z_179EFE4B_A1B1_11D3_8FA9_0008C7809E09_.wvu.PrintTitles" localSheetId="18" hidden="1">#REF!,#REF!</definedName>
    <definedName name="Z_179EFE4B_A1B1_11D3_8FA9_0008C7809E09_.wvu.PrintTitles" localSheetId="20" hidden="1">#REF!,#REF!</definedName>
    <definedName name="Z_179EFE4B_A1B1_11D3_8FA9_0008C7809E09_.wvu.PrintTitles" hidden="1">#REF!,#REF!</definedName>
    <definedName name="Z_179EFE4C_A1B1_11D3_8FA9_0008C7809E09_.wvu.PrintArea" localSheetId="1" hidden="1">#REF!</definedName>
    <definedName name="Z_179EFE4C_A1B1_11D3_8FA9_0008C7809E09_.wvu.PrintArea" localSheetId="18" hidden="1">#REF!</definedName>
    <definedName name="Z_179EFE4C_A1B1_11D3_8FA9_0008C7809E09_.wvu.PrintArea" localSheetId="20" hidden="1">#REF!</definedName>
    <definedName name="Z_179EFE4C_A1B1_11D3_8FA9_0008C7809E09_.wvu.PrintArea" hidden="1">#REF!</definedName>
    <definedName name="Z_179EFE4C_A1B1_11D3_8FA9_0008C7809E09_.wvu.PrintTitles" localSheetId="1" hidden="1">#REF!,#REF!</definedName>
    <definedName name="Z_179EFE4C_A1B1_11D3_8FA9_0008C7809E09_.wvu.PrintTitles" localSheetId="18" hidden="1">#REF!,#REF!</definedName>
    <definedName name="Z_179EFE4C_A1B1_11D3_8FA9_0008C7809E09_.wvu.PrintTitles" localSheetId="20" hidden="1">#REF!,#REF!</definedName>
    <definedName name="Z_179EFE4C_A1B1_11D3_8FA9_0008C7809E09_.wvu.PrintTitles" hidden="1">#REF!,#REF!</definedName>
    <definedName name="Z_179EFE4D_A1B1_11D3_8FA9_0008C7809E09_.wvu.PrintArea" localSheetId="1" hidden="1">#REF!</definedName>
    <definedName name="Z_179EFE4D_A1B1_11D3_8FA9_0008C7809E09_.wvu.PrintArea" localSheetId="18" hidden="1">#REF!</definedName>
    <definedName name="Z_179EFE4D_A1B1_11D3_8FA9_0008C7809E09_.wvu.PrintArea" localSheetId="20" hidden="1">#REF!</definedName>
    <definedName name="Z_179EFE4D_A1B1_11D3_8FA9_0008C7809E09_.wvu.PrintArea" hidden="1">#REF!</definedName>
    <definedName name="Z_179EFE4D_A1B1_11D3_8FA9_0008C7809E09_.wvu.PrintTitles" localSheetId="1" hidden="1">#REF!,#REF!</definedName>
    <definedName name="Z_179EFE4D_A1B1_11D3_8FA9_0008C7809E09_.wvu.PrintTitles" localSheetId="18" hidden="1">#REF!,#REF!</definedName>
    <definedName name="Z_179EFE4D_A1B1_11D3_8FA9_0008C7809E09_.wvu.PrintTitles" localSheetId="20" hidden="1">#REF!,#REF!</definedName>
    <definedName name="Z_179EFE4D_A1B1_11D3_8FA9_0008C7809E09_.wvu.PrintTitles" hidden="1">#REF!,#REF!</definedName>
    <definedName name="Z_179EFE4E_A1B1_11D3_8FA9_0008C7809E09_.wvu.PrintArea" localSheetId="1" hidden="1">#REF!</definedName>
    <definedName name="Z_179EFE4E_A1B1_11D3_8FA9_0008C7809E09_.wvu.PrintArea" localSheetId="18" hidden="1">#REF!</definedName>
    <definedName name="Z_179EFE4E_A1B1_11D3_8FA9_0008C7809E09_.wvu.PrintArea" localSheetId="20" hidden="1">#REF!</definedName>
    <definedName name="Z_179EFE4E_A1B1_11D3_8FA9_0008C7809E09_.wvu.PrintArea" hidden="1">#REF!</definedName>
    <definedName name="Z_179EFE4E_A1B1_11D3_8FA9_0008C7809E09_.wvu.PrintTitles" localSheetId="1" hidden="1">#REF!,#REF!</definedName>
    <definedName name="Z_179EFE4E_A1B1_11D3_8FA9_0008C7809E09_.wvu.PrintTitles" localSheetId="18" hidden="1">#REF!,#REF!</definedName>
    <definedName name="Z_179EFE4E_A1B1_11D3_8FA9_0008C7809E09_.wvu.PrintTitles" localSheetId="20" hidden="1">#REF!,#REF!</definedName>
    <definedName name="Z_179EFE4E_A1B1_11D3_8FA9_0008C7809E09_.wvu.PrintTitles" hidden="1">#REF!,#REF!</definedName>
    <definedName name="Z_179EFE4F_A1B1_11D3_8FA9_0008C7809E09_.wvu.PrintArea" localSheetId="1" hidden="1">#REF!</definedName>
    <definedName name="Z_179EFE4F_A1B1_11D3_8FA9_0008C7809E09_.wvu.PrintArea" localSheetId="18" hidden="1">#REF!</definedName>
    <definedName name="Z_179EFE4F_A1B1_11D3_8FA9_0008C7809E09_.wvu.PrintArea" localSheetId="20" hidden="1">#REF!</definedName>
    <definedName name="Z_179EFE4F_A1B1_11D3_8FA9_0008C7809E09_.wvu.PrintArea" hidden="1">#REF!</definedName>
    <definedName name="Z_179EFE4F_A1B1_11D3_8FA9_0008C7809E09_.wvu.PrintTitles" localSheetId="1" hidden="1">#REF!,#REF!</definedName>
    <definedName name="Z_179EFE4F_A1B1_11D3_8FA9_0008C7809E09_.wvu.PrintTitles" localSheetId="18" hidden="1">#REF!,#REF!</definedName>
    <definedName name="Z_179EFE4F_A1B1_11D3_8FA9_0008C7809E09_.wvu.PrintTitles" localSheetId="20" hidden="1">#REF!,#REF!</definedName>
    <definedName name="Z_179EFE4F_A1B1_11D3_8FA9_0008C7809E09_.wvu.PrintTitles" hidden="1">#REF!,#REF!</definedName>
    <definedName name="Z_179EFE50_A1B1_11D3_8FA9_0008C7809E09_.wvu.PrintArea" localSheetId="1" hidden="1">#REF!</definedName>
    <definedName name="Z_179EFE50_A1B1_11D3_8FA9_0008C7809E09_.wvu.PrintArea" localSheetId="18" hidden="1">#REF!</definedName>
    <definedName name="Z_179EFE50_A1B1_11D3_8FA9_0008C7809E09_.wvu.PrintArea" localSheetId="20" hidden="1">#REF!</definedName>
    <definedName name="Z_179EFE50_A1B1_11D3_8FA9_0008C7809E09_.wvu.PrintArea" hidden="1">#REF!</definedName>
    <definedName name="Z_179EFE50_A1B1_11D3_8FA9_0008C7809E09_.wvu.PrintTitles" localSheetId="1" hidden="1">#REF!,#REF!</definedName>
    <definedName name="Z_179EFE50_A1B1_11D3_8FA9_0008C7809E09_.wvu.PrintTitles" localSheetId="18" hidden="1">#REF!,#REF!</definedName>
    <definedName name="Z_179EFE50_A1B1_11D3_8FA9_0008C7809E09_.wvu.PrintTitles" localSheetId="20" hidden="1">#REF!,#REF!</definedName>
    <definedName name="Z_179EFE50_A1B1_11D3_8FA9_0008C7809E09_.wvu.PrintTitles" hidden="1">#REF!,#REF!</definedName>
    <definedName name="Z_179EFE51_A1B1_11D3_8FA9_0008C7809E09_.wvu.PrintArea" localSheetId="1" hidden="1">#REF!</definedName>
    <definedName name="Z_179EFE51_A1B1_11D3_8FA9_0008C7809E09_.wvu.PrintArea" localSheetId="18" hidden="1">#REF!</definedName>
    <definedName name="Z_179EFE51_A1B1_11D3_8FA9_0008C7809E09_.wvu.PrintArea" localSheetId="20" hidden="1">#REF!</definedName>
    <definedName name="Z_179EFE51_A1B1_11D3_8FA9_0008C7809E09_.wvu.PrintArea" hidden="1">#REF!</definedName>
    <definedName name="Z_179EFE51_A1B1_11D3_8FA9_0008C7809E09_.wvu.PrintTitles" localSheetId="1" hidden="1">#REF!,#REF!</definedName>
    <definedName name="Z_179EFE51_A1B1_11D3_8FA9_0008C7809E09_.wvu.PrintTitles" localSheetId="18" hidden="1">#REF!,#REF!</definedName>
    <definedName name="Z_179EFE51_A1B1_11D3_8FA9_0008C7809E09_.wvu.PrintTitles" localSheetId="20" hidden="1">#REF!,#REF!</definedName>
    <definedName name="Z_179EFE51_A1B1_11D3_8FA9_0008C7809E09_.wvu.PrintTitles" hidden="1">#REF!,#REF!</definedName>
    <definedName name="Z_179EFE52_A1B1_11D3_8FA9_0008C7809E09_.wvu.PrintArea" localSheetId="1" hidden="1">#REF!</definedName>
    <definedName name="Z_179EFE52_A1B1_11D3_8FA9_0008C7809E09_.wvu.PrintArea" localSheetId="18" hidden="1">#REF!</definedName>
    <definedName name="Z_179EFE52_A1B1_11D3_8FA9_0008C7809E09_.wvu.PrintArea" localSheetId="20" hidden="1">#REF!</definedName>
    <definedName name="Z_179EFE52_A1B1_11D3_8FA9_0008C7809E09_.wvu.PrintArea" hidden="1">#REF!</definedName>
    <definedName name="Z_179EFE52_A1B1_11D3_8FA9_0008C7809E09_.wvu.PrintTitles" localSheetId="1" hidden="1">#REF!,#REF!</definedName>
    <definedName name="Z_179EFE52_A1B1_11D3_8FA9_0008C7809E09_.wvu.PrintTitles" localSheetId="18" hidden="1">#REF!,#REF!</definedName>
    <definedName name="Z_179EFE52_A1B1_11D3_8FA9_0008C7809E09_.wvu.PrintTitles" localSheetId="20" hidden="1">#REF!,#REF!</definedName>
    <definedName name="Z_179EFE52_A1B1_11D3_8FA9_0008C7809E09_.wvu.PrintTitles" hidden="1">#REF!,#REF!</definedName>
    <definedName name="Z_179EFE53_A1B1_11D3_8FA9_0008C7809E09_.wvu.PrintArea" localSheetId="1" hidden="1">#REF!</definedName>
    <definedName name="Z_179EFE53_A1B1_11D3_8FA9_0008C7809E09_.wvu.PrintArea" localSheetId="18" hidden="1">#REF!</definedName>
    <definedName name="Z_179EFE53_A1B1_11D3_8FA9_0008C7809E09_.wvu.PrintArea" localSheetId="20" hidden="1">#REF!</definedName>
    <definedName name="Z_179EFE53_A1B1_11D3_8FA9_0008C7809E09_.wvu.PrintArea" hidden="1">#REF!</definedName>
    <definedName name="Z_179EFE53_A1B1_11D3_8FA9_0008C7809E09_.wvu.PrintTitles" localSheetId="1" hidden="1">#REF!,#REF!</definedName>
    <definedName name="Z_179EFE53_A1B1_11D3_8FA9_0008C7809E09_.wvu.PrintTitles" localSheetId="18" hidden="1">#REF!,#REF!</definedName>
    <definedName name="Z_179EFE53_A1B1_11D3_8FA9_0008C7809E09_.wvu.PrintTitles" localSheetId="20" hidden="1">#REF!,#REF!</definedName>
    <definedName name="Z_179EFE53_A1B1_11D3_8FA9_0008C7809E09_.wvu.PrintTitles" hidden="1">#REF!,#REF!</definedName>
    <definedName name="Z_179EFE54_A1B1_11D3_8FA9_0008C7809E09_.wvu.PrintArea" localSheetId="1" hidden="1">#REF!</definedName>
    <definedName name="Z_179EFE54_A1B1_11D3_8FA9_0008C7809E09_.wvu.PrintArea" localSheetId="18" hidden="1">#REF!</definedName>
    <definedName name="Z_179EFE54_A1B1_11D3_8FA9_0008C7809E09_.wvu.PrintArea" localSheetId="20" hidden="1">#REF!</definedName>
    <definedName name="Z_179EFE54_A1B1_11D3_8FA9_0008C7809E09_.wvu.PrintArea" hidden="1">#REF!</definedName>
    <definedName name="Z_179EFE54_A1B1_11D3_8FA9_0008C7809E09_.wvu.PrintTitles" localSheetId="1" hidden="1">#REF!,#REF!</definedName>
    <definedName name="Z_179EFE54_A1B1_11D3_8FA9_0008C7809E09_.wvu.PrintTitles" localSheetId="18" hidden="1">#REF!,#REF!</definedName>
    <definedName name="Z_179EFE54_A1B1_11D3_8FA9_0008C7809E09_.wvu.PrintTitles" localSheetId="20" hidden="1">#REF!,#REF!</definedName>
    <definedName name="Z_179EFE54_A1B1_11D3_8FA9_0008C7809E09_.wvu.PrintTitles" hidden="1">#REF!,#REF!</definedName>
    <definedName name="Z_179EFE55_A1B1_11D3_8FA9_0008C7809E09_.wvu.PrintArea" localSheetId="1" hidden="1">#REF!</definedName>
    <definedName name="Z_179EFE55_A1B1_11D3_8FA9_0008C7809E09_.wvu.PrintArea" localSheetId="18" hidden="1">#REF!</definedName>
    <definedName name="Z_179EFE55_A1B1_11D3_8FA9_0008C7809E09_.wvu.PrintArea" localSheetId="20" hidden="1">#REF!</definedName>
    <definedName name="Z_179EFE55_A1B1_11D3_8FA9_0008C7809E09_.wvu.PrintArea" hidden="1">#REF!</definedName>
    <definedName name="Z_179EFE55_A1B1_11D3_8FA9_0008C7809E09_.wvu.PrintTitles" localSheetId="1" hidden="1">#REF!</definedName>
    <definedName name="Z_179EFE55_A1B1_11D3_8FA9_0008C7809E09_.wvu.PrintTitles" localSheetId="20" hidden="1">#REF!</definedName>
    <definedName name="Z_179EFE55_A1B1_11D3_8FA9_0008C7809E09_.wvu.PrintTitles" hidden="1">#REF!</definedName>
    <definedName name="Z_179EFE56_A1B1_11D3_8FA9_0008C7809E09_.wvu.PrintArea" localSheetId="1" hidden="1">#REF!</definedName>
    <definedName name="Z_179EFE56_A1B1_11D3_8FA9_0008C7809E09_.wvu.PrintArea" localSheetId="20" hidden="1">#REF!</definedName>
    <definedName name="Z_179EFE56_A1B1_11D3_8FA9_0008C7809E09_.wvu.PrintArea" hidden="1">#REF!</definedName>
    <definedName name="Z_179EFE56_A1B1_11D3_8FA9_0008C7809E09_.wvu.PrintTitles" localSheetId="1" hidden="1">#REF!,#REF!</definedName>
    <definedName name="Z_179EFE56_A1B1_11D3_8FA9_0008C7809E09_.wvu.PrintTitles" localSheetId="18" hidden="1">#REF!,#REF!</definedName>
    <definedName name="Z_179EFE56_A1B1_11D3_8FA9_0008C7809E09_.wvu.PrintTitles" localSheetId="20" hidden="1">#REF!,#REF!</definedName>
    <definedName name="Z_179EFE56_A1B1_11D3_8FA9_0008C7809E09_.wvu.PrintTitles" hidden="1">#REF!,#REF!</definedName>
    <definedName name="Z_179EFE57_A1B1_11D3_8FA9_0008C7809E09_.wvu.PrintArea" localSheetId="1" hidden="1">#REF!</definedName>
    <definedName name="Z_179EFE57_A1B1_11D3_8FA9_0008C7809E09_.wvu.PrintArea" localSheetId="18" hidden="1">#REF!</definedName>
    <definedName name="Z_179EFE57_A1B1_11D3_8FA9_0008C7809E09_.wvu.PrintArea" localSheetId="20" hidden="1">#REF!</definedName>
    <definedName name="Z_179EFE57_A1B1_11D3_8FA9_0008C7809E09_.wvu.PrintArea" hidden="1">#REF!</definedName>
    <definedName name="Z_179EFE57_A1B1_11D3_8FA9_0008C7809E09_.wvu.PrintTitles" localSheetId="1" hidden="1">#REF!,#REF!</definedName>
    <definedName name="Z_179EFE57_A1B1_11D3_8FA9_0008C7809E09_.wvu.PrintTitles" localSheetId="18" hidden="1">#REF!,#REF!</definedName>
    <definedName name="Z_179EFE57_A1B1_11D3_8FA9_0008C7809E09_.wvu.PrintTitles" localSheetId="20" hidden="1">#REF!,#REF!</definedName>
    <definedName name="Z_179EFE57_A1B1_11D3_8FA9_0008C7809E09_.wvu.PrintTitles" hidden="1">#REF!,#REF!</definedName>
    <definedName name="Z_179EFE58_A1B1_11D3_8FA9_0008C7809E09_.wvu.PrintArea" localSheetId="1" hidden="1">#REF!</definedName>
    <definedName name="Z_179EFE58_A1B1_11D3_8FA9_0008C7809E09_.wvu.PrintArea" localSheetId="18" hidden="1">#REF!</definedName>
    <definedName name="Z_179EFE58_A1B1_11D3_8FA9_0008C7809E09_.wvu.PrintArea" localSheetId="20" hidden="1">#REF!</definedName>
    <definedName name="Z_179EFE58_A1B1_11D3_8FA9_0008C7809E09_.wvu.PrintArea" hidden="1">#REF!</definedName>
    <definedName name="Z_179EFE58_A1B1_11D3_8FA9_0008C7809E09_.wvu.PrintTitles" localSheetId="1" hidden="1">#REF!,#REF!</definedName>
    <definedName name="Z_179EFE58_A1B1_11D3_8FA9_0008C7809E09_.wvu.PrintTitles" localSheetId="18" hidden="1">#REF!,#REF!</definedName>
    <definedName name="Z_179EFE58_A1B1_11D3_8FA9_0008C7809E09_.wvu.PrintTitles" localSheetId="20" hidden="1">#REF!,#REF!</definedName>
    <definedName name="Z_179EFE58_A1B1_11D3_8FA9_0008C7809E09_.wvu.PrintTitles" hidden="1">#REF!,#REF!</definedName>
    <definedName name="Z_179EFE59_A1B1_11D3_8FA9_0008C7809E09_.wvu.PrintArea" localSheetId="1" hidden="1">#REF!</definedName>
    <definedName name="Z_179EFE59_A1B1_11D3_8FA9_0008C7809E09_.wvu.PrintArea" localSheetId="18" hidden="1">#REF!</definedName>
    <definedName name="Z_179EFE59_A1B1_11D3_8FA9_0008C7809E09_.wvu.PrintArea" localSheetId="20" hidden="1">#REF!</definedName>
    <definedName name="Z_179EFE59_A1B1_11D3_8FA9_0008C7809E09_.wvu.PrintArea" hidden="1">#REF!</definedName>
    <definedName name="Z_179EFE59_A1B1_11D3_8FA9_0008C7809E09_.wvu.PrintTitles" localSheetId="1" hidden="1">#REF!,#REF!</definedName>
    <definedName name="Z_179EFE59_A1B1_11D3_8FA9_0008C7809E09_.wvu.PrintTitles" localSheetId="18" hidden="1">#REF!,#REF!</definedName>
    <definedName name="Z_179EFE59_A1B1_11D3_8FA9_0008C7809E09_.wvu.PrintTitles" localSheetId="20" hidden="1">#REF!,#REF!</definedName>
    <definedName name="Z_179EFE59_A1B1_11D3_8FA9_0008C7809E09_.wvu.PrintTitles" hidden="1">#REF!,#REF!</definedName>
    <definedName name="Z_179EFE5A_A1B1_11D3_8FA9_0008C7809E09_.wvu.PrintArea" localSheetId="1" hidden="1">#REF!</definedName>
    <definedName name="Z_179EFE5A_A1B1_11D3_8FA9_0008C7809E09_.wvu.PrintArea" localSheetId="18" hidden="1">#REF!</definedName>
    <definedName name="Z_179EFE5A_A1B1_11D3_8FA9_0008C7809E09_.wvu.PrintArea" localSheetId="20" hidden="1">#REF!</definedName>
    <definedName name="Z_179EFE5A_A1B1_11D3_8FA9_0008C7809E09_.wvu.PrintArea" hidden="1">#REF!</definedName>
    <definedName name="Z_179EFE5A_A1B1_11D3_8FA9_0008C7809E09_.wvu.PrintTitles" localSheetId="1" hidden="1">#REF!,#REF!</definedName>
    <definedName name="Z_179EFE5A_A1B1_11D3_8FA9_0008C7809E09_.wvu.PrintTitles" localSheetId="18" hidden="1">#REF!,#REF!</definedName>
    <definedName name="Z_179EFE5A_A1B1_11D3_8FA9_0008C7809E09_.wvu.PrintTitles" localSheetId="20" hidden="1">#REF!,#REF!</definedName>
    <definedName name="Z_179EFE5A_A1B1_11D3_8FA9_0008C7809E09_.wvu.PrintTitles" hidden="1">#REF!,#REF!</definedName>
    <definedName name="Z_1DA8B6E2_5DE1_11D2_8EEC_0008C7BCAF29_.wvu.PrintArea" localSheetId="1" hidden="1">#REF!</definedName>
    <definedName name="Z_1DA8B6E2_5DE1_11D2_8EEC_0008C7BCAF29_.wvu.PrintArea" localSheetId="18" hidden="1">#REF!</definedName>
    <definedName name="Z_1DA8B6E2_5DE1_11D2_8EEC_0008C7BCAF29_.wvu.PrintArea" localSheetId="20" hidden="1">#REF!</definedName>
    <definedName name="Z_1DA8B6E2_5DE1_11D2_8EEC_0008C7BCAF29_.wvu.PrintArea" hidden="1">#REF!</definedName>
    <definedName name="Z_1DA8B6E2_5DE1_11D2_8EEC_0008C7BCAF29_.wvu.PrintTitles" localSheetId="1" hidden="1">#REF!</definedName>
    <definedName name="Z_1DA8B6E2_5DE1_11D2_8EEC_0008C7BCAF29_.wvu.PrintTitles" localSheetId="20" hidden="1">#REF!</definedName>
    <definedName name="Z_1DA8B6E2_5DE1_11D2_8EEC_0008C7BCAF29_.wvu.PrintTitles" hidden="1">#REF!</definedName>
    <definedName name="Z_1DA8B6F1_5DE1_11D2_8EEC_0008C7BCAF29_.wvu.PrintArea" localSheetId="1" hidden="1">#REF!</definedName>
    <definedName name="Z_1DA8B6F1_5DE1_11D2_8EEC_0008C7BCAF29_.wvu.PrintArea" localSheetId="20" hidden="1">#REF!</definedName>
    <definedName name="Z_1DA8B6F1_5DE1_11D2_8EEC_0008C7BCAF29_.wvu.PrintArea" hidden="1">#REF!</definedName>
    <definedName name="Z_1DA8B6F1_5DE1_11D2_8EEC_0008C7BCAF29_.wvu.PrintTitles" localSheetId="1" hidden="1">#REF!</definedName>
    <definedName name="Z_1DA8B6F1_5DE1_11D2_8EEC_0008C7BCAF29_.wvu.PrintTitles" localSheetId="20" hidden="1">#REF!</definedName>
    <definedName name="Z_1DA8B6F1_5DE1_11D2_8EEC_0008C7BCAF29_.wvu.PrintTitles" hidden="1">#REF!</definedName>
    <definedName name="Z_1DA8B6FE_5DE1_11D2_8EEC_0008C7BCAF29_.wvu.PrintArea" localSheetId="1" hidden="1">#REF!</definedName>
    <definedName name="Z_1DA8B6FE_5DE1_11D2_8EEC_0008C7BCAF29_.wvu.PrintArea" localSheetId="20" hidden="1">#REF!</definedName>
    <definedName name="Z_1DA8B6FE_5DE1_11D2_8EEC_0008C7BCAF29_.wvu.PrintArea" hidden="1">#REF!</definedName>
    <definedName name="Z_1DA8B6FE_5DE1_11D2_8EEC_0008C7BCAF29_.wvu.PrintTitles" localSheetId="1" hidden="1">#REF!,#REF!</definedName>
    <definedName name="Z_1DA8B6FE_5DE1_11D2_8EEC_0008C7BCAF29_.wvu.PrintTitles" localSheetId="18" hidden="1">#REF!,#REF!</definedName>
    <definedName name="Z_1DA8B6FE_5DE1_11D2_8EEC_0008C7BCAF29_.wvu.PrintTitles" localSheetId="20" hidden="1">#REF!,#REF!</definedName>
    <definedName name="Z_1DA8B6FE_5DE1_11D2_8EEC_0008C7BCAF29_.wvu.PrintTitles" hidden="1">#REF!,#REF!</definedName>
    <definedName name="Z_23F18827_7997_11D6_8750_00508BD3B3BA_.wvu.Cols" localSheetId="1" hidden="1">#REF!,#REF!</definedName>
    <definedName name="Z_23F18827_7997_11D6_8750_00508BD3B3BA_.wvu.Cols" localSheetId="20" hidden="1">#REF!,#REF!</definedName>
    <definedName name="Z_23F18827_7997_11D6_8750_00508BD3B3BA_.wvu.Cols" hidden="1">#REF!,#REF!</definedName>
    <definedName name="Z_23F18827_7997_11D6_8750_00508BD3B3BA_.wvu.PrintArea" localSheetId="1" hidden="1">#REF!</definedName>
    <definedName name="Z_23F18827_7997_11D6_8750_00508BD3B3BA_.wvu.PrintArea" localSheetId="18" hidden="1">#REF!</definedName>
    <definedName name="Z_23F18827_7997_11D6_8750_00508BD3B3BA_.wvu.PrintArea" localSheetId="20" hidden="1">#REF!</definedName>
    <definedName name="Z_23F18827_7997_11D6_8750_00508BD3B3BA_.wvu.PrintArea" hidden="1">#REF!</definedName>
    <definedName name="Z_2DA61901_F1AB_11D2_8EBB_0008C77C0743_.wvu.PrintArea" localSheetId="1" hidden="1">#REF!</definedName>
    <definedName name="Z_2DA61901_F1AB_11D2_8EBB_0008C77C0743_.wvu.PrintArea" localSheetId="20" hidden="1">#REF!</definedName>
    <definedName name="Z_2DA61901_F1AB_11D2_8EBB_0008C77C0743_.wvu.PrintArea" hidden="1">#REF!</definedName>
    <definedName name="Z_2DA61901_F1AB_11D2_8EBB_0008C77C0743_.wvu.PrintTitles" localSheetId="1" hidden="1">#REF!</definedName>
    <definedName name="Z_2DA61901_F1AB_11D2_8EBB_0008C77C0743_.wvu.PrintTitles" localSheetId="20" hidden="1">#REF!</definedName>
    <definedName name="Z_2DA61901_F1AB_11D2_8EBB_0008C77C0743_.wvu.PrintTitles" hidden="1">#REF!</definedName>
    <definedName name="Z_2DA61914_F1AB_11D2_8EBB_0008C77C0743_.wvu.PrintArea" localSheetId="1" hidden="1">#REF!</definedName>
    <definedName name="Z_2DA61914_F1AB_11D2_8EBB_0008C77C0743_.wvu.PrintArea" localSheetId="20" hidden="1">#REF!</definedName>
    <definedName name="Z_2DA61914_F1AB_11D2_8EBB_0008C77C0743_.wvu.PrintArea" hidden="1">#REF!</definedName>
    <definedName name="Z_2DA61914_F1AB_11D2_8EBB_0008C77C0743_.wvu.PrintTitles" localSheetId="1" hidden="1">#REF!</definedName>
    <definedName name="Z_2DA61914_F1AB_11D2_8EBB_0008C77C0743_.wvu.PrintTitles" localSheetId="20" hidden="1">#REF!</definedName>
    <definedName name="Z_2DA61914_F1AB_11D2_8EBB_0008C77C0743_.wvu.PrintTitles" hidden="1">#REF!</definedName>
    <definedName name="Z_2DA61924_F1AB_11D2_8EBB_0008C77C0743_.wvu.PrintArea" localSheetId="1" hidden="1">#REF!</definedName>
    <definedName name="Z_2DA61924_F1AB_11D2_8EBB_0008C77C0743_.wvu.PrintArea" localSheetId="20" hidden="1">#REF!</definedName>
    <definedName name="Z_2DA61924_F1AB_11D2_8EBB_0008C77C0743_.wvu.PrintArea" hidden="1">#REF!</definedName>
    <definedName name="Z_2DA61924_F1AB_11D2_8EBB_0008C77C0743_.wvu.PrintTitles" localSheetId="1" hidden="1">#REF!,#REF!</definedName>
    <definedName name="Z_2DA61924_F1AB_11D2_8EBB_0008C77C0743_.wvu.PrintTitles" localSheetId="18" hidden="1">#REF!,#REF!</definedName>
    <definedName name="Z_2DA61924_F1AB_11D2_8EBB_0008C77C0743_.wvu.PrintTitles" localSheetId="20" hidden="1">#REF!,#REF!</definedName>
    <definedName name="Z_2DA61924_F1AB_11D2_8EBB_0008C77C0743_.wvu.PrintTitles" hidden="1">#REF!,#REF!</definedName>
    <definedName name="Z_3FBA103C_5DE2_11D2_8EE8_0008C77CC149_.wvu.PrintArea" localSheetId="1" hidden="1">#REF!</definedName>
    <definedName name="Z_3FBA103C_5DE2_11D2_8EE8_0008C77CC149_.wvu.PrintArea" localSheetId="18" hidden="1">#REF!</definedName>
    <definedName name="Z_3FBA103C_5DE2_11D2_8EE8_0008C77CC149_.wvu.PrintArea" localSheetId="20" hidden="1">#REF!</definedName>
    <definedName name="Z_3FBA103C_5DE2_11D2_8EE8_0008C77CC149_.wvu.PrintArea" hidden="1">#REF!</definedName>
    <definedName name="Z_3FBA103C_5DE2_11D2_8EE8_0008C77CC149_.wvu.PrintTitles" localSheetId="1" hidden="1">#REF!</definedName>
    <definedName name="Z_3FBA103C_5DE2_11D2_8EE8_0008C77CC149_.wvu.PrintTitles" localSheetId="20" hidden="1">#REF!</definedName>
    <definedName name="Z_3FBA103C_5DE2_11D2_8EE8_0008C77CC149_.wvu.PrintTitles" hidden="1">#REF!</definedName>
    <definedName name="Z_3FBA104B_5DE2_11D2_8EE8_0008C77CC149_.wvu.PrintArea" localSheetId="1" hidden="1">#REF!</definedName>
    <definedName name="Z_3FBA104B_5DE2_11D2_8EE8_0008C77CC149_.wvu.PrintArea" localSheetId="20" hidden="1">#REF!</definedName>
    <definedName name="Z_3FBA104B_5DE2_11D2_8EE8_0008C77CC149_.wvu.PrintArea" hidden="1">#REF!</definedName>
    <definedName name="Z_3FBA104B_5DE2_11D2_8EE8_0008C77CC149_.wvu.PrintTitles" localSheetId="1" hidden="1">#REF!</definedName>
    <definedName name="Z_3FBA104B_5DE2_11D2_8EE8_0008C77CC149_.wvu.PrintTitles" localSheetId="20" hidden="1">#REF!</definedName>
    <definedName name="Z_3FBA104B_5DE2_11D2_8EE8_0008C77CC149_.wvu.PrintTitles" hidden="1">#REF!</definedName>
    <definedName name="Z_3FBA1058_5DE2_11D2_8EE8_0008C77CC149_.wvu.PrintArea" localSheetId="1" hidden="1">#REF!</definedName>
    <definedName name="Z_3FBA1058_5DE2_11D2_8EE8_0008C77CC149_.wvu.PrintArea" localSheetId="20" hidden="1">#REF!</definedName>
    <definedName name="Z_3FBA1058_5DE2_11D2_8EE8_0008C77CC149_.wvu.PrintArea" hidden="1">#REF!</definedName>
    <definedName name="Z_3FBA1058_5DE2_11D2_8EE8_0008C77CC149_.wvu.PrintTitles" localSheetId="1" hidden="1">#REF!,#REF!</definedName>
    <definedName name="Z_3FBA1058_5DE2_11D2_8EE8_0008C77CC149_.wvu.PrintTitles" localSheetId="18" hidden="1">#REF!,#REF!</definedName>
    <definedName name="Z_3FBA1058_5DE2_11D2_8EE8_0008C77CC149_.wvu.PrintTitles" localSheetId="20" hidden="1">#REF!,#REF!</definedName>
    <definedName name="Z_3FBA1058_5DE2_11D2_8EE8_0008C77CC149_.wvu.PrintTitles" hidden="1">#REF!,#REF!</definedName>
    <definedName name="Z_3FE15DB3_17FC_11D2_8E97_0008C77CC149_.wvu.PrintArea" localSheetId="1" hidden="1">#REF!</definedName>
    <definedName name="Z_3FE15DB3_17FC_11D2_8E97_0008C77CC149_.wvu.PrintArea" localSheetId="18" hidden="1">#REF!</definedName>
    <definedName name="Z_3FE15DB3_17FC_11D2_8E97_0008C77CC149_.wvu.PrintArea" localSheetId="20" hidden="1">#REF!</definedName>
    <definedName name="Z_3FE15DB3_17FC_11D2_8E97_0008C77CC149_.wvu.PrintArea" hidden="1">#REF!</definedName>
    <definedName name="Z_3FE15DB3_17FC_11D2_8E97_0008C77CC149_.wvu.PrintTitles" localSheetId="1" hidden="1">#REF!</definedName>
    <definedName name="Z_3FE15DB3_17FC_11D2_8E97_0008C77CC149_.wvu.PrintTitles" localSheetId="20" hidden="1">#REF!</definedName>
    <definedName name="Z_3FE15DB3_17FC_11D2_8E97_0008C77CC149_.wvu.PrintTitles" hidden="1">#REF!</definedName>
    <definedName name="Z_3FE15DC2_17FC_11D2_8E97_0008C77CC149_.wvu.PrintArea" localSheetId="1" hidden="1">#REF!</definedName>
    <definedName name="Z_3FE15DC2_17FC_11D2_8E97_0008C77CC149_.wvu.PrintArea" localSheetId="20" hidden="1">#REF!</definedName>
    <definedName name="Z_3FE15DC2_17FC_11D2_8E97_0008C77CC149_.wvu.PrintArea" hidden="1">#REF!</definedName>
    <definedName name="Z_3FE15DC2_17FC_11D2_8E97_0008C77CC149_.wvu.PrintTitles" localSheetId="1" hidden="1">#REF!</definedName>
    <definedName name="Z_3FE15DC2_17FC_11D2_8E97_0008C77CC149_.wvu.PrintTitles" localSheetId="20" hidden="1">#REF!</definedName>
    <definedName name="Z_3FE15DC2_17FC_11D2_8E97_0008C77CC149_.wvu.PrintTitles" hidden="1">#REF!</definedName>
    <definedName name="Z_3FE15DCF_17FC_11D2_8E97_0008C77CC149_.wvu.PrintArea" localSheetId="1" hidden="1">#REF!</definedName>
    <definedName name="Z_3FE15DCF_17FC_11D2_8E97_0008C77CC149_.wvu.PrintArea" localSheetId="20" hidden="1">#REF!</definedName>
    <definedName name="Z_3FE15DCF_17FC_11D2_8E97_0008C77CC149_.wvu.PrintArea" hidden="1">#REF!</definedName>
    <definedName name="Z_3FE15DCF_17FC_11D2_8E97_0008C77CC149_.wvu.PrintTitles" localSheetId="1" hidden="1">#REF!,#REF!</definedName>
    <definedName name="Z_3FE15DCF_17FC_11D2_8E97_0008C77CC149_.wvu.PrintTitles" localSheetId="18" hidden="1">#REF!,#REF!</definedName>
    <definedName name="Z_3FE15DCF_17FC_11D2_8E97_0008C77CC149_.wvu.PrintTitles" localSheetId="20" hidden="1">#REF!,#REF!</definedName>
    <definedName name="Z_3FE15DCF_17FC_11D2_8E97_0008C77CC149_.wvu.PrintTitles" hidden="1">#REF!,#REF!</definedName>
    <definedName name="Z_4CC3570C_99A5_11D2_8E90_0008C7BCAF29_.wvu.PrintArea" localSheetId="1" hidden="1">#REF!</definedName>
    <definedName name="Z_4CC3570C_99A5_11D2_8E90_0008C7BCAF29_.wvu.PrintArea" localSheetId="18" hidden="1">#REF!</definedName>
    <definedName name="Z_4CC3570C_99A5_11D2_8E90_0008C7BCAF29_.wvu.PrintArea" localSheetId="20" hidden="1">#REF!</definedName>
    <definedName name="Z_4CC3570C_99A5_11D2_8E90_0008C7BCAF29_.wvu.PrintArea" hidden="1">#REF!</definedName>
    <definedName name="Z_4CC3570C_99A5_11D2_8E90_0008C7BCAF29_.wvu.PrintTitles" localSheetId="1" hidden="1">#REF!,#REF!</definedName>
    <definedName name="Z_4CC3570C_99A5_11D2_8E90_0008C7BCAF29_.wvu.PrintTitles" localSheetId="18" hidden="1">#REF!,#REF!</definedName>
    <definedName name="Z_4CC3570C_99A5_11D2_8E90_0008C7BCAF29_.wvu.PrintTitles" localSheetId="20" hidden="1">#REF!,#REF!</definedName>
    <definedName name="Z_4CC3570C_99A5_11D2_8E90_0008C7BCAF29_.wvu.PrintTitles" hidden="1">#REF!,#REF!</definedName>
    <definedName name="Z_4CC3570F_99A5_11D2_8E90_0008C7BCAF29_.wvu.PrintArea" localSheetId="1" hidden="1">#REF!</definedName>
    <definedName name="Z_4CC3570F_99A5_11D2_8E90_0008C7BCAF29_.wvu.PrintArea" localSheetId="18" hidden="1">#REF!</definedName>
    <definedName name="Z_4CC3570F_99A5_11D2_8E90_0008C7BCAF29_.wvu.PrintArea" localSheetId="20" hidden="1">#REF!</definedName>
    <definedName name="Z_4CC3570F_99A5_11D2_8E90_0008C7BCAF29_.wvu.PrintArea" hidden="1">#REF!</definedName>
    <definedName name="Z_4CC3570F_99A5_11D2_8E90_0008C7BCAF29_.wvu.PrintTitles" localSheetId="1" hidden="1">#REF!</definedName>
    <definedName name="Z_4CC3570F_99A5_11D2_8E90_0008C7BCAF29_.wvu.PrintTitles" localSheetId="20" hidden="1">#REF!</definedName>
    <definedName name="Z_4CC3570F_99A5_11D2_8E90_0008C7BCAF29_.wvu.PrintTitles" hidden="1">#REF!</definedName>
    <definedName name="Z_4CC35714_99A5_11D2_8E90_0008C7BCAF29_.wvu.PrintArea" localSheetId="1" hidden="1">#REF!</definedName>
    <definedName name="Z_4CC35714_99A5_11D2_8E90_0008C7BCAF29_.wvu.PrintArea" localSheetId="20" hidden="1">#REF!</definedName>
    <definedName name="Z_4CC35714_99A5_11D2_8E90_0008C7BCAF29_.wvu.PrintArea" hidden="1">#REF!</definedName>
    <definedName name="Z_4CC35714_99A5_11D2_8E90_0008C7BCAF29_.wvu.PrintTitles" localSheetId="1" hidden="1">#REF!,#REF!</definedName>
    <definedName name="Z_4CC35714_99A5_11D2_8E90_0008C7BCAF29_.wvu.PrintTitles" localSheetId="18" hidden="1">#REF!,#REF!</definedName>
    <definedName name="Z_4CC35714_99A5_11D2_8E90_0008C7BCAF29_.wvu.PrintTitles" localSheetId="20" hidden="1">#REF!,#REF!</definedName>
    <definedName name="Z_4CC35714_99A5_11D2_8E90_0008C7BCAF29_.wvu.PrintTitles" hidden="1">#REF!,#REF!</definedName>
    <definedName name="Z_4CC35716_99A5_11D2_8E90_0008C7BCAF29_.wvu.PrintArea" localSheetId="1" hidden="1">#REF!</definedName>
    <definedName name="Z_4CC35716_99A5_11D2_8E90_0008C7BCAF29_.wvu.PrintArea" localSheetId="18" hidden="1">#REF!</definedName>
    <definedName name="Z_4CC35716_99A5_11D2_8E90_0008C7BCAF29_.wvu.PrintArea" localSheetId="20" hidden="1">#REF!</definedName>
    <definedName name="Z_4CC35716_99A5_11D2_8E90_0008C7BCAF29_.wvu.PrintArea" hidden="1">#REF!</definedName>
    <definedName name="Z_4CC35716_99A5_11D2_8E90_0008C7BCAF29_.wvu.PrintTitles" localSheetId="1" hidden="1">#REF!,#REF!</definedName>
    <definedName name="Z_4CC35716_99A5_11D2_8E90_0008C7BCAF29_.wvu.PrintTitles" localSheetId="18" hidden="1">#REF!,#REF!</definedName>
    <definedName name="Z_4CC35716_99A5_11D2_8E90_0008C7BCAF29_.wvu.PrintTitles" localSheetId="20" hidden="1">#REF!,#REF!</definedName>
    <definedName name="Z_4CC35716_99A5_11D2_8E90_0008C7BCAF29_.wvu.PrintTitles" hidden="1">#REF!,#REF!</definedName>
    <definedName name="Z_4CC35719_99A5_11D2_8E90_0008C7BCAF29_.wvu.PrintArea" localSheetId="1" hidden="1">#REF!</definedName>
    <definedName name="Z_4CC35719_99A5_11D2_8E90_0008C7BCAF29_.wvu.PrintArea" localSheetId="18" hidden="1">#REF!</definedName>
    <definedName name="Z_4CC35719_99A5_11D2_8E90_0008C7BCAF29_.wvu.PrintArea" localSheetId="20" hidden="1">#REF!</definedName>
    <definedName name="Z_4CC35719_99A5_11D2_8E90_0008C7BCAF29_.wvu.PrintArea" hidden="1">#REF!</definedName>
    <definedName name="Z_4CC35719_99A5_11D2_8E90_0008C7BCAF29_.wvu.PrintTitles" localSheetId="1" hidden="1">#REF!</definedName>
    <definedName name="Z_4CC35719_99A5_11D2_8E90_0008C7BCAF29_.wvu.PrintTitles" localSheetId="20" hidden="1">#REF!</definedName>
    <definedName name="Z_4CC35719_99A5_11D2_8E90_0008C7BCAF29_.wvu.PrintTitles" hidden="1">#REF!</definedName>
    <definedName name="Z_4CC3571E_99A5_11D2_8E90_0008C7BCAF29_.wvu.PrintArea" localSheetId="1" hidden="1">#REF!</definedName>
    <definedName name="Z_4CC3571E_99A5_11D2_8E90_0008C7BCAF29_.wvu.PrintArea" localSheetId="20" hidden="1">#REF!</definedName>
    <definedName name="Z_4CC3571E_99A5_11D2_8E90_0008C7BCAF29_.wvu.PrintArea" hidden="1">#REF!</definedName>
    <definedName name="Z_4CC3571E_99A5_11D2_8E90_0008C7BCAF29_.wvu.PrintTitles" localSheetId="1" hidden="1">#REF!,#REF!</definedName>
    <definedName name="Z_4CC3571E_99A5_11D2_8E90_0008C7BCAF29_.wvu.PrintTitles" localSheetId="18" hidden="1">#REF!,#REF!</definedName>
    <definedName name="Z_4CC3571E_99A5_11D2_8E90_0008C7BCAF29_.wvu.PrintTitles" localSheetId="20" hidden="1">#REF!,#REF!</definedName>
    <definedName name="Z_4CC3571E_99A5_11D2_8E90_0008C7BCAF29_.wvu.PrintTitles" hidden="1">#REF!,#REF!</definedName>
    <definedName name="Z_4CC35721_99A5_11D2_8E90_0008C7BCAF29_.wvu.PrintArea" localSheetId="1" hidden="1">#REF!</definedName>
    <definedName name="Z_4CC35721_99A5_11D2_8E90_0008C7BCAF29_.wvu.PrintArea" localSheetId="18" hidden="1">#REF!</definedName>
    <definedName name="Z_4CC35721_99A5_11D2_8E90_0008C7BCAF29_.wvu.PrintArea" localSheetId="20" hidden="1">#REF!</definedName>
    <definedName name="Z_4CC35721_99A5_11D2_8E90_0008C7BCAF29_.wvu.PrintArea" hidden="1">#REF!</definedName>
    <definedName name="Z_4CC35721_99A5_11D2_8E90_0008C7BCAF29_.wvu.PrintTitles" localSheetId="1" hidden="1">#REF!,#REF!</definedName>
    <definedName name="Z_4CC35721_99A5_11D2_8E90_0008C7BCAF29_.wvu.PrintTitles" localSheetId="18" hidden="1">#REF!,#REF!</definedName>
    <definedName name="Z_4CC35721_99A5_11D2_8E90_0008C7BCAF29_.wvu.PrintTitles" localSheetId="20" hidden="1">#REF!,#REF!</definedName>
    <definedName name="Z_4CC35721_99A5_11D2_8E90_0008C7BCAF29_.wvu.PrintTitles" hidden="1">#REF!,#REF!</definedName>
    <definedName name="Z_5F95E421_892A_11D2_8E7F_0008C7809E09_.wvu.PrintArea" localSheetId="1" hidden="1">#REF!</definedName>
    <definedName name="Z_5F95E421_892A_11D2_8E7F_0008C7809E09_.wvu.PrintArea" localSheetId="18" hidden="1">#REF!</definedName>
    <definedName name="Z_5F95E421_892A_11D2_8E7F_0008C7809E09_.wvu.PrintArea" localSheetId="20" hidden="1">#REF!</definedName>
    <definedName name="Z_5F95E421_892A_11D2_8E7F_0008C7809E09_.wvu.PrintArea" hidden="1">#REF!</definedName>
    <definedName name="Z_5F95E421_892A_11D2_8E7F_0008C7809E09_.wvu.PrintTitles" localSheetId="1" hidden="1">#REF!,#REF!</definedName>
    <definedName name="Z_5F95E421_892A_11D2_8E7F_0008C7809E09_.wvu.PrintTitles" localSheetId="18" hidden="1">#REF!,#REF!</definedName>
    <definedName name="Z_5F95E421_892A_11D2_8E7F_0008C7809E09_.wvu.PrintTitles" localSheetId="20" hidden="1">#REF!,#REF!</definedName>
    <definedName name="Z_5F95E421_892A_11D2_8E7F_0008C7809E09_.wvu.PrintTitles" hidden="1">#REF!,#REF!</definedName>
    <definedName name="Z_5F95E424_892A_11D2_8E7F_0008C7809E09_.wvu.PrintArea" localSheetId="1" hidden="1">#REF!</definedName>
    <definedName name="Z_5F95E424_892A_11D2_8E7F_0008C7809E09_.wvu.PrintArea" localSheetId="18" hidden="1">#REF!</definedName>
    <definedName name="Z_5F95E424_892A_11D2_8E7F_0008C7809E09_.wvu.PrintArea" localSheetId="20" hidden="1">#REF!</definedName>
    <definedName name="Z_5F95E424_892A_11D2_8E7F_0008C7809E09_.wvu.PrintArea" hidden="1">#REF!</definedName>
    <definedName name="Z_5F95E424_892A_11D2_8E7F_0008C7809E09_.wvu.PrintTitles" localSheetId="1" hidden="1">#REF!</definedName>
    <definedName name="Z_5F95E424_892A_11D2_8E7F_0008C7809E09_.wvu.PrintTitles" localSheetId="20" hidden="1">#REF!</definedName>
    <definedName name="Z_5F95E424_892A_11D2_8E7F_0008C7809E09_.wvu.PrintTitles" hidden="1">#REF!</definedName>
    <definedName name="Z_5F95E429_892A_11D2_8E7F_0008C7809E09_.wvu.PrintArea" localSheetId="1" hidden="1">#REF!</definedName>
    <definedName name="Z_5F95E429_892A_11D2_8E7F_0008C7809E09_.wvu.PrintArea" localSheetId="20" hidden="1">#REF!</definedName>
    <definedName name="Z_5F95E429_892A_11D2_8E7F_0008C7809E09_.wvu.PrintArea" hidden="1">#REF!</definedName>
    <definedName name="Z_5F95E429_892A_11D2_8E7F_0008C7809E09_.wvu.PrintTitles" localSheetId="1" hidden="1">#REF!,#REF!</definedName>
    <definedName name="Z_5F95E429_892A_11D2_8E7F_0008C7809E09_.wvu.PrintTitles" localSheetId="18" hidden="1">#REF!,#REF!</definedName>
    <definedName name="Z_5F95E429_892A_11D2_8E7F_0008C7809E09_.wvu.PrintTitles" localSheetId="20" hidden="1">#REF!,#REF!</definedName>
    <definedName name="Z_5F95E429_892A_11D2_8E7F_0008C7809E09_.wvu.PrintTitles" hidden="1">#REF!,#REF!</definedName>
    <definedName name="Z_5F95E42B_892A_11D2_8E7F_0008C7809E09_.wvu.PrintArea" localSheetId="1" hidden="1">#REF!</definedName>
    <definedName name="Z_5F95E42B_892A_11D2_8E7F_0008C7809E09_.wvu.PrintArea" localSheetId="18" hidden="1">#REF!</definedName>
    <definedName name="Z_5F95E42B_892A_11D2_8E7F_0008C7809E09_.wvu.PrintArea" localSheetId="20" hidden="1">#REF!</definedName>
    <definedName name="Z_5F95E42B_892A_11D2_8E7F_0008C7809E09_.wvu.PrintArea" hidden="1">#REF!</definedName>
    <definedName name="Z_5F95E42B_892A_11D2_8E7F_0008C7809E09_.wvu.PrintTitles" localSheetId="1" hidden="1">#REF!,#REF!</definedName>
    <definedName name="Z_5F95E42B_892A_11D2_8E7F_0008C7809E09_.wvu.PrintTitles" localSheetId="18" hidden="1">#REF!,#REF!</definedName>
    <definedName name="Z_5F95E42B_892A_11D2_8E7F_0008C7809E09_.wvu.PrintTitles" localSheetId="20" hidden="1">#REF!,#REF!</definedName>
    <definedName name="Z_5F95E42B_892A_11D2_8E7F_0008C7809E09_.wvu.PrintTitles" hidden="1">#REF!,#REF!</definedName>
    <definedName name="Z_5F95E42E_892A_11D2_8E7F_0008C7809E09_.wvu.PrintArea" localSheetId="1" hidden="1">#REF!</definedName>
    <definedName name="Z_5F95E42E_892A_11D2_8E7F_0008C7809E09_.wvu.PrintArea" localSheetId="18" hidden="1">#REF!</definedName>
    <definedName name="Z_5F95E42E_892A_11D2_8E7F_0008C7809E09_.wvu.PrintArea" localSheetId="20" hidden="1">#REF!</definedName>
    <definedName name="Z_5F95E42E_892A_11D2_8E7F_0008C7809E09_.wvu.PrintArea" hidden="1">#REF!</definedName>
    <definedName name="Z_5F95E42E_892A_11D2_8E7F_0008C7809E09_.wvu.PrintTitles" localSheetId="1" hidden="1">#REF!</definedName>
    <definedName name="Z_5F95E42E_892A_11D2_8E7F_0008C7809E09_.wvu.PrintTitles" localSheetId="20" hidden="1">#REF!</definedName>
    <definedName name="Z_5F95E42E_892A_11D2_8E7F_0008C7809E09_.wvu.PrintTitles" hidden="1">#REF!</definedName>
    <definedName name="Z_5F95E433_892A_11D2_8E7F_0008C7809E09_.wvu.PrintArea" localSheetId="1" hidden="1">#REF!</definedName>
    <definedName name="Z_5F95E433_892A_11D2_8E7F_0008C7809E09_.wvu.PrintArea" localSheetId="20" hidden="1">#REF!</definedName>
    <definedName name="Z_5F95E433_892A_11D2_8E7F_0008C7809E09_.wvu.PrintArea" hidden="1">#REF!</definedName>
    <definedName name="Z_5F95E433_892A_11D2_8E7F_0008C7809E09_.wvu.PrintTitles" localSheetId="1" hidden="1">#REF!,#REF!</definedName>
    <definedName name="Z_5F95E433_892A_11D2_8E7F_0008C7809E09_.wvu.PrintTitles" localSheetId="18" hidden="1">#REF!,#REF!</definedName>
    <definedName name="Z_5F95E433_892A_11D2_8E7F_0008C7809E09_.wvu.PrintTitles" localSheetId="20" hidden="1">#REF!,#REF!</definedName>
    <definedName name="Z_5F95E433_892A_11D2_8E7F_0008C7809E09_.wvu.PrintTitles" hidden="1">#REF!,#REF!</definedName>
    <definedName name="Z_5F95E436_892A_11D2_8E7F_0008C7809E09_.wvu.PrintArea" localSheetId="1" hidden="1">#REF!</definedName>
    <definedName name="Z_5F95E436_892A_11D2_8E7F_0008C7809E09_.wvu.PrintArea" localSheetId="18" hidden="1">#REF!</definedName>
    <definedName name="Z_5F95E436_892A_11D2_8E7F_0008C7809E09_.wvu.PrintArea" localSheetId="20" hidden="1">#REF!</definedName>
    <definedName name="Z_5F95E436_892A_11D2_8E7F_0008C7809E09_.wvu.PrintArea" hidden="1">#REF!</definedName>
    <definedName name="Z_5F95E436_892A_11D2_8E7F_0008C7809E09_.wvu.PrintTitles" localSheetId="1" hidden="1">#REF!,#REF!</definedName>
    <definedName name="Z_5F95E436_892A_11D2_8E7F_0008C7809E09_.wvu.PrintTitles" localSheetId="18" hidden="1">#REF!,#REF!</definedName>
    <definedName name="Z_5F95E436_892A_11D2_8E7F_0008C7809E09_.wvu.PrintTitles" localSheetId="20" hidden="1">#REF!,#REF!</definedName>
    <definedName name="Z_5F95E436_892A_11D2_8E7F_0008C7809E09_.wvu.PrintTitles" hidden="1">#REF!,#REF!</definedName>
    <definedName name="Z_61DB0F02_10ED_11D2_8E73_0008C77C0743_.wvu.PrintArea" localSheetId="1" hidden="1">#REF!</definedName>
    <definedName name="Z_61DB0F02_10ED_11D2_8E73_0008C77C0743_.wvu.PrintArea" localSheetId="18" hidden="1">#REF!</definedName>
    <definedName name="Z_61DB0F02_10ED_11D2_8E73_0008C77C0743_.wvu.PrintArea" localSheetId="20" hidden="1">#REF!</definedName>
    <definedName name="Z_61DB0F02_10ED_11D2_8E73_0008C77C0743_.wvu.PrintArea" hidden="1">#REF!</definedName>
    <definedName name="Z_61DB0F02_10ED_11D2_8E73_0008C77C0743_.wvu.PrintTitles" localSheetId="1" hidden="1">#REF!</definedName>
    <definedName name="Z_61DB0F02_10ED_11D2_8E73_0008C77C0743_.wvu.PrintTitles" localSheetId="20" hidden="1">#REF!</definedName>
    <definedName name="Z_61DB0F02_10ED_11D2_8E73_0008C77C0743_.wvu.PrintTitles" hidden="1">#REF!</definedName>
    <definedName name="Z_61DB0F11_10ED_11D2_8E73_0008C77C0743_.wvu.PrintArea" localSheetId="1" hidden="1">#REF!</definedName>
    <definedName name="Z_61DB0F11_10ED_11D2_8E73_0008C77C0743_.wvu.PrintArea" localSheetId="20" hidden="1">#REF!</definedName>
    <definedName name="Z_61DB0F11_10ED_11D2_8E73_0008C77C0743_.wvu.PrintArea" hidden="1">#REF!</definedName>
    <definedName name="Z_61DB0F11_10ED_11D2_8E73_0008C77C0743_.wvu.PrintTitles" localSheetId="1" hidden="1">#REF!</definedName>
    <definedName name="Z_61DB0F11_10ED_11D2_8E73_0008C77C0743_.wvu.PrintTitles" localSheetId="20" hidden="1">#REF!</definedName>
    <definedName name="Z_61DB0F11_10ED_11D2_8E73_0008C77C0743_.wvu.PrintTitles" hidden="1">#REF!</definedName>
    <definedName name="Z_61DB0F1E_10ED_11D2_8E73_0008C77C0743_.wvu.PrintArea" localSheetId="1" hidden="1">#REF!</definedName>
    <definedName name="Z_61DB0F1E_10ED_11D2_8E73_0008C77C0743_.wvu.PrintArea" localSheetId="20" hidden="1">#REF!</definedName>
    <definedName name="Z_61DB0F1E_10ED_11D2_8E73_0008C77C0743_.wvu.PrintArea" hidden="1">#REF!</definedName>
    <definedName name="Z_61DB0F1E_10ED_11D2_8E73_0008C77C0743_.wvu.PrintTitles" localSheetId="1" hidden="1">#REF!,#REF!</definedName>
    <definedName name="Z_61DB0F1E_10ED_11D2_8E73_0008C77C0743_.wvu.PrintTitles" localSheetId="18" hidden="1">#REF!,#REF!</definedName>
    <definedName name="Z_61DB0F1E_10ED_11D2_8E73_0008C77C0743_.wvu.PrintTitles" localSheetId="20" hidden="1">#REF!,#REF!</definedName>
    <definedName name="Z_61DB0F1E_10ED_11D2_8E73_0008C77C0743_.wvu.PrintTitles" hidden="1">#REF!,#REF!</definedName>
    <definedName name="Z_6749F589_14FD_11D3_8EF9_0008C7BCAF29_.wvu.PrintArea" localSheetId="1" hidden="1">#REF!</definedName>
    <definedName name="Z_6749F589_14FD_11D3_8EF9_0008C7BCAF29_.wvu.PrintArea" localSheetId="18" hidden="1">#REF!</definedName>
    <definedName name="Z_6749F589_14FD_11D3_8EF9_0008C7BCAF29_.wvu.PrintArea" localSheetId="20" hidden="1">#REF!</definedName>
    <definedName name="Z_6749F589_14FD_11D3_8EF9_0008C7BCAF29_.wvu.PrintArea" hidden="1">#REF!</definedName>
    <definedName name="Z_6749F589_14FD_11D3_8EF9_0008C7BCAF29_.wvu.PrintTitles" localSheetId="1" hidden="1">#REF!</definedName>
    <definedName name="Z_6749F589_14FD_11D3_8EF9_0008C7BCAF29_.wvu.PrintTitles" localSheetId="20" hidden="1">#REF!</definedName>
    <definedName name="Z_6749F589_14FD_11D3_8EF9_0008C7BCAF29_.wvu.PrintTitles" hidden="1">#REF!</definedName>
    <definedName name="Z_6749F59C_14FD_11D3_8EF9_0008C7BCAF29_.wvu.PrintArea" localSheetId="1" hidden="1">#REF!</definedName>
    <definedName name="Z_6749F59C_14FD_11D3_8EF9_0008C7BCAF29_.wvu.PrintArea" localSheetId="20" hidden="1">#REF!</definedName>
    <definedName name="Z_6749F59C_14FD_11D3_8EF9_0008C7BCAF29_.wvu.PrintArea" hidden="1">#REF!</definedName>
    <definedName name="Z_6749F59C_14FD_11D3_8EF9_0008C7BCAF29_.wvu.PrintTitles" localSheetId="1" hidden="1">#REF!</definedName>
    <definedName name="Z_6749F59C_14FD_11D3_8EF9_0008C7BCAF29_.wvu.PrintTitles" localSheetId="20" hidden="1">#REF!</definedName>
    <definedName name="Z_6749F59C_14FD_11D3_8EF9_0008C7BCAF29_.wvu.PrintTitles" hidden="1">#REF!</definedName>
    <definedName name="Z_6749F5AC_14FD_11D3_8EF9_0008C7BCAF29_.wvu.PrintArea" localSheetId="1" hidden="1">#REF!</definedName>
    <definedName name="Z_6749F5AC_14FD_11D3_8EF9_0008C7BCAF29_.wvu.PrintArea" localSheetId="20" hidden="1">#REF!</definedName>
    <definedName name="Z_6749F5AC_14FD_11D3_8EF9_0008C7BCAF29_.wvu.PrintArea" hidden="1">#REF!</definedName>
    <definedName name="Z_6749F5AC_14FD_11D3_8EF9_0008C7BCAF29_.wvu.PrintTitles" localSheetId="1" hidden="1">#REF!,#REF!</definedName>
    <definedName name="Z_6749F5AC_14FD_11D3_8EF9_0008C7BCAF29_.wvu.PrintTitles" localSheetId="18" hidden="1">#REF!,#REF!</definedName>
    <definedName name="Z_6749F5AC_14FD_11D3_8EF9_0008C7BCAF29_.wvu.PrintTitles" localSheetId="20" hidden="1">#REF!,#REF!</definedName>
    <definedName name="Z_6749F5AC_14FD_11D3_8EF9_0008C7BCAF29_.wvu.PrintTitles" hidden="1">#REF!,#REF!</definedName>
    <definedName name="Z_68F84A93_5E0B_11D2_8EEE_0008C7BCAF29_.wvu.PrintArea" localSheetId="1" hidden="1">#REF!</definedName>
    <definedName name="Z_68F84A93_5E0B_11D2_8EEE_0008C7BCAF29_.wvu.PrintArea" localSheetId="18" hidden="1">#REF!</definedName>
    <definedName name="Z_68F84A93_5E0B_11D2_8EEE_0008C7BCAF29_.wvu.PrintArea" localSheetId="20" hidden="1">#REF!</definedName>
    <definedName name="Z_68F84A93_5E0B_11D2_8EEE_0008C7BCAF29_.wvu.PrintArea" hidden="1">#REF!</definedName>
    <definedName name="Z_68F84A93_5E0B_11D2_8EEE_0008C7BCAF29_.wvu.PrintTitles" localSheetId="1" hidden="1">#REF!</definedName>
    <definedName name="Z_68F84A93_5E0B_11D2_8EEE_0008C7BCAF29_.wvu.PrintTitles" localSheetId="20" hidden="1">#REF!</definedName>
    <definedName name="Z_68F84A93_5E0B_11D2_8EEE_0008C7BCAF29_.wvu.PrintTitles" hidden="1">#REF!</definedName>
    <definedName name="Z_68F84AA2_5E0B_11D2_8EEE_0008C7BCAF29_.wvu.PrintArea" localSheetId="1" hidden="1">#REF!</definedName>
    <definedName name="Z_68F84AA2_5E0B_11D2_8EEE_0008C7BCAF29_.wvu.PrintArea" localSheetId="20" hidden="1">#REF!</definedName>
    <definedName name="Z_68F84AA2_5E0B_11D2_8EEE_0008C7BCAF29_.wvu.PrintArea" hidden="1">#REF!</definedName>
    <definedName name="Z_68F84AA2_5E0B_11D2_8EEE_0008C7BCAF29_.wvu.PrintTitles" localSheetId="1" hidden="1">#REF!</definedName>
    <definedName name="Z_68F84AA2_5E0B_11D2_8EEE_0008C7BCAF29_.wvu.PrintTitles" localSheetId="20" hidden="1">#REF!</definedName>
    <definedName name="Z_68F84AA2_5E0B_11D2_8EEE_0008C7BCAF29_.wvu.PrintTitles" hidden="1">#REF!</definedName>
    <definedName name="Z_68F84AAF_5E0B_11D2_8EEE_0008C7BCAF29_.wvu.PrintArea" localSheetId="1" hidden="1">#REF!</definedName>
    <definedName name="Z_68F84AAF_5E0B_11D2_8EEE_0008C7BCAF29_.wvu.PrintArea" localSheetId="20" hidden="1">#REF!</definedName>
    <definedName name="Z_68F84AAF_5E0B_11D2_8EEE_0008C7BCAF29_.wvu.PrintArea" hidden="1">#REF!</definedName>
    <definedName name="Z_68F84AAF_5E0B_11D2_8EEE_0008C7BCAF29_.wvu.PrintTitles" localSheetId="1" hidden="1">#REF!,#REF!</definedName>
    <definedName name="Z_68F84AAF_5E0B_11D2_8EEE_0008C7BCAF29_.wvu.PrintTitles" localSheetId="18" hidden="1">#REF!,#REF!</definedName>
    <definedName name="Z_68F84AAF_5E0B_11D2_8EEE_0008C7BCAF29_.wvu.PrintTitles" localSheetId="20" hidden="1">#REF!,#REF!</definedName>
    <definedName name="Z_68F84AAF_5E0B_11D2_8EEE_0008C7BCAF29_.wvu.PrintTitles" hidden="1">#REF!,#REF!</definedName>
    <definedName name="Z_68F84ABA_5E0B_11D2_8EEE_0008C7BCAF29_.wvu.PrintArea" localSheetId="1" hidden="1">#REF!</definedName>
    <definedName name="Z_68F84ABA_5E0B_11D2_8EEE_0008C7BCAF29_.wvu.PrintArea" localSheetId="18" hidden="1">#REF!</definedName>
    <definedName name="Z_68F84ABA_5E0B_11D2_8EEE_0008C7BCAF29_.wvu.PrintArea" localSheetId="20" hidden="1">#REF!</definedName>
    <definedName name="Z_68F84ABA_5E0B_11D2_8EEE_0008C7BCAF29_.wvu.PrintArea" hidden="1">#REF!</definedName>
    <definedName name="Z_68F84ABA_5E0B_11D2_8EEE_0008C7BCAF29_.wvu.PrintTitles" localSheetId="1" hidden="1">#REF!,#REF!</definedName>
    <definedName name="Z_68F84ABA_5E0B_11D2_8EEE_0008C7BCAF29_.wvu.PrintTitles" localSheetId="18" hidden="1">#REF!,#REF!</definedName>
    <definedName name="Z_68F84ABA_5E0B_11D2_8EEE_0008C7BCAF29_.wvu.PrintTitles" localSheetId="20" hidden="1">#REF!,#REF!</definedName>
    <definedName name="Z_68F84ABA_5E0B_11D2_8EEE_0008C7BCAF29_.wvu.PrintTitles" hidden="1">#REF!,#REF!</definedName>
    <definedName name="Z_68F84ABC_5E0B_11D2_8EEE_0008C7BCAF29_.wvu.PrintArea" localSheetId="1" hidden="1">#REF!</definedName>
    <definedName name="Z_68F84ABC_5E0B_11D2_8EEE_0008C7BCAF29_.wvu.PrintArea" localSheetId="18" hidden="1">#REF!</definedName>
    <definedName name="Z_68F84ABC_5E0B_11D2_8EEE_0008C7BCAF29_.wvu.PrintArea" localSheetId="20" hidden="1">#REF!</definedName>
    <definedName name="Z_68F84ABC_5E0B_11D2_8EEE_0008C7BCAF29_.wvu.PrintArea" hidden="1">#REF!</definedName>
    <definedName name="Z_68F84ABC_5E0B_11D2_8EEE_0008C7BCAF29_.wvu.PrintTitles" localSheetId="1" hidden="1">#REF!</definedName>
    <definedName name="Z_68F84ABC_5E0B_11D2_8EEE_0008C7BCAF29_.wvu.PrintTitles" localSheetId="20" hidden="1">#REF!</definedName>
    <definedName name="Z_68F84ABC_5E0B_11D2_8EEE_0008C7BCAF29_.wvu.PrintTitles" hidden="1">#REF!</definedName>
    <definedName name="Z_68F84ABF_5E0B_11D2_8EEE_0008C7BCAF29_.wvu.PrintArea" localSheetId="1" hidden="1">#REF!</definedName>
    <definedName name="Z_68F84ABF_5E0B_11D2_8EEE_0008C7BCAF29_.wvu.PrintArea" localSheetId="20" hidden="1">#REF!</definedName>
    <definedName name="Z_68F84ABF_5E0B_11D2_8EEE_0008C7BCAF29_.wvu.PrintArea" hidden="1">#REF!</definedName>
    <definedName name="Z_68F84ABF_5E0B_11D2_8EEE_0008C7BCAF29_.wvu.PrintTitles" localSheetId="1" hidden="1">#REF!,#REF!</definedName>
    <definedName name="Z_68F84ABF_5E0B_11D2_8EEE_0008C7BCAF29_.wvu.PrintTitles" localSheetId="18" hidden="1">#REF!,#REF!</definedName>
    <definedName name="Z_68F84ABF_5E0B_11D2_8EEE_0008C7BCAF29_.wvu.PrintTitles" localSheetId="20" hidden="1">#REF!,#REF!</definedName>
    <definedName name="Z_68F84ABF_5E0B_11D2_8EEE_0008C7BCAF29_.wvu.PrintTitles" hidden="1">#REF!,#REF!</definedName>
    <definedName name="Z_68F84AC1_5E0B_11D2_8EEE_0008C7BCAF29_.wvu.PrintArea" localSheetId="1" hidden="1">#REF!</definedName>
    <definedName name="Z_68F84AC1_5E0B_11D2_8EEE_0008C7BCAF29_.wvu.PrintArea" localSheetId="18" hidden="1">#REF!</definedName>
    <definedName name="Z_68F84AC1_5E0B_11D2_8EEE_0008C7BCAF29_.wvu.PrintArea" localSheetId="20" hidden="1">#REF!</definedName>
    <definedName name="Z_68F84AC1_5E0B_11D2_8EEE_0008C7BCAF29_.wvu.PrintArea" hidden="1">#REF!</definedName>
    <definedName name="Z_68F84AC1_5E0B_11D2_8EEE_0008C7BCAF29_.wvu.PrintTitles" localSheetId="1" hidden="1">#REF!,#REF!</definedName>
    <definedName name="Z_68F84AC1_5E0B_11D2_8EEE_0008C7BCAF29_.wvu.PrintTitles" localSheetId="18" hidden="1">#REF!,#REF!</definedName>
    <definedName name="Z_68F84AC1_5E0B_11D2_8EEE_0008C7BCAF29_.wvu.PrintTitles" localSheetId="20" hidden="1">#REF!,#REF!</definedName>
    <definedName name="Z_68F84AC1_5E0B_11D2_8EEE_0008C7BCAF29_.wvu.PrintTitles" hidden="1">#REF!,#REF!</definedName>
    <definedName name="Z_68F84AC3_5E0B_11D2_8EEE_0008C7BCAF29_.wvu.PrintArea" localSheetId="1" hidden="1">#REF!</definedName>
    <definedName name="Z_68F84AC3_5E0B_11D2_8EEE_0008C7BCAF29_.wvu.PrintArea" localSheetId="18" hidden="1">#REF!</definedName>
    <definedName name="Z_68F84AC3_5E0B_11D2_8EEE_0008C7BCAF29_.wvu.PrintArea" localSheetId="20" hidden="1">#REF!</definedName>
    <definedName name="Z_68F84AC3_5E0B_11D2_8EEE_0008C7BCAF29_.wvu.PrintArea" hidden="1">#REF!</definedName>
    <definedName name="Z_68F84AC3_5E0B_11D2_8EEE_0008C7BCAF29_.wvu.PrintTitles" localSheetId="1" hidden="1">#REF!</definedName>
    <definedName name="Z_68F84AC3_5E0B_11D2_8EEE_0008C7BCAF29_.wvu.PrintTitles" localSheetId="20" hidden="1">#REF!</definedName>
    <definedName name="Z_68F84AC3_5E0B_11D2_8EEE_0008C7BCAF29_.wvu.PrintTitles" hidden="1">#REF!</definedName>
    <definedName name="Z_68F84AC6_5E0B_11D2_8EEE_0008C7BCAF29_.wvu.PrintArea" localSheetId="1" hidden="1">#REF!</definedName>
    <definedName name="Z_68F84AC6_5E0B_11D2_8EEE_0008C7BCAF29_.wvu.PrintArea" localSheetId="20" hidden="1">#REF!</definedName>
    <definedName name="Z_68F84AC6_5E0B_11D2_8EEE_0008C7BCAF29_.wvu.PrintArea" hidden="1">#REF!</definedName>
    <definedName name="Z_68F84AC6_5E0B_11D2_8EEE_0008C7BCAF29_.wvu.PrintTitles" localSheetId="1" hidden="1">#REF!,#REF!</definedName>
    <definedName name="Z_68F84AC6_5E0B_11D2_8EEE_0008C7BCAF29_.wvu.PrintTitles" localSheetId="18" hidden="1">#REF!,#REF!</definedName>
    <definedName name="Z_68F84AC6_5E0B_11D2_8EEE_0008C7BCAF29_.wvu.PrintTitles" localSheetId="20" hidden="1">#REF!,#REF!</definedName>
    <definedName name="Z_68F84AC6_5E0B_11D2_8EEE_0008C7BCAF29_.wvu.PrintTitles" hidden="1">#REF!,#REF!</definedName>
    <definedName name="Z_68F84AC8_5E0B_11D2_8EEE_0008C7BCAF29_.wvu.PrintArea" localSheetId="1" hidden="1">#REF!</definedName>
    <definedName name="Z_68F84AC8_5E0B_11D2_8EEE_0008C7BCAF29_.wvu.PrintArea" localSheetId="18" hidden="1">#REF!</definedName>
    <definedName name="Z_68F84AC8_5E0B_11D2_8EEE_0008C7BCAF29_.wvu.PrintArea" localSheetId="20" hidden="1">#REF!</definedName>
    <definedName name="Z_68F84AC8_5E0B_11D2_8EEE_0008C7BCAF29_.wvu.PrintArea" hidden="1">#REF!</definedName>
    <definedName name="Z_68F84AC8_5E0B_11D2_8EEE_0008C7BCAF29_.wvu.PrintTitles" localSheetId="1" hidden="1">#REF!,#REF!</definedName>
    <definedName name="Z_68F84AC8_5E0B_11D2_8EEE_0008C7BCAF29_.wvu.PrintTitles" localSheetId="18" hidden="1">#REF!,#REF!</definedName>
    <definedName name="Z_68F84AC8_5E0B_11D2_8EEE_0008C7BCAF29_.wvu.PrintTitles" localSheetId="20" hidden="1">#REF!,#REF!</definedName>
    <definedName name="Z_68F84AC8_5E0B_11D2_8EEE_0008C7BCAF29_.wvu.PrintTitles" hidden="1">#REF!,#REF!</definedName>
    <definedName name="Z_68F84ACE_5E0B_11D2_8EEE_0008C7BCAF29_.wvu.PrintArea" localSheetId="1" hidden="1">#REF!</definedName>
    <definedName name="Z_68F84ACE_5E0B_11D2_8EEE_0008C7BCAF29_.wvu.PrintArea" localSheetId="18" hidden="1">#REF!</definedName>
    <definedName name="Z_68F84ACE_5E0B_11D2_8EEE_0008C7BCAF29_.wvu.PrintArea" localSheetId="20" hidden="1">#REF!</definedName>
    <definedName name="Z_68F84ACE_5E0B_11D2_8EEE_0008C7BCAF29_.wvu.PrintArea" hidden="1">#REF!</definedName>
    <definedName name="Z_68F84ACE_5E0B_11D2_8EEE_0008C7BCAF29_.wvu.PrintTitles" localSheetId="1" hidden="1">#REF!</definedName>
    <definedName name="Z_68F84ACE_5E0B_11D2_8EEE_0008C7BCAF29_.wvu.PrintTitles" localSheetId="20" hidden="1">#REF!</definedName>
    <definedName name="Z_68F84ACE_5E0B_11D2_8EEE_0008C7BCAF29_.wvu.PrintTitles" hidden="1">#REF!</definedName>
    <definedName name="Z_68F84ADD_5E0B_11D2_8EEE_0008C7BCAF29_.wvu.PrintArea" localSheetId="1" hidden="1">#REF!</definedName>
    <definedName name="Z_68F84ADD_5E0B_11D2_8EEE_0008C7BCAF29_.wvu.PrintArea" localSheetId="20" hidden="1">#REF!</definedName>
    <definedName name="Z_68F84ADD_5E0B_11D2_8EEE_0008C7BCAF29_.wvu.PrintArea" hidden="1">#REF!</definedName>
    <definedName name="Z_68F84ADD_5E0B_11D2_8EEE_0008C7BCAF29_.wvu.PrintTitles" localSheetId="1" hidden="1">#REF!</definedName>
    <definedName name="Z_68F84ADD_5E0B_11D2_8EEE_0008C7BCAF29_.wvu.PrintTitles" localSheetId="20" hidden="1">#REF!</definedName>
    <definedName name="Z_68F84ADD_5E0B_11D2_8EEE_0008C7BCAF29_.wvu.PrintTitles" hidden="1">#REF!</definedName>
    <definedName name="Z_68F84AEA_5E0B_11D2_8EEE_0008C7BCAF29_.wvu.PrintArea" localSheetId="1" hidden="1">#REF!</definedName>
    <definedName name="Z_68F84AEA_5E0B_11D2_8EEE_0008C7BCAF29_.wvu.PrintArea" localSheetId="20" hidden="1">#REF!</definedName>
    <definedName name="Z_68F84AEA_5E0B_11D2_8EEE_0008C7BCAF29_.wvu.PrintArea" hidden="1">#REF!</definedName>
    <definedName name="Z_68F84AEA_5E0B_11D2_8EEE_0008C7BCAF29_.wvu.PrintTitles" localSheetId="1" hidden="1">#REF!,#REF!</definedName>
    <definedName name="Z_68F84AEA_5E0B_11D2_8EEE_0008C7BCAF29_.wvu.PrintTitles" localSheetId="18" hidden="1">#REF!,#REF!</definedName>
    <definedName name="Z_68F84AEA_5E0B_11D2_8EEE_0008C7BCAF29_.wvu.PrintTitles" localSheetId="20" hidden="1">#REF!,#REF!</definedName>
    <definedName name="Z_68F84AEA_5E0B_11D2_8EEE_0008C7BCAF29_.wvu.PrintTitles" hidden="1">#REF!,#REF!</definedName>
    <definedName name="Z_68F84AF6_5E0B_11D2_8EEE_0008C7BCAF29_.wvu.PrintArea" localSheetId="1" hidden="1">#REF!</definedName>
    <definedName name="Z_68F84AF6_5E0B_11D2_8EEE_0008C7BCAF29_.wvu.PrintArea" localSheetId="18" hidden="1">#REF!</definedName>
    <definedName name="Z_68F84AF6_5E0B_11D2_8EEE_0008C7BCAF29_.wvu.PrintArea" localSheetId="20" hidden="1">#REF!</definedName>
    <definedName name="Z_68F84AF6_5E0B_11D2_8EEE_0008C7BCAF29_.wvu.PrintArea" hidden="1">#REF!</definedName>
    <definedName name="Z_68F84AF6_5E0B_11D2_8EEE_0008C7BCAF29_.wvu.PrintTitles" localSheetId="1" hidden="1">#REF!,#REF!</definedName>
    <definedName name="Z_68F84AF6_5E0B_11D2_8EEE_0008C7BCAF29_.wvu.PrintTitles" localSheetId="18" hidden="1">#REF!,#REF!</definedName>
    <definedName name="Z_68F84AF6_5E0B_11D2_8EEE_0008C7BCAF29_.wvu.PrintTitles" localSheetId="20" hidden="1">#REF!,#REF!</definedName>
    <definedName name="Z_68F84AF6_5E0B_11D2_8EEE_0008C7BCAF29_.wvu.PrintTitles" hidden="1">#REF!,#REF!</definedName>
    <definedName name="Z_68F84AF9_5E0B_11D2_8EEE_0008C7BCAF29_.wvu.PrintArea" localSheetId="1" hidden="1">#REF!</definedName>
    <definedName name="Z_68F84AF9_5E0B_11D2_8EEE_0008C7BCAF29_.wvu.PrintArea" localSheetId="18" hidden="1">#REF!</definedName>
    <definedName name="Z_68F84AF9_5E0B_11D2_8EEE_0008C7BCAF29_.wvu.PrintArea" localSheetId="20" hidden="1">#REF!</definedName>
    <definedName name="Z_68F84AF9_5E0B_11D2_8EEE_0008C7BCAF29_.wvu.PrintArea" hidden="1">#REF!</definedName>
    <definedName name="Z_68F84AF9_5E0B_11D2_8EEE_0008C7BCAF29_.wvu.PrintTitles" localSheetId="1" hidden="1">#REF!</definedName>
    <definedName name="Z_68F84AF9_5E0B_11D2_8EEE_0008C7BCAF29_.wvu.PrintTitles" localSheetId="20" hidden="1">#REF!</definedName>
    <definedName name="Z_68F84AF9_5E0B_11D2_8EEE_0008C7BCAF29_.wvu.PrintTitles" hidden="1">#REF!</definedName>
    <definedName name="Z_68F84AFE_5E0B_11D2_8EEE_0008C7BCAF29_.wvu.PrintArea" localSheetId="1" hidden="1">#REF!</definedName>
    <definedName name="Z_68F84AFE_5E0B_11D2_8EEE_0008C7BCAF29_.wvu.PrintArea" localSheetId="20" hidden="1">#REF!</definedName>
    <definedName name="Z_68F84AFE_5E0B_11D2_8EEE_0008C7BCAF29_.wvu.PrintArea" hidden="1">#REF!</definedName>
    <definedName name="Z_68F84AFE_5E0B_11D2_8EEE_0008C7BCAF29_.wvu.PrintTitles" localSheetId="1" hidden="1">#REF!,#REF!</definedName>
    <definedName name="Z_68F84AFE_5E0B_11D2_8EEE_0008C7BCAF29_.wvu.PrintTitles" localSheetId="18" hidden="1">#REF!,#REF!</definedName>
    <definedName name="Z_68F84AFE_5E0B_11D2_8EEE_0008C7BCAF29_.wvu.PrintTitles" localSheetId="20" hidden="1">#REF!,#REF!</definedName>
    <definedName name="Z_68F84AFE_5E0B_11D2_8EEE_0008C7BCAF29_.wvu.PrintTitles" hidden="1">#REF!,#REF!</definedName>
    <definedName name="Z_68F84B00_5E0B_11D2_8EEE_0008C7BCAF29_.wvu.PrintArea" localSheetId="1" hidden="1">#REF!</definedName>
    <definedName name="Z_68F84B00_5E0B_11D2_8EEE_0008C7BCAF29_.wvu.PrintArea" localSheetId="18" hidden="1">#REF!</definedName>
    <definedName name="Z_68F84B00_5E0B_11D2_8EEE_0008C7BCAF29_.wvu.PrintArea" localSheetId="20" hidden="1">#REF!</definedName>
    <definedName name="Z_68F84B00_5E0B_11D2_8EEE_0008C7BCAF29_.wvu.PrintArea" hidden="1">#REF!</definedName>
    <definedName name="Z_68F84B00_5E0B_11D2_8EEE_0008C7BCAF29_.wvu.PrintTitles" localSheetId="1" hidden="1">#REF!,#REF!</definedName>
    <definedName name="Z_68F84B00_5E0B_11D2_8EEE_0008C7BCAF29_.wvu.PrintTitles" localSheetId="18" hidden="1">#REF!,#REF!</definedName>
    <definedName name="Z_68F84B00_5E0B_11D2_8EEE_0008C7BCAF29_.wvu.PrintTitles" localSheetId="20" hidden="1">#REF!,#REF!</definedName>
    <definedName name="Z_68F84B00_5E0B_11D2_8EEE_0008C7BCAF29_.wvu.PrintTitles" hidden="1">#REF!,#REF!</definedName>
    <definedName name="Z_68F84B03_5E0B_11D2_8EEE_0008C7BCAF29_.wvu.PrintArea" localSheetId="1" hidden="1">#REF!</definedName>
    <definedName name="Z_68F84B03_5E0B_11D2_8EEE_0008C7BCAF29_.wvu.PrintArea" localSheetId="18" hidden="1">#REF!</definedName>
    <definedName name="Z_68F84B03_5E0B_11D2_8EEE_0008C7BCAF29_.wvu.PrintArea" localSheetId="20" hidden="1">#REF!</definedName>
    <definedName name="Z_68F84B03_5E0B_11D2_8EEE_0008C7BCAF29_.wvu.PrintArea" hidden="1">#REF!</definedName>
    <definedName name="Z_68F84B03_5E0B_11D2_8EEE_0008C7BCAF29_.wvu.PrintTitles" localSheetId="1" hidden="1">#REF!</definedName>
    <definedName name="Z_68F84B03_5E0B_11D2_8EEE_0008C7BCAF29_.wvu.PrintTitles" localSheetId="20" hidden="1">#REF!</definedName>
    <definedName name="Z_68F84B03_5E0B_11D2_8EEE_0008C7BCAF29_.wvu.PrintTitles" hidden="1">#REF!</definedName>
    <definedName name="Z_68F84B08_5E0B_11D2_8EEE_0008C7BCAF29_.wvu.PrintArea" localSheetId="1" hidden="1">#REF!</definedName>
    <definedName name="Z_68F84B08_5E0B_11D2_8EEE_0008C7BCAF29_.wvu.PrintArea" localSheetId="20" hidden="1">#REF!</definedName>
    <definedName name="Z_68F84B08_5E0B_11D2_8EEE_0008C7BCAF29_.wvu.PrintArea" hidden="1">#REF!</definedName>
    <definedName name="Z_68F84B08_5E0B_11D2_8EEE_0008C7BCAF29_.wvu.PrintTitles" localSheetId="1" hidden="1">#REF!,#REF!</definedName>
    <definedName name="Z_68F84B08_5E0B_11D2_8EEE_0008C7BCAF29_.wvu.PrintTitles" localSheetId="18" hidden="1">#REF!,#REF!</definedName>
    <definedName name="Z_68F84B08_5E0B_11D2_8EEE_0008C7BCAF29_.wvu.PrintTitles" localSheetId="20" hidden="1">#REF!,#REF!</definedName>
    <definedName name="Z_68F84B08_5E0B_11D2_8EEE_0008C7BCAF29_.wvu.PrintTitles" hidden="1">#REF!,#REF!</definedName>
    <definedName name="Z_68F84B0B_5E0B_11D2_8EEE_0008C7BCAF29_.wvu.PrintArea" localSheetId="1" hidden="1">#REF!</definedName>
    <definedName name="Z_68F84B0B_5E0B_11D2_8EEE_0008C7BCAF29_.wvu.PrintArea" localSheetId="18" hidden="1">#REF!</definedName>
    <definedName name="Z_68F84B0B_5E0B_11D2_8EEE_0008C7BCAF29_.wvu.PrintArea" localSheetId="20" hidden="1">#REF!</definedName>
    <definedName name="Z_68F84B0B_5E0B_11D2_8EEE_0008C7BCAF29_.wvu.PrintArea" hidden="1">#REF!</definedName>
    <definedName name="Z_68F84B0B_5E0B_11D2_8EEE_0008C7BCAF29_.wvu.PrintTitles" localSheetId="1" hidden="1">#REF!,#REF!</definedName>
    <definedName name="Z_68F84B0B_5E0B_11D2_8EEE_0008C7BCAF29_.wvu.PrintTitles" localSheetId="18" hidden="1">#REF!,#REF!</definedName>
    <definedName name="Z_68F84B0B_5E0B_11D2_8EEE_0008C7BCAF29_.wvu.PrintTitles" localSheetId="20" hidden="1">#REF!,#REF!</definedName>
    <definedName name="Z_68F84B0B_5E0B_11D2_8EEE_0008C7BCAF29_.wvu.PrintTitles" hidden="1">#REF!,#REF!</definedName>
    <definedName name="Z_68F84B11_5E0B_11D2_8EEE_0008C7BCAF29_.wvu.PrintArea" localSheetId="1" hidden="1">#REF!</definedName>
    <definedName name="Z_68F84B11_5E0B_11D2_8EEE_0008C7BCAF29_.wvu.PrintArea" localSheetId="18" hidden="1">#REF!</definedName>
    <definedName name="Z_68F84B11_5E0B_11D2_8EEE_0008C7BCAF29_.wvu.PrintArea" localSheetId="20" hidden="1">#REF!</definedName>
    <definedName name="Z_68F84B11_5E0B_11D2_8EEE_0008C7BCAF29_.wvu.PrintArea" hidden="1">#REF!</definedName>
    <definedName name="Z_68F84B11_5E0B_11D2_8EEE_0008C7BCAF29_.wvu.PrintTitles" localSheetId="1" hidden="1">#REF!,#REF!</definedName>
    <definedName name="Z_68F84B11_5E0B_11D2_8EEE_0008C7BCAF29_.wvu.PrintTitles" localSheetId="18" hidden="1">#REF!,#REF!</definedName>
    <definedName name="Z_68F84B11_5E0B_11D2_8EEE_0008C7BCAF29_.wvu.PrintTitles" localSheetId="20" hidden="1">#REF!,#REF!</definedName>
    <definedName name="Z_68F84B11_5E0B_11D2_8EEE_0008C7BCAF29_.wvu.PrintTitles" hidden="1">#REF!,#REF!</definedName>
    <definedName name="Z_68F84B14_5E0B_11D2_8EEE_0008C7BCAF29_.wvu.PrintArea" localSheetId="1" hidden="1">#REF!</definedName>
    <definedName name="Z_68F84B14_5E0B_11D2_8EEE_0008C7BCAF29_.wvu.PrintArea" localSheetId="18" hidden="1">#REF!</definedName>
    <definedName name="Z_68F84B14_5E0B_11D2_8EEE_0008C7BCAF29_.wvu.PrintArea" localSheetId="20" hidden="1">#REF!</definedName>
    <definedName name="Z_68F84B14_5E0B_11D2_8EEE_0008C7BCAF29_.wvu.PrintArea" hidden="1">#REF!</definedName>
    <definedName name="Z_68F84B14_5E0B_11D2_8EEE_0008C7BCAF29_.wvu.PrintTitles" localSheetId="1" hidden="1">#REF!</definedName>
    <definedName name="Z_68F84B14_5E0B_11D2_8EEE_0008C7BCAF29_.wvu.PrintTitles" localSheetId="20" hidden="1">#REF!</definedName>
    <definedName name="Z_68F84B14_5E0B_11D2_8EEE_0008C7BCAF29_.wvu.PrintTitles" hidden="1">#REF!</definedName>
    <definedName name="Z_68F84B19_5E0B_11D2_8EEE_0008C7BCAF29_.wvu.PrintArea" localSheetId="1" hidden="1">#REF!</definedName>
    <definedName name="Z_68F84B19_5E0B_11D2_8EEE_0008C7BCAF29_.wvu.PrintArea" localSheetId="20" hidden="1">#REF!</definedName>
    <definedName name="Z_68F84B19_5E0B_11D2_8EEE_0008C7BCAF29_.wvu.PrintArea" hidden="1">#REF!</definedName>
    <definedName name="Z_68F84B19_5E0B_11D2_8EEE_0008C7BCAF29_.wvu.PrintTitles" localSheetId="1" hidden="1">#REF!,#REF!</definedName>
    <definedName name="Z_68F84B19_5E0B_11D2_8EEE_0008C7BCAF29_.wvu.PrintTitles" localSheetId="18" hidden="1">#REF!,#REF!</definedName>
    <definedName name="Z_68F84B19_5E0B_11D2_8EEE_0008C7BCAF29_.wvu.PrintTitles" localSheetId="20" hidden="1">#REF!,#REF!</definedName>
    <definedName name="Z_68F84B19_5E0B_11D2_8EEE_0008C7BCAF29_.wvu.PrintTitles" hidden="1">#REF!,#REF!</definedName>
    <definedName name="Z_68F84B1B_5E0B_11D2_8EEE_0008C7BCAF29_.wvu.PrintArea" localSheetId="1" hidden="1">#REF!</definedName>
    <definedName name="Z_68F84B1B_5E0B_11D2_8EEE_0008C7BCAF29_.wvu.PrintArea" localSheetId="18" hidden="1">#REF!</definedName>
    <definedName name="Z_68F84B1B_5E0B_11D2_8EEE_0008C7BCAF29_.wvu.PrintArea" localSheetId="20" hidden="1">#REF!</definedName>
    <definedName name="Z_68F84B1B_5E0B_11D2_8EEE_0008C7BCAF29_.wvu.PrintArea" hidden="1">#REF!</definedName>
    <definedName name="Z_68F84B1B_5E0B_11D2_8EEE_0008C7BCAF29_.wvu.PrintTitles" localSheetId="1" hidden="1">#REF!,#REF!</definedName>
    <definedName name="Z_68F84B1B_5E0B_11D2_8EEE_0008C7BCAF29_.wvu.PrintTitles" localSheetId="18" hidden="1">#REF!,#REF!</definedName>
    <definedName name="Z_68F84B1B_5E0B_11D2_8EEE_0008C7BCAF29_.wvu.PrintTitles" localSheetId="20" hidden="1">#REF!,#REF!</definedName>
    <definedName name="Z_68F84B1B_5E0B_11D2_8EEE_0008C7BCAF29_.wvu.PrintTitles" hidden="1">#REF!,#REF!</definedName>
    <definedName name="Z_68F84B1E_5E0B_11D2_8EEE_0008C7BCAF29_.wvu.PrintArea" localSheetId="1" hidden="1">#REF!</definedName>
    <definedName name="Z_68F84B1E_5E0B_11D2_8EEE_0008C7BCAF29_.wvu.PrintArea" localSheetId="18" hidden="1">#REF!</definedName>
    <definedName name="Z_68F84B1E_5E0B_11D2_8EEE_0008C7BCAF29_.wvu.PrintArea" localSheetId="20" hidden="1">#REF!</definedName>
    <definedName name="Z_68F84B1E_5E0B_11D2_8EEE_0008C7BCAF29_.wvu.PrintArea" hidden="1">#REF!</definedName>
    <definedName name="Z_68F84B1E_5E0B_11D2_8EEE_0008C7BCAF29_.wvu.PrintTitles" localSheetId="1" hidden="1">#REF!</definedName>
    <definedName name="Z_68F84B1E_5E0B_11D2_8EEE_0008C7BCAF29_.wvu.PrintTitles" localSheetId="20" hidden="1">#REF!</definedName>
    <definedName name="Z_68F84B1E_5E0B_11D2_8EEE_0008C7BCAF29_.wvu.PrintTitles" hidden="1">#REF!</definedName>
    <definedName name="Z_68F84B23_5E0B_11D2_8EEE_0008C7BCAF29_.wvu.PrintArea" localSheetId="1" hidden="1">#REF!</definedName>
    <definedName name="Z_68F84B23_5E0B_11D2_8EEE_0008C7BCAF29_.wvu.PrintArea" localSheetId="20" hidden="1">#REF!</definedName>
    <definedName name="Z_68F84B23_5E0B_11D2_8EEE_0008C7BCAF29_.wvu.PrintArea" hidden="1">#REF!</definedName>
    <definedName name="Z_68F84B23_5E0B_11D2_8EEE_0008C7BCAF29_.wvu.PrintTitles" localSheetId="1" hidden="1">#REF!,#REF!</definedName>
    <definedName name="Z_68F84B23_5E0B_11D2_8EEE_0008C7BCAF29_.wvu.PrintTitles" localSheetId="18" hidden="1">#REF!,#REF!</definedName>
    <definedName name="Z_68F84B23_5E0B_11D2_8EEE_0008C7BCAF29_.wvu.PrintTitles" localSheetId="20" hidden="1">#REF!,#REF!</definedName>
    <definedName name="Z_68F84B23_5E0B_11D2_8EEE_0008C7BCAF29_.wvu.PrintTitles" hidden="1">#REF!,#REF!</definedName>
    <definedName name="Z_68F84B26_5E0B_11D2_8EEE_0008C7BCAF29_.wvu.PrintArea" localSheetId="1" hidden="1">#REF!</definedName>
    <definedName name="Z_68F84B26_5E0B_11D2_8EEE_0008C7BCAF29_.wvu.PrintArea" localSheetId="18" hidden="1">#REF!</definedName>
    <definedName name="Z_68F84B26_5E0B_11D2_8EEE_0008C7BCAF29_.wvu.PrintArea" localSheetId="20" hidden="1">#REF!</definedName>
    <definedName name="Z_68F84B26_5E0B_11D2_8EEE_0008C7BCAF29_.wvu.PrintArea" hidden="1">#REF!</definedName>
    <definedName name="Z_68F84B26_5E0B_11D2_8EEE_0008C7BCAF29_.wvu.PrintTitles" localSheetId="1" hidden="1">#REF!,#REF!</definedName>
    <definedName name="Z_68F84B26_5E0B_11D2_8EEE_0008C7BCAF29_.wvu.PrintTitles" localSheetId="18" hidden="1">#REF!,#REF!</definedName>
    <definedName name="Z_68F84B26_5E0B_11D2_8EEE_0008C7BCAF29_.wvu.PrintTitles" localSheetId="20" hidden="1">#REF!,#REF!</definedName>
    <definedName name="Z_68F84B26_5E0B_11D2_8EEE_0008C7BCAF29_.wvu.PrintTitles" hidden="1">#REF!,#REF!</definedName>
    <definedName name="Z_76FBE7D5_5EAD_11D2_8EEF_0008C7BCAF29_.wvu.PrintArea" localSheetId="1" hidden="1">#REF!</definedName>
    <definedName name="Z_76FBE7D5_5EAD_11D2_8EEF_0008C7BCAF29_.wvu.PrintArea" localSheetId="18" hidden="1">#REF!</definedName>
    <definedName name="Z_76FBE7D5_5EAD_11D2_8EEF_0008C7BCAF29_.wvu.PrintArea" localSheetId="20" hidden="1">#REF!</definedName>
    <definedName name="Z_76FBE7D5_5EAD_11D2_8EEF_0008C7BCAF29_.wvu.PrintArea" hidden="1">#REF!</definedName>
    <definedName name="Z_76FBE7D5_5EAD_11D2_8EEF_0008C7BCAF29_.wvu.PrintTitles" localSheetId="1" hidden="1">#REF!,#REF!</definedName>
    <definedName name="Z_76FBE7D5_5EAD_11D2_8EEF_0008C7BCAF29_.wvu.PrintTitles" localSheetId="18" hidden="1">#REF!,#REF!</definedName>
    <definedName name="Z_76FBE7D5_5EAD_11D2_8EEF_0008C7BCAF29_.wvu.PrintTitles" localSheetId="20" hidden="1">#REF!,#REF!</definedName>
    <definedName name="Z_76FBE7D5_5EAD_11D2_8EEF_0008C7BCAF29_.wvu.PrintTitles" hidden="1">#REF!,#REF!</definedName>
    <definedName name="Z_76FBE7D7_5EAD_11D2_8EEF_0008C7BCAF29_.wvu.PrintArea" localSheetId="1" hidden="1">#REF!</definedName>
    <definedName name="Z_76FBE7D7_5EAD_11D2_8EEF_0008C7BCAF29_.wvu.PrintArea" localSheetId="18" hidden="1">#REF!</definedName>
    <definedName name="Z_76FBE7D7_5EAD_11D2_8EEF_0008C7BCAF29_.wvu.PrintArea" localSheetId="20" hidden="1">#REF!</definedName>
    <definedName name="Z_76FBE7D7_5EAD_11D2_8EEF_0008C7BCAF29_.wvu.PrintArea" hidden="1">#REF!</definedName>
    <definedName name="Z_76FBE7D7_5EAD_11D2_8EEF_0008C7BCAF29_.wvu.PrintTitles" localSheetId="1" hidden="1">#REF!</definedName>
    <definedName name="Z_76FBE7D7_5EAD_11D2_8EEF_0008C7BCAF29_.wvu.PrintTitles" localSheetId="20" hidden="1">#REF!</definedName>
    <definedName name="Z_76FBE7D7_5EAD_11D2_8EEF_0008C7BCAF29_.wvu.PrintTitles" hidden="1">#REF!</definedName>
    <definedName name="Z_76FBE7DA_5EAD_11D2_8EEF_0008C7BCAF29_.wvu.PrintArea" localSheetId="1" hidden="1">#REF!</definedName>
    <definedName name="Z_76FBE7DA_5EAD_11D2_8EEF_0008C7BCAF29_.wvu.PrintArea" localSheetId="20" hidden="1">#REF!</definedName>
    <definedName name="Z_76FBE7DA_5EAD_11D2_8EEF_0008C7BCAF29_.wvu.PrintArea" hidden="1">#REF!</definedName>
    <definedName name="Z_76FBE7DA_5EAD_11D2_8EEF_0008C7BCAF29_.wvu.PrintTitles" localSheetId="1" hidden="1">#REF!,#REF!</definedName>
    <definedName name="Z_76FBE7DA_5EAD_11D2_8EEF_0008C7BCAF29_.wvu.PrintTitles" localSheetId="18" hidden="1">#REF!,#REF!</definedName>
    <definedName name="Z_76FBE7DA_5EAD_11D2_8EEF_0008C7BCAF29_.wvu.PrintTitles" localSheetId="20" hidden="1">#REF!,#REF!</definedName>
    <definedName name="Z_76FBE7DA_5EAD_11D2_8EEF_0008C7BCAF29_.wvu.PrintTitles" hidden="1">#REF!,#REF!</definedName>
    <definedName name="Z_76FBE7DC_5EAD_11D2_8EEF_0008C7BCAF29_.wvu.PrintArea" localSheetId="1" hidden="1">#REF!</definedName>
    <definedName name="Z_76FBE7DC_5EAD_11D2_8EEF_0008C7BCAF29_.wvu.PrintArea" localSheetId="18" hidden="1">#REF!</definedName>
    <definedName name="Z_76FBE7DC_5EAD_11D2_8EEF_0008C7BCAF29_.wvu.PrintArea" localSheetId="20" hidden="1">#REF!</definedName>
    <definedName name="Z_76FBE7DC_5EAD_11D2_8EEF_0008C7BCAF29_.wvu.PrintArea" hidden="1">#REF!</definedName>
    <definedName name="Z_76FBE7DC_5EAD_11D2_8EEF_0008C7BCAF29_.wvu.PrintTitles" localSheetId="1" hidden="1">#REF!,#REF!</definedName>
    <definedName name="Z_76FBE7DC_5EAD_11D2_8EEF_0008C7BCAF29_.wvu.PrintTitles" localSheetId="18" hidden="1">#REF!,#REF!</definedName>
    <definedName name="Z_76FBE7DC_5EAD_11D2_8EEF_0008C7BCAF29_.wvu.PrintTitles" localSheetId="20" hidden="1">#REF!,#REF!</definedName>
    <definedName name="Z_76FBE7DC_5EAD_11D2_8EEF_0008C7BCAF29_.wvu.PrintTitles" hidden="1">#REF!,#REF!</definedName>
    <definedName name="Z_76FBE7DE_5EAD_11D2_8EEF_0008C7BCAF29_.wvu.PrintArea" localSheetId="1" hidden="1">#REF!</definedName>
    <definedName name="Z_76FBE7DE_5EAD_11D2_8EEF_0008C7BCAF29_.wvu.PrintArea" localSheetId="18" hidden="1">#REF!</definedName>
    <definedName name="Z_76FBE7DE_5EAD_11D2_8EEF_0008C7BCAF29_.wvu.PrintArea" localSheetId="20" hidden="1">#REF!</definedName>
    <definedName name="Z_76FBE7DE_5EAD_11D2_8EEF_0008C7BCAF29_.wvu.PrintArea" hidden="1">#REF!</definedName>
    <definedName name="Z_76FBE7DE_5EAD_11D2_8EEF_0008C7BCAF29_.wvu.PrintTitles" localSheetId="1" hidden="1">#REF!</definedName>
    <definedName name="Z_76FBE7DE_5EAD_11D2_8EEF_0008C7BCAF29_.wvu.PrintTitles" localSheetId="20" hidden="1">#REF!</definedName>
    <definedName name="Z_76FBE7DE_5EAD_11D2_8EEF_0008C7BCAF29_.wvu.PrintTitles" hidden="1">#REF!</definedName>
    <definedName name="Z_76FBE7E1_5EAD_11D2_8EEF_0008C7BCAF29_.wvu.PrintArea" localSheetId="1" hidden="1">#REF!</definedName>
    <definedName name="Z_76FBE7E1_5EAD_11D2_8EEF_0008C7BCAF29_.wvu.PrintArea" localSheetId="20" hidden="1">#REF!</definedName>
    <definedName name="Z_76FBE7E1_5EAD_11D2_8EEF_0008C7BCAF29_.wvu.PrintArea" hidden="1">#REF!</definedName>
    <definedName name="Z_76FBE7E1_5EAD_11D2_8EEF_0008C7BCAF29_.wvu.PrintTitles" localSheetId="1" hidden="1">#REF!,#REF!</definedName>
    <definedName name="Z_76FBE7E1_5EAD_11D2_8EEF_0008C7BCAF29_.wvu.PrintTitles" localSheetId="18" hidden="1">#REF!,#REF!</definedName>
    <definedName name="Z_76FBE7E1_5EAD_11D2_8EEF_0008C7BCAF29_.wvu.PrintTitles" localSheetId="20" hidden="1">#REF!,#REF!</definedName>
    <definedName name="Z_76FBE7E1_5EAD_11D2_8EEF_0008C7BCAF29_.wvu.PrintTitles" hidden="1">#REF!,#REF!</definedName>
    <definedName name="Z_76FBE7E3_5EAD_11D2_8EEF_0008C7BCAF29_.wvu.PrintArea" localSheetId="1" hidden="1">#REF!</definedName>
    <definedName name="Z_76FBE7E3_5EAD_11D2_8EEF_0008C7BCAF29_.wvu.PrintArea" localSheetId="18" hidden="1">#REF!</definedName>
    <definedName name="Z_76FBE7E3_5EAD_11D2_8EEF_0008C7BCAF29_.wvu.PrintArea" localSheetId="20" hidden="1">#REF!</definedName>
    <definedName name="Z_76FBE7E3_5EAD_11D2_8EEF_0008C7BCAF29_.wvu.PrintArea" hidden="1">#REF!</definedName>
    <definedName name="Z_76FBE7E3_5EAD_11D2_8EEF_0008C7BCAF29_.wvu.PrintTitles" localSheetId="1" hidden="1">#REF!,#REF!</definedName>
    <definedName name="Z_76FBE7E3_5EAD_11D2_8EEF_0008C7BCAF29_.wvu.PrintTitles" localSheetId="18" hidden="1">#REF!,#REF!</definedName>
    <definedName name="Z_76FBE7E3_5EAD_11D2_8EEF_0008C7BCAF29_.wvu.PrintTitles" localSheetId="20" hidden="1">#REF!,#REF!</definedName>
    <definedName name="Z_76FBE7E3_5EAD_11D2_8EEF_0008C7BCAF29_.wvu.PrintTitles" hidden="1">#REF!,#REF!</definedName>
    <definedName name="Z_974EFDB0_1051_11D2_8E71_0008C77C0743_.wvu.PrintArea" localSheetId="1" hidden="1">#REF!</definedName>
    <definedName name="Z_974EFDB0_1051_11D2_8E71_0008C77C0743_.wvu.PrintArea" localSheetId="18" hidden="1">#REF!</definedName>
    <definedName name="Z_974EFDB0_1051_11D2_8E71_0008C77C0743_.wvu.PrintArea" localSheetId="20" hidden="1">#REF!</definedName>
    <definedName name="Z_974EFDB0_1051_11D2_8E71_0008C77C0743_.wvu.PrintArea" hidden="1">#REF!</definedName>
    <definedName name="Z_974EFDB0_1051_11D2_8E71_0008C77C0743_.wvu.PrintTitles" localSheetId="1" hidden="1">#REF!,#REF!</definedName>
    <definedName name="Z_974EFDB0_1051_11D2_8E71_0008C77C0743_.wvu.PrintTitles" localSheetId="18" hidden="1">#REF!,#REF!</definedName>
    <definedName name="Z_974EFDB0_1051_11D2_8E71_0008C77C0743_.wvu.PrintTitles" localSheetId="20" hidden="1">#REF!,#REF!</definedName>
    <definedName name="Z_974EFDB0_1051_11D2_8E71_0008C77C0743_.wvu.PrintTitles" hidden="1">#REF!,#REF!</definedName>
    <definedName name="Z_974EFDB2_1051_11D2_8E71_0008C77C0743_.wvu.PrintArea" localSheetId="1" hidden="1">#REF!</definedName>
    <definedName name="Z_974EFDB2_1051_11D2_8E71_0008C77C0743_.wvu.PrintArea" localSheetId="18" hidden="1">#REF!</definedName>
    <definedName name="Z_974EFDB2_1051_11D2_8E71_0008C77C0743_.wvu.PrintArea" localSheetId="20" hidden="1">#REF!</definedName>
    <definedName name="Z_974EFDB2_1051_11D2_8E71_0008C77C0743_.wvu.PrintArea" hidden="1">#REF!</definedName>
    <definedName name="Z_974EFDB2_1051_11D2_8E71_0008C77C0743_.wvu.PrintTitles" localSheetId="1" hidden="1">#REF!</definedName>
    <definedName name="Z_974EFDB2_1051_11D2_8E71_0008C77C0743_.wvu.PrintTitles" localSheetId="20" hidden="1">#REF!</definedName>
    <definedName name="Z_974EFDB2_1051_11D2_8E71_0008C77C0743_.wvu.PrintTitles" hidden="1">#REF!</definedName>
    <definedName name="Z_974EFDB5_1051_11D2_8E71_0008C77C0743_.wvu.PrintArea" localSheetId="1" hidden="1">#REF!</definedName>
    <definedName name="Z_974EFDB5_1051_11D2_8E71_0008C77C0743_.wvu.PrintArea" localSheetId="20" hidden="1">#REF!</definedName>
    <definedName name="Z_974EFDB5_1051_11D2_8E71_0008C77C0743_.wvu.PrintArea" hidden="1">#REF!</definedName>
    <definedName name="Z_974EFDB5_1051_11D2_8E71_0008C77C0743_.wvu.PrintTitles" localSheetId="1" hidden="1">#REF!,#REF!</definedName>
    <definedName name="Z_974EFDB5_1051_11D2_8E71_0008C77C0743_.wvu.PrintTitles" localSheetId="18" hidden="1">#REF!,#REF!</definedName>
    <definedName name="Z_974EFDB5_1051_11D2_8E71_0008C77C0743_.wvu.PrintTitles" localSheetId="20" hidden="1">#REF!,#REF!</definedName>
    <definedName name="Z_974EFDB5_1051_11D2_8E71_0008C77C0743_.wvu.PrintTitles" hidden="1">#REF!,#REF!</definedName>
    <definedName name="Z_974EFDB7_1051_11D2_8E71_0008C77C0743_.wvu.PrintArea" localSheetId="1" hidden="1">#REF!</definedName>
    <definedName name="Z_974EFDB7_1051_11D2_8E71_0008C77C0743_.wvu.PrintArea" localSheetId="18" hidden="1">#REF!</definedName>
    <definedName name="Z_974EFDB7_1051_11D2_8E71_0008C77C0743_.wvu.PrintArea" localSheetId="20" hidden="1">#REF!</definedName>
    <definedName name="Z_974EFDB7_1051_11D2_8E71_0008C77C0743_.wvu.PrintArea" hidden="1">#REF!</definedName>
    <definedName name="Z_974EFDB7_1051_11D2_8E71_0008C77C0743_.wvu.PrintTitles" localSheetId="1" hidden="1">#REF!,#REF!</definedName>
    <definedName name="Z_974EFDB7_1051_11D2_8E71_0008C77C0743_.wvu.PrintTitles" localSheetId="18" hidden="1">#REF!,#REF!</definedName>
    <definedName name="Z_974EFDB7_1051_11D2_8E71_0008C77C0743_.wvu.PrintTitles" localSheetId="20" hidden="1">#REF!,#REF!</definedName>
    <definedName name="Z_974EFDB7_1051_11D2_8E71_0008C77C0743_.wvu.PrintTitles" hidden="1">#REF!,#REF!</definedName>
    <definedName name="Z_974EFDB9_1051_11D2_8E71_0008C77C0743_.wvu.PrintArea" localSheetId="1" hidden="1">#REF!</definedName>
    <definedName name="Z_974EFDB9_1051_11D2_8E71_0008C77C0743_.wvu.PrintArea" localSheetId="18" hidden="1">#REF!</definedName>
    <definedName name="Z_974EFDB9_1051_11D2_8E71_0008C77C0743_.wvu.PrintArea" localSheetId="20" hidden="1">#REF!</definedName>
    <definedName name="Z_974EFDB9_1051_11D2_8E71_0008C77C0743_.wvu.PrintArea" hidden="1">#REF!</definedName>
    <definedName name="Z_974EFDB9_1051_11D2_8E71_0008C77C0743_.wvu.PrintTitles" localSheetId="1" hidden="1">#REF!</definedName>
    <definedName name="Z_974EFDB9_1051_11D2_8E71_0008C77C0743_.wvu.PrintTitles" localSheetId="20" hidden="1">#REF!</definedName>
    <definedName name="Z_974EFDB9_1051_11D2_8E71_0008C77C0743_.wvu.PrintTitles" hidden="1">#REF!</definedName>
    <definedName name="Z_974EFDBC_1051_11D2_8E71_0008C77C0743_.wvu.PrintArea" localSheetId="1" hidden="1">#REF!</definedName>
    <definedName name="Z_974EFDBC_1051_11D2_8E71_0008C77C0743_.wvu.PrintArea" localSheetId="20" hidden="1">#REF!</definedName>
    <definedName name="Z_974EFDBC_1051_11D2_8E71_0008C77C0743_.wvu.PrintArea" hidden="1">#REF!</definedName>
    <definedName name="Z_974EFDBC_1051_11D2_8E71_0008C77C0743_.wvu.PrintTitles" localSheetId="1" hidden="1">#REF!,#REF!</definedName>
    <definedName name="Z_974EFDBC_1051_11D2_8E71_0008C77C0743_.wvu.PrintTitles" localSheetId="18" hidden="1">#REF!,#REF!</definedName>
    <definedName name="Z_974EFDBC_1051_11D2_8E71_0008C77C0743_.wvu.PrintTitles" localSheetId="20" hidden="1">#REF!,#REF!</definedName>
    <definedName name="Z_974EFDBC_1051_11D2_8E71_0008C77C0743_.wvu.PrintTitles" hidden="1">#REF!,#REF!</definedName>
    <definedName name="Z_974EFDBE_1051_11D2_8E71_0008C77C0743_.wvu.PrintArea" localSheetId="1" hidden="1">#REF!</definedName>
    <definedName name="Z_974EFDBE_1051_11D2_8E71_0008C77C0743_.wvu.PrintArea" localSheetId="18" hidden="1">#REF!</definedName>
    <definedName name="Z_974EFDBE_1051_11D2_8E71_0008C77C0743_.wvu.PrintArea" localSheetId="20" hidden="1">#REF!</definedName>
    <definedName name="Z_974EFDBE_1051_11D2_8E71_0008C77C0743_.wvu.PrintArea" hidden="1">#REF!</definedName>
    <definedName name="Z_974EFDBE_1051_11D2_8E71_0008C77C0743_.wvu.PrintTitles" localSheetId="1" hidden="1">#REF!,#REF!</definedName>
    <definedName name="Z_974EFDBE_1051_11D2_8E71_0008C77C0743_.wvu.PrintTitles" localSheetId="18" hidden="1">#REF!,#REF!</definedName>
    <definedName name="Z_974EFDBE_1051_11D2_8E71_0008C77C0743_.wvu.PrintTitles" localSheetId="20" hidden="1">#REF!,#REF!</definedName>
    <definedName name="Z_974EFDBE_1051_11D2_8E71_0008C77C0743_.wvu.PrintTitles" hidden="1">#REF!,#REF!</definedName>
    <definedName name="Z_A1DB4122_5E0E_11D2_8EC3_0008C77C0743_.wvu.PrintArea" localSheetId="1" hidden="1">#REF!</definedName>
    <definedName name="Z_A1DB4122_5E0E_11D2_8EC3_0008C77C0743_.wvu.PrintArea" localSheetId="18" hidden="1">#REF!</definedName>
    <definedName name="Z_A1DB4122_5E0E_11D2_8EC3_0008C77C0743_.wvu.PrintArea" localSheetId="20" hidden="1">#REF!</definedName>
    <definedName name="Z_A1DB4122_5E0E_11D2_8EC3_0008C77C0743_.wvu.PrintArea" hidden="1">#REF!</definedName>
    <definedName name="Z_A1DB4122_5E0E_11D2_8EC3_0008C77C0743_.wvu.PrintTitles" localSheetId="1" hidden="1">#REF!</definedName>
    <definedName name="Z_A1DB4122_5E0E_11D2_8EC3_0008C77C0743_.wvu.PrintTitles" localSheetId="20" hidden="1">#REF!</definedName>
    <definedName name="Z_A1DB4122_5E0E_11D2_8EC3_0008C77C0743_.wvu.PrintTitles" hidden="1">#REF!</definedName>
    <definedName name="Z_A1DB4131_5E0E_11D2_8EC3_0008C77C0743_.wvu.PrintArea" localSheetId="1" hidden="1">#REF!</definedName>
    <definedName name="Z_A1DB4131_5E0E_11D2_8EC3_0008C77C0743_.wvu.PrintArea" localSheetId="20" hidden="1">#REF!</definedName>
    <definedName name="Z_A1DB4131_5E0E_11D2_8EC3_0008C77C0743_.wvu.PrintArea" hidden="1">#REF!</definedName>
    <definedName name="Z_A1DB4131_5E0E_11D2_8EC3_0008C77C0743_.wvu.PrintTitles" localSheetId="1" hidden="1">#REF!</definedName>
    <definedName name="Z_A1DB4131_5E0E_11D2_8EC3_0008C77C0743_.wvu.PrintTitles" localSheetId="20" hidden="1">#REF!</definedName>
    <definedName name="Z_A1DB4131_5E0E_11D2_8EC3_0008C77C0743_.wvu.PrintTitles" hidden="1">#REF!</definedName>
    <definedName name="Z_A1DB413E_5E0E_11D2_8EC3_0008C77C0743_.wvu.PrintArea" localSheetId="1" hidden="1">#REF!</definedName>
    <definedName name="Z_A1DB413E_5E0E_11D2_8EC3_0008C77C0743_.wvu.PrintArea" localSheetId="20" hidden="1">#REF!</definedName>
    <definedName name="Z_A1DB413E_5E0E_11D2_8EC3_0008C77C0743_.wvu.PrintArea" hidden="1">#REF!</definedName>
    <definedName name="Z_A1DB413E_5E0E_11D2_8EC3_0008C77C0743_.wvu.PrintTitles" localSheetId="1" hidden="1">#REF!,#REF!</definedName>
    <definedName name="Z_A1DB413E_5E0E_11D2_8EC3_0008C77C0743_.wvu.PrintTitles" localSheetId="18" hidden="1">#REF!,#REF!</definedName>
    <definedName name="Z_A1DB413E_5E0E_11D2_8EC3_0008C77C0743_.wvu.PrintTitles" localSheetId="20" hidden="1">#REF!,#REF!</definedName>
    <definedName name="Z_A1DB413E_5E0E_11D2_8EC3_0008C77C0743_.wvu.PrintTitles" hidden="1">#REF!,#REF!</definedName>
    <definedName name="Z_A1DB414B_5E0E_11D2_8EC3_0008C77C0743_.wvu.PrintArea" localSheetId="1" hidden="1">#REF!</definedName>
    <definedName name="Z_A1DB414B_5E0E_11D2_8EC3_0008C77C0743_.wvu.PrintArea" localSheetId="18" hidden="1">#REF!</definedName>
    <definedName name="Z_A1DB414B_5E0E_11D2_8EC3_0008C77C0743_.wvu.PrintArea" localSheetId="20" hidden="1">#REF!</definedName>
    <definedName name="Z_A1DB414B_5E0E_11D2_8EC3_0008C77C0743_.wvu.PrintArea" hidden="1">#REF!</definedName>
    <definedName name="Z_A1DB414B_5E0E_11D2_8EC3_0008C77C0743_.wvu.PrintTitles" localSheetId="1" hidden="1">#REF!</definedName>
    <definedName name="Z_A1DB414B_5E0E_11D2_8EC3_0008C77C0743_.wvu.PrintTitles" localSheetId="20" hidden="1">#REF!</definedName>
    <definedName name="Z_A1DB414B_5E0E_11D2_8EC3_0008C77C0743_.wvu.PrintTitles" hidden="1">#REF!</definedName>
    <definedName name="Z_A1DB415A_5E0E_11D2_8EC3_0008C77C0743_.wvu.PrintArea" localSheetId="1" hidden="1">#REF!</definedName>
    <definedName name="Z_A1DB415A_5E0E_11D2_8EC3_0008C77C0743_.wvu.PrintArea" localSheetId="20" hidden="1">#REF!</definedName>
    <definedName name="Z_A1DB415A_5E0E_11D2_8EC3_0008C77C0743_.wvu.PrintArea" hidden="1">#REF!</definedName>
    <definedName name="Z_A1DB415A_5E0E_11D2_8EC3_0008C77C0743_.wvu.PrintTitles" localSheetId="1" hidden="1">#REF!</definedName>
    <definedName name="Z_A1DB415A_5E0E_11D2_8EC3_0008C77C0743_.wvu.PrintTitles" localSheetId="20" hidden="1">#REF!</definedName>
    <definedName name="Z_A1DB415A_5E0E_11D2_8EC3_0008C77C0743_.wvu.PrintTitles" hidden="1">#REF!</definedName>
    <definedName name="Z_A1DB4167_5E0E_11D2_8EC3_0008C77C0743_.wvu.PrintArea" localSheetId="1" hidden="1">#REF!</definedName>
    <definedName name="Z_A1DB4167_5E0E_11D2_8EC3_0008C77C0743_.wvu.PrintArea" localSheetId="20" hidden="1">#REF!</definedName>
    <definedName name="Z_A1DB4167_5E0E_11D2_8EC3_0008C77C0743_.wvu.PrintArea" hidden="1">#REF!</definedName>
    <definedName name="Z_A1DB4167_5E0E_11D2_8EC3_0008C77C0743_.wvu.PrintTitles" localSheetId="1" hidden="1">#REF!,#REF!</definedName>
    <definedName name="Z_A1DB4167_5E0E_11D2_8EC3_0008C77C0743_.wvu.PrintTitles" localSheetId="18" hidden="1">#REF!,#REF!</definedName>
    <definedName name="Z_A1DB4167_5E0E_11D2_8EC3_0008C77C0743_.wvu.PrintTitles" localSheetId="20" hidden="1">#REF!,#REF!</definedName>
    <definedName name="Z_A1DB4167_5E0E_11D2_8EC3_0008C77C0743_.wvu.PrintTitles" hidden="1">#REF!,#REF!</definedName>
    <definedName name="Z_A1DB4176_5E0E_11D2_8EC3_0008C77C0743_.wvu.PrintArea" localSheetId="1" hidden="1">#REF!</definedName>
    <definedName name="Z_A1DB4176_5E0E_11D2_8EC3_0008C77C0743_.wvu.PrintArea" localSheetId="18" hidden="1">#REF!</definedName>
    <definedName name="Z_A1DB4176_5E0E_11D2_8EC3_0008C77C0743_.wvu.PrintArea" localSheetId="20" hidden="1">#REF!</definedName>
    <definedName name="Z_A1DB4176_5E0E_11D2_8EC3_0008C77C0743_.wvu.PrintArea" hidden="1">#REF!</definedName>
    <definedName name="Z_A1DB4176_5E0E_11D2_8EC3_0008C77C0743_.wvu.PrintTitles" localSheetId="1" hidden="1">#REF!</definedName>
    <definedName name="Z_A1DB4176_5E0E_11D2_8EC3_0008C77C0743_.wvu.PrintTitles" localSheetId="20" hidden="1">#REF!</definedName>
    <definedName name="Z_A1DB4176_5E0E_11D2_8EC3_0008C77C0743_.wvu.PrintTitles" hidden="1">#REF!</definedName>
    <definedName name="Z_A1DB4185_5E0E_11D2_8EC3_0008C77C0743_.wvu.PrintArea" localSheetId="1" hidden="1">#REF!</definedName>
    <definedName name="Z_A1DB4185_5E0E_11D2_8EC3_0008C77C0743_.wvu.PrintArea" localSheetId="20" hidden="1">#REF!</definedName>
    <definedName name="Z_A1DB4185_5E0E_11D2_8EC3_0008C77C0743_.wvu.PrintArea" hidden="1">#REF!</definedName>
    <definedName name="Z_A1DB4185_5E0E_11D2_8EC3_0008C77C0743_.wvu.PrintTitles" localSheetId="1" hidden="1">#REF!</definedName>
    <definedName name="Z_A1DB4185_5E0E_11D2_8EC3_0008C77C0743_.wvu.PrintTitles" localSheetId="20" hidden="1">#REF!</definedName>
    <definedName name="Z_A1DB4185_5E0E_11D2_8EC3_0008C77C0743_.wvu.PrintTitles" hidden="1">#REF!</definedName>
    <definedName name="Z_A1DB4192_5E0E_11D2_8EC3_0008C77C0743_.wvu.PrintArea" localSheetId="1" hidden="1">#REF!</definedName>
    <definedName name="Z_A1DB4192_5E0E_11D2_8EC3_0008C77C0743_.wvu.PrintArea" localSheetId="20" hidden="1">#REF!</definedName>
    <definedName name="Z_A1DB4192_5E0E_11D2_8EC3_0008C77C0743_.wvu.PrintArea" hidden="1">#REF!</definedName>
    <definedName name="Z_A1DB4192_5E0E_11D2_8EC3_0008C77C0743_.wvu.PrintTitles" localSheetId="1" hidden="1">#REF!,#REF!</definedName>
    <definedName name="Z_A1DB4192_5E0E_11D2_8EC3_0008C77C0743_.wvu.PrintTitles" localSheetId="18" hidden="1">#REF!,#REF!</definedName>
    <definedName name="Z_A1DB4192_5E0E_11D2_8EC3_0008C77C0743_.wvu.PrintTitles" localSheetId="20" hidden="1">#REF!,#REF!</definedName>
    <definedName name="Z_A1DB4192_5E0E_11D2_8EC3_0008C77C0743_.wvu.PrintTitles" hidden="1">#REF!,#REF!</definedName>
    <definedName name="Z_A1DB41A0_5E0E_11D2_8EC3_0008C77C0743_.wvu.PrintArea" localSheetId="1" hidden="1">#REF!</definedName>
    <definedName name="Z_A1DB41A0_5E0E_11D2_8EC3_0008C77C0743_.wvu.PrintArea" localSheetId="18" hidden="1">#REF!</definedName>
    <definedName name="Z_A1DB41A0_5E0E_11D2_8EC3_0008C77C0743_.wvu.PrintArea" localSheetId="20" hidden="1">#REF!</definedName>
    <definedName name="Z_A1DB41A0_5E0E_11D2_8EC3_0008C77C0743_.wvu.PrintArea" hidden="1">#REF!</definedName>
    <definedName name="Z_A1DB41A0_5E0E_11D2_8EC3_0008C77C0743_.wvu.PrintTitles" localSheetId="1" hidden="1">#REF!</definedName>
    <definedName name="Z_A1DB41A0_5E0E_11D2_8EC3_0008C77C0743_.wvu.PrintTitles" localSheetId="20" hidden="1">#REF!</definedName>
    <definedName name="Z_A1DB41A0_5E0E_11D2_8EC3_0008C77C0743_.wvu.PrintTitles" hidden="1">#REF!</definedName>
    <definedName name="Z_A1DB41AF_5E0E_11D2_8EC3_0008C77C0743_.wvu.PrintArea" localSheetId="1" hidden="1">#REF!</definedName>
    <definedName name="Z_A1DB41AF_5E0E_11D2_8EC3_0008C77C0743_.wvu.PrintArea" localSheetId="20" hidden="1">#REF!</definedName>
    <definedName name="Z_A1DB41AF_5E0E_11D2_8EC3_0008C77C0743_.wvu.PrintArea" hidden="1">#REF!</definedName>
    <definedName name="Z_A1DB41AF_5E0E_11D2_8EC3_0008C77C0743_.wvu.PrintTitles" localSheetId="1" hidden="1">#REF!</definedName>
    <definedName name="Z_A1DB41AF_5E0E_11D2_8EC3_0008C77C0743_.wvu.PrintTitles" localSheetId="20" hidden="1">#REF!</definedName>
    <definedName name="Z_A1DB41AF_5E0E_11D2_8EC3_0008C77C0743_.wvu.PrintTitles" hidden="1">#REF!</definedName>
    <definedName name="Z_A1DB41BC_5E0E_11D2_8EC3_0008C77C0743_.wvu.PrintArea" localSheetId="1" hidden="1">#REF!</definedName>
    <definedName name="Z_A1DB41BC_5E0E_11D2_8EC3_0008C77C0743_.wvu.PrintArea" localSheetId="20" hidden="1">#REF!</definedName>
    <definedName name="Z_A1DB41BC_5E0E_11D2_8EC3_0008C77C0743_.wvu.PrintArea" hidden="1">#REF!</definedName>
    <definedName name="Z_A1DB41BC_5E0E_11D2_8EC3_0008C77C0743_.wvu.PrintTitles" localSheetId="1" hidden="1">#REF!,#REF!</definedName>
    <definedName name="Z_A1DB41BC_5E0E_11D2_8EC3_0008C77C0743_.wvu.PrintTitles" localSheetId="18" hidden="1">#REF!,#REF!</definedName>
    <definedName name="Z_A1DB41BC_5E0E_11D2_8EC3_0008C77C0743_.wvu.PrintTitles" localSheetId="20" hidden="1">#REF!,#REF!</definedName>
    <definedName name="Z_A1DB41BC_5E0E_11D2_8EC3_0008C77C0743_.wvu.PrintTitles" hidden="1">#REF!,#REF!</definedName>
    <definedName name="Z_B6FCCF30_1696_11D2_8E91_0008C77C21AF_.wvu.PrintArea" localSheetId="1" hidden="1">#REF!</definedName>
    <definedName name="Z_B6FCCF30_1696_11D2_8E91_0008C77C21AF_.wvu.PrintArea" localSheetId="18" hidden="1">#REF!</definedName>
    <definedName name="Z_B6FCCF30_1696_11D2_8E91_0008C77C21AF_.wvu.PrintArea" localSheetId="20" hidden="1">#REF!</definedName>
    <definedName name="Z_B6FCCF30_1696_11D2_8E91_0008C77C21AF_.wvu.PrintArea" hidden="1">#REF!</definedName>
    <definedName name="Z_B6FCCF30_1696_11D2_8E91_0008C77C21AF_.wvu.PrintTitles" localSheetId="1" hidden="1">#REF!,#REF!</definedName>
    <definedName name="Z_B6FCCF30_1696_11D2_8E91_0008C77C21AF_.wvu.PrintTitles" localSheetId="18" hidden="1">#REF!,#REF!</definedName>
    <definedName name="Z_B6FCCF30_1696_11D2_8E91_0008C77C21AF_.wvu.PrintTitles" localSheetId="20" hidden="1">#REF!,#REF!</definedName>
    <definedName name="Z_B6FCCF30_1696_11D2_8E91_0008C77C21AF_.wvu.PrintTitles" hidden="1">#REF!,#REF!</definedName>
    <definedName name="Z_B6FCCF32_1696_11D2_8E91_0008C77C21AF_.wvu.PrintArea" localSheetId="1" hidden="1">#REF!</definedName>
    <definedName name="Z_B6FCCF32_1696_11D2_8E91_0008C77C21AF_.wvu.PrintArea" localSheetId="18" hidden="1">#REF!</definedName>
    <definedName name="Z_B6FCCF32_1696_11D2_8E91_0008C77C21AF_.wvu.PrintArea" localSheetId="20" hidden="1">#REF!</definedName>
    <definedName name="Z_B6FCCF32_1696_11D2_8E91_0008C77C21AF_.wvu.PrintArea" hidden="1">#REF!</definedName>
    <definedName name="Z_B6FCCF32_1696_11D2_8E91_0008C77C21AF_.wvu.PrintTitles" localSheetId="1" hidden="1">#REF!</definedName>
    <definedName name="Z_B6FCCF32_1696_11D2_8E91_0008C77C21AF_.wvu.PrintTitles" localSheetId="20" hidden="1">#REF!</definedName>
    <definedName name="Z_B6FCCF32_1696_11D2_8E91_0008C77C21AF_.wvu.PrintTitles" hidden="1">#REF!</definedName>
    <definedName name="Z_B6FCCF35_1696_11D2_8E91_0008C77C21AF_.wvu.PrintArea" localSheetId="1" hidden="1">#REF!</definedName>
    <definedName name="Z_B6FCCF35_1696_11D2_8E91_0008C77C21AF_.wvu.PrintArea" localSheetId="20" hidden="1">#REF!</definedName>
    <definedName name="Z_B6FCCF35_1696_11D2_8E91_0008C77C21AF_.wvu.PrintArea" hidden="1">#REF!</definedName>
    <definedName name="Z_B6FCCF35_1696_11D2_8E91_0008C77C21AF_.wvu.PrintTitles" localSheetId="1" hidden="1">#REF!,#REF!</definedName>
    <definedName name="Z_B6FCCF35_1696_11D2_8E91_0008C77C21AF_.wvu.PrintTitles" localSheetId="18" hidden="1">#REF!,#REF!</definedName>
    <definedName name="Z_B6FCCF35_1696_11D2_8E91_0008C77C21AF_.wvu.PrintTitles" localSheetId="20" hidden="1">#REF!,#REF!</definedName>
    <definedName name="Z_B6FCCF35_1696_11D2_8E91_0008C77C21AF_.wvu.PrintTitles" hidden="1">#REF!,#REF!</definedName>
    <definedName name="Z_B6FCCF37_1696_11D2_8E91_0008C77C21AF_.wvu.PrintArea" localSheetId="1" hidden="1">#REF!</definedName>
    <definedName name="Z_B6FCCF37_1696_11D2_8E91_0008C77C21AF_.wvu.PrintArea" localSheetId="18" hidden="1">#REF!</definedName>
    <definedName name="Z_B6FCCF37_1696_11D2_8E91_0008C77C21AF_.wvu.PrintArea" localSheetId="20" hidden="1">#REF!</definedName>
    <definedName name="Z_B6FCCF37_1696_11D2_8E91_0008C77C21AF_.wvu.PrintArea" hidden="1">#REF!</definedName>
    <definedName name="Z_B6FCCF37_1696_11D2_8E91_0008C77C21AF_.wvu.PrintTitles" localSheetId="1" hidden="1">#REF!,#REF!</definedName>
    <definedName name="Z_B6FCCF37_1696_11D2_8E91_0008C77C21AF_.wvu.PrintTitles" localSheetId="18" hidden="1">#REF!,#REF!</definedName>
    <definedName name="Z_B6FCCF37_1696_11D2_8E91_0008C77C21AF_.wvu.PrintTitles" localSheetId="20" hidden="1">#REF!,#REF!</definedName>
    <definedName name="Z_B6FCCF37_1696_11D2_8E91_0008C77C21AF_.wvu.PrintTitles" hidden="1">#REF!,#REF!</definedName>
    <definedName name="Z_B6FCCF39_1696_11D2_8E91_0008C77C21AF_.wvu.PrintArea" localSheetId="1" hidden="1">#REF!</definedName>
    <definedName name="Z_B6FCCF39_1696_11D2_8E91_0008C77C21AF_.wvu.PrintArea" localSheetId="18" hidden="1">#REF!</definedName>
    <definedName name="Z_B6FCCF39_1696_11D2_8E91_0008C77C21AF_.wvu.PrintArea" localSheetId="20" hidden="1">#REF!</definedName>
    <definedName name="Z_B6FCCF39_1696_11D2_8E91_0008C77C21AF_.wvu.PrintArea" hidden="1">#REF!</definedName>
    <definedName name="Z_B6FCCF39_1696_11D2_8E91_0008C77C21AF_.wvu.PrintTitles" localSheetId="1" hidden="1">#REF!</definedName>
    <definedName name="Z_B6FCCF39_1696_11D2_8E91_0008C77C21AF_.wvu.PrintTitles" localSheetId="20" hidden="1">#REF!</definedName>
    <definedName name="Z_B6FCCF39_1696_11D2_8E91_0008C77C21AF_.wvu.PrintTitles" hidden="1">#REF!</definedName>
    <definedName name="Z_B6FCCF3C_1696_11D2_8E91_0008C77C21AF_.wvu.PrintArea" localSheetId="1" hidden="1">#REF!</definedName>
    <definedName name="Z_B6FCCF3C_1696_11D2_8E91_0008C77C21AF_.wvu.PrintArea" localSheetId="20" hidden="1">#REF!</definedName>
    <definedName name="Z_B6FCCF3C_1696_11D2_8E91_0008C77C21AF_.wvu.PrintArea" hidden="1">#REF!</definedName>
    <definedName name="Z_B6FCCF3C_1696_11D2_8E91_0008C77C21AF_.wvu.PrintTitles" localSheetId="1" hidden="1">#REF!,#REF!</definedName>
    <definedName name="Z_B6FCCF3C_1696_11D2_8E91_0008C77C21AF_.wvu.PrintTitles" localSheetId="18" hidden="1">#REF!,#REF!</definedName>
    <definedName name="Z_B6FCCF3C_1696_11D2_8E91_0008C77C21AF_.wvu.PrintTitles" localSheetId="20" hidden="1">#REF!,#REF!</definedName>
    <definedName name="Z_B6FCCF3C_1696_11D2_8E91_0008C77C21AF_.wvu.PrintTitles" hidden="1">#REF!,#REF!</definedName>
    <definedName name="Z_B6FCCF3E_1696_11D2_8E91_0008C77C21AF_.wvu.PrintArea" localSheetId="1" hidden="1">#REF!</definedName>
    <definedName name="Z_B6FCCF3E_1696_11D2_8E91_0008C77C21AF_.wvu.PrintArea" localSheetId="18" hidden="1">#REF!</definedName>
    <definedName name="Z_B6FCCF3E_1696_11D2_8E91_0008C77C21AF_.wvu.PrintArea" localSheetId="20" hidden="1">#REF!</definedName>
    <definedName name="Z_B6FCCF3E_1696_11D2_8E91_0008C77C21AF_.wvu.PrintArea" hidden="1">#REF!</definedName>
    <definedName name="Z_B6FCCF3E_1696_11D2_8E91_0008C77C21AF_.wvu.PrintTitles" localSheetId="1" hidden="1">#REF!,#REF!</definedName>
    <definedName name="Z_B6FCCF3E_1696_11D2_8E91_0008C77C21AF_.wvu.PrintTitles" localSheetId="18" hidden="1">#REF!,#REF!</definedName>
    <definedName name="Z_B6FCCF3E_1696_11D2_8E91_0008C77C21AF_.wvu.PrintTitles" localSheetId="20" hidden="1">#REF!,#REF!</definedName>
    <definedName name="Z_B6FCCF3E_1696_11D2_8E91_0008C77C21AF_.wvu.PrintTitles" hidden="1">#REF!,#REF!</definedName>
    <definedName name="Z_BDFEE6B6_734C_11D2_8E68_0008C77C0743_.wvu.PrintArea" localSheetId="1" hidden="1">#REF!</definedName>
    <definedName name="Z_BDFEE6B6_734C_11D2_8E68_0008C77C0743_.wvu.PrintArea" localSheetId="18" hidden="1">#REF!</definedName>
    <definedName name="Z_BDFEE6B6_734C_11D2_8E68_0008C77C0743_.wvu.PrintArea" localSheetId="20" hidden="1">#REF!</definedName>
    <definedName name="Z_BDFEE6B6_734C_11D2_8E68_0008C77C0743_.wvu.PrintArea" hidden="1">#REF!</definedName>
    <definedName name="Z_BDFEE6B6_734C_11D2_8E68_0008C77C0743_.wvu.PrintTitles" localSheetId="1" hidden="1">#REF!,#REF!</definedName>
    <definedName name="Z_BDFEE6B6_734C_11D2_8E68_0008C77C0743_.wvu.PrintTitles" localSheetId="18" hidden="1">#REF!,#REF!</definedName>
    <definedName name="Z_BDFEE6B6_734C_11D2_8E68_0008C77C0743_.wvu.PrintTitles" localSheetId="20" hidden="1">#REF!,#REF!</definedName>
    <definedName name="Z_BDFEE6B6_734C_11D2_8E68_0008C77C0743_.wvu.PrintTitles" hidden="1">#REF!,#REF!</definedName>
    <definedName name="Z_BDFEE6B9_734C_11D2_8E68_0008C77C0743_.wvu.PrintArea" localSheetId="1" hidden="1">#REF!</definedName>
    <definedName name="Z_BDFEE6B9_734C_11D2_8E68_0008C77C0743_.wvu.PrintArea" localSheetId="18" hidden="1">#REF!</definedName>
    <definedName name="Z_BDFEE6B9_734C_11D2_8E68_0008C77C0743_.wvu.PrintArea" localSheetId="20" hidden="1">#REF!</definedName>
    <definedName name="Z_BDFEE6B9_734C_11D2_8E68_0008C77C0743_.wvu.PrintArea" hidden="1">#REF!</definedName>
    <definedName name="Z_BDFEE6B9_734C_11D2_8E68_0008C77C0743_.wvu.PrintTitles" localSheetId="1" hidden="1">#REF!,#REF!</definedName>
    <definedName name="Z_BDFEE6B9_734C_11D2_8E68_0008C77C0743_.wvu.PrintTitles" localSheetId="18" hidden="1">#REF!,#REF!</definedName>
    <definedName name="Z_BDFEE6B9_734C_11D2_8E68_0008C77C0743_.wvu.PrintTitles" localSheetId="20" hidden="1">#REF!,#REF!</definedName>
    <definedName name="Z_BDFEE6B9_734C_11D2_8E68_0008C77C0743_.wvu.PrintTitles" hidden="1">#REF!,#REF!</definedName>
    <definedName name="Z_BDFEE6BB_734C_11D2_8E68_0008C77C0743_.wvu.PrintArea" localSheetId="1" hidden="1">#REF!</definedName>
    <definedName name="Z_BDFEE6BB_734C_11D2_8E68_0008C77C0743_.wvu.PrintArea" localSheetId="18" hidden="1">#REF!</definedName>
    <definedName name="Z_BDFEE6BB_734C_11D2_8E68_0008C77C0743_.wvu.PrintArea" localSheetId="20" hidden="1">#REF!</definedName>
    <definedName name="Z_BDFEE6BB_734C_11D2_8E68_0008C77C0743_.wvu.PrintArea" hidden="1">#REF!</definedName>
    <definedName name="Z_BDFEE6BB_734C_11D2_8E68_0008C77C0743_.wvu.PrintTitles" localSheetId="1" hidden="1">#REF!,#REF!</definedName>
    <definedName name="Z_BDFEE6BB_734C_11D2_8E68_0008C77C0743_.wvu.PrintTitles" localSheetId="18" hidden="1">#REF!,#REF!</definedName>
    <definedName name="Z_BDFEE6BB_734C_11D2_8E68_0008C77C0743_.wvu.PrintTitles" localSheetId="20" hidden="1">#REF!,#REF!</definedName>
    <definedName name="Z_BDFEE6BB_734C_11D2_8E68_0008C77C0743_.wvu.PrintTitles" hidden="1">#REF!,#REF!</definedName>
    <definedName name="Z_BDFEE6C1_734C_11D2_8E68_0008C77C0743_.wvu.PrintArea" localSheetId="1" hidden="1">#REF!</definedName>
    <definedName name="Z_BDFEE6C1_734C_11D2_8E68_0008C77C0743_.wvu.PrintArea" localSheetId="18" hidden="1">#REF!</definedName>
    <definedName name="Z_BDFEE6C1_734C_11D2_8E68_0008C77C0743_.wvu.PrintArea" localSheetId="20" hidden="1">#REF!</definedName>
    <definedName name="Z_BDFEE6C1_734C_11D2_8E68_0008C77C0743_.wvu.PrintArea" hidden="1">#REF!</definedName>
    <definedName name="Z_BDFEE6C1_734C_11D2_8E68_0008C77C0743_.wvu.PrintTitles" localSheetId="1" hidden="1">#REF!</definedName>
    <definedName name="Z_BDFEE6C1_734C_11D2_8E68_0008C77C0743_.wvu.PrintTitles" localSheetId="20" hidden="1">#REF!</definedName>
    <definedName name="Z_BDFEE6C1_734C_11D2_8E68_0008C77C0743_.wvu.PrintTitles" hidden="1">#REF!</definedName>
    <definedName name="Z_BDFEE6C3_734C_11D2_8E68_0008C77C0743_.wvu.PrintArea" localSheetId="1" hidden="1">#REF!</definedName>
    <definedName name="Z_BDFEE6C3_734C_11D2_8E68_0008C77C0743_.wvu.PrintArea" localSheetId="20" hidden="1">#REF!</definedName>
    <definedName name="Z_BDFEE6C3_734C_11D2_8E68_0008C77C0743_.wvu.PrintArea" hidden="1">#REF!</definedName>
    <definedName name="Z_BDFEE6C3_734C_11D2_8E68_0008C77C0743_.wvu.PrintTitles" localSheetId="1" hidden="1">#REF!</definedName>
    <definedName name="Z_BDFEE6C3_734C_11D2_8E68_0008C77C0743_.wvu.PrintTitles" localSheetId="20" hidden="1">#REF!</definedName>
    <definedName name="Z_BDFEE6C3_734C_11D2_8E68_0008C77C0743_.wvu.PrintTitles" hidden="1">#REF!</definedName>
    <definedName name="Z_BDFEE6C5_734C_11D2_8E68_0008C77C0743_.wvu.PrintArea" localSheetId="1" hidden="1">#REF!</definedName>
    <definedName name="Z_BDFEE6C5_734C_11D2_8E68_0008C77C0743_.wvu.PrintArea" localSheetId="20" hidden="1">#REF!</definedName>
    <definedName name="Z_BDFEE6C5_734C_11D2_8E68_0008C77C0743_.wvu.PrintArea" hidden="1">#REF!</definedName>
    <definedName name="Z_BDFEE6C5_734C_11D2_8E68_0008C77C0743_.wvu.PrintTitles" localSheetId="1" hidden="1">#REF!</definedName>
    <definedName name="Z_BDFEE6C5_734C_11D2_8E68_0008C77C0743_.wvu.PrintTitles" localSheetId="20" hidden="1">#REF!</definedName>
    <definedName name="Z_BDFEE6C5_734C_11D2_8E68_0008C77C0743_.wvu.PrintTitles" hidden="1">#REF!</definedName>
    <definedName name="Z_BDFEE6CE_734C_11D2_8E68_0008C77C0743_.wvu.PrintArea" localSheetId="1" hidden="1">#REF!</definedName>
    <definedName name="Z_BDFEE6CE_734C_11D2_8E68_0008C77C0743_.wvu.PrintArea" localSheetId="20" hidden="1">#REF!</definedName>
    <definedName name="Z_BDFEE6CE_734C_11D2_8E68_0008C77C0743_.wvu.PrintArea" hidden="1">#REF!</definedName>
    <definedName name="Z_BDFEE6CE_734C_11D2_8E68_0008C77C0743_.wvu.PrintTitles" localSheetId="1" hidden="1">#REF!,#REF!</definedName>
    <definedName name="Z_BDFEE6CE_734C_11D2_8E68_0008C77C0743_.wvu.PrintTitles" localSheetId="18" hidden="1">#REF!,#REF!</definedName>
    <definedName name="Z_BDFEE6CE_734C_11D2_8E68_0008C77C0743_.wvu.PrintTitles" localSheetId="20" hidden="1">#REF!,#REF!</definedName>
    <definedName name="Z_BDFEE6CE_734C_11D2_8E68_0008C77C0743_.wvu.PrintTitles" hidden="1">#REF!,#REF!</definedName>
    <definedName name="Z_BDFEE6D1_734C_11D2_8E68_0008C77C0743_.wvu.PrintArea" localSheetId="1" hidden="1">#REF!</definedName>
    <definedName name="Z_BDFEE6D1_734C_11D2_8E68_0008C77C0743_.wvu.PrintArea" localSheetId="18" hidden="1">#REF!</definedName>
    <definedName name="Z_BDFEE6D1_734C_11D2_8E68_0008C77C0743_.wvu.PrintArea" localSheetId="20" hidden="1">#REF!</definedName>
    <definedName name="Z_BDFEE6D1_734C_11D2_8E68_0008C77C0743_.wvu.PrintArea" hidden="1">#REF!</definedName>
    <definedName name="Z_BDFEE6D1_734C_11D2_8E68_0008C77C0743_.wvu.PrintTitles" localSheetId="1" hidden="1">#REF!,#REF!</definedName>
    <definedName name="Z_BDFEE6D1_734C_11D2_8E68_0008C77C0743_.wvu.PrintTitles" localSheetId="18" hidden="1">#REF!,#REF!</definedName>
    <definedName name="Z_BDFEE6D1_734C_11D2_8E68_0008C77C0743_.wvu.PrintTitles" localSheetId="20" hidden="1">#REF!,#REF!</definedName>
    <definedName name="Z_BDFEE6D1_734C_11D2_8E68_0008C77C0743_.wvu.PrintTitles" hidden="1">#REF!,#REF!</definedName>
    <definedName name="Z_BDFEE6D3_734C_11D2_8E68_0008C77C0743_.wvu.PrintArea" localSheetId="1" hidden="1">#REF!</definedName>
    <definedName name="Z_BDFEE6D3_734C_11D2_8E68_0008C77C0743_.wvu.PrintArea" localSheetId="18" hidden="1">#REF!</definedName>
    <definedName name="Z_BDFEE6D3_734C_11D2_8E68_0008C77C0743_.wvu.PrintArea" localSheetId="20" hidden="1">#REF!</definedName>
    <definedName name="Z_BDFEE6D3_734C_11D2_8E68_0008C77C0743_.wvu.PrintArea" hidden="1">#REF!</definedName>
    <definedName name="Z_BDFEE6D3_734C_11D2_8E68_0008C77C0743_.wvu.PrintTitles" localSheetId="1" hidden="1">#REF!,#REF!</definedName>
    <definedName name="Z_BDFEE6D3_734C_11D2_8E68_0008C77C0743_.wvu.PrintTitles" localSheetId="18" hidden="1">#REF!,#REF!</definedName>
    <definedName name="Z_BDFEE6D3_734C_11D2_8E68_0008C77C0743_.wvu.PrintTitles" localSheetId="20" hidden="1">#REF!,#REF!</definedName>
    <definedName name="Z_BDFEE6D3_734C_11D2_8E68_0008C77C0743_.wvu.PrintTitles" hidden="1">#REF!,#REF!</definedName>
    <definedName name="Z_BDFEE6D7_734C_11D2_8E68_0008C77C0743_.wvu.PrintArea" localSheetId="1" hidden="1">#REF!</definedName>
    <definedName name="Z_BDFEE6D7_734C_11D2_8E68_0008C77C0743_.wvu.PrintArea" localSheetId="18" hidden="1">#REF!</definedName>
    <definedName name="Z_BDFEE6D7_734C_11D2_8E68_0008C77C0743_.wvu.PrintArea" localSheetId="20" hidden="1">#REF!</definedName>
    <definedName name="Z_BDFEE6D7_734C_11D2_8E68_0008C77C0743_.wvu.PrintArea" hidden="1">#REF!</definedName>
    <definedName name="Z_BDFEE6D7_734C_11D2_8E68_0008C77C0743_.wvu.PrintTitles" localSheetId="1" hidden="1">#REF!,#REF!</definedName>
    <definedName name="Z_BDFEE6D7_734C_11D2_8E68_0008C77C0743_.wvu.PrintTitles" localSheetId="18" hidden="1">#REF!,#REF!</definedName>
    <definedName name="Z_BDFEE6D7_734C_11D2_8E68_0008C77C0743_.wvu.PrintTitles" localSheetId="20" hidden="1">#REF!,#REF!</definedName>
    <definedName name="Z_BDFEE6D7_734C_11D2_8E68_0008C77C0743_.wvu.PrintTitles" hidden="1">#REF!,#REF!</definedName>
    <definedName name="Z_BDFEE6DA_734C_11D2_8E68_0008C77C0743_.wvu.PrintArea" localSheetId="1" hidden="1">#REF!</definedName>
    <definedName name="Z_BDFEE6DA_734C_11D2_8E68_0008C77C0743_.wvu.PrintArea" localSheetId="18" hidden="1">#REF!</definedName>
    <definedName name="Z_BDFEE6DA_734C_11D2_8E68_0008C77C0743_.wvu.PrintArea" localSheetId="20" hidden="1">#REF!</definedName>
    <definedName name="Z_BDFEE6DA_734C_11D2_8E68_0008C77C0743_.wvu.PrintArea" hidden="1">#REF!</definedName>
    <definedName name="Z_BDFEE6DA_734C_11D2_8E68_0008C77C0743_.wvu.PrintTitles" localSheetId="1" hidden="1">#REF!,#REF!</definedName>
    <definedName name="Z_BDFEE6DA_734C_11D2_8E68_0008C77C0743_.wvu.PrintTitles" localSheetId="18" hidden="1">#REF!,#REF!</definedName>
    <definedName name="Z_BDFEE6DA_734C_11D2_8E68_0008C77C0743_.wvu.PrintTitles" localSheetId="20" hidden="1">#REF!,#REF!</definedName>
    <definedName name="Z_BDFEE6DA_734C_11D2_8E68_0008C77C0743_.wvu.PrintTitles" hidden="1">#REF!,#REF!</definedName>
    <definedName name="Z_BDFEE6DC_734C_11D2_8E68_0008C77C0743_.wvu.PrintArea" localSheetId="1" hidden="1">#REF!</definedName>
    <definedName name="Z_BDFEE6DC_734C_11D2_8E68_0008C77C0743_.wvu.PrintArea" localSheetId="18" hidden="1">#REF!</definedName>
    <definedName name="Z_BDFEE6DC_734C_11D2_8E68_0008C77C0743_.wvu.PrintArea" localSheetId="20" hidden="1">#REF!</definedName>
    <definedName name="Z_BDFEE6DC_734C_11D2_8E68_0008C77C0743_.wvu.PrintArea" hidden="1">#REF!</definedName>
    <definedName name="Z_BDFEE6DC_734C_11D2_8E68_0008C77C0743_.wvu.PrintTitles" localSheetId="1" hidden="1">#REF!,#REF!</definedName>
    <definedName name="Z_BDFEE6DC_734C_11D2_8E68_0008C77C0743_.wvu.PrintTitles" localSheetId="18" hidden="1">#REF!,#REF!</definedName>
    <definedName name="Z_BDFEE6DC_734C_11D2_8E68_0008C77C0743_.wvu.PrintTitles" localSheetId="20" hidden="1">#REF!,#REF!</definedName>
    <definedName name="Z_BDFEE6DC_734C_11D2_8E68_0008C77C0743_.wvu.PrintTitles" hidden="1">#REF!,#REF!</definedName>
    <definedName name="Z_BDFEE6E2_734C_11D2_8E68_0008C77C0743_.wvu.PrintArea" localSheetId="1" hidden="1">#REF!</definedName>
    <definedName name="Z_BDFEE6E2_734C_11D2_8E68_0008C77C0743_.wvu.PrintArea" localSheetId="18" hidden="1">#REF!</definedName>
    <definedName name="Z_BDFEE6E2_734C_11D2_8E68_0008C77C0743_.wvu.PrintArea" localSheetId="20" hidden="1">#REF!</definedName>
    <definedName name="Z_BDFEE6E2_734C_11D2_8E68_0008C77C0743_.wvu.PrintArea" hidden="1">#REF!</definedName>
    <definedName name="Z_BDFEE6E2_734C_11D2_8E68_0008C77C0743_.wvu.PrintTitles" localSheetId="1" hidden="1">#REF!</definedName>
    <definedName name="Z_BDFEE6E2_734C_11D2_8E68_0008C77C0743_.wvu.PrintTitles" localSheetId="20" hidden="1">#REF!</definedName>
    <definedName name="Z_BDFEE6E2_734C_11D2_8E68_0008C77C0743_.wvu.PrintTitles" hidden="1">#REF!</definedName>
    <definedName name="Z_BDFEE6E4_734C_11D2_8E68_0008C77C0743_.wvu.PrintArea" localSheetId="1" hidden="1">#REF!</definedName>
    <definedName name="Z_BDFEE6E4_734C_11D2_8E68_0008C77C0743_.wvu.PrintArea" localSheetId="20" hidden="1">#REF!</definedName>
    <definedName name="Z_BDFEE6E4_734C_11D2_8E68_0008C77C0743_.wvu.PrintArea" hidden="1">#REF!</definedName>
    <definedName name="Z_BDFEE6E4_734C_11D2_8E68_0008C77C0743_.wvu.PrintTitles" localSheetId="1" hidden="1">#REF!</definedName>
    <definedName name="Z_BDFEE6E4_734C_11D2_8E68_0008C77C0743_.wvu.PrintTitles" localSheetId="20" hidden="1">#REF!</definedName>
    <definedName name="Z_BDFEE6E4_734C_11D2_8E68_0008C77C0743_.wvu.PrintTitles" hidden="1">#REF!</definedName>
    <definedName name="Z_BDFEE6E6_734C_11D2_8E68_0008C77C0743_.wvu.PrintArea" localSheetId="1" hidden="1">#REF!</definedName>
    <definedName name="Z_BDFEE6E6_734C_11D2_8E68_0008C77C0743_.wvu.PrintArea" localSheetId="20" hidden="1">#REF!</definedName>
    <definedName name="Z_BDFEE6E6_734C_11D2_8E68_0008C77C0743_.wvu.PrintArea" hidden="1">#REF!</definedName>
    <definedName name="Z_BDFEE6E6_734C_11D2_8E68_0008C77C0743_.wvu.PrintTitles" localSheetId="1" hidden="1">#REF!</definedName>
    <definedName name="Z_BDFEE6E6_734C_11D2_8E68_0008C77C0743_.wvu.PrintTitles" localSheetId="20" hidden="1">#REF!</definedName>
    <definedName name="Z_BDFEE6E6_734C_11D2_8E68_0008C77C0743_.wvu.PrintTitles" hidden="1">#REF!</definedName>
    <definedName name="Z_BDFEE6EF_734C_11D2_8E68_0008C77C0743_.wvu.PrintArea" localSheetId="1" hidden="1">#REF!</definedName>
    <definedName name="Z_BDFEE6EF_734C_11D2_8E68_0008C77C0743_.wvu.PrintArea" localSheetId="20" hidden="1">#REF!</definedName>
    <definedName name="Z_BDFEE6EF_734C_11D2_8E68_0008C77C0743_.wvu.PrintArea" hidden="1">#REF!</definedName>
    <definedName name="Z_BDFEE6EF_734C_11D2_8E68_0008C77C0743_.wvu.PrintTitles" localSheetId="1" hidden="1">#REF!,#REF!</definedName>
    <definedName name="Z_BDFEE6EF_734C_11D2_8E68_0008C77C0743_.wvu.PrintTitles" localSheetId="18" hidden="1">#REF!,#REF!</definedName>
    <definedName name="Z_BDFEE6EF_734C_11D2_8E68_0008C77C0743_.wvu.PrintTitles" localSheetId="20" hidden="1">#REF!,#REF!</definedName>
    <definedName name="Z_BDFEE6EF_734C_11D2_8E68_0008C77C0743_.wvu.PrintTitles" hidden="1">#REF!,#REF!</definedName>
    <definedName name="Z_BDFEE6F2_734C_11D2_8E68_0008C77C0743_.wvu.PrintArea" localSheetId="1" hidden="1">#REF!</definedName>
    <definedName name="Z_BDFEE6F2_734C_11D2_8E68_0008C77C0743_.wvu.PrintArea" localSheetId="18" hidden="1">#REF!</definedName>
    <definedName name="Z_BDFEE6F2_734C_11D2_8E68_0008C77C0743_.wvu.PrintArea" localSheetId="20" hidden="1">#REF!</definedName>
    <definedName name="Z_BDFEE6F2_734C_11D2_8E68_0008C77C0743_.wvu.PrintArea" hidden="1">#REF!</definedName>
    <definedName name="Z_BDFEE6F2_734C_11D2_8E68_0008C77C0743_.wvu.PrintTitles" localSheetId="1" hidden="1">#REF!,#REF!</definedName>
    <definedName name="Z_BDFEE6F2_734C_11D2_8E68_0008C77C0743_.wvu.PrintTitles" localSheetId="18" hidden="1">#REF!,#REF!</definedName>
    <definedName name="Z_BDFEE6F2_734C_11D2_8E68_0008C77C0743_.wvu.PrintTitles" localSheetId="20" hidden="1">#REF!,#REF!</definedName>
    <definedName name="Z_BDFEE6F2_734C_11D2_8E68_0008C77C0743_.wvu.PrintTitles" hidden="1">#REF!,#REF!</definedName>
    <definedName name="Z_BDFEE6F4_734C_11D2_8E68_0008C77C0743_.wvu.PrintArea" localSheetId="1" hidden="1">#REF!</definedName>
    <definedName name="Z_BDFEE6F4_734C_11D2_8E68_0008C77C0743_.wvu.PrintArea" localSheetId="18" hidden="1">#REF!</definedName>
    <definedName name="Z_BDFEE6F4_734C_11D2_8E68_0008C77C0743_.wvu.PrintArea" localSheetId="20" hidden="1">#REF!</definedName>
    <definedName name="Z_BDFEE6F4_734C_11D2_8E68_0008C77C0743_.wvu.PrintArea" hidden="1">#REF!</definedName>
    <definedName name="Z_BDFEE6F4_734C_11D2_8E68_0008C77C0743_.wvu.PrintTitles" localSheetId="1" hidden="1">#REF!,#REF!</definedName>
    <definedName name="Z_BDFEE6F4_734C_11D2_8E68_0008C77C0743_.wvu.PrintTitles" localSheetId="18" hidden="1">#REF!,#REF!</definedName>
    <definedName name="Z_BDFEE6F4_734C_11D2_8E68_0008C77C0743_.wvu.PrintTitles" localSheetId="20" hidden="1">#REF!,#REF!</definedName>
    <definedName name="Z_BDFEE6F4_734C_11D2_8E68_0008C77C0743_.wvu.PrintTitles" hidden="1">#REF!,#REF!</definedName>
    <definedName name="Z_BDFEE6FA_734C_11D2_8E68_0008C77C0743_.wvu.PrintArea" localSheetId="1" hidden="1">#REF!</definedName>
    <definedName name="Z_BDFEE6FA_734C_11D2_8E68_0008C77C0743_.wvu.PrintArea" localSheetId="18" hidden="1">#REF!</definedName>
    <definedName name="Z_BDFEE6FA_734C_11D2_8E68_0008C77C0743_.wvu.PrintArea" localSheetId="20" hidden="1">#REF!</definedName>
    <definedName name="Z_BDFEE6FA_734C_11D2_8E68_0008C77C0743_.wvu.PrintArea" hidden="1">#REF!</definedName>
    <definedName name="Z_BDFEE6FA_734C_11D2_8E68_0008C77C0743_.wvu.PrintTitles" localSheetId="1" hidden="1">#REF!,#REF!</definedName>
    <definedName name="Z_BDFEE6FA_734C_11D2_8E68_0008C77C0743_.wvu.PrintTitles" localSheetId="18" hidden="1">#REF!,#REF!</definedName>
    <definedName name="Z_BDFEE6FA_734C_11D2_8E68_0008C77C0743_.wvu.PrintTitles" localSheetId="20" hidden="1">#REF!,#REF!</definedName>
    <definedName name="Z_BDFEE6FA_734C_11D2_8E68_0008C77C0743_.wvu.PrintTitles" hidden="1">#REF!,#REF!</definedName>
    <definedName name="Z_BDFEE6FC_734C_11D2_8E68_0008C77C0743_.wvu.PrintArea" localSheetId="1" hidden="1">#REF!</definedName>
    <definedName name="Z_BDFEE6FC_734C_11D2_8E68_0008C77C0743_.wvu.PrintArea" localSheetId="18" hidden="1">#REF!</definedName>
    <definedName name="Z_BDFEE6FC_734C_11D2_8E68_0008C77C0743_.wvu.PrintArea" localSheetId="20" hidden="1">#REF!</definedName>
    <definedName name="Z_BDFEE6FC_734C_11D2_8E68_0008C77C0743_.wvu.PrintArea" hidden="1">#REF!</definedName>
    <definedName name="Z_BDFEE6FC_734C_11D2_8E68_0008C77C0743_.wvu.PrintTitles" localSheetId="1" hidden="1">#REF!,#REF!</definedName>
    <definedName name="Z_BDFEE6FC_734C_11D2_8E68_0008C77C0743_.wvu.PrintTitles" localSheetId="18" hidden="1">#REF!,#REF!</definedName>
    <definedName name="Z_BDFEE6FC_734C_11D2_8E68_0008C77C0743_.wvu.PrintTitles" localSheetId="20" hidden="1">#REF!,#REF!</definedName>
    <definedName name="Z_BDFEE6FC_734C_11D2_8E68_0008C77C0743_.wvu.PrintTitles" hidden="1">#REF!,#REF!</definedName>
    <definedName name="Z_BDFEE6FE_734C_11D2_8E68_0008C77C0743_.wvu.PrintArea" localSheetId="1" hidden="1">#REF!</definedName>
    <definedName name="Z_BDFEE6FE_734C_11D2_8E68_0008C77C0743_.wvu.PrintArea" localSheetId="18" hidden="1">#REF!</definedName>
    <definedName name="Z_BDFEE6FE_734C_11D2_8E68_0008C77C0743_.wvu.PrintArea" localSheetId="20" hidden="1">#REF!</definedName>
    <definedName name="Z_BDFEE6FE_734C_11D2_8E68_0008C77C0743_.wvu.PrintArea" hidden="1">#REF!</definedName>
    <definedName name="Z_BDFEE6FE_734C_11D2_8E68_0008C77C0743_.wvu.PrintTitles" localSheetId="1" hidden="1">#REF!,#REF!</definedName>
    <definedName name="Z_BDFEE6FE_734C_11D2_8E68_0008C77C0743_.wvu.PrintTitles" localSheetId="18" hidden="1">#REF!,#REF!</definedName>
    <definedName name="Z_BDFEE6FE_734C_11D2_8E68_0008C77C0743_.wvu.PrintTitles" localSheetId="20" hidden="1">#REF!,#REF!</definedName>
    <definedName name="Z_BDFEE6FE_734C_11D2_8E68_0008C77C0743_.wvu.PrintTitles" hidden="1">#REF!,#REF!</definedName>
    <definedName name="Z_BE4AA1C5_ECFE_11D2_8EB8_0008C77C0743_.wvu.PrintArea" localSheetId="1" hidden="1">#REF!</definedName>
    <definedName name="Z_BE4AA1C5_ECFE_11D2_8EB8_0008C77C0743_.wvu.PrintArea" localSheetId="18" hidden="1">#REF!</definedName>
    <definedName name="Z_BE4AA1C5_ECFE_11D2_8EB8_0008C77C0743_.wvu.PrintArea" localSheetId="20" hidden="1">#REF!</definedName>
    <definedName name="Z_BE4AA1C5_ECFE_11D2_8EB8_0008C77C0743_.wvu.PrintArea" hidden="1">#REF!</definedName>
    <definedName name="Z_BE4AA1C5_ECFE_11D2_8EB8_0008C77C0743_.wvu.PrintTitles" localSheetId="1" hidden="1">#REF!</definedName>
    <definedName name="Z_BE4AA1C5_ECFE_11D2_8EB8_0008C77C0743_.wvu.PrintTitles" localSheetId="20" hidden="1">#REF!</definedName>
    <definedName name="Z_BE4AA1C5_ECFE_11D2_8EB8_0008C77C0743_.wvu.PrintTitles" hidden="1">#REF!</definedName>
    <definedName name="Z_BE4AA1D8_ECFE_11D2_8EB8_0008C77C0743_.wvu.PrintArea" localSheetId="1" hidden="1">#REF!</definedName>
    <definedName name="Z_BE4AA1D8_ECFE_11D2_8EB8_0008C77C0743_.wvu.PrintArea" localSheetId="20" hidden="1">#REF!</definedName>
    <definedName name="Z_BE4AA1D8_ECFE_11D2_8EB8_0008C77C0743_.wvu.PrintArea" hidden="1">#REF!</definedName>
    <definedName name="Z_BE4AA1D8_ECFE_11D2_8EB8_0008C77C0743_.wvu.PrintTitles" localSheetId="1" hidden="1">#REF!</definedName>
    <definedName name="Z_BE4AA1D8_ECFE_11D2_8EB8_0008C77C0743_.wvu.PrintTitles" localSheetId="20" hidden="1">#REF!</definedName>
    <definedName name="Z_BE4AA1D8_ECFE_11D2_8EB8_0008C77C0743_.wvu.PrintTitles" hidden="1">#REF!</definedName>
    <definedName name="Z_BE4AA1E8_ECFE_11D2_8EB8_0008C77C0743_.wvu.PrintArea" localSheetId="1" hidden="1">#REF!</definedName>
    <definedName name="Z_BE4AA1E8_ECFE_11D2_8EB8_0008C77C0743_.wvu.PrintArea" localSheetId="20" hidden="1">#REF!</definedName>
    <definedName name="Z_BE4AA1E8_ECFE_11D2_8EB8_0008C77C0743_.wvu.PrintArea" hidden="1">#REF!</definedName>
    <definedName name="Z_BE4AA1E8_ECFE_11D2_8EB8_0008C77C0743_.wvu.PrintTitles" localSheetId="1" hidden="1">#REF!,#REF!</definedName>
    <definedName name="Z_BE4AA1E8_ECFE_11D2_8EB8_0008C77C0743_.wvu.PrintTitles" localSheetId="18" hidden="1">#REF!,#REF!</definedName>
    <definedName name="Z_BE4AA1E8_ECFE_11D2_8EB8_0008C77C0743_.wvu.PrintTitles" localSheetId="20" hidden="1">#REF!,#REF!</definedName>
    <definedName name="Z_BE4AA1E8_ECFE_11D2_8EB8_0008C77C0743_.wvu.PrintTitles" hidden="1">#REF!,#REF!</definedName>
    <definedName name="Z_BFEBD6B7_EDBB_11D2_8EB9_0008C77C0743_.wvu.PrintArea" localSheetId="1" hidden="1">#REF!</definedName>
    <definedName name="Z_BFEBD6B7_EDBB_11D2_8EB9_0008C77C0743_.wvu.PrintArea" localSheetId="18" hidden="1">#REF!</definedName>
    <definedName name="Z_BFEBD6B7_EDBB_11D2_8EB9_0008C77C0743_.wvu.PrintArea" localSheetId="20" hidden="1">#REF!</definedName>
    <definedName name="Z_BFEBD6B7_EDBB_11D2_8EB9_0008C77C0743_.wvu.PrintArea" hidden="1">#REF!</definedName>
    <definedName name="Z_BFEBD6B7_EDBB_11D2_8EB9_0008C77C0743_.wvu.PrintTitles" localSheetId="1" hidden="1">#REF!</definedName>
    <definedName name="Z_BFEBD6B7_EDBB_11D2_8EB9_0008C77C0743_.wvu.PrintTitles" localSheetId="20" hidden="1">#REF!</definedName>
    <definedName name="Z_BFEBD6B7_EDBB_11D2_8EB9_0008C77C0743_.wvu.PrintTitles" hidden="1">#REF!</definedName>
    <definedName name="Z_BFEBD6CA_EDBB_11D2_8EB9_0008C77C0743_.wvu.PrintArea" localSheetId="1" hidden="1">#REF!</definedName>
    <definedName name="Z_BFEBD6CA_EDBB_11D2_8EB9_0008C77C0743_.wvu.PrintArea" localSheetId="20" hidden="1">#REF!</definedName>
    <definedName name="Z_BFEBD6CA_EDBB_11D2_8EB9_0008C77C0743_.wvu.PrintArea" hidden="1">#REF!</definedName>
    <definedName name="Z_BFEBD6CA_EDBB_11D2_8EB9_0008C77C0743_.wvu.PrintTitles" localSheetId="1" hidden="1">#REF!</definedName>
    <definedName name="Z_BFEBD6CA_EDBB_11D2_8EB9_0008C77C0743_.wvu.PrintTitles" localSheetId="20" hidden="1">#REF!</definedName>
    <definedName name="Z_BFEBD6CA_EDBB_11D2_8EB9_0008C77C0743_.wvu.PrintTitles" hidden="1">#REF!</definedName>
    <definedName name="Z_BFEBD6DA_EDBB_11D2_8EB9_0008C77C0743_.wvu.PrintArea" localSheetId="1" hidden="1">#REF!</definedName>
    <definedName name="Z_BFEBD6DA_EDBB_11D2_8EB9_0008C77C0743_.wvu.PrintArea" localSheetId="20" hidden="1">#REF!</definedName>
    <definedName name="Z_BFEBD6DA_EDBB_11D2_8EB9_0008C77C0743_.wvu.PrintArea" hidden="1">#REF!</definedName>
    <definedName name="Z_BFEBD6DA_EDBB_11D2_8EB9_0008C77C0743_.wvu.PrintTitles" localSheetId="1" hidden="1">#REF!,#REF!</definedName>
    <definedName name="Z_BFEBD6DA_EDBB_11D2_8EB9_0008C77C0743_.wvu.PrintTitles" localSheetId="18" hidden="1">#REF!,#REF!</definedName>
    <definedName name="Z_BFEBD6DA_EDBB_11D2_8EB9_0008C77C0743_.wvu.PrintTitles" localSheetId="20" hidden="1">#REF!,#REF!</definedName>
    <definedName name="Z_BFEBD6DA_EDBB_11D2_8EB9_0008C77C0743_.wvu.PrintTitles" hidden="1">#REF!,#REF!</definedName>
    <definedName name="Z_CD050555_ECE8_11D2_8EB7_0008C77C0743_.wvu.PrintArea" localSheetId="1" hidden="1">#REF!</definedName>
    <definedName name="Z_CD050555_ECE8_11D2_8EB7_0008C77C0743_.wvu.PrintArea" localSheetId="18" hidden="1">#REF!</definedName>
    <definedName name="Z_CD050555_ECE8_11D2_8EB7_0008C77C0743_.wvu.PrintArea" localSheetId="20" hidden="1">#REF!</definedName>
    <definedName name="Z_CD050555_ECE8_11D2_8EB7_0008C77C0743_.wvu.PrintArea" hidden="1">#REF!</definedName>
    <definedName name="Z_CD050555_ECE8_11D2_8EB7_0008C77C0743_.wvu.PrintTitles" localSheetId="1" hidden="1">#REF!</definedName>
    <definedName name="Z_CD050555_ECE8_11D2_8EB7_0008C77C0743_.wvu.PrintTitles" localSheetId="20" hidden="1">#REF!</definedName>
    <definedName name="Z_CD050555_ECE8_11D2_8EB7_0008C77C0743_.wvu.PrintTitles" hidden="1">#REF!</definedName>
    <definedName name="Z_CD050568_ECE8_11D2_8EB7_0008C77C0743_.wvu.PrintArea" localSheetId="1" hidden="1">#REF!</definedName>
    <definedName name="Z_CD050568_ECE8_11D2_8EB7_0008C77C0743_.wvu.PrintArea" localSheetId="20" hidden="1">#REF!</definedName>
    <definedName name="Z_CD050568_ECE8_11D2_8EB7_0008C77C0743_.wvu.PrintArea" hidden="1">#REF!</definedName>
    <definedName name="Z_CD050568_ECE8_11D2_8EB7_0008C77C0743_.wvu.PrintTitles" localSheetId="1" hidden="1">#REF!</definedName>
    <definedName name="Z_CD050568_ECE8_11D2_8EB7_0008C77C0743_.wvu.PrintTitles" localSheetId="20" hidden="1">#REF!</definedName>
    <definedName name="Z_CD050568_ECE8_11D2_8EB7_0008C77C0743_.wvu.PrintTitles" hidden="1">#REF!</definedName>
    <definedName name="Z_CD050578_ECE8_11D2_8EB7_0008C77C0743_.wvu.PrintArea" localSheetId="1" hidden="1">#REF!</definedName>
    <definedName name="Z_CD050578_ECE8_11D2_8EB7_0008C77C0743_.wvu.PrintArea" localSheetId="20" hidden="1">#REF!</definedName>
    <definedName name="Z_CD050578_ECE8_11D2_8EB7_0008C77C0743_.wvu.PrintArea" hidden="1">#REF!</definedName>
    <definedName name="Z_CD050578_ECE8_11D2_8EB7_0008C77C0743_.wvu.PrintTitles" localSheetId="1" hidden="1">#REF!,#REF!</definedName>
    <definedName name="Z_CD050578_ECE8_11D2_8EB7_0008C77C0743_.wvu.PrintTitles" localSheetId="18" hidden="1">#REF!,#REF!</definedName>
    <definedName name="Z_CD050578_ECE8_11D2_8EB7_0008C77C0743_.wvu.PrintTitles" localSheetId="20" hidden="1">#REF!,#REF!</definedName>
    <definedName name="Z_CD050578_ECE8_11D2_8EB7_0008C77C0743_.wvu.PrintTitles" hidden="1">#REF!,#REF!</definedName>
    <definedName name="Z_CF4A68D4_EB6D_11D2_8EB5_0008C77C0743_.wvu.PrintArea" localSheetId="1" hidden="1">#REF!</definedName>
    <definedName name="Z_CF4A68D4_EB6D_11D2_8EB5_0008C77C0743_.wvu.PrintArea" localSheetId="18" hidden="1">#REF!</definedName>
    <definedName name="Z_CF4A68D4_EB6D_11D2_8EB5_0008C77C0743_.wvu.PrintArea" localSheetId="20" hidden="1">#REF!</definedName>
    <definedName name="Z_CF4A68D4_EB6D_11D2_8EB5_0008C77C0743_.wvu.PrintArea" hidden="1">#REF!</definedName>
    <definedName name="Z_CF4A68D4_EB6D_11D2_8EB5_0008C77C0743_.wvu.PrintTitles" localSheetId="1" hidden="1">#REF!</definedName>
    <definedName name="Z_CF4A68D4_EB6D_11D2_8EB5_0008C77C0743_.wvu.PrintTitles" localSheetId="20" hidden="1">#REF!</definedName>
    <definedName name="Z_CF4A68D4_EB6D_11D2_8EB5_0008C77C0743_.wvu.PrintTitles" hidden="1">#REF!</definedName>
    <definedName name="Z_CF4A68E7_EB6D_11D2_8EB5_0008C77C0743_.wvu.PrintArea" localSheetId="1" hidden="1">#REF!</definedName>
    <definedName name="Z_CF4A68E7_EB6D_11D2_8EB5_0008C77C0743_.wvu.PrintArea" localSheetId="20" hidden="1">#REF!</definedName>
    <definedName name="Z_CF4A68E7_EB6D_11D2_8EB5_0008C77C0743_.wvu.PrintArea" hidden="1">#REF!</definedName>
    <definedName name="Z_CF4A68E7_EB6D_11D2_8EB5_0008C77C0743_.wvu.PrintTitles" localSheetId="1" hidden="1">#REF!</definedName>
    <definedName name="Z_CF4A68E7_EB6D_11D2_8EB5_0008C77C0743_.wvu.PrintTitles" localSheetId="20" hidden="1">#REF!</definedName>
    <definedName name="Z_CF4A68E7_EB6D_11D2_8EB5_0008C77C0743_.wvu.PrintTitles" hidden="1">#REF!</definedName>
    <definedName name="Z_CF4A68F7_EB6D_11D2_8EB5_0008C77C0743_.wvu.PrintArea" localSheetId="1" hidden="1">#REF!</definedName>
    <definedName name="Z_CF4A68F7_EB6D_11D2_8EB5_0008C77C0743_.wvu.PrintArea" localSheetId="20" hidden="1">#REF!</definedName>
    <definedName name="Z_CF4A68F7_EB6D_11D2_8EB5_0008C77C0743_.wvu.PrintArea" hidden="1">#REF!</definedName>
    <definedName name="Z_CF4A68F7_EB6D_11D2_8EB5_0008C77C0743_.wvu.PrintTitles" localSheetId="1" hidden="1">#REF!,#REF!</definedName>
    <definedName name="Z_CF4A68F7_EB6D_11D2_8EB5_0008C77C0743_.wvu.PrintTitles" localSheetId="18" hidden="1">#REF!,#REF!</definedName>
    <definedName name="Z_CF4A68F7_EB6D_11D2_8EB5_0008C77C0743_.wvu.PrintTitles" localSheetId="20" hidden="1">#REF!,#REF!</definedName>
    <definedName name="Z_CF4A68F7_EB6D_11D2_8EB5_0008C77C0743_.wvu.PrintTitles" hidden="1">#REF!,#REF!</definedName>
    <definedName name="Z_F3D6017D_338E_11D2_8E9B_0008C77C0743_.wvu.PrintArea" localSheetId="1" hidden="1">#REF!</definedName>
    <definedName name="Z_F3D6017D_338E_11D2_8E9B_0008C77C0743_.wvu.PrintArea" localSheetId="18" hidden="1">#REF!</definedName>
    <definedName name="Z_F3D6017D_338E_11D2_8E9B_0008C77C0743_.wvu.PrintArea" localSheetId="20" hidden="1">#REF!</definedName>
    <definedName name="Z_F3D6017D_338E_11D2_8E9B_0008C77C0743_.wvu.PrintArea" hidden="1">#REF!</definedName>
    <definedName name="Z_F3D6017D_338E_11D2_8E9B_0008C77C0743_.wvu.PrintTitles" localSheetId="1" hidden="1">#REF!</definedName>
    <definedName name="Z_F3D6017D_338E_11D2_8E9B_0008C77C0743_.wvu.PrintTitles" localSheetId="20" hidden="1">#REF!</definedName>
    <definedName name="Z_F3D6017D_338E_11D2_8E9B_0008C77C0743_.wvu.PrintTitles" hidden="1">#REF!</definedName>
    <definedName name="Z_F3D6018C_338E_11D2_8E9B_0008C77C0743_.wvu.PrintArea" localSheetId="1" hidden="1">#REF!</definedName>
    <definedName name="Z_F3D6018C_338E_11D2_8E9B_0008C77C0743_.wvu.PrintArea" localSheetId="20" hidden="1">#REF!</definedName>
    <definedName name="Z_F3D6018C_338E_11D2_8E9B_0008C77C0743_.wvu.PrintArea" hidden="1">#REF!</definedName>
    <definedName name="Z_F3D6018C_338E_11D2_8E9B_0008C77C0743_.wvu.PrintTitles" localSheetId="1" hidden="1">#REF!</definedName>
    <definedName name="Z_F3D6018C_338E_11D2_8E9B_0008C77C0743_.wvu.PrintTitles" localSheetId="20" hidden="1">#REF!</definedName>
    <definedName name="Z_F3D6018C_338E_11D2_8E9B_0008C77C0743_.wvu.PrintTitles" hidden="1">#REF!</definedName>
    <definedName name="Z_F3D60199_338E_11D2_8E9B_0008C77C0743_.wvu.PrintArea" localSheetId="1" hidden="1">#REF!</definedName>
    <definedName name="Z_F3D60199_338E_11D2_8E9B_0008C77C0743_.wvu.PrintArea" localSheetId="20" hidden="1">#REF!</definedName>
    <definedName name="Z_F3D60199_338E_11D2_8E9B_0008C77C0743_.wvu.PrintArea" hidden="1">#REF!</definedName>
    <definedName name="Z_F3D60199_338E_11D2_8E9B_0008C77C0743_.wvu.PrintTitles" localSheetId="1" hidden="1">#REF!,#REF!</definedName>
    <definedName name="Z_F3D60199_338E_11D2_8E9B_0008C77C0743_.wvu.PrintTitles" localSheetId="18" hidden="1">#REF!,#REF!</definedName>
    <definedName name="Z_F3D60199_338E_11D2_8E9B_0008C77C0743_.wvu.PrintTitles" localSheetId="20" hidden="1">#REF!,#REF!</definedName>
    <definedName name="Z_F3D60199_338E_11D2_8E9B_0008C77C0743_.wvu.PrintTitles" hidden="1">#REF!,#REF!</definedName>
    <definedName name="zdcw" localSheetId="1" hidden="1">#REF!</definedName>
    <definedName name="zdcw" localSheetId="20" hidden="1">#REF!</definedName>
    <definedName name="zdcw" hidden="1">#REF!</definedName>
    <definedName name="zj" localSheetId="1" hidden="1">#REF!</definedName>
    <definedName name="zj" localSheetId="20" hidden="1">#REF!</definedName>
    <definedName name="zj" hidden="1">#REF!</definedName>
    <definedName name="znh" localSheetId="1" hidden="1">#REF!</definedName>
    <definedName name="znh" localSheetId="20" hidden="1">#REF!</definedName>
    <definedName name="znh" hidden="1">#REF!</definedName>
    <definedName name="zx" localSheetId="1" hidden="1">{#N/A,#N/A,TRUE,"1990";#N/A,#N/A,TRUE,"1991";#N/A,#N/A,TRUE,"1992";#N/A,#N/A,TRUE,"1993"}</definedName>
    <definedName name="zx" localSheetId="13" hidden="1">{#N/A,#N/A,TRUE,"1990";#N/A,#N/A,TRUE,"1991";#N/A,#N/A,TRUE,"1992";#N/A,#N/A,TRUE,"1993"}</definedName>
    <definedName name="zx" localSheetId="18" hidden="1">{#N/A,#N/A,TRUE,"1990";#N/A,#N/A,TRUE,"1991";#N/A,#N/A,TRUE,"1992";#N/A,#N/A,TRUE,"1993"}</definedName>
    <definedName name="zx" localSheetId="20" hidden="1">{#N/A,#N/A,TRUE,"1990";#N/A,#N/A,TRUE,"1991";#N/A,#N/A,TRUE,"1992";#N/A,#N/A,TRUE,"1993"}</definedName>
    <definedName name="zx" hidden="1">{#N/A,#N/A,TRUE,"1990";#N/A,#N/A,TRUE,"1991";#N/A,#N/A,TRUE,"1992";#N/A,#N/A,TRUE,"1993"}</definedName>
    <definedName name="zxcvb" localSheetId="1" hidden="1">#REF!</definedName>
    <definedName name="zxcvb" localSheetId="18" hidden="1">#REF!</definedName>
    <definedName name="zxcvb" localSheetId="20" hidden="1">#REF!</definedName>
    <definedName name="zxcvb" hidden="1">#REF!</definedName>
    <definedName name="zxd" localSheetId="1" hidden="1">#REF!</definedName>
    <definedName name="zxd" localSheetId="20" hidden="1">#REF!</definedName>
    <definedName name="zxd" hidden="1">#REF!</definedName>
    <definedName name="zxx" localSheetId="1" hidden="1">{"summary",#N/A,TRUE,"E93ADJ";"detail",#N/A,TRUE,"E93ADJ"}</definedName>
    <definedName name="zxx" localSheetId="13" hidden="1">{"summary",#N/A,TRUE,"E93ADJ";"detail",#N/A,TRUE,"E93ADJ"}</definedName>
    <definedName name="zxx" localSheetId="18" hidden="1">{"summary",#N/A,TRUE,"E93ADJ";"detail",#N/A,TRUE,"E93ADJ"}</definedName>
    <definedName name="zxx" localSheetId="20" hidden="1">{"summary",#N/A,TRUE,"E93ADJ";"detail",#N/A,TRUE,"E93ADJ"}</definedName>
    <definedName name="zxx" hidden="1">{"summary",#N/A,TRUE,"E93ADJ";"detail",#N/A,TRUE,"E93ADJ"}</definedName>
    <definedName name="zxz" localSheetId="1" hidden="1">{#N/A,#N/A,TRUE,"1990";#N/A,#N/A,TRUE,"1991";#N/A,#N/A,TRUE,"1992";#N/A,#N/A,TRUE,"1993"}</definedName>
    <definedName name="zxz" localSheetId="13" hidden="1">{#N/A,#N/A,TRUE,"1990";#N/A,#N/A,TRUE,"1991";#N/A,#N/A,TRUE,"1992";#N/A,#N/A,TRUE,"1993"}</definedName>
    <definedName name="zxz" localSheetId="18" hidden="1">{#N/A,#N/A,TRUE,"1990";#N/A,#N/A,TRUE,"1991";#N/A,#N/A,TRUE,"1992";#N/A,#N/A,TRUE,"1993"}</definedName>
    <definedName name="zxz" localSheetId="20" hidden="1">{#N/A,#N/A,TRUE,"1990";#N/A,#N/A,TRUE,"1991";#N/A,#N/A,TRUE,"1992";#N/A,#N/A,TRUE,"1993"}</definedName>
    <definedName name="zxz" hidden="1">{#N/A,#N/A,TRUE,"1990";#N/A,#N/A,TRUE,"1991";#N/A,#N/A,TRUE,"1992";#N/A,#N/A,TRUE,"1993"}</definedName>
    <definedName name="zxzx" localSheetId="1" hidden="1">{"summary",#N/A,TRUE,"E93ADJ";"detail",#N/A,TRUE,"E93ADJ"}</definedName>
    <definedName name="zxzx" localSheetId="13" hidden="1">{"summary",#N/A,TRUE,"E93ADJ";"detail",#N/A,TRUE,"E93ADJ"}</definedName>
    <definedName name="zxzx" localSheetId="18" hidden="1">{"summary",#N/A,TRUE,"E93ADJ";"detail",#N/A,TRUE,"E93ADJ"}</definedName>
    <definedName name="zxzx" localSheetId="20" hidden="1">{"summary",#N/A,TRUE,"E93ADJ";"detail",#N/A,TRUE,"E93ADJ"}</definedName>
    <definedName name="zxzx" hidden="1">{"summary",#N/A,TRUE,"E93ADJ";"detail",#N/A,TRUE,"E93ADJ"}</definedName>
    <definedName name="zxzxx" localSheetId="1" hidden="1">{"summary",#N/A,TRUE,"E93ADJ";"detail",#N/A,TRUE,"E93ADJ"}</definedName>
    <definedName name="zxzxx" localSheetId="13" hidden="1">{"summary",#N/A,TRUE,"E93ADJ";"detail",#N/A,TRUE,"E93ADJ"}</definedName>
    <definedName name="zxzxx" localSheetId="18" hidden="1">{"summary",#N/A,TRUE,"E93ADJ";"detail",#N/A,TRUE,"E93ADJ"}</definedName>
    <definedName name="zxzxx" localSheetId="20" hidden="1">{"summary",#N/A,TRUE,"E93ADJ";"detail",#N/A,TRUE,"E93ADJ"}</definedName>
    <definedName name="zxzxx" hidden="1">{"summary",#N/A,TRUE,"E93ADJ";"detail",#N/A,TRUE,"E93ADJ"}</definedName>
    <definedName name="zxzxxz" localSheetId="1" hidden="1">{#N/A,#N/A,TRUE,"1990";#N/A,#N/A,TRUE,"1991";#N/A,#N/A,TRUE,"1992";#N/A,#N/A,TRUE,"1993"}</definedName>
    <definedName name="zxzxxz" localSheetId="13" hidden="1">{#N/A,#N/A,TRUE,"1990";#N/A,#N/A,TRUE,"1991";#N/A,#N/A,TRUE,"1992";#N/A,#N/A,TRUE,"1993"}</definedName>
    <definedName name="zxzxxz" localSheetId="18" hidden="1">{#N/A,#N/A,TRUE,"1990";#N/A,#N/A,TRUE,"1991";#N/A,#N/A,TRUE,"1992";#N/A,#N/A,TRUE,"1993"}</definedName>
    <definedName name="zxzxxz" localSheetId="20" hidden="1">{#N/A,#N/A,TRUE,"1990";#N/A,#N/A,TRUE,"1991";#N/A,#N/A,TRUE,"1992";#N/A,#N/A,TRUE,"1993"}</definedName>
    <definedName name="zxzxxz" hidden="1">{#N/A,#N/A,TRUE,"1990";#N/A,#N/A,TRUE,"1991";#N/A,#N/A,TRUE,"1992";#N/A,#N/A,TRUE,"1993"}</definedName>
    <definedName name="zxzxz" localSheetId="1" hidden="1">{#N/A,#N/A,TRUE,"1990";#N/A,#N/A,TRUE,"1991";#N/A,#N/A,TRUE,"1992";#N/A,#N/A,TRUE,"1993"}</definedName>
    <definedName name="zxzxz" localSheetId="13" hidden="1">{#N/A,#N/A,TRUE,"1990";#N/A,#N/A,TRUE,"1991";#N/A,#N/A,TRUE,"1992";#N/A,#N/A,TRUE,"1993"}</definedName>
    <definedName name="zxzxz" localSheetId="18" hidden="1">{#N/A,#N/A,TRUE,"1990";#N/A,#N/A,TRUE,"1991";#N/A,#N/A,TRUE,"1992";#N/A,#N/A,TRUE,"1993"}</definedName>
    <definedName name="zxzxz" localSheetId="20" hidden="1">{#N/A,#N/A,TRUE,"1990";#N/A,#N/A,TRUE,"1991";#N/A,#N/A,TRUE,"1992";#N/A,#N/A,TRUE,"1993"}</definedName>
    <definedName name="zxzxz" hidden="1">{#N/A,#N/A,TRUE,"1990";#N/A,#N/A,TRUE,"1991";#N/A,#N/A,TRUE,"1992";#N/A,#N/A,TRUE,"1993"}</definedName>
    <definedName name="zxzxzx" localSheetId="1" hidden="1">{#N/A,#N/A,TRUE,"1990";#N/A,#N/A,TRUE,"1991";#N/A,#N/A,TRUE,"1992";#N/A,#N/A,TRUE,"1993"}</definedName>
    <definedName name="zxzxzx" localSheetId="13" hidden="1">{#N/A,#N/A,TRUE,"1990";#N/A,#N/A,TRUE,"1991";#N/A,#N/A,TRUE,"1992";#N/A,#N/A,TRUE,"1993"}</definedName>
    <definedName name="zxzxzx" localSheetId="18" hidden="1">{#N/A,#N/A,TRUE,"1990";#N/A,#N/A,TRUE,"1991";#N/A,#N/A,TRUE,"1992";#N/A,#N/A,TRUE,"1993"}</definedName>
    <definedName name="zxzxzx" localSheetId="20" hidden="1">{#N/A,#N/A,TRUE,"1990";#N/A,#N/A,TRUE,"1991";#N/A,#N/A,TRUE,"1992";#N/A,#N/A,TRUE,"1993"}</definedName>
    <definedName name="zxzxzx" hidden="1">{#N/A,#N/A,TRUE,"1990";#N/A,#N/A,TRUE,"1991";#N/A,#N/A,TRUE,"1992";#N/A,#N/A,TRUE,"1993"}</definedName>
    <definedName name="zxzz" localSheetId="1" hidden="1">{"summary",#N/A,TRUE,"E93ADJ";"detail",#N/A,TRUE,"E93ADJ"}</definedName>
    <definedName name="zxzz" localSheetId="13" hidden="1">{"summary",#N/A,TRUE,"E93ADJ";"detail",#N/A,TRUE,"E93ADJ"}</definedName>
    <definedName name="zxzz" localSheetId="18" hidden="1">{"summary",#N/A,TRUE,"E93ADJ";"detail",#N/A,TRUE,"E93ADJ"}</definedName>
    <definedName name="zxzz" localSheetId="20" hidden="1">{"summary",#N/A,TRUE,"E93ADJ";"detail",#N/A,TRUE,"E93ADJ"}</definedName>
    <definedName name="zxzz" hidden="1">{"summary",#N/A,TRUE,"E93ADJ";"detail",#N/A,TRUE,"E93ADJ"}</definedName>
    <definedName name="zxzzz" localSheetId="1" hidden="1">{"summary",#N/A,TRUE,"E93ADJ";"detail",#N/A,TRUE,"E93ADJ"}</definedName>
    <definedName name="zxzzz" localSheetId="13" hidden="1">{"summary",#N/A,TRUE,"E93ADJ";"detail",#N/A,TRUE,"E93ADJ"}</definedName>
    <definedName name="zxzzz" localSheetId="18" hidden="1">{"summary",#N/A,TRUE,"E93ADJ";"detail",#N/A,TRUE,"E93ADJ"}</definedName>
    <definedName name="zxzzz" localSheetId="20" hidden="1">{"summary",#N/A,TRUE,"E93ADJ";"detail",#N/A,TRUE,"E93ADJ"}</definedName>
    <definedName name="zxzzz" hidden="1">{"summary",#N/A,TRUE,"E93ADJ";"detail",#N/A,TRUE,"E93ADJ"}</definedName>
    <definedName name="zz" localSheetId="1" hidden="1">{#N/A,#N/A,TRUE,"1990";#N/A,#N/A,TRUE,"1991";#N/A,#N/A,TRUE,"1992";#N/A,#N/A,TRUE,"1993"}</definedName>
    <definedName name="zz" localSheetId="13" hidden="1">{#N/A,#N/A,TRUE,"1990";#N/A,#N/A,TRUE,"1991";#N/A,#N/A,TRUE,"1992";#N/A,#N/A,TRUE,"1993"}</definedName>
    <definedName name="zz" localSheetId="18" hidden="1">{#N/A,#N/A,TRUE,"1990";#N/A,#N/A,TRUE,"1991";#N/A,#N/A,TRUE,"1992";#N/A,#N/A,TRUE,"1993"}</definedName>
    <definedName name="zz" localSheetId="20" hidden="1">{#N/A,#N/A,TRUE,"1990";#N/A,#N/A,TRUE,"1991";#N/A,#N/A,TRUE,"1992";#N/A,#N/A,TRUE,"1993"}</definedName>
    <definedName name="zz" hidden="1">{#N/A,#N/A,TRUE,"1990";#N/A,#N/A,TRUE,"1991";#N/A,#N/A,TRUE,"1992";#N/A,#N/A,TRUE,"1993"}</definedName>
    <definedName name="ZZ_EVCOMOPTS" hidden="1">10</definedName>
    <definedName name="zzz" localSheetId="1" hidden="1">{"'Sheet1'!$A$1:$O$40"}</definedName>
    <definedName name="zzz" localSheetId="13" hidden="1">{"'Sheet1'!$A$1:$O$40"}</definedName>
    <definedName name="zzz" localSheetId="18" hidden="1">{"'Sheet1'!$A$1:$O$40"}</definedName>
    <definedName name="zzz" localSheetId="20" hidden="1">{"'Sheet1'!$A$1:$O$40"}</definedName>
    <definedName name="zzz" hidden="1">{"'Sheet1'!$A$1:$O$40"}</definedName>
    <definedName name="zzz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_1" localSheetId="1" hidden="1">{"'Sheet1'!$A$1:$O$40"}</definedName>
    <definedName name="zzz_1" localSheetId="13" hidden="1">{"'Sheet1'!$A$1:$O$40"}</definedName>
    <definedName name="zzz_1" localSheetId="18" hidden="1">{"'Sheet1'!$A$1:$O$40"}</definedName>
    <definedName name="zzz_1" localSheetId="20" hidden="1">{"'Sheet1'!$A$1:$O$40"}</definedName>
    <definedName name="zzz_1" hidden="1">{"'Sheet1'!$A$1:$O$40"}</definedName>
    <definedName name="zzz_1_1" localSheetId="1" hidden="1">{"'Sheet1'!$A$1:$O$40"}</definedName>
    <definedName name="zzz_1_1" localSheetId="13" hidden="1">{"'Sheet1'!$A$1:$O$40"}</definedName>
    <definedName name="zzz_1_1" localSheetId="18" hidden="1">{"'Sheet1'!$A$1:$O$40"}</definedName>
    <definedName name="zzz_1_1" localSheetId="20" hidden="1">{"'Sheet1'!$A$1:$O$40"}</definedName>
    <definedName name="zzz_1_1" hidden="1">{"'Sheet1'!$A$1:$O$40"}</definedName>
    <definedName name="zzz_1_2" localSheetId="1" hidden="1">{"'Sheet1'!$A$1:$O$40"}</definedName>
    <definedName name="zzz_1_2" localSheetId="13" hidden="1">{"'Sheet1'!$A$1:$O$40"}</definedName>
    <definedName name="zzz_1_2" localSheetId="18" hidden="1">{"'Sheet1'!$A$1:$O$40"}</definedName>
    <definedName name="zzz_1_2" localSheetId="20" hidden="1">{"'Sheet1'!$A$1:$O$40"}</definedName>
    <definedName name="zzz_1_2" hidden="1">{"'Sheet1'!$A$1:$O$40"}</definedName>
    <definedName name="zzz_2" localSheetId="1" hidden="1">{"'Sheet1'!$A$1:$O$40"}</definedName>
    <definedName name="zzz_2" localSheetId="13" hidden="1">{"'Sheet1'!$A$1:$O$40"}</definedName>
    <definedName name="zzz_2" localSheetId="18" hidden="1">{"'Sheet1'!$A$1:$O$40"}</definedName>
    <definedName name="zzz_2" localSheetId="20" hidden="1">{"'Sheet1'!$A$1:$O$40"}</definedName>
    <definedName name="zzz_2" hidden="1">{"'Sheet1'!$A$1:$O$40"}</definedName>
    <definedName name="zzz_3" localSheetId="1" hidden="1">{"'Sheet1'!$A$1:$O$40"}</definedName>
    <definedName name="zzz_3" localSheetId="13" hidden="1">{"'Sheet1'!$A$1:$O$40"}</definedName>
    <definedName name="zzz_3" localSheetId="18" hidden="1">{"'Sheet1'!$A$1:$O$40"}</definedName>
    <definedName name="zzz_3" localSheetId="20" hidden="1">{"'Sheet1'!$A$1:$O$40"}</definedName>
    <definedName name="zzz_3" hidden="1">{"'Sheet1'!$A$1:$O$40"}</definedName>
    <definedName name="zzzz" localSheetId="1" hidden="1">{"summary",#N/A,TRUE,"E93ADJ";"detail",#N/A,TRUE,"E93ADJ"}</definedName>
    <definedName name="zzzz" localSheetId="13" hidden="1">{"summary",#N/A,TRUE,"E93ADJ";"detail",#N/A,TRUE,"E93ADJ"}</definedName>
    <definedName name="zzzz" localSheetId="18" hidden="1">{"summary",#N/A,TRUE,"E93ADJ";"detail",#N/A,TRUE,"E93ADJ"}</definedName>
    <definedName name="zzzz" localSheetId="20" hidden="1">{"summary",#N/A,TRUE,"E93ADJ";"detail",#N/A,TRUE,"E93ADJ"}</definedName>
    <definedName name="zzzz" hidden="1">{"summary",#N/A,TRUE,"E93ADJ";"detail",#N/A,TRUE,"E93ADJ"}</definedName>
    <definedName name="zzzzzz" localSheetId="1" hidden="1">{#N/A,#N/A,TRUE,"1990";#N/A,#N/A,TRUE,"1991";#N/A,#N/A,TRUE,"1992";#N/A,#N/A,TRUE,"1993"}</definedName>
    <definedName name="zzzzzz" localSheetId="13" hidden="1">{#N/A,#N/A,TRUE,"1990";#N/A,#N/A,TRUE,"1991";#N/A,#N/A,TRUE,"1992";#N/A,#N/A,TRUE,"1993"}</definedName>
    <definedName name="zzzzzz" localSheetId="18" hidden="1">{#N/A,#N/A,TRUE,"1990";#N/A,#N/A,TRUE,"1991";#N/A,#N/A,TRUE,"1992";#N/A,#N/A,TRUE,"1993"}</definedName>
    <definedName name="zzzzzz" localSheetId="20" hidden="1">{#N/A,#N/A,TRUE,"1990";#N/A,#N/A,TRUE,"1991";#N/A,#N/A,TRUE,"1992";#N/A,#N/A,TRUE,"1993"}</definedName>
    <definedName name="zzzzzz" hidden="1">{#N/A,#N/A,TRUE,"1990";#N/A,#N/A,TRUE,"1991";#N/A,#N/A,TRUE,"1992";#N/A,#N/A,TRUE,"1993"}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3" l="1"/>
  <c r="G40" i="13"/>
  <c r="E40" i="13"/>
  <c r="K40" i="13" s="1"/>
  <c r="L40" i="14"/>
  <c r="J40" i="14"/>
  <c r="H40" i="14"/>
  <c r="N40" i="14" s="1"/>
  <c r="C58" i="29" l="1"/>
  <c r="C56" i="29"/>
  <c r="C54" i="29"/>
  <c r="C50" i="29"/>
  <c r="S28" i="29" s="1"/>
  <c r="C48" i="29"/>
  <c r="C19" i="29"/>
  <c r="S18" i="29" s="1"/>
  <c r="C16" i="29"/>
  <c r="S29" i="29" s="1"/>
  <c r="C13" i="29"/>
  <c r="C12" i="29"/>
  <c r="C19" i="28"/>
  <c r="C54" i="28" s="1"/>
  <c r="C16" i="28"/>
  <c r="C58" i="28"/>
  <c r="C50" i="28"/>
  <c r="S29" i="28" s="1"/>
  <c r="C48" i="28"/>
  <c r="C12" i="28"/>
  <c r="S34" i="29"/>
  <c r="S22" i="29"/>
  <c r="S12" i="29"/>
  <c r="S18" i="28"/>
  <c r="H87" i="12" a="1"/>
  <c r="F59" i="12" a="1"/>
  <c r="F57" i="12" a="1"/>
  <c r="D57" i="12" a="1"/>
  <c r="D58" i="12" a="1"/>
  <c r="D59" i="12" a="1"/>
  <c r="L57" i="12" a="1"/>
  <c r="H88" i="12" a="1"/>
  <c r="H89" i="12" a="1"/>
  <c r="F87" i="12" a="1"/>
  <c r="F88" i="12" a="1"/>
  <c r="F89" i="12" a="1"/>
  <c r="L58" i="12" a="1"/>
  <c r="L59" i="12" a="1"/>
  <c r="J58" i="12" a="1"/>
  <c r="H57" i="12" a="1"/>
  <c r="L89" i="12" a="1"/>
  <c r="F58" i="12" a="1"/>
  <c r="D87" i="12" a="1"/>
  <c r="J89" i="12" a="1"/>
  <c r="D88" i="12" a="1"/>
  <c r="J57" i="12" a="1"/>
  <c r="J88" i="12" a="1"/>
  <c r="D89" i="12" a="1"/>
  <c r="J59" i="12" a="1"/>
  <c r="H58" i="12" a="1"/>
  <c r="J87" i="12" a="1"/>
  <c r="H59" i="12" a="1"/>
  <c r="L87" i="12" a="1"/>
  <c r="L88" i="12" a="1"/>
  <c r="J89" i="12" l="1"/>
  <c r="D89" i="12"/>
  <c r="J88" i="12"/>
  <c r="D88" i="12"/>
  <c r="D87" i="12"/>
  <c r="F89" i="12"/>
  <c r="F88" i="12"/>
  <c r="F87" i="12"/>
  <c r="H89" i="12"/>
  <c r="H88" i="12"/>
  <c r="H87" i="12"/>
  <c r="J87" i="12"/>
  <c r="L89" i="12"/>
  <c r="L88" i="12"/>
  <c r="L87" i="12"/>
  <c r="F57" i="12"/>
  <c r="H59" i="12"/>
  <c r="H58" i="12"/>
  <c r="H57" i="12"/>
  <c r="J58" i="12"/>
  <c r="J57" i="12"/>
  <c r="L59" i="12"/>
  <c r="L58" i="12"/>
  <c r="L57" i="12"/>
  <c r="D59" i="12"/>
  <c r="D58" i="12"/>
  <c r="D57" i="12"/>
  <c r="F59" i="12"/>
  <c r="F58" i="12"/>
  <c r="J59" i="12"/>
  <c r="S17" i="29"/>
  <c r="S19" i="29"/>
  <c r="S33" i="29"/>
  <c r="S54" i="29" s="1"/>
  <c r="S35" i="29"/>
  <c r="S36" i="29"/>
  <c r="S27" i="29"/>
  <c r="S30" i="29" s="1"/>
  <c r="S22" i="28"/>
  <c r="S17" i="28"/>
  <c r="S19" i="28" s="1"/>
  <c r="C56" i="28"/>
  <c r="S28" i="28"/>
  <c r="S27" i="28"/>
  <c r="M62" i="29"/>
  <c r="M58" i="29"/>
  <c r="K58" i="29"/>
  <c r="M54" i="29"/>
  <c r="AC50" i="29" s="1"/>
  <c r="M52" i="29"/>
  <c r="AC43" i="29" s="1"/>
  <c r="K52" i="29"/>
  <c r="AA45" i="29" s="1"/>
  <c r="I52" i="29"/>
  <c r="Y43" i="29" s="1"/>
  <c r="G52" i="29"/>
  <c r="W43" i="29" s="1"/>
  <c r="E52" i="29"/>
  <c r="U45" i="29" s="1"/>
  <c r="M50" i="29"/>
  <c r="M56" i="29" s="1"/>
  <c r="AC48" i="29"/>
  <c r="M48" i="29"/>
  <c r="AC46" i="29"/>
  <c r="K44" i="29"/>
  <c r="I44" i="29"/>
  <c r="G44" i="29"/>
  <c r="E44" i="29"/>
  <c r="K43" i="29"/>
  <c r="I43" i="29"/>
  <c r="G43" i="29"/>
  <c r="E43" i="29"/>
  <c r="M42" i="29"/>
  <c r="K42" i="29"/>
  <c r="I42" i="29"/>
  <c r="G42" i="29"/>
  <c r="E42" i="29"/>
  <c r="K41" i="29"/>
  <c r="I41" i="29"/>
  <c r="G41" i="29"/>
  <c r="E41" i="29"/>
  <c r="M40" i="29"/>
  <c r="G40" i="29"/>
  <c r="E40" i="29"/>
  <c r="K38" i="29"/>
  <c r="I38" i="29"/>
  <c r="Y46" i="29" s="1"/>
  <c r="G38" i="29"/>
  <c r="E38" i="29"/>
  <c r="K34" i="29"/>
  <c r="I34" i="29"/>
  <c r="G34" i="29"/>
  <c r="E34" i="29"/>
  <c r="K32" i="29"/>
  <c r="K40" i="29" s="1"/>
  <c r="I32" i="29"/>
  <c r="G32" i="29"/>
  <c r="E32" i="29"/>
  <c r="K30" i="29"/>
  <c r="I30" i="29"/>
  <c r="G30" i="29"/>
  <c r="E30" i="29"/>
  <c r="M28" i="29"/>
  <c r="K28" i="29"/>
  <c r="I28" i="29"/>
  <c r="G28" i="29"/>
  <c r="E28" i="29"/>
  <c r="I26" i="29"/>
  <c r="Y45" i="29" s="1"/>
  <c r="G26" i="29"/>
  <c r="AC22" i="29"/>
  <c r="K19" i="29"/>
  <c r="I19" i="29"/>
  <c r="G19" i="29"/>
  <c r="W18" i="29" s="1"/>
  <c r="E19" i="29"/>
  <c r="AC18" i="29"/>
  <c r="K16" i="29"/>
  <c r="K48" i="29" s="1"/>
  <c r="I16" i="29"/>
  <c r="I48" i="29" s="1"/>
  <c r="G16" i="29"/>
  <c r="G48" i="29" s="1"/>
  <c r="E16" i="29"/>
  <c r="E48" i="29" s="1"/>
  <c r="I13" i="29"/>
  <c r="I58" i="29" s="1"/>
  <c r="G13" i="29"/>
  <c r="G58" i="29" s="1"/>
  <c r="E13" i="29"/>
  <c r="E58" i="29" s="1"/>
  <c r="AC12" i="29"/>
  <c r="AA12" i="29"/>
  <c r="Y12" i="29"/>
  <c r="W12" i="29"/>
  <c r="U12" i="29"/>
  <c r="K12" i="29"/>
  <c r="K50" i="29" s="1"/>
  <c r="I12" i="29"/>
  <c r="G12" i="29"/>
  <c r="E12" i="29"/>
  <c r="Q8" i="29"/>
  <c r="Q7" i="29"/>
  <c r="Q6" i="29"/>
  <c r="M58" i="28"/>
  <c r="K58" i="28"/>
  <c r="I58" i="28"/>
  <c r="G58" i="28"/>
  <c r="E58" i="28"/>
  <c r="M54" i="28"/>
  <c r="AC22" i="28" s="1"/>
  <c r="M52" i="28"/>
  <c r="AC45" i="28" s="1"/>
  <c r="K52" i="28"/>
  <c r="AA45" i="28" s="1"/>
  <c r="I52" i="28"/>
  <c r="Y45" i="28" s="1"/>
  <c r="G52" i="28"/>
  <c r="W45" i="28" s="1"/>
  <c r="E52" i="28"/>
  <c r="U45" i="28" s="1"/>
  <c r="M50" i="28"/>
  <c r="M56" i="28" s="1"/>
  <c r="M48" i="28"/>
  <c r="K44" i="28"/>
  <c r="I44" i="28"/>
  <c r="G44" i="28"/>
  <c r="E44" i="28"/>
  <c r="K43" i="28"/>
  <c r="I43" i="28"/>
  <c r="G43" i="28"/>
  <c r="E43" i="28"/>
  <c r="M42" i="28"/>
  <c r="M60" i="28" s="1"/>
  <c r="AC52" i="28" s="1"/>
  <c r="K42" i="28"/>
  <c r="I42" i="28"/>
  <c r="G42" i="28"/>
  <c r="E42" i="28"/>
  <c r="K41" i="28"/>
  <c r="I41" i="28"/>
  <c r="G41" i="28"/>
  <c r="E41" i="28"/>
  <c r="M40" i="28"/>
  <c r="G40" i="28"/>
  <c r="K38" i="28"/>
  <c r="I38" i="28"/>
  <c r="G38" i="28"/>
  <c r="E38" i="28"/>
  <c r="U46" i="28" s="1"/>
  <c r="M34" i="28"/>
  <c r="M62" i="28" s="1"/>
  <c r="E34" i="28"/>
  <c r="K32" i="28"/>
  <c r="K40" i="28" s="1"/>
  <c r="I32" i="28"/>
  <c r="I34" i="28" s="1"/>
  <c r="G32" i="28"/>
  <c r="G34" i="28" s="1"/>
  <c r="E32" i="28"/>
  <c r="E40" i="28" s="1"/>
  <c r="K30" i="28"/>
  <c r="I30" i="28"/>
  <c r="G30" i="28"/>
  <c r="E30" i="28"/>
  <c r="K28" i="28"/>
  <c r="I28" i="28"/>
  <c r="G28" i="28"/>
  <c r="E28" i="28"/>
  <c r="K19" i="28"/>
  <c r="AC18" i="28"/>
  <c r="AA18" i="28"/>
  <c r="Y18" i="28"/>
  <c r="W18" i="28"/>
  <c r="U18" i="28"/>
  <c r="K16" i="28"/>
  <c r="K48" i="28" s="1"/>
  <c r="I16" i="28"/>
  <c r="I48" i="28" s="1"/>
  <c r="Y44" i="28" s="1"/>
  <c r="G16" i="28"/>
  <c r="G48" i="28" s="1"/>
  <c r="E16" i="28"/>
  <c r="AC12" i="28"/>
  <c r="AA12" i="28"/>
  <c r="Y12" i="28"/>
  <c r="W12" i="28"/>
  <c r="U12" i="28"/>
  <c r="K12" i="28"/>
  <c r="I12" i="28"/>
  <c r="I54" i="28" s="1"/>
  <c r="G12" i="28"/>
  <c r="E12" i="28"/>
  <c r="Q8" i="28"/>
  <c r="Q7" i="28"/>
  <c r="Q6" i="28"/>
  <c r="H90" i="12" l="1"/>
  <c r="F90" i="12"/>
  <c r="N88" i="12"/>
  <c r="N89" i="12"/>
  <c r="N87" i="12"/>
  <c r="J90" i="12"/>
  <c r="J60" i="12"/>
  <c r="D90" i="12"/>
  <c r="L90" i="12"/>
  <c r="N58" i="12"/>
  <c r="N59" i="12"/>
  <c r="L60" i="12"/>
  <c r="H60" i="12"/>
  <c r="D60" i="12"/>
  <c r="N57" i="12"/>
  <c r="F60" i="12"/>
  <c r="S35" i="28"/>
  <c r="S34" i="28"/>
  <c r="S33" i="28"/>
  <c r="S30" i="28"/>
  <c r="I50" i="29"/>
  <c r="Y44" i="29"/>
  <c r="G50" i="29"/>
  <c r="E54" i="29"/>
  <c r="U46" i="29"/>
  <c r="W44" i="29"/>
  <c r="AC29" i="29"/>
  <c r="AA46" i="29"/>
  <c r="W46" i="29"/>
  <c r="W46" i="28"/>
  <c r="W43" i="28"/>
  <c r="AC27" i="28"/>
  <c r="I60" i="28"/>
  <c r="Y52" i="28" s="1"/>
  <c r="Y43" i="28"/>
  <c r="K60" i="28"/>
  <c r="AA43" i="28"/>
  <c r="U48" i="28"/>
  <c r="AC43" i="28"/>
  <c r="W44" i="28"/>
  <c r="AC50" i="28"/>
  <c r="E60" i="29"/>
  <c r="U52" i="29" s="1"/>
  <c r="U18" i="29"/>
  <c r="G60" i="29"/>
  <c r="U43" i="29"/>
  <c r="I60" i="29"/>
  <c r="Y48" i="29"/>
  <c r="K60" i="29"/>
  <c r="G54" i="29"/>
  <c r="U22" i="29" s="1"/>
  <c r="W45" i="29"/>
  <c r="E60" i="28"/>
  <c r="AC44" i="28"/>
  <c r="G60" i="28"/>
  <c r="U43" i="28"/>
  <c r="AE43" i="28" s="1"/>
  <c r="AC48" i="28"/>
  <c r="K56" i="29"/>
  <c r="AA33" i="29" s="1"/>
  <c r="AA28" i="29"/>
  <c r="AA29" i="29"/>
  <c r="AA17" i="29"/>
  <c r="U48" i="29"/>
  <c r="AA27" i="29"/>
  <c r="E62" i="29"/>
  <c r="U50" i="29" s="1"/>
  <c r="W48" i="29"/>
  <c r="AC17" i="29"/>
  <c r="AC19" i="29" s="1"/>
  <c r="AC27" i="29"/>
  <c r="AC30" i="29" s="1"/>
  <c r="G62" i="29"/>
  <c r="AA44" i="29"/>
  <c r="AA43" i="29"/>
  <c r="AC45" i="29"/>
  <c r="M60" i="29"/>
  <c r="AC52" i="29" s="1"/>
  <c r="AC44" i="29"/>
  <c r="I62" i="29"/>
  <c r="K62" i="29"/>
  <c r="AC28" i="29"/>
  <c r="G62" i="28"/>
  <c r="AA44" i="28"/>
  <c r="G50" i="28"/>
  <c r="W28" i="28" s="1"/>
  <c r="AC28" i="28"/>
  <c r="AE45" i="28"/>
  <c r="I62" i="28"/>
  <c r="E62" i="28"/>
  <c r="E50" i="28"/>
  <c r="U28" i="28" s="1"/>
  <c r="I40" i="28"/>
  <c r="K50" i="28"/>
  <c r="K56" i="28" s="1"/>
  <c r="AC35" i="29"/>
  <c r="AC33" i="29"/>
  <c r="AC34" i="29"/>
  <c r="I56" i="29"/>
  <c r="Y34" i="29" s="1"/>
  <c r="Y27" i="29"/>
  <c r="Y28" i="29"/>
  <c r="Y17" i="29"/>
  <c r="AA34" i="29"/>
  <c r="AE46" i="29"/>
  <c r="G56" i="29"/>
  <c r="W35" i="29" s="1"/>
  <c r="W27" i="29"/>
  <c r="W17" i="29"/>
  <c r="W19" i="29" s="1"/>
  <c r="W28" i="29"/>
  <c r="U44" i="29"/>
  <c r="Y18" i="29"/>
  <c r="E50" i="29"/>
  <c r="I54" i="29"/>
  <c r="AA18" i="29"/>
  <c r="W29" i="29"/>
  <c r="K54" i="29"/>
  <c r="AA22" i="29" s="1"/>
  <c r="AA48" i="29"/>
  <c r="Y29" i="29"/>
  <c r="AC35" i="28"/>
  <c r="AC33" i="28"/>
  <c r="AC34" i="28"/>
  <c r="Y46" i="28"/>
  <c r="Y48" i="28"/>
  <c r="G56" i="28"/>
  <c r="W17" i="28"/>
  <c r="W19" i="28" s="1"/>
  <c r="Y50" i="28"/>
  <c r="W48" i="28"/>
  <c r="E54" i="28"/>
  <c r="AC46" i="28"/>
  <c r="G54" i="28"/>
  <c r="E48" i="28"/>
  <c r="U44" i="28" s="1"/>
  <c r="K54" i="28"/>
  <c r="Y22" i="28" s="1"/>
  <c r="AC29" i="28"/>
  <c r="AC30" i="28" s="1"/>
  <c r="I50" i="28"/>
  <c r="Y29" i="28" s="1"/>
  <c r="AC17" i="28"/>
  <c r="AC19" i="28" s="1"/>
  <c r="K34" i="28"/>
  <c r="N90" i="12" l="1"/>
  <c r="N60" i="12"/>
  <c r="S54" i="28"/>
  <c r="S36" i="28"/>
  <c r="AE45" i="29"/>
  <c r="AA30" i="29"/>
  <c r="AE43" i="29"/>
  <c r="AA19" i="29"/>
  <c r="W27" i="28"/>
  <c r="W29" i="28"/>
  <c r="AA27" i="28"/>
  <c r="AA35" i="29"/>
  <c r="W52" i="29"/>
  <c r="W22" i="29"/>
  <c r="W50" i="29"/>
  <c r="AE44" i="28"/>
  <c r="U50" i="28"/>
  <c r="Y33" i="29"/>
  <c r="Y54" i="29" s="1"/>
  <c r="AE44" i="29"/>
  <c r="Y35" i="29"/>
  <c r="Y36" i="29" s="1"/>
  <c r="Y22" i="29"/>
  <c r="AE48" i="29"/>
  <c r="Y19" i="29"/>
  <c r="AA34" i="28"/>
  <c r="AA35" i="28"/>
  <c r="AA33" i="28"/>
  <c r="AA36" i="28" s="1"/>
  <c r="AA29" i="28"/>
  <c r="U29" i="28"/>
  <c r="U17" i="28"/>
  <c r="U19" i="28" s="1"/>
  <c r="U27" i="28"/>
  <c r="U30" i="28" s="1"/>
  <c r="AA28" i="28"/>
  <c r="E56" i="28"/>
  <c r="U35" i="28" s="1"/>
  <c r="AA17" i="28"/>
  <c r="AA19" i="28" s="1"/>
  <c r="Y30" i="29"/>
  <c r="AA52" i="29"/>
  <c r="AA50" i="29"/>
  <c r="W30" i="29"/>
  <c r="W33" i="29"/>
  <c r="W34" i="29"/>
  <c r="Y50" i="29"/>
  <c r="AE50" i="29" s="1"/>
  <c r="Y52" i="29"/>
  <c r="U27" i="29"/>
  <c r="U28" i="29"/>
  <c r="AE28" i="29" s="1"/>
  <c r="E56" i="29"/>
  <c r="U17" i="29"/>
  <c r="U19" i="29" s="1"/>
  <c r="U29" i="29"/>
  <c r="AE29" i="29" s="1"/>
  <c r="AC54" i="29"/>
  <c r="AC36" i="29"/>
  <c r="AA54" i="29"/>
  <c r="AA36" i="29"/>
  <c r="AA46" i="28"/>
  <c r="AE46" i="28" s="1"/>
  <c r="AA48" i="28"/>
  <c r="AE48" i="28" s="1"/>
  <c r="W30" i="28"/>
  <c r="AC36" i="28"/>
  <c r="AC54" i="28"/>
  <c r="W34" i="28"/>
  <c r="W33" i="28"/>
  <c r="AA52" i="28"/>
  <c r="K62" i="28"/>
  <c r="AA50" i="28" s="1"/>
  <c r="W50" i="28"/>
  <c r="W52" i="28"/>
  <c r="U22" i="28"/>
  <c r="U52" i="28"/>
  <c r="Y27" i="28"/>
  <c r="I56" i="28"/>
  <c r="Y28" i="28"/>
  <c r="Y17" i="28"/>
  <c r="Y19" i="28" s="1"/>
  <c r="W22" i="28"/>
  <c r="W35" i="28"/>
  <c r="AA22" i="28"/>
  <c r="AA30" i="28" l="1"/>
  <c r="Y30" i="28"/>
  <c r="AE29" i="28"/>
  <c r="AA54" i="28"/>
  <c r="AE28" i="28"/>
  <c r="AE52" i="28"/>
  <c r="U34" i="28"/>
  <c r="U33" i="28"/>
  <c r="U54" i="28" s="1"/>
  <c r="AE50" i="28"/>
  <c r="AE27" i="29"/>
  <c r="AE30" i="29" s="1"/>
  <c r="U30" i="29"/>
  <c r="AE52" i="29"/>
  <c r="W54" i="29"/>
  <c r="W36" i="29"/>
  <c r="U33" i="29"/>
  <c r="U34" i="29"/>
  <c r="AE34" i="29" s="1"/>
  <c r="U35" i="29"/>
  <c r="AE35" i="29" s="1"/>
  <c r="AE27" i="28"/>
  <c r="W54" i="28"/>
  <c r="W36" i="28"/>
  <c r="Y33" i="28"/>
  <c r="Y34" i="28"/>
  <c r="AE34" i="28" s="1"/>
  <c r="Y35" i="28"/>
  <c r="AE35" i="28" s="1"/>
  <c r="U36" i="28" l="1"/>
  <c r="AE30" i="28"/>
  <c r="U54" i="29"/>
  <c r="AE54" i="29" s="1"/>
  <c r="AE33" i="29"/>
  <c r="AE36" i="29" s="1"/>
  <c r="U36" i="29"/>
  <c r="Y54" i="28"/>
  <c r="Y36" i="28"/>
  <c r="AE33" i="28"/>
  <c r="AE36" i="28" s="1"/>
  <c r="AE54" i="28"/>
  <c r="M58" i="27" l="1"/>
  <c r="K58" i="27"/>
  <c r="I58" i="27"/>
  <c r="G58" i="27"/>
  <c r="E58" i="27"/>
  <c r="C58" i="27"/>
  <c r="M54" i="27"/>
  <c r="C54" i="27"/>
  <c r="M52" i="27"/>
  <c r="K52" i="27"/>
  <c r="AA43" i="27" s="1"/>
  <c r="I52" i="27"/>
  <c r="Y43" i="27" s="1"/>
  <c r="G52" i="27"/>
  <c r="W43" i="27" s="1"/>
  <c r="E52" i="27"/>
  <c r="U43" i="27" s="1"/>
  <c r="C52" i="27"/>
  <c r="M50" i="27"/>
  <c r="M56" i="27" s="1"/>
  <c r="M48" i="27"/>
  <c r="C48" i="27"/>
  <c r="AA45" i="27"/>
  <c r="Y45" i="27"/>
  <c r="W45" i="27"/>
  <c r="U45" i="27"/>
  <c r="S45" i="27"/>
  <c r="AC45" i="27" s="1"/>
  <c r="K44" i="27"/>
  <c r="I44" i="27"/>
  <c r="I62" i="27" s="1"/>
  <c r="G44" i="27"/>
  <c r="G62" i="27" s="1"/>
  <c r="E44" i="27"/>
  <c r="E62" i="27" s="1"/>
  <c r="C44" i="27"/>
  <c r="C62" i="27" s="1"/>
  <c r="K43" i="27"/>
  <c r="I43" i="27"/>
  <c r="G43" i="27"/>
  <c r="E43" i="27"/>
  <c r="C43" i="27"/>
  <c r="M42" i="27"/>
  <c r="M60" i="27" s="1"/>
  <c r="K42" i="27"/>
  <c r="K60" i="27" s="1"/>
  <c r="I42" i="27"/>
  <c r="G42" i="27"/>
  <c r="E42" i="27"/>
  <c r="C42" i="27"/>
  <c r="K41" i="27"/>
  <c r="I41" i="27"/>
  <c r="G41" i="27"/>
  <c r="G60" i="27" s="1"/>
  <c r="E41" i="27"/>
  <c r="C41" i="27"/>
  <c r="M40" i="27"/>
  <c r="K40" i="27"/>
  <c r="I40" i="27"/>
  <c r="K38" i="27"/>
  <c r="I38" i="27"/>
  <c r="G38" i="27"/>
  <c r="W46" i="27" s="1"/>
  <c r="E38" i="27"/>
  <c r="U46" i="27" s="1"/>
  <c r="C38" i="27"/>
  <c r="S46" i="27" s="1"/>
  <c r="M34" i="27"/>
  <c r="M62" i="27" s="1"/>
  <c r="G34" i="27"/>
  <c r="W48" i="27" s="1"/>
  <c r="E34" i="27"/>
  <c r="U48" i="27" s="1"/>
  <c r="C34" i="27"/>
  <c r="K32" i="27"/>
  <c r="K34" i="27" s="1"/>
  <c r="AA48" i="27" s="1"/>
  <c r="I32" i="27"/>
  <c r="I34" i="27" s="1"/>
  <c r="G32" i="27"/>
  <c r="G40" i="27" s="1"/>
  <c r="E32" i="27"/>
  <c r="E40" i="27" s="1"/>
  <c r="C32" i="27"/>
  <c r="C40" i="27" s="1"/>
  <c r="K30" i="27"/>
  <c r="I30" i="27"/>
  <c r="G30" i="27"/>
  <c r="E30" i="27"/>
  <c r="C30" i="27"/>
  <c r="M28" i="27"/>
  <c r="K28" i="27"/>
  <c r="I28" i="27"/>
  <c r="I60" i="27" s="1"/>
  <c r="G28" i="27"/>
  <c r="E28" i="27"/>
  <c r="E60" i="27" s="1"/>
  <c r="C28" i="27"/>
  <c r="C60" i="27" s="1"/>
  <c r="S52" i="27" s="1"/>
  <c r="K19" i="27"/>
  <c r="I19" i="27"/>
  <c r="G19" i="27"/>
  <c r="G54" i="27" s="1"/>
  <c r="E19" i="27"/>
  <c r="U18" i="27" s="1"/>
  <c r="C19" i="27"/>
  <c r="S18" i="27" s="1"/>
  <c r="AA18" i="27"/>
  <c r="Y18" i="27"/>
  <c r="W18" i="27"/>
  <c r="K16" i="27"/>
  <c r="I16" i="27"/>
  <c r="G16" i="27"/>
  <c r="E16" i="27"/>
  <c r="C16" i="27"/>
  <c r="AA12" i="27"/>
  <c r="Y12" i="27"/>
  <c r="W12" i="27"/>
  <c r="U12" i="27"/>
  <c r="S12" i="27"/>
  <c r="K12" i="27"/>
  <c r="I12" i="27"/>
  <c r="G12" i="27"/>
  <c r="E12" i="27"/>
  <c r="C12" i="27"/>
  <c r="Q8" i="27"/>
  <c r="Q7" i="27"/>
  <c r="Q6" i="27"/>
  <c r="C62" i="26"/>
  <c r="G58" i="26"/>
  <c r="E58" i="26"/>
  <c r="C58" i="26"/>
  <c r="S23" i="26" s="1"/>
  <c r="E56" i="26"/>
  <c r="U34" i="26" s="1"/>
  <c r="K54" i="26"/>
  <c r="AA50" i="26" s="1"/>
  <c r="E54" i="26"/>
  <c r="M52" i="26"/>
  <c r="K52" i="26"/>
  <c r="I52" i="26"/>
  <c r="G52" i="26"/>
  <c r="W44" i="26" s="1"/>
  <c r="E52" i="26"/>
  <c r="C52" i="26"/>
  <c r="E50" i="26"/>
  <c r="S48" i="26"/>
  <c r="G48" i="26"/>
  <c r="E48" i="26"/>
  <c r="S46" i="26"/>
  <c r="AA45" i="26"/>
  <c r="Y45" i="26"/>
  <c r="W45" i="26"/>
  <c r="S45" i="26"/>
  <c r="M44" i="26"/>
  <c r="M62" i="26" s="1"/>
  <c r="K44" i="26"/>
  <c r="K62" i="26" s="1"/>
  <c r="I44" i="26"/>
  <c r="G44" i="26"/>
  <c r="G62" i="26" s="1"/>
  <c r="E44" i="26"/>
  <c r="C44" i="26"/>
  <c r="S43" i="26"/>
  <c r="M43" i="26"/>
  <c r="K43" i="26"/>
  <c r="I43" i="26"/>
  <c r="G43" i="26"/>
  <c r="E43" i="26"/>
  <c r="C43" i="26"/>
  <c r="M42" i="26"/>
  <c r="K42" i="26"/>
  <c r="I42" i="26"/>
  <c r="G42" i="26"/>
  <c r="E42" i="26"/>
  <c r="C42" i="26"/>
  <c r="M41" i="26"/>
  <c r="M60" i="26" s="1"/>
  <c r="K41" i="26"/>
  <c r="K60" i="26" s="1"/>
  <c r="AA52" i="26" s="1"/>
  <c r="I41" i="26"/>
  <c r="I60" i="26" s="1"/>
  <c r="G41" i="26"/>
  <c r="G60" i="26" s="1"/>
  <c r="E41" i="26"/>
  <c r="E60" i="26" s="1"/>
  <c r="U52" i="26" s="1"/>
  <c r="C41" i="26"/>
  <c r="C60" i="26" s="1"/>
  <c r="C40" i="26"/>
  <c r="M38" i="26"/>
  <c r="K38" i="26"/>
  <c r="AA46" i="26" s="1"/>
  <c r="I38" i="26"/>
  <c r="G38" i="26"/>
  <c r="W46" i="26" s="1"/>
  <c r="E38" i="26"/>
  <c r="U46" i="26" s="1"/>
  <c r="C38" i="26"/>
  <c r="M36" i="26"/>
  <c r="K36" i="26"/>
  <c r="I36" i="26"/>
  <c r="G36" i="26"/>
  <c r="G34" i="26"/>
  <c r="W48" i="26" s="1"/>
  <c r="E34" i="26"/>
  <c r="U48" i="26" s="1"/>
  <c r="C34" i="26"/>
  <c r="M32" i="26"/>
  <c r="M40" i="26" s="1"/>
  <c r="K32" i="26"/>
  <c r="K40" i="26" s="1"/>
  <c r="I32" i="26"/>
  <c r="I40" i="26" s="1"/>
  <c r="G32" i="26"/>
  <c r="G40" i="26" s="1"/>
  <c r="E32" i="26"/>
  <c r="E40" i="26" s="1"/>
  <c r="C32" i="26"/>
  <c r="M30" i="26"/>
  <c r="K30" i="26"/>
  <c r="I30" i="26"/>
  <c r="G30" i="26"/>
  <c r="E30" i="26"/>
  <c r="C30" i="26"/>
  <c r="M28" i="26"/>
  <c r="K28" i="26"/>
  <c r="I28" i="26"/>
  <c r="G28" i="26"/>
  <c r="E28" i="26"/>
  <c r="C28" i="26"/>
  <c r="U23" i="26"/>
  <c r="M19" i="26"/>
  <c r="M54" i="26" s="1"/>
  <c r="AA22" i="26" s="1"/>
  <c r="K19" i="26"/>
  <c r="AA18" i="26" s="1"/>
  <c r="I19" i="26"/>
  <c r="Y18" i="26" s="1"/>
  <c r="G19" i="26"/>
  <c r="W18" i="26" s="1"/>
  <c r="E19" i="26"/>
  <c r="U18" i="26" s="1"/>
  <c r="C19" i="26"/>
  <c r="M16" i="26"/>
  <c r="M48" i="26" s="1"/>
  <c r="K16" i="26"/>
  <c r="I16" i="26"/>
  <c r="G16" i="26"/>
  <c r="E16" i="26"/>
  <c r="C16" i="26"/>
  <c r="C48" i="26" s="1"/>
  <c r="M15" i="26"/>
  <c r="K15" i="26"/>
  <c r="I15" i="26"/>
  <c r="I48" i="26" s="1"/>
  <c r="G15" i="26"/>
  <c r="E15" i="26"/>
  <c r="C15" i="26"/>
  <c r="M13" i="26"/>
  <c r="M58" i="26" s="1"/>
  <c r="K13" i="26"/>
  <c r="I13" i="26"/>
  <c r="I58" i="26" s="1"/>
  <c r="AA12" i="26"/>
  <c r="Y12" i="26"/>
  <c r="W12" i="26"/>
  <c r="U12" i="26"/>
  <c r="S12" i="26"/>
  <c r="M12" i="26"/>
  <c r="M50" i="26" s="1"/>
  <c r="M56" i="26" s="1"/>
  <c r="K12" i="26"/>
  <c r="I12" i="26"/>
  <c r="G12" i="26"/>
  <c r="E12" i="26"/>
  <c r="U27" i="26" s="1"/>
  <c r="C12" i="26"/>
  <c r="Q8" i="26"/>
  <c r="Q7" i="26"/>
  <c r="Q6" i="26"/>
  <c r="G62" i="25"/>
  <c r="M60" i="25"/>
  <c r="I60" i="25"/>
  <c r="M58" i="25"/>
  <c r="K58" i="25"/>
  <c r="I58" i="25"/>
  <c r="G58" i="25"/>
  <c r="E58" i="25"/>
  <c r="C58" i="25"/>
  <c r="I56" i="25"/>
  <c r="Y34" i="25" s="1"/>
  <c r="M54" i="25"/>
  <c r="M52" i="25"/>
  <c r="K52" i="25"/>
  <c r="AA44" i="25" s="1"/>
  <c r="I52" i="25"/>
  <c r="G52" i="25"/>
  <c r="E52" i="25"/>
  <c r="C52" i="25"/>
  <c r="S43" i="25" s="1"/>
  <c r="M50" i="25"/>
  <c r="M56" i="25" s="1"/>
  <c r="I50" i="25"/>
  <c r="Y17" i="25" s="1"/>
  <c r="Y19" i="25" s="1"/>
  <c r="W48" i="25"/>
  <c r="M48" i="25"/>
  <c r="K48" i="25"/>
  <c r="I48" i="25"/>
  <c r="C48" i="25"/>
  <c r="W46" i="25"/>
  <c r="AA45" i="25"/>
  <c r="Y45" i="25"/>
  <c r="AC45" i="25" s="1"/>
  <c r="W45" i="25"/>
  <c r="U45" i="25"/>
  <c r="S45" i="25"/>
  <c r="C44" i="25"/>
  <c r="AA43" i="25"/>
  <c r="W43" i="25"/>
  <c r="U43" i="25"/>
  <c r="K43" i="25"/>
  <c r="I43" i="25"/>
  <c r="C43" i="25"/>
  <c r="M42" i="25"/>
  <c r="K42" i="25"/>
  <c r="K60" i="25" s="1"/>
  <c r="I42" i="25"/>
  <c r="G42" i="25"/>
  <c r="E42" i="25"/>
  <c r="E60" i="25" s="1"/>
  <c r="C42" i="25"/>
  <c r="C60" i="25" s="1"/>
  <c r="K41" i="25"/>
  <c r="I41" i="25"/>
  <c r="G41" i="25"/>
  <c r="G60" i="25" s="1"/>
  <c r="W52" i="25" s="1"/>
  <c r="E41" i="25"/>
  <c r="C41" i="25"/>
  <c r="M40" i="25"/>
  <c r="I40" i="25"/>
  <c r="G40" i="25"/>
  <c r="K38" i="25"/>
  <c r="I38" i="25"/>
  <c r="Y46" i="25" s="1"/>
  <c r="G38" i="25"/>
  <c r="E38" i="25"/>
  <c r="C38" i="25"/>
  <c r="M34" i="25"/>
  <c r="M62" i="25" s="1"/>
  <c r="I34" i="25"/>
  <c r="Y48" i="25" s="1"/>
  <c r="G34" i="25"/>
  <c r="K32" i="25"/>
  <c r="I32" i="25"/>
  <c r="G32" i="25"/>
  <c r="E32" i="25"/>
  <c r="E34" i="25" s="1"/>
  <c r="C32" i="25"/>
  <c r="C34" i="25" s="1"/>
  <c r="K30" i="25"/>
  <c r="I30" i="25"/>
  <c r="G30" i="25"/>
  <c r="E30" i="25"/>
  <c r="U22" i="25" s="1"/>
  <c r="C30" i="25"/>
  <c r="K28" i="25"/>
  <c r="I28" i="25"/>
  <c r="G28" i="25"/>
  <c r="E28" i="25"/>
  <c r="C28" i="25"/>
  <c r="K19" i="25"/>
  <c r="E19" i="25"/>
  <c r="E54" i="25" s="1"/>
  <c r="AA18" i="25"/>
  <c r="Y18" i="25"/>
  <c r="W18" i="25"/>
  <c r="S18" i="25"/>
  <c r="K16" i="25"/>
  <c r="I16" i="25"/>
  <c r="G16" i="25"/>
  <c r="G48" i="25" s="1"/>
  <c r="W44" i="25" s="1"/>
  <c r="E16" i="25"/>
  <c r="E48" i="25" s="1"/>
  <c r="C16" i="25"/>
  <c r="AA12" i="25"/>
  <c r="Y12" i="25"/>
  <c r="W12" i="25"/>
  <c r="U12" i="25"/>
  <c r="S12" i="25"/>
  <c r="K12" i="25"/>
  <c r="I12" i="25"/>
  <c r="G12" i="25"/>
  <c r="G54" i="25" s="1"/>
  <c r="W50" i="25" s="1"/>
  <c r="E12" i="25"/>
  <c r="C12" i="25"/>
  <c r="Q8" i="25"/>
  <c r="Q7" i="25"/>
  <c r="Q6" i="25"/>
  <c r="M62" i="24"/>
  <c r="I62" i="24"/>
  <c r="G62" i="24"/>
  <c r="M58" i="24"/>
  <c r="K58" i="24"/>
  <c r="I58" i="24"/>
  <c r="G58" i="24"/>
  <c r="E58" i="24"/>
  <c r="C58" i="24"/>
  <c r="M52" i="24"/>
  <c r="K52" i="24"/>
  <c r="I52" i="24"/>
  <c r="Y43" i="24" s="1"/>
  <c r="G52" i="24"/>
  <c r="E52" i="24"/>
  <c r="C52" i="24"/>
  <c r="S50" i="24"/>
  <c r="Y48" i="24"/>
  <c r="W48" i="24"/>
  <c r="M48" i="24"/>
  <c r="K48" i="24"/>
  <c r="I48" i="24"/>
  <c r="G48" i="24"/>
  <c r="Y46" i="24"/>
  <c r="W46" i="24"/>
  <c r="AA45" i="24"/>
  <c r="Y45" i="24"/>
  <c r="W45" i="24"/>
  <c r="U45" i="24"/>
  <c r="S45" i="24"/>
  <c r="AC45" i="24" s="1"/>
  <c r="AA44" i="24"/>
  <c r="Y44" i="24"/>
  <c r="W44" i="24"/>
  <c r="E44" i="24"/>
  <c r="C44" i="24"/>
  <c r="AA43" i="24"/>
  <c r="W43" i="24"/>
  <c r="U43" i="24"/>
  <c r="S43" i="24"/>
  <c r="K43" i="24"/>
  <c r="K62" i="24" s="1"/>
  <c r="E43" i="24"/>
  <c r="C43" i="24"/>
  <c r="M42" i="24"/>
  <c r="M60" i="24" s="1"/>
  <c r="K42" i="24"/>
  <c r="I42" i="24"/>
  <c r="I60" i="24" s="1"/>
  <c r="G42" i="24"/>
  <c r="G60" i="24" s="1"/>
  <c r="E42" i="24"/>
  <c r="C42" i="24"/>
  <c r="E41" i="24"/>
  <c r="E60" i="24" s="1"/>
  <c r="C41" i="24"/>
  <c r="C60" i="24" s="1"/>
  <c r="S52" i="24" s="1"/>
  <c r="M40" i="24"/>
  <c r="K40" i="24"/>
  <c r="I40" i="24"/>
  <c r="G40" i="24"/>
  <c r="E40" i="24"/>
  <c r="E38" i="24"/>
  <c r="C38" i="24"/>
  <c r="K34" i="24"/>
  <c r="AA48" i="24" s="1"/>
  <c r="E34" i="24"/>
  <c r="E62" i="24" s="1"/>
  <c r="C34" i="24"/>
  <c r="C62" i="24" s="1"/>
  <c r="E32" i="24"/>
  <c r="C32" i="24"/>
  <c r="C40" i="24" s="1"/>
  <c r="K30" i="24"/>
  <c r="E30" i="24"/>
  <c r="C30" i="24"/>
  <c r="M28" i="24"/>
  <c r="K28" i="24"/>
  <c r="I28" i="24"/>
  <c r="G28" i="24"/>
  <c r="E28" i="24"/>
  <c r="C28" i="24"/>
  <c r="E19" i="24"/>
  <c r="E54" i="24" s="1"/>
  <c r="C19" i="24"/>
  <c r="C54" i="24" s="1"/>
  <c r="S22" i="24" s="1"/>
  <c r="AA18" i="24"/>
  <c r="Y18" i="24"/>
  <c r="W18" i="24"/>
  <c r="U18" i="24"/>
  <c r="S18" i="24"/>
  <c r="E16" i="24"/>
  <c r="C16" i="24"/>
  <c r="C48" i="24" s="1"/>
  <c r="AA12" i="24"/>
  <c r="Y12" i="24"/>
  <c r="W12" i="24"/>
  <c r="U12" i="24"/>
  <c r="S12" i="24"/>
  <c r="M12" i="24"/>
  <c r="M54" i="24" s="1"/>
  <c r="K12" i="24"/>
  <c r="I12" i="24"/>
  <c r="I54" i="24" s="1"/>
  <c r="G12" i="24"/>
  <c r="G54" i="24" s="1"/>
  <c r="E12" i="24"/>
  <c r="C12" i="24"/>
  <c r="Q8" i="24"/>
  <c r="Q7" i="24"/>
  <c r="Q6" i="24"/>
  <c r="M58" i="23"/>
  <c r="K58" i="23"/>
  <c r="I58" i="23"/>
  <c r="G58" i="23"/>
  <c r="E58" i="23"/>
  <c r="C58" i="23"/>
  <c r="M54" i="23"/>
  <c r="M52" i="23"/>
  <c r="K52" i="23"/>
  <c r="I52" i="23"/>
  <c r="G52" i="23"/>
  <c r="E52" i="23"/>
  <c r="C52" i="23"/>
  <c r="M50" i="23"/>
  <c r="M56" i="23" s="1"/>
  <c r="U48" i="23"/>
  <c r="M48" i="23"/>
  <c r="C48" i="23"/>
  <c r="U46" i="23"/>
  <c r="AA45" i="23"/>
  <c r="Y45" i="23"/>
  <c r="W45" i="23"/>
  <c r="U45" i="23"/>
  <c r="K44" i="23"/>
  <c r="I44" i="23"/>
  <c r="G44" i="23"/>
  <c r="E44" i="23"/>
  <c r="C44" i="23"/>
  <c r="AA43" i="23"/>
  <c r="Y43" i="23"/>
  <c r="W43" i="23"/>
  <c r="U43" i="23"/>
  <c r="K43" i="23"/>
  <c r="I43" i="23"/>
  <c r="G43" i="23"/>
  <c r="E43" i="23"/>
  <c r="C43" i="23"/>
  <c r="M42" i="23"/>
  <c r="M60" i="23" s="1"/>
  <c r="K42" i="23"/>
  <c r="I42" i="23"/>
  <c r="I60" i="23" s="1"/>
  <c r="G42" i="23"/>
  <c r="E42" i="23"/>
  <c r="C42" i="23"/>
  <c r="C60" i="23" s="1"/>
  <c r="K41" i="23"/>
  <c r="I41" i="23"/>
  <c r="G41" i="23"/>
  <c r="E41" i="23"/>
  <c r="E60" i="23" s="1"/>
  <c r="C41" i="23"/>
  <c r="M40" i="23"/>
  <c r="I40" i="23"/>
  <c r="E40" i="23"/>
  <c r="C40" i="23"/>
  <c r="K38" i="23"/>
  <c r="I38" i="23"/>
  <c r="G38" i="23"/>
  <c r="E38" i="23"/>
  <c r="C38" i="23"/>
  <c r="M34" i="23"/>
  <c r="M62" i="23" s="1"/>
  <c r="K34" i="23"/>
  <c r="I34" i="23"/>
  <c r="E34" i="23"/>
  <c r="K32" i="23"/>
  <c r="K40" i="23" s="1"/>
  <c r="I32" i="23"/>
  <c r="G32" i="23"/>
  <c r="E32" i="23"/>
  <c r="C32" i="23"/>
  <c r="C34" i="23" s="1"/>
  <c r="S48" i="23" s="1"/>
  <c r="K30" i="23"/>
  <c r="I30" i="23"/>
  <c r="G30" i="23"/>
  <c r="W22" i="23" s="1"/>
  <c r="E30" i="23"/>
  <c r="C30" i="23"/>
  <c r="U28" i="23"/>
  <c r="M28" i="23"/>
  <c r="K28" i="23"/>
  <c r="I28" i="23"/>
  <c r="G28" i="23"/>
  <c r="E28" i="23"/>
  <c r="C28" i="23"/>
  <c r="AA27" i="23"/>
  <c r="K19" i="23"/>
  <c r="I19" i="23"/>
  <c r="E19" i="23"/>
  <c r="E54" i="23" s="1"/>
  <c r="C19" i="23"/>
  <c r="Y18" i="23"/>
  <c r="W18" i="23"/>
  <c r="U18" i="23"/>
  <c r="S18" i="23"/>
  <c r="U17" i="23"/>
  <c r="K16" i="23"/>
  <c r="K48" i="23" s="1"/>
  <c r="AA44" i="23" s="1"/>
  <c r="I16" i="23"/>
  <c r="I48" i="23" s="1"/>
  <c r="Y44" i="23" s="1"/>
  <c r="G16" i="23"/>
  <c r="E16" i="23"/>
  <c r="C16" i="23"/>
  <c r="G15" i="23"/>
  <c r="E15" i="23"/>
  <c r="E48" i="23" s="1"/>
  <c r="C15" i="23"/>
  <c r="AA12" i="23"/>
  <c r="Y12" i="23"/>
  <c r="W12" i="23"/>
  <c r="U12" i="23"/>
  <c r="S12" i="23"/>
  <c r="K12" i="23"/>
  <c r="K50" i="23" s="1"/>
  <c r="K56" i="23" s="1"/>
  <c r="AA34" i="23" s="1"/>
  <c r="I12" i="23"/>
  <c r="I54" i="23" s="1"/>
  <c r="G12" i="23"/>
  <c r="G54" i="23" s="1"/>
  <c r="E12" i="23"/>
  <c r="E50" i="23" s="1"/>
  <c r="C12" i="23"/>
  <c r="Q8" i="23"/>
  <c r="Q7" i="23"/>
  <c r="Q6" i="23"/>
  <c r="C60" i="22"/>
  <c r="M58" i="22"/>
  <c r="K58" i="22"/>
  <c r="I58" i="22"/>
  <c r="G58" i="22"/>
  <c r="E58" i="22"/>
  <c r="C58" i="22"/>
  <c r="M54" i="22"/>
  <c r="I54" i="22"/>
  <c r="G54" i="22"/>
  <c r="C54" i="22"/>
  <c r="M52" i="22"/>
  <c r="K52" i="22"/>
  <c r="I52" i="22"/>
  <c r="G52" i="22"/>
  <c r="W43" i="22" s="1"/>
  <c r="E52" i="22"/>
  <c r="C52" i="22"/>
  <c r="M50" i="22"/>
  <c r="M56" i="22" s="1"/>
  <c r="I50" i="22"/>
  <c r="G50" i="22"/>
  <c r="W28" i="22" s="1"/>
  <c r="C50" i="22"/>
  <c r="C56" i="22" s="1"/>
  <c r="M48" i="22"/>
  <c r="I48" i="22"/>
  <c r="G48" i="22"/>
  <c r="E48" i="22"/>
  <c r="C48" i="22"/>
  <c r="AA46" i="22"/>
  <c r="AA45" i="22"/>
  <c r="W45" i="22"/>
  <c r="K44" i="22"/>
  <c r="I44" i="22"/>
  <c r="I62" i="22" s="1"/>
  <c r="G44" i="22"/>
  <c r="G62" i="22" s="1"/>
  <c r="E44" i="22"/>
  <c r="E62" i="22" s="1"/>
  <c r="C44" i="22"/>
  <c r="C62" i="22" s="1"/>
  <c r="AA43" i="22"/>
  <c r="Y43" i="22"/>
  <c r="K43" i="22"/>
  <c r="I43" i="22"/>
  <c r="G43" i="22"/>
  <c r="E43" i="22"/>
  <c r="C43" i="22"/>
  <c r="M42" i="22"/>
  <c r="M60" i="22" s="1"/>
  <c r="K42" i="22"/>
  <c r="K60" i="22" s="1"/>
  <c r="I42" i="22"/>
  <c r="I60" i="22" s="1"/>
  <c r="Y52" i="22" s="1"/>
  <c r="G42" i="22"/>
  <c r="G60" i="22" s="1"/>
  <c r="W52" i="22" s="1"/>
  <c r="E42" i="22"/>
  <c r="C42" i="22"/>
  <c r="K41" i="22"/>
  <c r="I41" i="22"/>
  <c r="G41" i="22"/>
  <c r="E41" i="22"/>
  <c r="C41" i="22"/>
  <c r="K40" i="22"/>
  <c r="I40" i="22"/>
  <c r="G40" i="22"/>
  <c r="E40" i="22"/>
  <c r="C40" i="22"/>
  <c r="K38" i="22"/>
  <c r="I38" i="22"/>
  <c r="Y46" i="22" s="1"/>
  <c r="G38" i="22"/>
  <c r="E38" i="22"/>
  <c r="U46" i="22" s="1"/>
  <c r="C38" i="22"/>
  <c r="K34" i="22"/>
  <c r="K62" i="22" s="1"/>
  <c r="I34" i="22"/>
  <c r="G34" i="22"/>
  <c r="W48" i="22" s="1"/>
  <c r="E34" i="22"/>
  <c r="U48" i="22" s="1"/>
  <c r="C34" i="22"/>
  <c r="S48" i="22" s="1"/>
  <c r="K32" i="22"/>
  <c r="I32" i="22"/>
  <c r="G32" i="22"/>
  <c r="E32" i="22"/>
  <c r="C32" i="22"/>
  <c r="M30" i="22"/>
  <c r="M62" i="22" s="1"/>
  <c r="K30" i="22"/>
  <c r="I30" i="22"/>
  <c r="G30" i="22"/>
  <c r="E30" i="22"/>
  <c r="C30" i="22"/>
  <c r="W29" i="22"/>
  <c r="S29" i="22"/>
  <c r="M28" i="22"/>
  <c r="K28" i="22"/>
  <c r="I28" i="22"/>
  <c r="G28" i="22"/>
  <c r="E28" i="22"/>
  <c r="E60" i="22" s="1"/>
  <c r="C28" i="22"/>
  <c r="W19" i="22"/>
  <c r="AA18" i="22"/>
  <c r="Y18" i="22"/>
  <c r="W18" i="22"/>
  <c r="U18" i="22"/>
  <c r="S18" i="22"/>
  <c r="W17" i="22"/>
  <c r="S17" i="22"/>
  <c r="K16" i="22"/>
  <c r="I16" i="22"/>
  <c r="E16" i="22"/>
  <c r="C16" i="22"/>
  <c r="C15" i="22"/>
  <c r="AA12" i="22"/>
  <c r="Y12" i="22"/>
  <c r="W12" i="22"/>
  <c r="U12" i="22"/>
  <c r="S12" i="22"/>
  <c r="K12" i="22"/>
  <c r="I12" i="22"/>
  <c r="Y27" i="22" s="1"/>
  <c r="E12" i="22"/>
  <c r="E54" i="22" s="1"/>
  <c r="C12" i="22"/>
  <c r="Q8" i="22"/>
  <c r="Q7" i="22"/>
  <c r="Q6" i="22"/>
  <c r="M62" i="21"/>
  <c r="K62" i="21"/>
  <c r="AA50" i="21" s="1"/>
  <c r="I62" i="21"/>
  <c r="M60" i="21"/>
  <c r="K60" i="21"/>
  <c r="M58" i="21"/>
  <c r="K58" i="21"/>
  <c r="I58" i="21"/>
  <c r="G58" i="21"/>
  <c r="E58" i="21"/>
  <c r="C58" i="21"/>
  <c r="M54" i="21"/>
  <c r="K54" i="21"/>
  <c r="AA52" i="21" s="1"/>
  <c r="M52" i="21"/>
  <c r="K52" i="21"/>
  <c r="AA43" i="21" s="1"/>
  <c r="I52" i="21"/>
  <c r="G52" i="21"/>
  <c r="E52" i="21"/>
  <c r="C52" i="21"/>
  <c r="M50" i="21"/>
  <c r="M56" i="21" s="1"/>
  <c r="K50" i="21"/>
  <c r="K56" i="21" s="1"/>
  <c r="C50" i="21"/>
  <c r="C56" i="21" s="1"/>
  <c r="AA48" i="21"/>
  <c r="Y48" i="21"/>
  <c r="U48" i="21"/>
  <c r="M48" i="21"/>
  <c r="K48" i="21"/>
  <c r="G48" i="21"/>
  <c r="AA46" i="21"/>
  <c r="Y46" i="21"/>
  <c r="S46" i="21"/>
  <c r="AA45" i="21"/>
  <c r="Y45" i="21"/>
  <c r="W45" i="21"/>
  <c r="U45" i="21"/>
  <c r="W44" i="21"/>
  <c r="U44" i="21"/>
  <c r="G44" i="21"/>
  <c r="E44" i="21"/>
  <c r="E62" i="21" s="1"/>
  <c r="C44" i="21"/>
  <c r="Y43" i="21"/>
  <c r="W43" i="21"/>
  <c r="U43" i="21"/>
  <c r="G43" i="21"/>
  <c r="E43" i="21"/>
  <c r="C43" i="21"/>
  <c r="C62" i="21" s="1"/>
  <c r="I42" i="21"/>
  <c r="I60" i="21" s="1"/>
  <c r="G42" i="21"/>
  <c r="E42" i="21"/>
  <c r="C42" i="21"/>
  <c r="G41" i="21"/>
  <c r="G60" i="21" s="1"/>
  <c r="E41" i="21"/>
  <c r="C41" i="21"/>
  <c r="I40" i="21"/>
  <c r="G38" i="21"/>
  <c r="E38" i="21"/>
  <c r="U46" i="21" s="1"/>
  <c r="C38" i="21"/>
  <c r="S35" i="21"/>
  <c r="AA34" i="21"/>
  <c r="S34" i="21"/>
  <c r="G34" i="21"/>
  <c r="W48" i="21" s="1"/>
  <c r="E34" i="21"/>
  <c r="C34" i="21"/>
  <c r="G32" i="21"/>
  <c r="G40" i="21" s="1"/>
  <c r="E32" i="21"/>
  <c r="E40" i="21" s="1"/>
  <c r="C32" i="21"/>
  <c r="C40" i="21" s="1"/>
  <c r="G30" i="21"/>
  <c r="E30" i="21"/>
  <c r="C30" i="21"/>
  <c r="AA29" i="21"/>
  <c r="AA30" i="21" s="1"/>
  <c r="S29" i="21"/>
  <c r="AA28" i="21"/>
  <c r="S28" i="21"/>
  <c r="G28" i="21"/>
  <c r="E28" i="21"/>
  <c r="C28" i="21"/>
  <c r="AA27" i="21"/>
  <c r="S19" i="21"/>
  <c r="G19" i="21"/>
  <c r="E19" i="21"/>
  <c r="C19" i="21"/>
  <c r="AA18" i="21"/>
  <c r="Y18" i="21"/>
  <c r="U18" i="21"/>
  <c r="S18" i="21"/>
  <c r="AA17" i="21"/>
  <c r="AA19" i="21" s="1"/>
  <c r="S17" i="21"/>
  <c r="I16" i="21"/>
  <c r="I48" i="21" s="1"/>
  <c r="G16" i="21"/>
  <c r="E16" i="21"/>
  <c r="E48" i="21" s="1"/>
  <c r="C16" i="21"/>
  <c r="C48" i="21" s="1"/>
  <c r="AA12" i="21"/>
  <c r="Y12" i="21"/>
  <c r="W12" i="21"/>
  <c r="U12" i="21"/>
  <c r="S12" i="21"/>
  <c r="I12" i="21"/>
  <c r="G12" i="21"/>
  <c r="E12" i="21"/>
  <c r="C12" i="21"/>
  <c r="S27" i="21" s="1"/>
  <c r="Q8" i="21"/>
  <c r="Q7" i="21"/>
  <c r="Q6" i="21"/>
  <c r="M62" i="20"/>
  <c r="M60" i="20"/>
  <c r="G58" i="20"/>
  <c r="E58" i="20"/>
  <c r="M54" i="20"/>
  <c r="K54" i="20"/>
  <c r="AA50" i="20" s="1"/>
  <c r="I54" i="20"/>
  <c r="M52" i="20"/>
  <c r="K52" i="20"/>
  <c r="AA45" i="20" s="1"/>
  <c r="I52" i="20"/>
  <c r="G52" i="20"/>
  <c r="E52" i="20"/>
  <c r="C52" i="20"/>
  <c r="I50" i="20"/>
  <c r="U48" i="20"/>
  <c r="M48" i="20"/>
  <c r="K48" i="20"/>
  <c r="W46" i="20"/>
  <c r="U46" i="20"/>
  <c r="Y45" i="20"/>
  <c r="W45" i="20"/>
  <c r="U45" i="20"/>
  <c r="S45" i="20"/>
  <c r="K44" i="20"/>
  <c r="K62" i="20" s="1"/>
  <c r="I44" i="20"/>
  <c r="I62" i="20" s="1"/>
  <c r="G44" i="20"/>
  <c r="E44" i="20"/>
  <c r="C44" i="20"/>
  <c r="W43" i="20"/>
  <c r="U43" i="20"/>
  <c r="S43" i="20"/>
  <c r="K43" i="20"/>
  <c r="I43" i="20"/>
  <c r="G43" i="20"/>
  <c r="G62" i="20" s="1"/>
  <c r="E43" i="20"/>
  <c r="E62" i="20" s="1"/>
  <c r="U50" i="20" s="1"/>
  <c r="C43" i="20"/>
  <c r="M42" i="20"/>
  <c r="K42" i="20"/>
  <c r="I42" i="20"/>
  <c r="G42" i="20"/>
  <c r="E42" i="20"/>
  <c r="C42" i="20"/>
  <c r="K41" i="20"/>
  <c r="K60" i="20" s="1"/>
  <c r="AA52" i="20" s="1"/>
  <c r="I41" i="20"/>
  <c r="I60" i="20" s="1"/>
  <c r="G41" i="20"/>
  <c r="E41" i="20"/>
  <c r="E60" i="20" s="1"/>
  <c r="U52" i="20" s="1"/>
  <c r="C41" i="20"/>
  <c r="C60" i="20" s="1"/>
  <c r="S52" i="20" s="1"/>
  <c r="M40" i="20"/>
  <c r="E40" i="20"/>
  <c r="C40" i="20"/>
  <c r="K38" i="20"/>
  <c r="I38" i="20"/>
  <c r="Y46" i="20" s="1"/>
  <c r="G38" i="20"/>
  <c r="E38" i="20"/>
  <c r="C38" i="20"/>
  <c r="S46" i="20" s="1"/>
  <c r="K36" i="20"/>
  <c r="I36" i="20"/>
  <c r="G36" i="20"/>
  <c r="W23" i="20" s="1"/>
  <c r="E36" i="20"/>
  <c r="U23" i="20" s="1"/>
  <c r="C36" i="20"/>
  <c r="K34" i="20"/>
  <c r="AA48" i="20" s="1"/>
  <c r="I34" i="20"/>
  <c r="Y48" i="20" s="1"/>
  <c r="G34" i="20"/>
  <c r="E34" i="20"/>
  <c r="C34" i="20"/>
  <c r="S48" i="20" s="1"/>
  <c r="K32" i="20"/>
  <c r="K40" i="20" s="1"/>
  <c r="I32" i="20"/>
  <c r="I40" i="20" s="1"/>
  <c r="G32" i="20"/>
  <c r="G40" i="20" s="1"/>
  <c r="E32" i="20"/>
  <c r="C32" i="20"/>
  <c r="K30" i="20"/>
  <c r="I30" i="20"/>
  <c r="G30" i="20"/>
  <c r="E30" i="20"/>
  <c r="C30" i="20"/>
  <c r="M28" i="20"/>
  <c r="K28" i="20"/>
  <c r="I28" i="20"/>
  <c r="G28" i="20"/>
  <c r="E28" i="20"/>
  <c r="C28" i="20"/>
  <c r="C26" i="20"/>
  <c r="AA22" i="20"/>
  <c r="S22" i="20"/>
  <c r="K19" i="20"/>
  <c r="I19" i="20"/>
  <c r="G19" i="20"/>
  <c r="E19" i="20"/>
  <c r="E54" i="20" s="1"/>
  <c r="C19" i="20"/>
  <c r="C54" i="20" s="1"/>
  <c r="AA18" i="20"/>
  <c r="Y18" i="20"/>
  <c r="S18" i="20"/>
  <c r="K16" i="20"/>
  <c r="I16" i="20"/>
  <c r="G16" i="20"/>
  <c r="E16" i="20"/>
  <c r="C16" i="20"/>
  <c r="C48" i="20" s="1"/>
  <c r="K15" i="20"/>
  <c r="I15" i="20"/>
  <c r="I48" i="20" s="1"/>
  <c r="G15" i="20"/>
  <c r="E15" i="20"/>
  <c r="C15" i="20"/>
  <c r="M13" i="20"/>
  <c r="M58" i="20" s="1"/>
  <c r="K13" i="20"/>
  <c r="I13" i="20"/>
  <c r="I58" i="20" s="1"/>
  <c r="G13" i="20"/>
  <c r="E13" i="20"/>
  <c r="C13" i="20"/>
  <c r="C58" i="20" s="1"/>
  <c r="AA12" i="20"/>
  <c r="Y12" i="20"/>
  <c r="W12" i="20"/>
  <c r="U12" i="20"/>
  <c r="S12" i="20"/>
  <c r="K12" i="20"/>
  <c r="I12" i="20"/>
  <c r="G12" i="20"/>
  <c r="E12" i="20"/>
  <c r="E50" i="20" s="1"/>
  <c r="U28" i="20" s="1"/>
  <c r="C12" i="20"/>
  <c r="Q8" i="20"/>
  <c r="Q7" i="20"/>
  <c r="Q6" i="20"/>
  <c r="M62" i="19"/>
  <c r="M58" i="19"/>
  <c r="K58" i="19"/>
  <c r="AA23" i="19" s="1"/>
  <c r="C58" i="19"/>
  <c r="M56" i="19"/>
  <c r="M54" i="19"/>
  <c r="E54" i="19"/>
  <c r="M52" i="19"/>
  <c r="K52" i="19"/>
  <c r="AA43" i="19" s="1"/>
  <c r="I52" i="19"/>
  <c r="G52" i="19"/>
  <c r="E52" i="19"/>
  <c r="C52" i="19"/>
  <c r="M50" i="19"/>
  <c r="E50" i="19"/>
  <c r="U28" i="19" s="1"/>
  <c r="AA48" i="19"/>
  <c r="M48" i="19"/>
  <c r="E48" i="19"/>
  <c r="AA46" i="19"/>
  <c r="AA45" i="19"/>
  <c r="Y45" i="19"/>
  <c r="S45" i="19"/>
  <c r="K44" i="19"/>
  <c r="K62" i="19" s="1"/>
  <c r="I44" i="19"/>
  <c r="I62" i="19" s="1"/>
  <c r="G44" i="19"/>
  <c r="E44" i="19"/>
  <c r="C44" i="19"/>
  <c r="C62" i="19" s="1"/>
  <c r="Y43" i="19"/>
  <c r="S43" i="19"/>
  <c r="K43" i="19"/>
  <c r="I43" i="19"/>
  <c r="G43" i="19"/>
  <c r="E43" i="19"/>
  <c r="C43" i="19"/>
  <c r="M42" i="19"/>
  <c r="M60" i="19" s="1"/>
  <c r="K42" i="19"/>
  <c r="I42" i="19"/>
  <c r="G42" i="19"/>
  <c r="G60" i="19" s="1"/>
  <c r="E42" i="19"/>
  <c r="C42" i="19"/>
  <c r="K41" i="19"/>
  <c r="K60" i="19" s="1"/>
  <c r="AA52" i="19" s="1"/>
  <c r="I41" i="19"/>
  <c r="I60" i="19" s="1"/>
  <c r="G41" i="19"/>
  <c r="E41" i="19"/>
  <c r="C41" i="19"/>
  <c r="C60" i="19" s="1"/>
  <c r="M40" i="19"/>
  <c r="K40" i="19"/>
  <c r="E40" i="19"/>
  <c r="G38" i="19"/>
  <c r="W46" i="19" s="1"/>
  <c r="E38" i="19"/>
  <c r="C38" i="19"/>
  <c r="S46" i="19" s="1"/>
  <c r="G36" i="19"/>
  <c r="E36" i="19"/>
  <c r="U23" i="19" s="1"/>
  <c r="C36" i="19"/>
  <c r="K34" i="19"/>
  <c r="I34" i="19"/>
  <c r="Y48" i="19" s="1"/>
  <c r="G34" i="19"/>
  <c r="G62" i="19" s="1"/>
  <c r="E34" i="19"/>
  <c r="U48" i="19" s="1"/>
  <c r="C34" i="19"/>
  <c r="K32" i="19"/>
  <c r="I32" i="19"/>
  <c r="I40" i="19" s="1"/>
  <c r="G32" i="19"/>
  <c r="G40" i="19" s="1"/>
  <c r="E32" i="19"/>
  <c r="C32" i="19"/>
  <c r="C40" i="19" s="1"/>
  <c r="K30" i="19"/>
  <c r="AA22" i="19" s="1"/>
  <c r="I30" i="19"/>
  <c r="G30" i="19"/>
  <c r="E30" i="19"/>
  <c r="C30" i="19"/>
  <c r="U29" i="19"/>
  <c r="K28" i="19"/>
  <c r="I28" i="19"/>
  <c r="G28" i="19"/>
  <c r="E28" i="19"/>
  <c r="E60" i="19" s="1"/>
  <c r="U52" i="19" s="1"/>
  <c r="C28" i="19"/>
  <c r="S23" i="19"/>
  <c r="K19" i="19"/>
  <c r="K54" i="19" s="1"/>
  <c r="I19" i="19"/>
  <c r="G19" i="19"/>
  <c r="E19" i="19"/>
  <c r="U18" i="19" s="1"/>
  <c r="C19" i="19"/>
  <c r="C54" i="19" s="1"/>
  <c r="AA18" i="19"/>
  <c r="S18" i="19"/>
  <c r="U17" i="19"/>
  <c r="U19" i="19" s="1"/>
  <c r="K16" i="19"/>
  <c r="I16" i="19"/>
  <c r="I48" i="19" s="1"/>
  <c r="G16" i="19"/>
  <c r="G50" i="19" s="1"/>
  <c r="E16" i="19"/>
  <c r="C16" i="19"/>
  <c r="C48" i="19" s="1"/>
  <c r="S44" i="19" s="1"/>
  <c r="K13" i="19"/>
  <c r="I13" i="19"/>
  <c r="I58" i="19" s="1"/>
  <c r="G13" i="19"/>
  <c r="G58" i="19" s="1"/>
  <c r="E13" i="19"/>
  <c r="E58" i="19" s="1"/>
  <c r="C13" i="19"/>
  <c r="AA12" i="19"/>
  <c r="Y12" i="19"/>
  <c r="W12" i="19"/>
  <c r="U12" i="19"/>
  <c r="S12" i="19"/>
  <c r="K12" i="19"/>
  <c r="K50" i="19" s="1"/>
  <c r="I12" i="19"/>
  <c r="I50" i="19" s="1"/>
  <c r="G12" i="19"/>
  <c r="E12" i="19"/>
  <c r="C12" i="19"/>
  <c r="Q8" i="19"/>
  <c r="Q7" i="19"/>
  <c r="Q6" i="19"/>
  <c r="M62" i="18"/>
  <c r="K62" i="18"/>
  <c r="I62" i="18"/>
  <c r="G62" i="18"/>
  <c r="M60" i="18"/>
  <c r="K60" i="18"/>
  <c r="AA52" i="18" s="1"/>
  <c r="I60" i="18"/>
  <c r="Y52" i="18" s="1"/>
  <c r="C60" i="18"/>
  <c r="S52" i="18" s="1"/>
  <c r="M58" i="18"/>
  <c r="AA23" i="18" s="1"/>
  <c r="K58" i="18"/>
  <c r="G58" i="18"/>
  <c r="W23" i="18" s="1"/>
  <c r="I56" i="18"/>
  <c r="Y34" i="18" s="1"/>
  <c r="M54" i="18"/>
  <c r="K54" i="18"/>
  <c r="I54" i="18"/>
  <c r="C54" i="18"/>
  <c r="M52" i="18"/>
  <c r="K52" i="18"/>
  <c r="AA44" i="18" s="1"/>
  <c r="I52" i="18"/>
  <c r="G52" i="18"/>
  <c r="E52" i="18"/>
  <c r="C52" i="18"/>
  <c r="M50" i="18"/>
  <c r="M56" i="18" s="1"/>
  <c r="K50" i="18"/>
  <c r="I50" i="18"/>
  <c r="Y17" i="18" s="1"/>
  <c r="Y19" i="18" s="1"/>
  <c r="AA48" i="18"/>
  <c r="M48" i="18"/>
  <c r="K48" i="18"/>
  <c r="I48" i="18"/>
  <c r="C48" i="18"/>
  <c r="AA46" i="18"/>
  <c r="Y46" i="18"/>
  <c r="W46" i="18"/>
  <c r="Y45" i="18"/>
  <c r="W45" i="18"/>
  <c r="U45" i="18"/>
  <c r="AA43" i="18"/>
  <c r="Y43" i="18"/>
  <c r="W43" i="18"/>
  <c r="U43" i="18"/>
  <c r="G43" i="18"/>
  <c r="E43" i="18"/>
  <c r="E62" i="18" s="1"/>
  <c r="C43" i="18"/>
  <c r="I42" i="18"/>
  <c r="G42" i="18"/>
  <c r="E42" i="18"/>
  <c r="C42" i="18"/>
  <c r="G41" i="18"/>
  <c r="E41" i="18"/>
  <c r="C41" i="18"/>
  <c r="G40" i="18"/>
  <c r="E40" i="18"/>
  <c r="C40" i="18"/>
  <c r="G38" i="18"/>
  <c r="E38" i="18"/>
  <c r="U46" i="18" s="1"/>
  <c r="C38" i="18"/>
  <c r="Y35" i="18"/>
  <c r="G34" i="18"/>
  <c r="E34" i="18"/>
  <c r="C34" i="18"/>
  <c r="Y33" i="18"/>
  <c r="G32" i="18"/>
  <c r="E32" i="18"/>
  <c r="C32" i="18"/>
  <c r="Y30" i="18"/>
  <c r="G30" i="18"/>
  <c r="E30" i="18"/>
  <c r="C30" i="18"/>
  <c r="Y29" i="18"/>
  <c r="Y28" i="18"/>
  <c r="I28" i="18"/>
  <c r="G28" i="18"/>
  <c r="E28" i="18"/>
  <c r="C28" i="18"/>
  <c r="C26" i="18"/>
  <c r="G19" i="18"/>
  <c r="E19" i="18"/>
  <c r="E54" i="18" s="1"/>
  <c r="C19" i="18"/>
  <c r="S18" i="18" s="1"/>
  <c r="AA18" i="18"/>
  <c r="Y18" i="18"/>
  <c r="U18" i="18"/>
  <c r="I16" i="18"/>
  <c r="Y48" i="18" s="1"/>
  <c r="G16" i="18"/>
  <c r="E16" i="18"/>
  <c r="C16" i="18"/>
  <c r="G15" i="18"/>
  <c r="E15" i="18"/>
  <c r="C15" i="18"/>
  <c r="I13" i="18"/>
  <c r="I58" i="18" s="1"/>
  <c r="Y23" i="18" s="1"/>
  <c r="G13" i="18"/>
  <c r="E13" i="18"/>
  <c r="E58" i="18" s="1"/>
  <c r="U23" i="18" s="1"/>
  <c r="C13" i="18"/>
  <c r="C58" i="18" s="1"/>
  <c r="AA12" i="18"/>
  <c r="Y12" i="18"/>
  <c r="W12" i="18"/>
  <c r="U12" i="18"/>
  <c r="S12" i="18"/>
  <c r="I12" i="18"/>
  <c r="Y27" i="18" s="1"/>
  <c r="G12" i="18"/>
  <c r="E12" i="18"/>
  <c r="C12" i="18"/>
  <c r="Q8" i="18"/>
  <c r="Q7" i="18"/>
  <c r="Q6" i="18"/>
  <c r="M62" i="17"/>
  <c r="M60" i="17"/>
  <c r="I60" i="17"/>
  <c r="M58" i="17"/>
  <c r="K58" i="17"/>
  <c r="I58" i="17"/>
  <c r="G58" i="17"/>
  <c r="E58" i="17"/>
  <c r="C58" i="17"/>
  <c r="M56" i="17"/>
  <c r="M54" i="17"/>
  <c r="G54" i="17"/>
  <c r="E54" i="17"/>
  <c r="C54" i="17"/>
  <c r="M52" i="17"/>
  <c r="K52" i="17"/>
  <c r="I52" i="17"/>
  <c r="Y45" i="17" s="1"/>
  <c r="G52" i="17"/>
  <c r="W43" i="17" s="1"/>
  <c r="E52" i="17"/>
  <c r="U43" i="17" s="1"/>
  <c r="C52" i="17"/>
  <c r="M50" i="17"/>
  <c r="AA48" i="17"/>
  <c r="M48" i="17"/>
  <c r="AA45" i="17"/>
  <c r="AA44" i="17"/>
  <c r="C44" i="17"/>
  <c r="AA43" i="17"/>
  <c r="Y43" i="17"/>
  <c r="C43" i="17"/>
  <c r="K42" i="17"/>
  <c r="I42" i="17"/>
  <c r="G42" i="17"/>
  <c r="E42" i="17"/>
  <c r="C42" i="17"/>
  <c r="C60" i="17" s="1"/>
  <c r="K41" i="17"/>
  <c r="I41" i="17"/>
  <c r="G41" i="17"/>
  <c r="G60" i="17" s="1"/>
  <c r="W52" i="17" s="1"/>
  <c r="E41" i="17"/>
  <c r="E60" i="17" s="1"/>
  <c r="U52" i="17" s="1"/>
  <c r="C41" i="17"/>
  <c r="M40" i="17"/>
  <c r="K40" i="17"/>
  <c r="K38" i="17"/>
  <c r="AA46" i="17" s="1"/>
  <c r="I38" i="17"/>
  <c r="G38" i="17"/>
  <c r="W46" i="17" s="1"/>
  <c r="E38" i="17"/>
  <c r="C38" i="17"/>
  <c r="K34" i="17"/>
  <c r="K62" i="17" s="1"/>
  <c r="I34" i="17"/>
  <c r="I62" i="17" s="1"/>
  <c r="G34" i="17"/>
  <c r="G62" i="17" s="1"/>
  <c r="E34" i="17"/>
  <c r="E62" i="17" s="1"/>
  <c r="C34" i="17"/>
  <c r="S48" i="17" s="1"/>
  <c r="K32" i="17"/>
  <c r="I32" i="17"/>
  <c r="I40" i="17" s="1"/>
  <c r="G32" i="17"/>
  <c r="G40" i="17" s="1"/>
  <c r="E32" i="17"/>
  <c r="E40" i="17" s="1"/>
  <c r="C32" i="17"/>
  <c r="C40" i="17" s="1"/>
  <c r="K30" i="17"/>
  <c r="I30" i="17"/>
  <c r="G30" i="17"/>
  <c r="E30" i="17"/>
  <c r="C30" i="17"/>
  <c r="S22" i="17" s="1"/>
  <c r="AA29" i="17"/>
  <c r="M28" i="17"/>
  <c r="K28" i="17"/>
  <c r="I28" i="17"/>
  <c r="G28" i="17"/>
  <c r="E28" i="17"/>
  <c r="C28" i="17"/>
  <c r="S27" i="17"/>
  <c r="C26" i="17"/>
  <c r="S45" i="17" s="1"/>
  <c r="K19" i="17"/>
  <c r="I19" i="17"/>
  <c r="G19" i="17"/>
  <c r="E19" i="17"/>
  <c r="C19" i="17"/>
  <c r="U18" i="17"/>
  <c r="S18" i="17"/>
  <c r="AA17" i="17"/>
  <c r="Y17" i="17"/>
  <c r="K16" i="17"/>
  <c r="K48" i="17" s="1"/>
  <c r="I16" i="17"/>
  <c r="I48" i="17" s="1"/>
  <c r="G16" i="17"/>
  <c r="E16" i="17"/>
  <c r="E48" i="17" s="1"/>
  <c r="C16" i="17"/>
  <c r="I15" i="17"/>
  <c r="G15" i="17"/>
  <c r="E15" i="17"/>
  <c r="C15" i="17"/>
  <c r="AA12" i="17"/>
  <c r="Y12" i="17"/>
  <c r="W12" i="17"/>
  <c r="U12" i="17"/>
  <c r="S12" i="17"/>
  <c r="K12" i="17"/>
  <c r="K50" i="17" s="1"/>
  <c r="AA28" i="17" s="1"/>
  <c r="I12" i="17"/>
  <c r="I50" i="17" s="1"/>
  <c r="G12" i="17"/>
  <c r="G50" i="17" s="1"/>
  <c r="E12" i="17"/>
  <c r="C12" i="17"/>
  <c r="C50" i="17" s="1"/>
  <c r="Q8" i="17"/>
  <c r="Q7" i="17"/>
  <c r="Q6" i="17"/>
  <c r="M62" i="16"/>
  <c r="G60" i="16"/>
  <c r="E60" i="16"/>
  <c r="M58" i="16"/>
  <c r="K58" i="16"/>
  <c r="Y23" i="16" s="1"/>
  <c r="I58" i="16"/>
  <c r="G58" i="16"/>
  <c r="E58" i="16"/>
  <c r="U23" i="16" s="1"/>
  <c r="C58" i="16"/>
  <c r="S23" i="16" s="1"/>
  <c r="M54" i="16"/>
  <c r="G54" i="16"/>
  <c r="W50" i="16" s="1"/>
  <c r="C54" i="16"/>
  <c r="M52" i="16"/>
  <c r="K52" i="16"/>
  <c r="I52" i="16"/>
  <c r="G52" i="16"/>
  <c r="E52" i="16"/>
  <c r="U43" i="16" s="1"/>
  <c r="C52" i="16"/>
  <c r="M50" i="16"/>
  <c r="M56" i="16" s="1"/>
  <c r="G50" i="16"/>
  <c r="M48" i="16"/>
  <c r="G48" i="16"/>
  <c r="E48" i="16"/>
  <c r="C48" i="16"/>
  <c r="AA46" i="16"/>
  <c r="U46" i="16"/>
  <c r="AA45" i="16"/>
  <c r="Y45" i="16"/>
  <c r="W45" i="16"/>
  <c r="U44" i="16"/>
  <c r="K44" i="16"/>
  <c r="I44" i="16"/>
  <c r="I62" i="16" s="1"/>
  <c r="G44" i="16"/>
  <c r="G62" i="16" s="1"/>
  <c r="E44" i="16"/>
  <c r="E62" i="16" s="1"/>
  <c r="C44" i="16"/>
  <c r="AA43" i="16"/>
  <c r="Y43" i="16"/>
  <c r="K43" i="16"/>
  <c r="I43" i="16"/>
  <c r="G43" i="16"/>
  <c r="E43" i="16"/>
  <c r="C43" i="16"/>
  <c r="M42" i="16"/>
  <c r="M60" i="16" s="1"/>
  <c r="K42" i="16"/>
  <c r="I42" i="16"/>
  <c r="G42" i="16"/>
  <c r="E42" i="16"/>
  <c r="C42" i="16"/>
  <c r="K41" i="16"/>
  <c r="I41" i="16"/>
  <c r="I60" i="16" s="1"/>
  <c r="G41" i="16"/>
  <c r="E41" i="16"/>
  <c r="C41" i="16"/>
  <c r="M40" i="16"/>
  <c r="K40" i="16"/>
  <c r="I40" i="16"/>
  <c r="G40" i="16"/>
  <c r="K38" i="16"/>
  <c r="I38" i="16"/>
  <c r="Y46" i="16" s="1"/>
  <c r="G38" i="16"/>
  <c r="E38" i="16"/>
  <c r="C38" i="16"/>
  <c r="S46" i="16" s="1"/>
  <c r="K34" i="16"/>
  <c r="I34" i="16"/>
  <c r="G34" i="16"/>
  <c r="E34" i="16"/>
  <c r="C34" i="16"/>
  <c r="K32" i="16"/>
  <c r="I32" i="16"/>
  <c r="G32" i="16"/>
  <c r="E32" i="16"/>
  <c r="E40" i="16" s="1"/>
  <c r="C32" i="16"/>
  <c r="C40" i="16" s="1"/>
  <c r="K30" i="16"/>
  <c r="I30" i="16"/>
  <c r="G30" i="16"/>
  <c r="E30" i="16"/>
  <c r="C30" i="16"/>
  <c r="K28" i="16"/>
  <c r="I28" i="16"/>
  <c r="G28" i="16"/>
  <c r="E28" i="16"/>
  <c r="C28" i="16"/>
  <c r="C60" i="16" s="1"/>
  <c r="S52" i="16" s="1"/>
  <c r="AA23" i="16"/>
  <c r="W23" i="16"/>
  <c r="Y22" i="16"/>
  <c r="K19" i="16"/>
  <c r="K54" i="16" s="1"/>
  <c r="I19" i="16"/>
  <c r="I54" i="16" s="1"/>
  <c r="G19" i="16"/>
  <c r="W18" i="16" s="1"/>
  <c r="E19" i="16"/>
  <c r="C19" i="16"/>
  <c r="AA18" i="16"/>
  <c r="Y18" i="16"/>
  <c r="S18" i="16"/>
  <c r="K16" i="16"/>
  <c r="AA48" i="16" s="1"/>
  <c r="I16" i="16"/>
  <c r="G16" i="16"/>
  <c r="E16" i="16"/>
  <c r="C16" i="16"/>
  <c r="AA12" i="16"/>
  <c r="Y12" i="16"/>
  <c r="W12" i="16"/>
  <c r="U12" i="16"/>
  <c r="S12" i="16"/>
  <c r="K12" i="16"/>
  <c r="I12" i="16"/>
  <c r="G12" i="16"/>
  <c r="E12" i="16"/>
  <c r="C12" i="16"/>
  <c r="Q8" i="16"/>
  <c r="Q7" i="16"/>
  <c r="Q6" i="16"/>
  <c r="M62" i="15"/>
  <c r="C62" i="15"/>
  <c r="M60" i="15"/>
  <c r="M58" i="15"/>
  <c r="K58" i="15"/>
  <c r="Y23" i="15" s="1"/>
  <c r="I58" i="15"/>
  <c r="G58" i="15"/>
  <c r="E58" i="15"/>
  <c r="C58" i="15"/>
  <c r="G54" i="15"/>
  <c r="W52" i="15"/>
  <c r="M52" i="15"/>
  <c r="K52" i="15"/>
  <c r="I52" i="15"/>
  <c r="G52" i="15"/>
  <c r="W43" i="15" s="1"/>
  <c r="E52" i="15"/>
  <c r="C52" i="15"/>
  <c r="S50" i="15"/>
  <c r="U48" i="15"/>
  <c r="M48" i="15"/>
  <c r="I48" i="15"/>
  <c r="W44" i="15" s="1"/>
  <c r="G48" i="15"/>
  <c r="AA45" i="15"/>
  <c r="Y45" i="15"/>
  <c r="W45" i="15"/>
  <c r="U45" i="15"/>
  <c r="S45" i="15"/>
  <c r="K44" i="15"/>
  <c r="I44" i="15"/>
  <c r="G44" i="15"/>
  <c r="G62" i="15" s="1"/>
  <c r="W50" i="15" s="1"/>
  <c r="E44" i="15"/>
  <c r="C44" i="15"/>
  <c r="AA43" i="15"/>
  <c r="Y43" i="15"/>
  <c r="U43" i="15"/>
  <c r="S43" i="15"/>
  <c r="K43" i="15"/>
  <c r="I43" i="15"/>
  <c r="G43" i="15"/>
  <c r="E43" i="15"/>
  <c r="C43" i="15"/>
  <c r="K42" i="15"/>
  <c r="I42" i="15"/>
  <c r="G42" i="15"/>
  <c r="E42" i="15"/>
  <c r="C42" i="15"/>
  <c r="K41" i="15"/>
  <c r="K60" i="15" s="1"/>
  <c r="I41" i="15"/>
  <c r="I60" i="15" s="1"/>
  <c r="G41" i="15"/>
  <c r="G60" i="15" s="1"/>
  <c r="E41" i="15"/>
  <c r="C41" i="15"/>
  <c r="C60" i="15" s="1"/>
  <c r="S52" i="15" s="1"/>
  <c r="M40" i="15"/>
  <c r="K40" i="15"/>
  <c r="E40" i="15"/>
  <c r="K38" i="15"/>
  <c r="I38" i="15"/>
  <c r="Y46" i="15" s="1"/>
  <c r="G38" i="15"/>
  <c r="W46" i="15" s="1"/>
  <c r="E38" i="15"/>
  <c r="C38" i="15"/>
  <c r="K36" i="15"/>
  <c r="AA23" i="15" s="1"/>
  <c r="I36" i="15"/>
  <c r="U35" i="15"/>
  <c r="U34" i="15"/>
  <c r="K34" i="15"/>
  <c r="AA46" i="15" s="1"/>
  <c r="I34" i="15"/>
  <c r="G34" i="15"/>
  <c r="W48" i="15" s="1"/>
  <c r="E34" i="15"/>
  <c r="U46" i="15" s="1"/>
  <c r="C34" i="15"/>
  <c r="S46" i="15" s="1"/>
  <c r="AC46" i="15" s="1"/>
  <c r="U33" i="15"/>
  <c r="K32" i="15"/>
  <c r="I32" i="15"/>
  <c r="I40" i="15" s="1"/>
  <c r="G32" i="15"/>
  <c r="G40" i="15" s="1"/>
  <c r="E32" i="15"/>
  <c r="C32" i="15"/>
  <c r="C40" i="15" s="1"/>
  <c r="K30" i="15"/>
  <c r="I30" i="15"/>
  <c r="G30" i="15"/>
  <c r="E30" i="15"/>
  <c r="U22" i="15" s="1"/>
  <c r="C30" i="15"/>
  <c r="U28" i="15"/>
  <c r="K28" i="15"/>
  <c r="I28" i="15"/>
  <c r="G28" i="15"/>
  <c r="E28" i="15"/>
  <c r="C28" i="15"/>
  <c r="U27" i="15"/>
  <c r="S27" i="15"/>
  <c r="K19" i="15"/>
  <c r="AA18" i="15" s="1"/>
  <c r="I19" i="15"/>
  <c r="Y18" i="15" s="1"/>
  <c r="G19" i="15"/>
  <c r="E19" i="15"/>
  <c r="E54" i="15" s="1"/>
  <c r="C19" i="15"/>
  <c r="C54" i="15" s="1"/>
  <c r="W18" i="15"/>
  <c r="U18" i="15"/>
  <c r="S18" i="15"/>
  <c r="U17" i="15"/>
  <c r="U19" i="15" s="1"/>
  <c r="S17" i="15"/>
  <c r="S19" i="15" s="1"/>
  <c r="K16" i="15"/>
  <c r="I16" i="15"/>
  <c r="G16" i="15"/>
  <c r="E16" i="15"/>
  <c r="E48" i="15" s="1"/>
  <c r="U44" i="15" s="1"/>
  <c r="C16" i="15"/>
  <c r="AA12" i="15"/>
  <c r="Y12" i="15"/>
  <c r="W12" i="15"/>
  <c r="U12" i="15"/>
  <c r="S12" i="15"/>
  <c r="M12" i="15"/>
  <c r="M50" i="15" s="1"/>
  <c r="M56" i="15" s="1"/>
  <c r="K12" i="15"/>
  <c r="I12" i="15"/>
  <c r="G12" i="15"/>
  <c r="G50" i="15" s="1"/>
  <c r="W28" i="15" s="1"/>
  <c r="E12" i="15"/>
  <c r="E50" i="15" s="1"/>
  <c r="E56" i="15" s="1"/>
  <c r="C12" i="15"/>
  <c r="C50" i="15" s="1"/>
  <c r="C56" i="15" s="1"/>
  <c r="S34" i="15" s="1"/>
  <c r="Q8" i="15"/>
  <c r="Q7" i="15"/>
  <c r="Q6" i="15"/>
  <c r="L44" i="14"/>
  <c r="I44" i="13" s="1"/>
  <c r="J44" i="14"/>
  <c r="G44" i="13" s="1"/>
  <c r="H44" i="14"/>
  <c r="L43" i="14"/>
  <c r="J43" i="14"/>
  <c r="G43" i="13" s="1"/>
  <c r="H43" i="14"/>
  <c r="E43" i="13" s="1"/>
  <c r="L42" i="14"/>
  <c r="I42" i="13" s="1"/>
  <c r="J42" i="14"/>
  <c r="H42" i="14"/>
  <c r="L41" i="14"/>
  <c r="I41" i="13" s="1"/>
  <c r="J41" i="14"/>
  <c r="G41" i="13" s="1"/>
  <c r="H41" i="14"/>
  <c r="E41" i="13" s="1"/>
  <c r="L39" i="14"/>
  <c r="I39" i="13" s="1"/>
  <c r="J39" i="14"/>
  <c r="H39" i="14"/>
  <c r="E39" i="13" s="1"/>
  <c r="L38" i="14"/>
  <c r="I38" i="13" s="1"/>
  <c r="J38" i="14"/>
  <c r="G38" i="13" s="1"/>
  <c r="H38" i="14"/>
  <c r="E38" i="13" s="1"/>
  <c r="L37" i="14"/>
  <c r="I37" i="13" s="1"/>
  <c r="J37" i="14"/>
  <c r="H37" i="14"/>
  <c r="L36" i="14"/>
  <c r="I36" i="13" s="1"/>
  <c r="J36" i="14"/>
  <c r="H36" i="14"/>
  <c r="E36" i="13" s="1"/>
  <c r="L35" i="14"/>
  <c r="I35" i="13" s="1"/>
  <c r="J35" i="14"/>
  <c r="G35" i="13" s="1"/>
  <c r="H35" i="14"/>
  <c r="N35" i="14" s="1"/>
  <c r="L34" i="14"/>
  <c r="I34" i="13" s="1"/>
  <c r="J34" i="14"/>
  <c r="G34" i="13" s="1"/>
  <c r="H34" i="14"/>
  <c r="N34" i="14" s="1"/>
  <c r="N33" i="14"/>
  <c r="L33" i="14"/>
  <c r="I33" i="13" s="1"/>
  <c r="J33" i="14"/>
  <c r="G33" i="13" s="1"/>
  <c r="H33" i="14"/>
  <c r="L32" i="14"/>
  <c r="I32" i="13" s="1"/>
  <c r="J32" i="14"/>
  <c r="G32" i="13" s="1"/>
  <c r="H32" i="14"/>
  <c r="E32" i="13" s="1"/>
  <c r="L31" i="14"/>
  <c r="J31" i="14"/>
  <c r="G31" i="13" s="1"/>
  <c r="H31" i="14"/>
  <c r="N31" i="14" s="1"/>
  <c r="L30" i="14"/>
  <c r="J30" i="14"/>
  <c r="H30" i="14"/>
  <c r="E30" i="13" s="1"/>
  <c r="L29" i="14"/>
  <c r="J29" i="14"/>
  <c r="G29" i="13" s="1"/>
  <c r="H29" i="14"/>
  <c r="L28" i="14"/>
  <c r="I28" i="13" s="1"/>
  <c r="J28" i="14"/>
  <c r="H28" i="14"/>
  <c r="N28" i="14" s="1"/>
  <c r="L27" i="14"/>
  <c r="J27" i="14"/>
  <c r="H27" i="14"/>
  <c r="E27" i="13" s="1"/>
  <c r="L26" i="14"/>
  <c r="I26" i="13" s="1"/>
  <c r="J26" i="14"/>
  <c r="G26" i="13" s="1"/>
  <c r="H26" i="14"/>
  <c r="L25" i="14"/>
  <c r="J25" i="14"/>
  <c r="H25" i="14"/>
  <c r="L24" i="14"/>
  <c r="J24" i="14"/>
  <c r="H24" i="14"/>
  <c r="E24" i="13" s="1"/>
  <c r="L23" i="14"/>
  <c r="I23" i="13" s="1"/>
  <c r="J23" i="14"/>
  <c r="G23" i="13" s="1"/>
  <c r="H23" i="14"/>
  <c r="N23" i="14" s="1"/>
  <c r="L22" i="14"/>
  <c r="I22" i="13" s="1"/>
  <c r="J22" i="14"/>
  <c r="N22" i="14" s="1"/>
  <c r="H22" i="14"/>
  <c r="L21" i="14"/>
  <c r="J21" i="14"/>
  <c r="H21" i="14"/>
  <c r="L20" i="14"/>
  <c r="I20" i="13" s="1"/>
  <c r="J20" i="14"/>
  <c r="H20" i="14"/>
  <c r="L19" i="14"/>
  <c r="J19" i="14"/>
  <c r="H19" i="14"/>
  <c r="L18" i="14"/>
  <c r="I18" i="13" s="1"/>
  <c r="J18" i="14"/>
  <c r="N18" i="14" s="1"/>
  <c r="H18" i="14"/>
  <c r="L17" i="14"/>
  <c r="J17" i="14"/>
  <c r="H17" i="14"/>
  <c r="L16" i="14"/>
  <c r="I16" i="13" s="1"/>
  <c r="J16" i="14"/>
  <c r="H16" i="14"/>
  <c r="L15" i="14"/>
  <c r="I15" i="13" s="1"/>
  <c r="J15" i="14"/>
  <c r="G15" i="13" s="1"/>
  <c r="H15" i="14"/>
  <c r="E15" i="13" s="1"/>
  <c r="L14" i="14"/>
  <c r="I14" i="13" s="1"/>
  <c r="J14" i="14"/>
  <c r="G14" i="13" s="1"/>
  <c r="H14" i="14"/>
  <c r="L13" i="14"/>
  <c r="J13" i="14"/>
  <c r="H13" i="14"/>
  <c r="L12" i="14"/>
  <c r="I12" i="13" s="1"/>
  <c r="J12" i="14"/>
  <c r="G12" i="13" s="1"/>
  <c r="H12" i="14"/>
  <c r="E12" i="13" s="1"/>
  <c r="K12" i="13" s="1"/>
  <c r="L11" i="14"/>
  <c r="I11" i="13" s="1"/>
  <c r="J11" i="14"/>
  <c r="H11" i="14"/>
  <c r="N11" i="14" s="1"/>
  <c r="L10" i="14"/>
  <c r="N10" i="14" s="1"/>
  <c r="J10" i="14"/>
  <c r="G10" i="13" s="1"/>
  <c r="H10" i="14"/>
  <c r="E10" i="13" s="1"/>
  <c r="L9" i="14"/>
  <c r="J9" i="14"/>
  <c r="G9" i="13" s="1"/>
  <c r="H9" i="14"/>
  <c r="E9" i="13" s="1"/>
  <c r="L8" i="14"/>
  <c r="J8" i="14"/>
  <c r="H8" i="14"/>
  <c r="L7" i="14"/>
  <c r="I7" i="13" s="1"/>
  <c r="J7" i="14"/>
  <c r="G7" i="13" s="1"/>
  <c r="H7" i="14"/>
  <c r="E7" i="13" s="1"/>
  <c r="C44" i="13"/>
  <c r="A44" i="13"/>
  <c r="C43" i="13"/>
  <c r="A43" i="13"/>
  <c r="G42" i="13"/>
  <c r="E42" i="13"/>
  <c r="C42" i="13"/>
  <c r="A42" i="13"/>
  <c r="C41" i="13"/>
  <c r="A41" i="13"/>
  <c r="C39" i="13"/>
  <c r="A39" i="13"/>
  <c r="C38" i="13"/>
  <c r="A38" i="13"/>
  <c r="G37" i="13"/>
  <c r="C37" i="13"/>
  <c r="A37" i="13"/>
  <c r="C36" i="13"/>
  <c r="A36" i="13"/>
  <c r="C35" i="13"/>
  <c r="A35" i="13"/>
  <c r="C34" i="13"/>
  <c r="A34" i="13"/>
  <c r="E33" i="13"/>
  <c r="C33" i="13"/>
  <c r="A33" i="13"/>
  <c r="C32" i="13"/>
  <c r="A32" i="13"/>
  <c r="I31" i="13"/>
  <c r="E31" i="13"/>
  <c r="C31" i="13"/>
  <c r="A31" i="13"/>
  <c r="G30" i="13"/>
  <c r="C30" i="13"/>
  <c r="A30" i="13"/>
  <c r="I29" i="13"/>
  <c r="E29" i="13"/>
  <c r="C29" i="13"/>
  <c r="A29" i="13"/>
  <c r="G28" i="13"/>
  <c r="E28" i="13"/>
  <c r="C28" i="13"/>
  <c r="A28" i="13"/>
  <c r="I27" i="13"/>
  <c r="C27" i="13"/>
  <c r="A27" i="13"/>
  <c r="C26" i="13"/>
  <c r="A26" i="13"/>
  <c r="I25" i="13"/>
  <c r="G25" i="13"/>
  <c r="E25" i="13"/>
  <c r="C25" i="13"/>
  <c r="A25" i="13"/>
  <c r="I24" i="13"/>
  <c r="C24" i="13"/>
  <c r="A24" i="13"/>
  <c r="C23" i="13"/>
  <c r="A23" i="13"/>
  <c r="E22" i="13"/>
  <c r="C22" i="13"/>
  <c r="A22" i="13"/>
  <c r="I21" i="13"/>
  <c r="G21" i="13"/>
  <c r="E21" i="13"/>
  <c r="C21" i="13"/>
  <c r="A21" i="13"/>
  <c r="G20" i="13"/>
  <c r="C20" i="13"/>
  <c r="A20" i="13"/>
  <c r="G19" i="13"/>
  <c r="E19" i="13"/>
  <c r="C19" i="13"/>
  <c r="A19" i="13"/>
  <c r="E18" i="13"/>
  <c r="C18" i="13"/>
  <c r="A18" i="13"/>
  <c r="I17" i="13"/>
  <c r="G17" i="13"/>
  <c r="C17" i="13"/>
  <c r="A17" i="13"/>
  <c r="E16" i="13"/>
  <c r="C16" i="13"/>
  <c r="A16" i="13"/>
  <c r="C15" i="13"/>
  <c r="A15" i="13"/>
  <c r="C14" i="13"/>
  <c r="A14" i="13"/>
  <c r="I13" i="13"/>
  <c r="G13" i="13"/>
  <c r="C13" i="13"/>
  <c r="A13" i="13"/>
  <c r="C12" i="13"/>
  <c r="A12" i="13"/>
  <c r="G11" i="13"/>
  <c r="C11" i="13"/>
  <c r="A11" i="13"/>
  <c r="I10" i="13"/>
  <c r="C10" i="13"/>
  <c r="A10" i="13"/>
  <c r="I9" i="13"/>
  <c r="C9" i="13"/>
  <c r="A9" i="13"/>
  <c r="I8" i="13"/>
  <c r="G8" i="13"/>
  <c r="E8" i="13"/>
  <c r="K8" i="13" s="1"/>
  <c r="C8" i="13"/>
  <c r="A8" i="13"/>
  <c r="C7" i="13"/>
  <c r="A7" i="13"/>
  <c r="F6" i="12"/>
  <c r="H6" i="12" s="1"/>
  <c r="J6" i="12" s="1"/>
  <c r="L6" i="12" s="1"/>
  <c r="B98" i="12"/>
  <c r="J23" i="12" a="1"/>
  <c r="J77" i="12" a="1"/>
  <c r="J27" i="12" a="1"/>
  <c r="J34" i="12" a="1"/>
  <c r="L65" i="12" a="1"/>
  <c r="L23" i="12" a="1"/>
  <c r="F35" i="12" a="1"/>
  <c r="F34" i="12" a="1"/>
  <c r="H35" i="12" a="1"/>
  <c r="H21" i="12" a="1"/>
  <c r="F41" i="12" a="1"/>
  <c r="F33" i="12" a="1"/>
  <c r="D22" i="12" a="1"/>
  <c r="F63" i="12" a="1"/>
  <c r="J21" i="12" a="1"/>
  <c r="D23" i="12" a="1"/>
  <c r="F81" i="12" a="1"/>
  <c r="H22" i="12" a="1"/>
  <c r="H53" i="12" a="1"/>
  <c r="D45" i="12" a="1"/>
  <c r="D52" i="12" a="1"/>
  <c r="L64" i="12" a="1"/>
  <c r="H16" i="12" a="1"/>
  <c r="D53" i="12" a="1"/>
  <c r="L21" i="12" a="1"/>
  <c r="H15" i="12" a="1"/>
  <c r="D21" i="12" a="1"/>
  <c r="L46" i="12" a="1"/>
  <c r="F82" i="12" a="1"/>
  <c r="J22" i="12" a="1"/>
  <c r="H34" i="12" a="1"/>
  <c r="H23" i="12" a="1"/>
  <c r="K31" i="13" l="1"/>
  <c r="K28" i="13"/>
  <c r="G22" i="13"/>
  <c r="K22" i="13" s="1"/>
  <c r="K42" i="13"/>
  <c r="N24" i="14"/>
  <c r="N36" i="14"/>
  <c r="G18" i="13"/>
  <c r="K18" i="13" s="1"/>
  <c r="N9" i="14"/>
  <c r="N21" i="14"/>
  <c r="N25" i="14"/>
  <c r="N42" i="14"/>
  <c r="E34" i="13"/>
  <c r="K34" i="13" s="1"/>
  <c r="N15" i="14"/>
  <c r="N27" i="14"/>
  <c r="E35" i="13"/>
  <c r="K35" i="13" s="1"/>
  <c r="N12" i="14"/>
  <c r="G24" i="13"/>
  <c r="K24" i="13" s="1"/>
  <c r="G27" i="13"/>
  <c r="K27" i="13" s="1"/>
  <c r="K21" i="13"/>
  <c r="K25" i="13"/>
  <c r="K38" i="13"/>
  <c r="K9" i="13"/>
  <c r="K15" i="13"/>
  <c r="K10" i="13"/>
  <c r="K29" i="13"/>
  <c r="F35" i="12"/>
  <c r="D52" i="12"/>
  <c r="D23" i="12"/>
  <c r="F33" i="12"/>
  <c r="J27" i="12"/>
  <c r="D53" i="12"/>
  <c r="D21" i="12"/>
  <c r="F34" i="12"/>
  <c r="H15" i="12"/>
  <c r="L46" i="12"/>
  <c r="H53" i="12"/>
  <c r="D22" i="12"/>
  <c r="J34" i="12"/>
  <c r="F41" i="12"/>
  <c r="H22" i="12"/>
  <c r="H35" i="12"/>
  <c r="F82" i="12"/>
  <c r="H16" i="12"/>
  <c r="F81" i="12"/>
  <c r="L65" i="12"/>
  <c r="H34" i="12"/>
  <c r="L64" i="12"/>
  <c r="H23" i="12"/>
  <c r="H21" i="12"/>
  <c r="J23" i="12"/>
  <c r="J22" i="12"/>
  <c r="J21" i="12"/>
  <c r="L23" i="12"/>
  <c r="L21" i="12"/>
  <c r="D45" i="12"/>
  <c r="F63" i="12"/>
  <c r="J77" i="12"/>
  <c r="E13" i="13"/>
  <c r="K13" i="13" s="1"/>
  <c r="N13" i="14"/>
  <c r="W18" i="18"/>
  <c r="G54" i="18"/>
  <c r="N37" i="14"/>
  <c r="E37" i="13"/>
  <c r="K37" i="13" s="1"/>
  <c r="AC45" i="15"/>
  <c r="N14" i="14"/>
  <c r="E14" i="13"/>
  <c r="K14" i="13" s="1"/>
  <c r="AA44" i="15"/>
  <c r="K7" i="13"/>
  <c r="N26" i="14"/>
  <c r="E26" i="13"/>
  <c r="K26" i="13" s="1"/>
  <c r="G56" i="15"/>
  <c r="W17" i="15"/>
  <c r="W19" i="15" s="1"/>
  <c r="W27" i="15"/>
  <c r="W30" i="15" s="1"/>
  <c r="W29" i="15"/>
  <c r="U18" i="16"/>
  <c r="E54" i="16"/>
  <c r="W28" i="16"/>
  <c r="G56" i="16"/>
  <c r="W34" i="16" s="1"/>
  <c r="W17" i="16"/>
  <c r="W19" i="16" s="1"/>
  <c r="W27" i="16"/>
  <c r="I50" i="15"/>
  <c r="K48" i="15"/>
  <c r="AA28" i="18"/>
  <c r="AA17" i="18"/>
  <c r="AA19" i="18" s="1"/>
  <c r="AA27" i="18"/>
  <c r="AA29" i="18"/>
  <c r="K56" i="18"/>
  <c r="I30" i="13"/>
  <c r="K30" i="13" s="1"/>
  <c r="N30" i="14"/>
  <c r="K50" i="15"/>
  <c r="S30" i="15"/>
  <c r="I43" i="13"/>
  <c r="K43" i="13" s="1"/>
  <c r="N43" i="14"/>
  <c r="I54" i="15"/>
  <c r="K32" i="13"/>
  <c r="N19" i="14"/>
  <c r="I19" i="13"/>
  <c r="K19" i="13" s="1"/>
  <c r="N44" i="14"/>
  <c r="G39" i="13"/>
  <c r="K39" i="13" s="1"/>
  <c r="N39" i="14"/>
  <c r="K62" i="16"/>
  <c r="AA50" i="16" s="1"/>
  <c r="AA22" i="16"/>
  <c r="U48" i="17"/>
  <c r="U22" i="18"/>
  <c r="G16" i="13"/>
  <c r="N16" i="14"/>
  <c r="AC46" i="16"/>
  <c r="U52" i="16"/>
  <c r="AC52" i="16" s="1"/>
  <c r="U46" i="17"/>
  <c r="K33" i="13"/>
  <c r="K41" i="13"/>
  <c r="W33" i="16"/>
  <c r="U22" i="17"/>
  <c r="W48" i="17"/>
  <c r="G36" i="13"/>
  <c r="N20" i="14"/>
  <c r="C56" i="17"/>
  <c r="S35" i="17" s="1"/>
  <c r="S29" i="17"/>
  <c r="W22" i="17"/>
  <c r="Y48" i="17"/>
  <c r="E44" i="13"/>
  <c r="K44" i="13" s="1"/>
  <c r="N17" i="14"/>
  <c r="E62" i="15"/>
  <c r="U50" i="15" s="1"/>
  <c r="S48" i="15"/>
  <c r="W48" i="16"/>
  <c r="Y22" i="17"/>
  <c r="S50" i="17"/>
  <c r="S50" i="19"/>
  <c r="S45" i="21"/>
  <c r="AC45" i="21" s="1"/>
  <c r="S43" i="21"/>
  <c r="AC43" i="21" s="1"/>
  <c r="S44" i="21"/>
  <c r="C62" i="17"/>
  <c r="E48" i="18"/>
  <c r="E20" i="13"/>
  <c r="K20" i="13" s="1"/>
  <c r="N7" i="14"/>
  <c r="Y48" i="15"/>
  <c r="I62" i="15"/>
  <c r="K54" i="15"/>
  <c r="AA50" i="15" s="1"/>
  <c r="S44" i="16"/>
  <c r="Y29" i="17"/>
  <c r="Y28" i="17"/>
  <c r="W50" i="17"/>
  <c r="G48" i="18"/>
  <c r="W44" i="18" s="1"/>
  <c r="W48" i="18"/>
  <c r="Y23" i="19"/>
  <c r="W18" i="19"/>
  <c r="G54" i="19"/>
  <c r="W52" i="19" s="1"/>
  <c r="U43" i="19"/>
  <c r="U44" i="19"/>
  <c r="AC44" i="19" s="1"/>
  <c r="U45" i="19"/>
  <c r="S50" i="22"/>
  <c r="S22" i="22"/>
  <c r="I62" i="23"/>
  <c r="Y48" i="23"/>
  <c r="W28" i="17"/>
  <c r="W27" i="17"/>
  <c r="W30" i="17" s="1"/>
  <c r="U50" i="17"/>
  <c r="Y52" i="17"/>
  <c r="Y50" i="20"/>
  <c r="Y22" i="20"/>
  <c r="W52" i="21"/>
  <c r="N8" i="14"/>
  <c r="N41" i="14"/>
  <c r="K62" i="15"/>
  <c r="AA48" i="15"/>
  <c r="M54" i="15"/>
  <c r="S48" i="16"/>
  <c r="AC48" i="16" s="1"/>
  <c r="Y50" i="16"/>
  <c r="Y52" i="16"/>
  <c r="W29" i="17"/>
  <c r="W18" i="17"/>
  <c r="W33" i="19"/>
  <c r="W43" i="19"/>
  <c r="W45" i="19"/>
  <c r="S34" i="22"/>
  <c r="S33" i="22"/>
  <c r="S27" i="16"/>
  <c r="W35" i="16"/>
  <c r="W29" i="16"/>
  <c r="U29" i="16"/>
  <c r="W46" i="16"/>
  <c r="K60" i="16"/>
  <c r="AA52" i="16" s="1"/>
  <c r="S43" i="16"/>
  <c r="S45" i="16"/>
  <c r="AC45" i="16" s="1"/>
  <c r="U48" i="16"/>
  <c r="W43" i="16"/>
  <c r="Y18" i="17"/>
  <c r="Y19" i="17" s="1"/>
  <c r="I54" i="17"/>
  <c r="Y50" i="17" s="1"/>
  <c r="K60" i="17"/>
  <c r="G56" i="17"/>
  <c r="Y28" i="19"/>
  <c r="Y17" i="19"/>
  <c r="I56" i="19"/>
  <c r="Y27" i="19"/>
  <c r="Y30" i="19" s="1"/>
  <c r="AA50" i="19"/>
  <c r="Y44" i="19"/>
  <c r="N38" i="14"/>
  <c r="C48" i="15"/>
  <c r="S44" i="15" s="1"/>
  <c r="S29" i="15"/>
  <c r="S22" i="15"/>
  <c r="E60" i="15"/>
  <c r="U52" i="15" s="1"/>
  <c r="Y44" i="15"/>
  <c r="U27" i="16"/>
  <c r="Y48" i="16"/>
  <c r="I48" i="16"/>
  <c r="W44" i="16" s="1"/>
  <c r="U45" i="16"/>
  <c r="W52" i="16"/>
  <c r="K54" i="17"/>
  <c r="AA18" i="17"/>
  <c r="AA19" i="17" s="1"/>
  <c r="S28" i="17"/>
  <c r="S30" i="17" s="1"/>
  <c r="S52" i="17"/>
  <c r="S43" i="17"/>
  <c r="AC43" i="17" s="1"/>
  <c r="I56" i="17"/>
  <c r="Y33" i="17" s="1"/>
  <c r="K50" i="16"/>
  <c r="K48" i="16"/>
  <c r="AA44" i="16" s="1"/>
  <c r="S22" i="16"/>
  <c r="S17" i="17"/>
  <c r="S19" i="17" s="1"/>
  <c r="S22" i="18"/>
  <c r="W28" i="19"/>
  <c r="W17" i="19"/>
  <c r="G56" i="19"/>
  <c r="W34" i="19" s="1"/>
  <c r="E56" i="20"/>
  <c r="U17" i="20"/>
  <c r="U27" i="20"/>
  <c r="AA29" i="20"/>
  <c r="Y17" i="20"/>
  <c r="Y19" i="20" s="1"/>
  <c r="Y28" i="20"/>
  <c r="I56" i="20"/>
  <c r="Y34" i="20" s="1"/>
  <c r="N32" i="14"/>
  <c r="S28" i="15"/>
  <c r="S33" i="15"/>
  <c r="S35" i="15"/>
  <c r="AC43" i="15"/>
  <c r="I50" i="16"/>
  <c r="Y29" i="16" s="1"/>
  <c r="C50" i="16"/>
  <c r="E60" i="18"/>
  <c r="U52" i="18" s="1"/>
  <c r="AC52" i="18" s="1"/>
  <c r="Y50" i="18"/>
  <c r="Y22" i="18"/>
  <c r="G50" i="20"/>
  <c r="W27" i="20" s="1"/>
  <c r="K58" i="20"/>
  <c r="AA23" i="20" s="1"/>
  <c r="K50" i="20"/>
  <c r="E11" i="13"/>
  <c r="K11" i="13" s="1"/>
  <c r="E17" i="13"/>
  <c r="K17" i="13" s="1"/>
  <c r="E23" i="13"/>
  <c r="K23" i="13" s="1"/>
  <c r="N29" i="14"/>
  <c r="W33" i="15"/>
  <c r="U36" i="15"/>
  <c r="U54" i="15"/>
  <c r="W22" i="16"/>
  <c r="C62" i="16"/>
  <c r="S50" i="16" s="1"/>
  <c r="E50" i="16"/>
  <c r="W17" i="17"/>
  <c r="W19" i="17" s="1"/>
  <c r="AC48" i="17"/>
  <c r="Y46" i="17"/>
  <c r="AA50" i="18"/>
  <c r="AA22" i="18"/>
  <c r="AC43" i="19"/>
  <c r="G54" i="21"/>
  <c r="W18" i="21"/>
  <c r="AC43" i="24"/>
  <c r="G60" i="18"/>
  <c r="W52" i="18" s="1"/>
  <c r="AA27" i="19"/>
  <c r="K56" i="19"/>
  <c r="AA29" i="19"/>
  <c r="Y18" i="19"/>
  <c r="I54" i="19"/>
  <c r="U46" i="19"/>
  <c r="AC46" i="19" s="1"/>
  <c r="E62" i="19"/>
  <c r="AC45" i="20"/>
  <c r="S30" i="21"/>
  <c r="G62" i="21"/>
  <c r="AA44" i="21"/>
  <c r="Y44" i="21"/>
  <c r="U50" i="22"/>
  <c r="U22" i="22"/>
  <c r="U52" i="22"/>
  <c r="Y29" i="22"/>
  <c r="I56" i="22"/>
  <c r="Y17" i="22"/>
  <c r="Y19" i="22" s="1"/>
  <c r="Y28" i="22"/>
  <c r="Y30" i="22" s="1"/>
  <c r="Y50" i="22"/>
  <c r="W22" i="22"/>
  <c r="S27" i="23"/>
  <c r="C50" i="23"/>
  <c r="C54" i="23"/>
  <c r="S52" i="23" s="1"/>
  <c r="AC52" i="23" s="1"/>
  <c r="U50" i="23"/>
  <c r="U52" i="23"/>
  <c r="U22" i="23"/>
  <c r="E62" i="23"/>
  <c r="S44" i="23"/>
  <c r="S43" i="23"/>
  <c r="AC43" i="23" s="1"/>
  <c r="S46" i="24"/>
  <c r="AC46" i="24" s="1"/>
  <c r="S44" i="18"/>
  <c r="AA28" i="19"/>
  <c r="G48" i="19"/>
  <c r="W44" i="19" s="1"/>
  <c r="E50" i="21"/>
  <c r="U27" i="21" s="1"/>
  <c r="C54" i="26"/>
  <c r="S50" i="26" s="1"/>
  <c r="S18" i="26"/>
  <c r="Y27" i="17"/>
  <c r="Y44" i="17"/>
  <c r="S23" i="18"/>
  <c r="U44" i="18"/>
  <c r="Y52" i="20"/>
  <c r="G50" i="21"/>
  <c r="S45" i="23"/>
  <c r="AC45" i="23" s="1"/>
  <c r="U52" i="25"/>
  <c r="AA27" i="17"/>
  <c r="AA30" i="17" s="1"/>
  <c r="E50" i="17"/>
  <c r="S45" i="18"/>
  <c r="AA35" i="19"/>
  <c r="W29" i="19"/>
  <c r="U50" i="19"/>
  <c r="AC46" i="20"/>
  <c r="Y50" i="23"/>
  <c r="AA30" i="23"/>
  <c r="S48" i="25"/>
  <c r="S46" i="25"/>
  <c r="C40" i="25"/>
  <c r="C48" i="17"/>
  <c r="S44" i="17" s="1"/>
  <c r="S46" i="18"/>
  <c r="AC46" i="18" s="1"/>
  <c r="Y44" i="18"/>
  <c r="W50" i="27"/>
  <c r="Y54" i="18"/>
  <c r="Y36" i="18"/>
  <c r="S22" i="19"/>
  <c r="S52" i="19"/>
  <c r="G54" i="20"/>
  <c r="W22" i="20" s="1"/>
  <c r="W18" i="20"/>
  <c r="Y43" i="20"/>
  <c r="AC43" i="20" s="1"/>
  <c r="Y44" i="20"/>
  <c r="U44" i="26"/>
  <c r="U43" i="26"/>
  <c r="U45" i="26"/>
  <c r="AC45" i="26" s="1"/>
  <c r="K56" i="17"/>
  <c r="U45" i="17"/>
  <c r="AC45" i="17" s="1"/>
  <c r="G48" i="17"/>
  <c r="W44" i="17" s="1"/>
  <c r="E50" i="18"/>
  <c r="C62" i="18"/>
  <c r="S50" i="18" s="1"/>
  <c r="S48" i="18"/>
  <c r="AC48" i="18" s="1"/>
  <c r="AA17" i="19"/>
  <c r="AA19" i="19" s="1"/>
  <c r="Y33" i="19"/>
  <c r="AA43" i="20"/>
  <c r="AA44" i="20"/>
  <c r="W46" i="21"/>
  <c r="Y46" i="23"/>
  <c r="W22" i="24"/>
  <c r="W50" i="24"/>
  <c r="U44" i="25"/>
  <c r="S44" i="25"/>
  <c r="AA33" i="17"/>
  <c r="W45" i="17"/>
  <c r="G50" i="18"/>
  <c r="W29" i="18" s="1"/>
  <c r="U48" i="18"/>
  <c r="AA45" i="18"/>
  <c r="C50" i="18"/>
  <c r="W22" i="19"/>
  <c r="E56" i="19"/>
  <c r="S23" i="20"/>
  <c r="E48" i="20"/>
  <c r="S44" i="20" s="1"/>
  <c r="U35" i="20"/>
  <c r="U29" i="20"/>
  <c r="AA46" i="20"/>
  <c r="AA35" i="21"/>
  <c r="AA33" i="21"/>
  <c r="Y50" i="24"/>
  <c r="Y22" i="24"/>
  <c r="S48" i="24"/>
  <c r="W23" i="26"/>
  <c r="U29" i="15"/>
  <c r="U30" i="15" s="1"/>
  <c r="S46" i="17"/>
  <c r="AC46" i="17" s="1"/>
  <c r="U50" i="18"/>
  <c r="S43" i="18"/>
  <c r="AC43" i="18" s="1"/>
  <c r="C50" i="19"/>
  <c r="W23" i="19"/>
  <c r="Y52" i="19"/>
  <c r="G48" i="20"/>
  <c r="W44" i="20" s="1"/>
  <c r="W48" i="20"/>
  <c r="AC48" i="20" s="1"/>
  <c r="AC46" i="21"/>
  <c r="Y29" i="19"/>
  <c r="Y27" i="20"/>
  <c r="G60" i="20"/>
  <c r="M50" i="20"/>
  <c r="M56" i="20" s="1"/>
  <c r="C62" i="20"/>
  <c r="S50" i="20" s="1"/>
  <c r="I54" i="21"/>
  <c r="I50" i="21"/>
  <c r="S48" i="21"/>
  <c r="AC48" i="21" s="1"/>
  <c r="E56" i="23"/>
  <c r="U29" i="23"/>
  <c r="Y22" i="23"/>
  <c r="K62" i="23"/>
  <c r="AA48" i="23"/>
  <c r="AA46" i="23"/>
  <c r="AA27" i="24"/>
  <c r="K54" i="24"/>
  <c r="K50" i="24"/>
  <c r="U52" i="24"/>
  <c r="AC52" i="24" s="1"/>
  <c r="Y22" i="25"/>
  <c r="C50" i="26"/>
  <c r="S27" i="26" s="1"/>
  <c r="K58" i="26"/>
  <c r="K50" i="26"/>
  <c r="AA48" i="26"/>
  <c r="AA29" i="26"/>
  <c r="K48" i="26"/>
  <c r="AA44" i="26" s="1"/>
  <c r="Y23" i="26"/>
  <c r="Y44" i="26"/>
  <c r="S50" i="27"/>
  <c r="K48" i="19"/>
  <c r="AA44" i="19" s="1"/>
  <c r="AA22" i="21"/>
  <c r="S35" i="22"/>
  <c r="W50" i="22"/>
  <c r="AA22" i="23"/>
  <c r="Y52" i="23"/>
  <c r="AA22" i="25"/>
  <c r="AA23" i="26"/>
  <c r="Y52" i="26"/>
  <c r="W52" i="27"/>
  <c r="S48" i="19"/>
  <c r="AC48" i="19" s="1"/>
  <c r="S43" i="22"/>
  <c r="AC43" i="22" s="1"/>
  <c r="S44" i="22"/>
  <c r="S52" i="22"/>
  <c r="C62" i="23"/>
  <c r="W52" i="24"/>
  <c r="S27" i="25"/>
  <c r="E62" i="25"/>
  <c r="U50" i="25" s="1"/>
  <c r="U48" i="25"/>
  <c r="U46" i="25"/>
  <c r="E40" i="25"/>
  <c r="AC43" i="25"/>
  <c r="U50" i="26"/>
  <c r="U27" i="22"/>
  <c r="K48" i="22"/>
  <c r="AA44" i="22" s="1"/>
  <c r="U43" i="22"/>
  <c r="U44" i="22"/>
  <c r="K54" i="23"/>
  <c r="AA18" i="23"/>
  <c r="U22" i="24"/>
  <c r="U50" i="24"/>
  <c r="Y52" i="24"/>
  <c r="U27" i="25"/>
  <c r="Y35" i="25"/>
  <c r="W27" i="27"/>
  <c r="C50" i="27"/>
  <c r="U27" i="19"/>
  <c r="U30" i="19" s="1"/>
  <c r="W48" i="19"/>
  <c r="S19" i="22"/>
  <c r="U19" i="23"/>
  <c r="G34" i="23"/>
  <c r="G40" i="23"/>
  <c r="AA35" i="23"/>
  <c r="K60" i="24"/>
  <c r="AA52" i="24" s="1"/>
  <c r="AA52" i="25"/>
  <c r="W27" i="19"/>
  <c r="W30" i="19" s="1"/>
  <c r="Y46" i="19"/>
  <c r="Y29" i="20"/>
  <c r="K54" i="22"/>
  <c r="AA50" i="22" s="1"/>
  <c r="K50" i="22"/>
  <c r="S45" i="22"/>
  <c r="AA48" i="22"/>
  <c r="AC48" i="22" s="1"/>
  <c r="Y33" i="25"/>
  <c r="Y27" i="25"/>
  <c r="K34" i="25"/>
  <c r="AA48" i="25" s="1"/>
  <c r="K40" i="25"/>
  <c r="Y43" i="25"/>
  <c r="Y44" i="25"/>
  <c r="Y46" i="26"/>
  <c r="AC46" i="26" s="1"/>
  <c r="E62" i="26"/>
  <c r="AA27" i="27"/>
  <c r="Y48" i="27"/>
  <c r="Y46" i="27"/>
  <c r="S43" i="27"/>
  <c r="AC43" i="27" s="1"/>
  <c r="C50" i="20"/>
  <c r="S27" i="20" s="1"/>
  <c r="Y48" i="22"/>
  <c r="U45" i="22"/>
  <c r="AA28" i="23"/>
  <c r="G60" i="23"/>
  <c r="W52" i="23" s="1"/>
  <c r="AA27" i="25"/>
  <c r="C62" i="25"/>
  <c r="AA46" i="27"/>
  <c r="AC46" i="27" s="1"/>
  <c r="U18" i="20"/>
  <c r="C60" i="21"/>
  <c r="S28" i="22"/>
  <c r="S27" i="22"/>
  <c r="AA17" i="23"/>
  <c r="U27" i="23"/>
  <c r="U30" i="23" s="1"/>
  <c r="S46" i="23"/>
  <c r="Y28" i="25"/>
  <c r="I62" i="25"/>
  <c r="S44" i="26"/>
  <c r="U28" i="26"/>
  <c r="U30" i="26" s="1"/>
  <c r="U29" i="26"/>
  <c r="U17" i="26"/>
  <c r="U19" i="26" s="1"/>
  <c r="S29" i="27"/>
  <c r="AA52" i="27"/>
  <c r="K62" i="27"/>
  <c r="S29" i="19"/>
  <c r="AC29" i="19" s="1"/>
  <c r="S33" i="21"/>
  <c r="C54" i="21"/>
  <c r="E54" i="21"/>
  <c r="E60" i="21"/>
  <c r="Y45" i="22"/>
  <c r="E50" i="22"/>
  <c r="K60" i="23"/>
  <c r="AA52" i="23" s="1"/>
  <c r="K62" i="25"/>
  <c r="I54" i="25"/>
  <c r="U35" i="26"/>
  <c r="Y22" i="26"/>
  <c r="I34" i="26"/>
  <c r="Y48" i="26" s="1"/>
  <c r="AC48" i="26" s="1"/>
  <c r="S48" i="27"/>
  <c r="AC48" i="27" s="1"/>
  <c r="U46" i="24"/>
  <c r="U48" i="24"/>
  <c r="K50" i="25"/>
  <c r="K54" i="25"/>
  <c r="G50" i="26"/>
  <c r="G54" i="26"/>
  <c r="U29" i="27"/>
  <c r="E48" i="27"/>
  <c r="S44" i="27" s="1"/>
  <c r="E50" i="27"/>
  <c r="E54" i="27"/>
  <c r="S22" i="27" s="1"/>
  <c r="I50" i="26"/>
  <c r="I54" i="26"/>
  <c r="W29" i="27"/>
  <c r="G48" i="27"/>
  <c r="G50" i="27"/>
  <c r="I48" i="27"/>
  <c r="W44" i="27" s="1"/>
  <c r="I50" i="27"/>
  <c r="Y27" i="27" s="1"/>
  <c r="I54" i="27"/>
  <c r="Y52" i="27" s="1"/>
  <c r="G56" i="22"/>
  <c r="AA46" i="24"/>
  <c r="U33" i="26"/>
  <c r="K48" i="27"/>
  <c r="AA44" i="27" s="1"/>
  <c r="K50" i="27"/>
  <c r="AA29" i="27" s="1"/>
  <c r="K54" i="27"/>
  <c r="C50" i="24"/>
  <c r="S27" i="24" s="1"/>
  <c r="U18" i="25"/>
  <c r="Y29" i="25"/>
  <c r="S27" i="27"/>
  <c r="W29" i="23"/>
  <c r="AA33" i="23"/>
  <c r="G48" i="23"/>
  <c r="W44" i="23" s="1"/>
  <c r="G50" i="23"/>
  <c r="E48" i="24"/>
  <c r="E50" i="24"/>
  <c r="AA29" i="25"/>
  <c r="W43" i="26"/>
  <c r="AC43" i="26" s="1"/>
  <c r="U27" i="27"/>
  <c r="S46" i="22"/>
  <c r="AC46" i="22" s="1"/>
  <c r="I50" i="23"/>
  <c r="G50" i="24"/>
  <c r="Y43" i="26"/>
  <c r="AA29" i="23"/>
  <c r="I50" i="24"/>
  <c r="C50" i="25"/>
  <c r="C54" i="25"/>
  <c r="S52" i="25" s="1"/>
  <c r="AA43" i="26"/>
  <c r="W44" i="22"/>
  <c r="W46" i="22"/>
  <c r="E50" i="25"/>
  <c r="W27" i="22"/>
  <c r="W30" i="22" s="1"/>
  <c r="M50" i="24"/>
  <c r="M56" i="24" s="1"/>
  <c r="G50" i="25"/>
  <c r="F71" i="12" a="1"/>
  <c r="L45" i="12" a="1"/>
  <c r="J35" i="12" a="1"/>
  <c r="J16" i="12" a="1"/>
  <c r="J28" i="12" a="1"/>
  <c r="L40" i="12" a="1"/>
  <c r="F51" i="12" a="1"/>
  <c r="J11" i="12" a="1"/>
  <c r="F95" i="12" a="1"/>
  <c r="D39" i="12" a="1"/>
  <c r="L69" i="12" a="1"/>
  <c r="H81" i="12" a="1"/>
  <c r="D82" i="12" a="1"/>
  <c r="D10" i="12" a="1"/>
  <c r="H71" i="12" a="1"/>
  <c r="F70" i="12" a="1"/>
  <c r="F15" i="12" a="1"/>
  <c r="D93" i="12" a="1"/>
  <c r="H17" i="12" a="1"/>
  <c r="J53" i="12" a="1"/>
  <c r="J93" i="12" a="1"/>
  <c r="D94" i="12" a="1"/>
  <c r="F9" i="12" a="1"/>
  <c r="D35" i="12" a="1"/>
  <c r="H63" i="12" a="1"/>
  <c r="F77" i="12" a="1"/>
  <c r="D11" i="12" a="1"/>
  <c r="D71" i="12" a="1"/>
  <c r="D65" i="12" a="1"/>
  <c r="H69" i="12" a="1"/>
  <c r="D69" i="12" a="1"/>
  <c r="J83" i="12" a="1"/>
  <c r="D46" i="12" a="1"/>
  <c r="J33" i="12" a="1"/>
  <c r="L75" i="12" a="1"/>
  <c r="L33" i="12" a="1"/>
  <c r="J9" i="12" a="1"/>
  <c r="D28" i="12" a="1"/>
  <c r="D64" i="12" a="1"/>
  <c r="J65" i="12" a="1"/>
  <c r="F52" i="12" a="1"/>
  <c r="H9" i="12" a="1"/>
  <c r="J69" i="12" a="1"/>
  <c r="H40" i="12" a="1"/>
  <c r="H76" i="12" a="1"/>
  <c r="F27" i="12" a="1"/>
  <c r="L9" i="12" a="1"/>
  <c r="D29" i="12" a="1"/>
  <c r="L28" i="12" a="1"/>
  <c r="F83" i="12" a="1"/>
  <c r="F29" i="12" a="1"/>
  <c r="L52" i="12" a="1"/>
  <c r="H94" i="12" a="1"/>
  <c r="L15" i="12" a="1"/>
  <c r="F94" i="12" a="1"/>
  <c r="L63" i="12" a="1"/>
  <c r="J94" i="12" a="1"/>
  <c r="F46" i="12" a="1"/>
  <c r="F16" i="12" a="1"/>
  <c r="L22" i="12" a="1"/>
  <c r="D40" i="12" a="1"/>
  <c r="H82" i="12" a="1"/>
  <c r="L35" i="12" a="1"/>
  <c r="F64" i="12" a="1"/>
  <c r="D17" i="12" a="1"/>
  <c r="H27" i="12" a="1"/>
  <c r="F10" i="12" a="1"/>
  <c r="F93" i="12" a="1"/>
  <c r="L81" i="12" a="1"/>
  <c r="J17" i="12" a="1"/>
  <c r="H39" i="12" a="1"/>
  <c r="H65" i="12" a="1"/>
  <c r="J29" i="12" a="1"/>
  <c r="D70" i="12" a="1"/>
  <c r="F47" i="12" a="1"/>
  <c r="J46" i="12" a="1"/>
  <c r="J82" i="12" a="1"/>
  <c r="L95" i="12" a="1"/>
  <c r="H75" i="12" a="1"/>
  <c r="D15" i="12" a="1"/>
  <c r="F21" i="12" a="1"/>
  <c r="D95" i="12" a="1"/>
  <c r="J39" i="12" a="1"/>
  <c r="J71" i="12" a="1"/>
  <c r="F75" i="12" a="1"/>
  <c r="H52" i="12" a="1"/>
  <c r="D33" i="12" a="1"/>
  <c r="F53" i="12" a="1"/>
  <c r="L83" i="12" a="1"/>
  <c r="D47" i="12" a="1"/>
  <c r="F65" i="12" a="1"/>
  <c r="L41" i="12" a="1"/>
  <c r="F45" i="12" a="1"/>
  <c r="D34" i="12" a="1"/>
  <c r="H93" i="12" a="1"/>
  <c r="H10" i="12" a="1"/>
  <c r="J52" i="12" a="1"/>
  <c r="H41" i="12" a="1"/>
  <c r="J76" i="12" a="1"/>
  <c r="J81" i="12" a="1"/>
  <c r="F11" i="12" a="1"/>
  <c r="L17" i="12" a="1"/>
  <c r="J95" i="12" a="1"/>
  <c r="F17" i="12" a="1"/>
  <c r="L82" i="12" a="1"/>
  <c r="L10" i="12" a="1"/>
  <c r="H46" i="12" a="1"/>
  <c r="L29" i="12" a="1"/>
  <c r="H51" i="12" a="1"/>
  <c r="H83" i="12" a="1"/>
  <c r="L34" i="12" a="1"/>
  <c r="L93" i="12" a="1"/>
  <c r="D9" i="12" a="1"/>
  <c r="J10" i="12" a="1"/>
  <c r="D41" i="12" a="1"/>
  <c r="H77" i="12" a="1"/>
  <c r="L94" i="12" a="1"/>
  <c r="J41" i="12" a="1"/>
  <c r="F23" i="12" a="1"/>
  <c r="L27" i="12" a="1"/>
  <c r="F39" i="12" a="1"/>
  <c r="H47" i="12" a="1"/>
  <c r="J47" i="12" a="1"/>
  <c r="H70" i="12" a="1"/>
  <c r="H45" i="12" a="1"/>
  <c r="H28" i="12" a="1"/>
  <c r="H95" i="12" a="1"/>
  <c r="F69" i="12" a="1"/>
  <c r="L77" i="12" a="1"/>
  <c r="L76" i="12" a="1"/>
  <c r="L47" i="12" a="1"/>
  <c r="H64" i="12" a="1"/>
  <c r="J75" i="12" a="1"/>
  <c r="J51" i="12" a="1"/>
  <c r="D75" i="12" a="1"/>
  <c r="L39" i="12" a="1"/>
  <c r="D27" i="12" a="1"/>
  <c r="J40" i="12" a="1"/>
  <c r="F22" i="12" a="1"/>
  <c r="L51" i="12" a="1"/>
  <c r="J63" i="12" a="1"/>
  <c r="D77" i="12" a="1"/>
  <c r="D83" i="12" a="1"/>
  <c r="D16" i="12" a="1"/>
  <c r="D51" i="12" a="1"/>
  <c r="F76" i="12" a="1"/>
  <c r="D81" i="12" a="1"/>
  <c r="J64" i="12" a="1"/>
  <c r="L71" i="12" a="1"/>
  <c r="L70" i="12" a="1"/>
  <c r="H33" i="12" a="1"/>
  <c r="L53" i="12" a="1"/>
  <c r="J15" i="12" a="1"/>
  <c r="H11" i="12" a="1"/>
  <c r="L16" i="12" a="1"/>
  <c r="D76" i="12" a="1"/>
  <c r="F40" i="12" a="1"/>
  <c r="J45" i="12" a="1"/>
  <c r="L11" i="12" a="1"/>
  <c r="F28" i="12" a="1"/>
  <c r="D63" i="12" a="1"/>
  <c r="H29" i="12" a="1"/>
  <c r="J70" i="12" a="1"/>
  <c r="G48" i="13" l="1"/>
  <c r="G46" i="13"/>
  <c r="H24" i="12"/>
  <c r="J24" i="12"/>
  <c r="H46" i="12"/>
  <c r="H45" i="12"/>
  <c r="H47" i="12"/>
  <c r="D34" i="12"/>
  <c r="L95" i="12"/>
  <c r="L22" i="12"/>
  <c r="L24" i="12" s="1"/>
  <c r="J63" i="12"/>
  <c r="J65" i="12"/>
  <c r="J64" i="12"/>
  <c r="J93" i="12"/>
  <c r="F17" i="12"/>
  <c r="H41" i="12"/>
  <c r="H95" i="12"/>
  <c r="H52" i="12"/>
  <c r="J9" i="12"/>
  <c r="J29" i="12"/>
  <c r="J82" i="12"/>
  <c r="J83" i="12"/>
  <c r="J81" i="12"/>
  <c r="D82" i="12"/>
  <c r="F47" i="12"/>
  <c r="H17" i="12"/>
  <c r="H18" i="12" s="1"/>
  <c r="J40" i="12"/>
  <c r="D15" i="12"/>
  <c r="F39" i="12"/>
  <c r="F93" i="12"/>
  <c r="H51" i="12"/>
  <c r="L28" i="12"/>
  <c r="L11" i="12"/>
  <c r="J28" i="12"/>
  <c r="L10" i="12"/>
  <c r="L27" i="12"/>
  <c r="L94" i="12"/>
  <c r="F15" i="12"/>
  <c r="D35" i="12"/>
  <c r="J94" i="12"/>
  <c r="L34" i="12"/>
  <c r="F77" i="12"/>
  <c r="F95" i="12"/>
  <c r="J53" i="12"/>
  <c r="D76" i="12"/>
  <c r="F94" i="12"/>
  <c r="F83" i="12"/>
  <c r="F84" i="12" s="1"/>
  <c r="D83" i="12"/>
  <c r="J95" i="12"/>
  <c r="D17" i="12"/>
  <c r="D75" i="12"/>
  <c r="D93" i="12"/>
  <c r="J52" i="12"/>
  <c r="D10" i="12"/>
  <c r="L9" i="12"/>
  <c r="H76" i="12"/>
  <c r="H93" i="12"/>
  <c r="D77" i="12"/>
  <c r="D95" i="12"/>
  <c r="J51" i="12"/>
  <c r="D9" i="12"/>
  <c r="D28" i="12"/>
  <c r="D81" i="12"/>
  <c r="D65" i="12"/>
  <c r="H75" i="12"/>
  <c r="J69" i="12"/>
  <c r="J70" i="12"/>
  <c r="J71" i="12"/>
  <c r="L70" i="12"/>
  <c r="L71" i="12"/>
  <c r="F16" i="12"/>
  <c r="J75" i="12"/>
  <c r="J76" i="12"/>
  <c r="L69" i="12"/>
  <c r="H77" i="12"/>
  <c r="L45" i="12"/>
  <c r="L63" i="12"/>
  <c r="L66" i="12" s="1"/>
  <c r="L53" i="12"/>
  <c r="F11" i="12"/>
  <c r="D27" i="12"/>
  <c r="J46" i="12"/>
  <c r="J47" i="12"/>
  <c r="D69" i="12"/>
  <c r="D70" i="12"/>
  <c r="F21" i="12"/>
  <c r="N21" i="12" s="1"/>
  <c r="F22" i="12"/>
  <c r="F23" i="12"/>
  <c r="N23" i="12" s="1"/>
  <c r="D16" i="12"/>
  <c r="D71" i="12"/>
  <c r="F64" i="12"/>
  <c r="F75" i="12"/>
  <c r="F40" i="12"/>
  <c r="L47" i="12"/>
  <c r="L52" i="12"/>
  <c r="D29" i="12"/>
  <c r="F9" i="12"/>
  <c r="F29" i="12"/>
  <c r="F28" i="12"/>
  <c r="F69" i="12"/>
  <c r="F70" i="12"/>
  <c r="F71" i="12"/>
  <c r="H81" i="12"/>
  <c r="H82" i="12"/>
  <c r="H83" i="12"/>
  <c r="F45" i="12"/>
  <c r="J15" i="12"/>
  <c r="J16" i="12"/>
  <c r="J17" i="12"/>
  <c r="F46" i="12"/>
  <c r="L16" i="12"/>
  <c r="L17" i="12"/>
  <c r="L15" i="12"/>
  <c r="D63" i="12"/>
  <c r="H94" i="12"/>
  <c r="J33" i="12"/>
  <c r="D40" i="12"/>
  <c r="D94" i="12"/>
  <c r="L29" i="12"/>
  <c r="H10" i="12"/>
  <c r="F27" i="12"/>
  <c r="H63" i="12"/>
  <c r="H64" i="12"/>
  <c r="F65" i="12"/>
  <c r="L35" i="12"/>
  <c r="J45" i="12"/>
  <c r="L51" i="12"/>
  <c r="F51" i="12"/>
  <c r="D39" i="12"/>
  <c r="L81" i="12"/>
  <c r="L82" i="12"/>
  <c r="L83" i="12"/>
  <c r="D33" i="12"/>
  <c r="L41" i="12"/>
  <c r="J41" i="12"/>
  <c r="D47" i="12"/>
  <c r="F76" i="12"/>
  <c r="D51" i="12"/>
  <c r="H9" i="12"/>
  <c r="H29" i="12"/>
  <c r="D46" i="12"/>
  <c r="F10" i="12"/>
  <c r="H11" i="12"/>
  <c r="H70" i="12"/>
  <c r="H71" i="12"/>
  <c r="H69" i="12"/>
  <c r="H65" i="12"/>
  <c r="L93" i="12"/>
  <c r="L75" i="12"/>
  <c r="L76" i="12"/>
  <c r="L77" i="12"/>
  <c r="L39" i="12"/>
  <c r="L40" i="12"/>
  <c r="J39" i="12"/>
  <c r="H39" i="12"/>
  <c r="H40" i="12"/>
  <c r="D64" i="12"/>
  <c r="J35" i="12"/>
  <c r="D41" i="12"/>
  <c r="F53" i="12"/>
  <c r="J11" i="12"/>
  <c r="H28" i="12"/>
  <c r="L33" i="12"/>
  <c r="H33" i="12"/>
  <c r="H36" i="12" s="1"/>
  <c r="D11" i="12"/>
  <c r="F52" i="12"/>
  <c r="J10" i="12"/>
  <c r="H27" i="12"/>
  <c r="AC44" i="20"/>
  <c r="S30" i="26"/>
  <c r="AC44" i="17"/>
  <c r="Y54" i="17"/>
  <c r="W50" i="26"/>
  <c r="W22" i="26"/>
  <c r="I62" i="26"/>
  <c r="S52" i="21"/>
  <c r="AC52" i="21" s="1"/>
  <c r="Y30" i="25"/>
  <c r="U52" i="27"/>
  <c r="AC52" i="27" s="1"/>
  <c r="C56" i="19"/>
  <c r="S28" i="19"/>
  <c r="AC28" i="19" s="1"/>
  <c r="S17" i="19"/>
  <c r="S19" i="19" s="1"/>
  <c r="W28" i="21"/>
  <c r="G56" i="21"/>
  <c r="W29" i="21"/>
  <c r="W17" i="21"/>
  <c r="W19" i="21" s="1"/>
  <c r="W27" i="21"/>
  <c r="W30" i="21" s="1"/>
  <c r="S54" i="15"/>
  <c r="S36" i="15"/>
  <c r="W34" i="17"/>
  <c r="W35" i="17"/>
  <c r="Y44" i="27"/>
  <c r="I56" i="23"/>
  <c r="Y29" i="23"/>
  <c r="Y28" i="23"/>
  <c r="Y27" i="23"/>
  <c r="Y30" i="23" s="1"/>
  <c r="Y17" i="23"/>
  <c r="Y19" i="23" s="1"/>
  <c r="AA36" i="23"/>
  <c r="AA54" i="23"/>
  <c r="Y50" i="26"/>
  <c r="U52" i="21"/>
  <c r="U22" i="26"/>
  <c r="Y54" i="25"/>
  <c r="Y36" i="25"/>
  <c r="S28" i="27"/>
  <c r="S17" i="27"/>
  <c r="S19" i="27" s="1"/>
  <c r="C56" i="27"/>
  <c r="AA50" i="23"/>
  <c r="W27" i="18"/>
  <c r="W35" i="19"/>
  <c r="W54" i="15"/>
  <c r="W19" i="19"/>
  <c r="AA22" i="17"/>
  <c r="AA50" i="17"/>
  <c r="AC44" i="15"/>
  <c r="AA52" i="17"/>
  <c r="I50" i="13"/>
  <c r="Y29" i="15"/>
  <c r="AC29" i="15" s="1"/>
  <c r="Y28" i="15"/>
  <c r="AC28" i="15" s="1"/>
  <c r="I56" i="15"/>
  <c r="Y17" i="15"/>
  <c r="Y19" i="15" s="1"/>
  <c r="U54" i="26"/>
  <c r="U36" i="26"/>
  <c r="Y17" i="26"/>
  <c r="Y19" i="26" s="1"/>
  <c r="I56" i="26"/>
  <c r="Y28" i="26"/>
  <c r="Y27" i="26"/>
  <c r="Y30" i="26" s="1"/>
  <c r="U22" i="21"/>
  <c r="U50" i="21"/>
  <c r="AC44" i="26"/>
  <c r="Y44" i="22"/>
  <c r="C56" i="26"/>
  <c r="S28" i="26"/>
  <c r="S29" i="26"/>
  <c r="S17" i="26"/>
  <c r="S19" i="26" s="1"/>
  <c r="Y54" i="19"/>
  <c r="E56" i="21"/>
  <c r="U28" i="21"/>
  <c r="U17" i="21"/>
  <c r="U19" i="21" s="1"/>
  <c r="U29" i="21"/>
  <c r="Y22" i="19"/>
  <c r="Y50" i="19"/>
  <c r="U44" i="23"/>
  <c r="I46" i="13"/>
  <c r="K36" i="13"/>
  <c r="U44" i="17"/>
  <c r="I48" i="13"/>
  <c r="W34" i="15"/>
  <c r="W35" i="15"/>
  <c r="K16" i="13"/>
  <c r="S22" i="25"/>
  <c r="S50" i="25"/>
  <c r="U44" i="27"/>
  <c r="AC44" i="27" s="1"/>
  <c r="S30" i="27"/>
  <c r="AC27" i="27"/>
  <c r="U50" i="27"/>
  <c r="AC50" i="27" s="1"/>
  <c r="U22" i="27"/>
  <c r="S50" i="21"/>
  <c r="S22" i="21"/>
  <c r="AA30" i="27"/>
  <c r="U35" i="23"/>
  <c r="U34" i="23"/>
  <c r="AA54" i="17"/>
  <c r="S50" i="23"/>
  <c r="S22" i="23"/>
  <c r="G56" i="20"/>
  <c r="W17" i="20"/>
  <c r="W19" i="20" s="1"/>
  <c r="W28" i="20"/>
  <c r="W30" i="20" s="1"/>
  <c r="Y44" i="16"/>
  <c r="S54" i="22"/>
  <c r="S36" i="22"/>
  <c r="AC50" i="22"/>
  <c r="AC44" i="21"/>
  <c r="C56" i="25"/>
  <c r="S28" i="25"/>
  <c r="AC28" i="25" s="1"/>
  <c r="S29" i="25"/>
  <c r="S17" i="25"/>
  <c r="S19" i="25" s="1"/>
  <c r="U30" i="27"/>
  <c r="Y29" i="26"/>
  <c r="U33" i="23"/>
  <c r="U28" i="27"/>
  <c r="U17" i="27"/>
  <c r="U19" i="27" s="1"/>
  <c r="E56" i="27"/>
  <c r="S36" i="21"/>
  <c r="S54" i="21"/>
  <c r="AC45" i="22"/>
  <c r="AA22" i="22"/>
  <c r="AC44" i="22"/>
  <c r="W52" i="26"/>
  <c r="U44" i="20"/>
  <c r="S52" i="26"/>
  <c r="S28" i="23"/>
  <c r="S17" i="23"/>
  <c r="S19" i="23" s="1"/>
  <c r="C56" i="23"/>
  <c r="S29" i="23"/>
  <c r="AC29" i="23" s="1"/>
  <c r="AA52" i="22"/>
  <c r="AC52" i="22" s="1"/>
  <c r="AC45" i="19"/>
  <c r="AA22" i="15"/>
  <c r="AA33" i="18"/>
  <c r="AA34" i="18"/>
  <c r="AA35" i="18"/>
  <c r="G50" i="13"/>
  <c r="W50" i="20"/>
  <c r="AC50" i="20" s="1"/>
  <c r="U22" i="20"/>
  <c r="AA33" i="19"/>
  <c r="AA34" i="19"/>
  <c r="S33" i="17"/>
  <c r="S34" i="17"/>
  <c r="Y50" i="15"/>
  <c r="Y22" i="15"/>
  <c r="W22" i="15"/>
  <c r="W30" i="16"/>
  <c r="G56" i="25"/>
  <c r="W28" i="25"/>
  <c r="W29" i="25"/>
  <c r="W17" i="25"/>
  <c r="W19" i="25" s="1"/>
  <c r="W27" i="25"/>
  <c r="W30" i="25" s="1"/>
  <c r="Y28" i="24"/>
  <c r="Y27" i="24"/>
  <c r="I56" i="24"/>
  <c r="Y29" i="24"/>
  <c r="Y17" i="24"/>
  <c r="Y19" i="24" s="1"/>
  <c r="Y50" i="27"/>
  <c r="Y22" i="27"/>
  <c r="Y50" i="25"/>
  <c r="S22" i="26"/>
  <c r="K56" i="22"/>
  <c r="AA17" i="22"/>
  <c r="AA19" i="22" s="1"/>
  <c r="AA28" i="22"/>
  <c r="AA27" i="22"/>
  <c r="AA30" i="22" s="1"/>
  <c r="AA29" i="22"/>
  <c r="AA46" i="25"/>
  <c r="AC46" i="25" s="1"/>
  <c r="Y22" i="22"/>
  <c r="AA28" i="24"/>
  <c r="AA30" i="24" s="1"/>
  <c r="K56" i="24"/>
  <c r="AA17" i="24"/>
  <c r="AA19" i="24" s="1"/>
  <c r="AA29" i="24"/>
  <c r="Y22" i="21"/>
  <c r="Y50" i="21"/>
  <c r="Y52" i="21"/>
  <c r="W29" i="20"/>
  <c r="U35" i="19"/>
  <c r="U34" i="19"/>
  <c r="U28" i="18"/>
  <c r="E56" i="18"/>
  <c r="U27" i="18"/>
  <c r="U17" i="18"/>
  <c r="U19" i="18" s="1"/>
  <c r="AC52" i="19"/>
  <c r="AC45" i="18"/>
  <c r="Y30" i="17"/>
  <c r="AC44" i="18"/>
  <c r="S30" i="23"/>
  <c r="AA30" i="19"/>
  <c r="U28" i="16"/>
  <c r="U30" i="16" s="1"/>
  <c r="U17" i="16"/>
  <c r="U19" i="16" s="1"/>
  <c r="E56" i="16"/>
  <c r="AA30" i="18"/>
  <c r="D24" i="12"/>
  <c r="W35" i="22"/>
  <c r="W33" i="22"/>
  <c r="W34" i="22"/>
  <c r="I56" i="21"/>
  <c r="Y28" i="21"/>
  <c r="Y29" i="21"/>
  <c r="Y17" i="21"/>
  <c r="Y19" i="21" s="1"/>
  <c r="Y27" i="21"/>
  <c r="AC44" i="25"/>
  <c r="Y35" i="20"/>
  <c r="S17" i="24"/>
  <c r="S19" i="24" s="1"/>
  <c r="S28" i="24"/>
  <c r="S30" i="24" s="1"/>
  <c r="C56" i="24"/>
  <c r="S29" i="24"/>
  <c r="Y28" i="27"/>
  <c r="Y30" i="27" s="1"/>
  <c r="Y17" i="27"/>
  <c r="Y19" i="27" s="1"/>
  <c r="I56" i="27"/>
  <c r="Y52" i="25"/>
  <c r="AC52" i="25" s="1"/>
  <c r="AA22" i="24"/>
  <c r="AA50" i="24"/>
  <c r="AC50" i="24" s="1"/>
  <c r="AC48" i="24"/>
  <c r="AC48" i="25"/>
  <c r="E56" i="17"/>
  <c r="U29" i="17"/>
  <c r="AC29" i="17" s="1"/>
  <c r="U17" i="17"/>
  <c r="U19" i="17" s="1"/>
  <c r="U28" i="17"/>
  <c r="AC28" i="17" s="1"/>
  <c r="U27" i="17"/>
  <c r="W22" i="25"/>
  <c r="S17" i="16"/>
  <c r="S19" i="16" s="1"/>
  <c r="C56" i="16"/>
  <c r="S29" i="16"/>
  <c r="S28" i="16"/>
  <c r="Y34" i="17"/>
  <c r="Y36" i="17" s="1"/>
  <c r="Y35" i="17"/>
  <c r="W50" i="19"/>
  <c r="AC50" i="19" s="1"/>
  <c r="U22" i="19"/>
  <c r="AC44" i="16"/>
  <c r="AC50" i="17"/>
  <c r="E46" i="13"/>
  <c r="E48" i="13"/>
  <c r="U17" i="24"/>
  <c r="U19" i="24" s="1"/>
  <c r="U28" i="24"/>
  <c r="E56" i="24"/>
  <c r="U29" i="24"/>
  <c r="U27" i="24"/>
  <c r="G62" i="23"/>
  <c r="W50" i="23" s="1"/>
  <c r="W48" i="23"/>
  <c r="AC48" i="23" s="1"/>
  <c r="W46" i="23"/>
  <c r="AC46" i="23" s="1"/>
  <c r="S28" i="18"/>
  <c r="C56" i="18"/>
  <c r="S29" i="18"/>
  <c r="S17" i="18"/>
  <c r="S19" i="18" s="1"/>
  <c r="AC50" i="26"/>
  <c r="U44" i="24"/>
  <c r="S44" i="24"/>
  <c r="AC44" i="24" s="1"/>
  <c r="Y29" i="27"/>
  <c r="AC29" i="27" s="1"/>
  <c r="W28" i="26"/>
  <c r="W29" i="26"/>
  <c r="W17" i="26"/>
  <c r="W19" i="26" s="1"/>
  <c r="G56" i="26"/>
  <c r="AA19" i="23"/>
  <c r="W52" i="20"/>
  <c r="AC52" i="20" s="1"/>
  <c r="AA34" i="17"/>
  <c r="AA36" i="17" s="1"/>
  <c r="AA35" i="17"/>
  <c r="W27" i="26"/>
  <c r="Y17" i="16"/>
  <c r="Y19" i="16" s="1"/>
  <c r="I56" i="16"/>
  <c r="Y27" i="16"/>
  <c r="Y28" i="16"/>
  <c r="U30" i="20"/>
  <c r="AA17" i="16"/>
  <c r="AA19" i="16" s="1"/>
  <c r="K56" i="16"/>
  <c r="AA27" i="16"/>
  <c r="AA28" i="16"/>
  <c r="Y34" i="19"/>
  <c r="Y36" i="19" s="1"/>
  <c r="Y35" i="19"/>
  <c r="AC43" i="16"/>
  <c r="U22" i="16"/>
  <c r="U50" i="16"/>
  <c r="AC50" i="16" s="1"/>
  <c r="E50" i="13"/>
  <c r="W22" i="18"/>
  <c r="W50" i="18"/>
  <c r="AC50" i="18" s="1"/>
  <c r="F36" i="12"/>
  <c r="W54" i="16"/>
  <c r="W36" i="16"/>
  <c r="AA50" i="27"/>
  <c r="AA22" i="27"/>
  <c r="W28" i="27"/>
  <c r="W30" i="27" s="1"/>
  <c r="W17" i="27"/>
  <c r="W19" i="27" s="1"/>
  <c r="G56" i="27"/>
  <c r="AA50" i="25"/>
  <c r="U28" i="22"/>
  <c r="AC28" i="22" s="1"/>
  <c r="E56" i="22"/>
  <c r="U17" i="22"/>
  <c r="U19" i="22" s="1"/>
  <c r="U29" i="22"/>
  <c r="AC29" i="22" s="1"/>
  <c r="S30" i="22"/>
  <c r="S28" i="20"/>
  <c r="S30" i="20" s="1"/>
  <c r="C56" i="20"/>
  <c r="S29" i="20"/>
  <c r="AC29" i="20" s="1"/>
  <c r="S17" i="20"/>
  <c r="S19" i="20" s="1"/>
  <c r="AA17" i="26"/>
  <c r="AA19" i="26" s="1"/>
  <c r="K56" i="26"/>
  <c r="AA28" i="26"/>
  <c r="AA27" i="26"/>
  <c r="AA30" i="26" s="1"/>
  <c r="Y30" i="20"/>
  <c r="AA54" i="21"/>
  <c r="AA36" i="21"/>
  <c r="S27" i="18"/>
  <c r="AC44" i="23"/>
  <c r="Y23" i="20"/>
  <c r="W22" i="21"/>
  <c r="W50" i="21"/>
  <c r="U19" i="20"/>
  <c r="AA29" i="16"/>
  <c r="AC52" i="17"/>
  <c r="Y19" i="19"/>
  <c r="W33" i="17"/>
  <c r="U33" i="19"/>
  <c r="U29" i="18"/>
  <c r="AA17" i="15"/>
  <c r="AA19" i="15" s="1"/>
  <c r="AA28" i="15"/>
  <c r="K56" i="15"/>
  <c r="AA27" i="15"/>
  <c r="AA30" i="15" s="1"/>
  <c r="W54" i="19"/>
  <c r="W36" i="19"/>
  <c r="E56" i="25"/>
  <c r="U28" i="25"/>
  <c r="U30" i="25" s="1"/>
  <c r="U29" i="25"/>
  <c r="U17" i="25"/>
  <c r="U19" i="25" s="1"/>
  <c r="W17" i="24"/>
  <c r="W19" i="24" s="1"/>
  <c r="W28" i="24"/>
  <c r="W27" i="24"/>
  <c r="G56" i="24"/>
  <c r="W29" i="24"/>
  <c r="G56" i="23"/>
  <c r="W27" i="23"/>
  <c r="W28" i="23"/>
  <c r="W17" i="23"/>
  <c r="W19" i="23" s="1"/>
  <c r="AA28" i="27"/>
  <c r="AA17" i="27"/>
  <c r="AA19" i="27" s="1"/>
  <c r="K56" i="27"/>
  <c r="AA17" i="25"/>
  <c r="AA19" i="25" s="1"/>
  <c r="K56" i="25"/>
  <c r="AA28" i="25"/>
  <c r="AA30" i="25" s="1"/>
  <c r="AC27" i="25"/>
  <c r="S30" i="25"/>
  <c r="S27" i="19"/>
  <c r="W28" i="18"/>
  <c r="G56" i="18"/>
  <c r="W17" i="18"/>
  <c r="W19" i="18" s="1"/>
  <c r="W22" i="27"/>
  <c r="Y35" i="22"/>
  <c r="Y34" i="22"/>
  <c r="Y33" i="22"/>
  <c r="Y33" i="20"/>
  <c r="AA17" i="20"/>
  <c r="AA19" i="20" s="1"/>
  <c r="AA28" i="20"/>
  <c r="AA27" i="20"/>
  <c r="AA30" i="20" s="1"/>
  <c r="K56" i="20"/>
  <c r="U34" i="20"/>
  <c r="U33" i="20"/>
  <c r="AC48" i="15"/>
  <c r="AA29" i="15"/>
  <c r="AA52" i="15"/>
  <c r="AC50" i="15"/>
  <c r="Y27" i="15"/>
  <c r="Y30" i="15" s="1"/>
  <c r="Y52" i="15"/>
  <c r="AC52" i="15" s="1"/>
  <c r="F99" i="12" l="1"/>
  <c r="F100" i="12"/>
  <c r="F101" i="12"/>
  <c r="L99" i="12"/>
  <c r="N34" i="12"/>
  <c r="D100" i="12"/>
  <c r="H99" i="12"/>
  <c r="N45" i="12"/>
  <c r="H54" i="12"/>
  <c r="L96" i="12"/>
  <c r="N47" i="12"/>
  <c r="F66" i="12"/>
  <c r="L100" i="12"/>
  <c r="N22" i="12"/>
  <c r="N24" i="12" s="1"/>
  <c r="L72" i="12"/>
  <c r="J30" i="12"/>
  <c r="J101" i="12"/>
  <c r="N53" i="12"/>
  <c r="L101" i="12"/>
  <c r="J100" i="12"/>
  <c r="H100" i="12"/>
  <c r="F12" i="12"/>
  <c r="N82" i="12"/>
  <c r="N52" i="12"/>
  <c r="N64" i="12"/>
  <c r="F30" i="12"/>
  <c r="J78" i="12"/>
  <c r="J54" i="12"/>
  <c r="N83" i="12"/>
  <c r="L30" i="12"/>
  <c r="H30" i="12"/>
  <c r="N29" i="12"/>
  <c r="N95" i="12"/>
  <c r="J84" i="12"/>
  <c r="N46" i="12"/>
  <c r="L54" i="12"/>
  <c r="J48" i="12"/>
  <c r="D48" i="12"/>
  <c r="L78" i="12"/>
  <c r="L18" i="12"/>
  <c r="N16" i="12"/>
  <c r="L48" i="12"/>
  <c r="H101" i="12"/>
  <c r="W34" i="18"/>
  <c r="W35" i="18"/>
  <c r="W33" i="18"/>
  <c r="Y34" i="27"/>
  <c r="Y33" i="27"/>
  <c r="Y35" i="27"/>
  <c r="U33" i="18"/>
  <c r="U34" i="18"/>
  <c r="U35" i="18"/>
  <c r="AA54" i="18"/>
  <c r="AA36" i="18"/>
  <c r="AC34" i="15"/>
  <c r="W36" i="15"/>
  <c r="N65" i="12"/>
  <c r="N93" i="12"/>
  <c r="D96" i="12"/>
  <c r="N15" i="12"/>
  <c r="D18" i="12"/>
  <c r="Y33" i="24"/>
  <c r="Y34" i="24"/>
  <c r="Y35" i="24"/>
  <c r="Y34" i="15"/>
  <c r="Y35" i="15"/>
  <c r="Y33" i="15"/>
  <c r="F72" i="12"/>
  <c r="N81" i="12"/>
  <c r="D84" i="12"/>
  <c r="N75" i="12"/>
  <c r="D78" i="12"/>
  <c r="N35" i="12"/>
  <c r="U30" i="22"/>
  <c r="W33" i="27"/>
  <c r="W34" i="27"/>
  <c r="W35" i="27"/>
  <c r="Y30" i="16"/>
  <c r="U30" i="24"/>
  <c r="Y30" i="24"/>
  <c r="AC34" i="17"/>
  <c r="AC29" i="25"/>
  <c r="AC50" i="21"/>
  <c r="AC29" i="21"/>
  <c r="W30" i="18"/>
  <c r="N41" i="12"/>
  <c r="N28" i="12"/>
  <c r="N17" i="12"/>
  <c r="F18" i="12"/>
  <c r="J96" i="12"/>
  <c r="W34" i="20"/>
  <c r="W35" i="20"/>
  <c r="W33" i="20"/>
  <c r="J99" i="12"/>
  <c r="H72" i="12"/>
  <c r="H66" i="12"/>
  <c r="F24" i="12"/>
  <c r="N9" i="12"/>
  <c r="D12" i="12"/>
  <c r="U34" i="25"/>
  <c r="U33" i="25"/>
  <c r="U35" i="25"/>
  <c r="U34" i="24"/>
  <c r="U33" i="24"/>
  <c r="U35" i="24"/>
  <c r="S34" i="25"/>
  <c r="S33" i="25"/>
  <c r="S35" i="25"/>
  <c r="AC28" i="21"/>
  <c r="N33" i="12"/>
  <c r="D36" i="12"/>
  <c r="N70" i="12"/>
  <c r="AA33" i="20"/>
  <c r="AA34" i="20"/>
  <c r="AA35" i="20"/>
  <c r="Y34" i="21"/>
  <c r="Y33" i="21"/>
  <c r="Y35" i="21"/>
  <c r="AA34" i="15"/>
  <c r="AA33" i="15"/>
  <c r="AA35" i="15"/>
  <c r="S33" i="20"/>
  <c r="S34" i="20"/>
  <c r="S35" i="20"/>
  <c r="AC35" i="20" s="1"/>
  <c r="W30" i="26"/>
  <c r="U34" i="17"/>
  <c r="U35" i="17"/>
  <c r="AC35" i="17" s="1"/>
  <c r="U33" i="17"/>
  <c r="AC28" i="24"/>
  <c r="AA36" i="19"/>
  <c r="AA54" i="19"/>
  <c r="AC50" i="23"/>
  <c r="AC30" i="27"/>
  <c r="U34" i="21"/>
  <c r="U35" i="21"/>
  <c r="AC35" i="21" s="1"/>
  <c r="U33" i="21"/>
  <c r="S34" i="27"/>
  <c r="S33" i="27"/>
  <c r="S35" i="27"/>
  <c r="AC27" i="21"/>
  <c r="N69" i="12"/>
  <c r="D72" i="12"/>
  <c r="J66" i="12"/>
  <c r="W30" i="23"/>
  <c r="AC29" i="24"/>
  <c r="AA34" i="22"/>
  <c r="AA35" i="22"/>
  <c r="AA33" i="22"/>
  <c r="Y34" i="26"/>
  <c r="Y33" i="26"/>
  <c r="Y35" i="26"/>
  <c r="W35" i="21"/>
  <c r="W34" i="21"/>
  <c r="W33" i="21"/>
  <c r="U30" i="21"/>
  <c r="H42" i="12"/>
  <c r="J18" i="12"/>
  <c r="N77" i="12"/>
  <c r="W35" i="26"/>
  <c r="W33" i="26"/>
  <c r="W34" i="26"/>
  <c r="S34" i="23"/>
  <c r="S33" i="23"/>
  <c r="S35" i="23"/>
  <c r="U34" i="27"/>
  <c r="U35" i="27"/>
  <c r="U33" i="27"/>
  <c r="AC28" i="27"/>
  <c r="Y34" i="23"/>
  <c r="Y35" i="23"/>
  <c r="Y33" i="23"/>
  <c r="AC27" i="20"/>
  <c r="AC30" i="20" s="1"/>
  <c r="J42" i="12"/>
  <c r="L84" i="12"/>
  <c r="N94" i="12"/>
  <c r="F48" i="12"/>
  <c r="H96" i="12"/>
  <c r="N76" i="12"/>
  <c r="AA34" i="26"/>
  <c r="AA35" i="26"/>
  <c r="AA33" i="26"/>
  <c r="AC30" i="25"/>
  <c r="Y34" i="16"/>
  <c r="Y33" i="16"/>
  <c r="Y35" i="16"/>
  <c r="W54" i="22"/>
  <c r="W36" i="22"/>
  <c r="AC27" i="15"/>
  <c r="AC30" i="15" s="1"/>
  <c r="W30" i="24"/>
  <c r="AC27" i="18"/>
  <c r="S30" i="18"/>
  <c r="AC27" i="22"/>
  <c r="AC30" i="22" s="1"/>
  <c r="AA34" i="27"/>
  <c r="AA33" i="27"/>
  <c r="AA35" i="27"/>
  <c r="AC29" i="18"/>
  <c r="AC28" i="16"/>
  <c r="W34" i="25"/>
  <c r="W33" i="25"/>
  <c r="W35" i="25"/>
  <c r="AC50" i="25"/>
  <c r="N11" i="12"/>
  <c r="N39" i="12"/>
  <c r="D42" i="12"/>
  <c r="N40" i="12"/>
  <c r="D30" i="12"/>
  <c r="N27" i="12"/>
  <c r="AC27" i="23"/>
  <c r="S54" i="17"/>
  <c r="AC33" i="17"/>
  <c r="AC36" i="17" s="1"/>
  <c r="S36" i="17"/>
  <c r="W35" i="24"/>
  <c r="W34" i="24"/>
  <c r="W33" i="24"/>
  <c r="Y54" i="22"/>
  <c r="Y36" i="22"/>
  <c r="AC28" i="20"/>
  <c r="U54" i="19"/>
  <c r="U36" i="19"/>
  <c r="AA30" i="16"/>
  <c r="S34" i="18"/>
  <c r="S35" i="18"/>
  <c r="AC35" i="18" s="1"/>
  <c r="S33" i="18"/>
  <c r="AC29" i="16"/>
  <c r="Y30" i="21"/>
  <c r="AC28" i="23"/>
  <c r="D99" i="12"/>
  <c r="AC29" i="26"/>
  <c r="L42" i="12"/>
  <c r="F54" i="12"/>
  <c r="J36" i="12"/>
  <c r="F78" i="12"/>
  <c r="L12" i="12"/>
  <c r="J12" i="12"/>
  <c r="U33" i="22"/>
  <c r="U34" i="22"/>
  <c r="AC34" i="22" s="1"/>
  <c r="U35" i="22"/>
  <c r="AC35" i="22" s="1"/>
  <c r="AC27" i="19"/>
  <c r="AC30" i="19" s="1"/>
  <c r="S30" i="19"/>
  <c r="U30" i="17"/>
  <c r="AC27" i="17"/>
  <c r="AC30" i="17" s="1"/>
  <c r="W33" i="23"/>
  <c r="W34" i="23"/>
  <c r="W35" i="23"/>
  <c r="S35" i="24"/>
  <c r="AC35" i="24" s="1"/>
  <c r="S34" i="24"/>
  <c r="S33" i="24"/>
  <c r="Y36" i="20"/>
  <c r="Y54" i="20"/>
  <c r="AA34" i="25"/>
  <c r="AA33" i="25"/>
  <c r="AA35" i="25"/>
  <c r="U36" i="20"/>
  <c r="U54" i="20"/>
  <c r="W36" i="17"/>
  <c r="W54" i="17"/>
  <c r="AA34" i="16"/>
  <c r="AA35" i="16"/>
  <c r="AA33" i="16"/>
  <c r="AC28" i="18"/>
  <c r="S35" i="16"/>
  <c r="S34" i="16"/>
  <c r="S33" i="16"/>
  <c r="AA34" i="24"/>
  <c r="AA35" i="24"/>
  <c r="AA33" i="24"/>
  <c r="AC52" i="26"/>
  <c r="U36" i="23"/>
  <c r="U54" i="23"/>
  <c r="S30" i="16"/>
  <c r="D101" i="12"/>
  <c r="AC28" i="26"/>
  <c r="S34" i="19"/>
  <c r="AC34" i="19" s="1"/>
  <c r="S33" i="19"/>
  <c r="S35" i="19"/>
  <c r="AC35" i="19" s="1"/>
  <c r="L36" i="12"/>
  <c r="H12" i="12"/>
  <c r="H84" i="12"/>
  <c r="J72" i="12"/>
  <c r="N10" i="12"/>
  <c r="F96" i="12"/>
  <c r="H48" i="12"/>
  <c r="U34" i="16"/>
  <c r="U33" i="16"/>
  <c r="U35" i="16"/>
  <c r="U30" i="18"/>
  <c r="AC27" i="16"/>
  <c r="AC30" i="16" s="1"/>
  <c r="S34" i="26"/>
  <c r="S35" i="26"/>
  <c r="AC35" i="26" s="1"/>
  <c r="S33" i="26"/>
  <c r="AC27" i="24"/>
  <c r="AC30" i="24" s="1"/>
  <c r="AC27" i="26"/>
  <c r="D54" i="12"/>
  <c r="N51" i="12"/>
  <c r="N63" i="12"/>
  <c r="D66" i="12"/>
  <c r="N71" i="12"/>
  <c r="H78" i="12"/>
  <c r="F42" i="12"/>
  <c r="N48" i="12" l="1"/>
  <c r="F102" i="12"/>
  <c r="N54" i="12"/>
  <c r="H102" i="12"/>
  <c r="N84" i="12"/>
  <c r="L102" i="12"/>
  <c r="J102" i="12"/>
  <c r="N101" i="12"/>
  <c r="N66" i="12"/>
  <c r="U54" i="16"/>
  <c r="U36" i="16"/>
  <c r="AA54" i="27"/>
  <c r="AA36" i="27"/>
  <c r="AA36" i="20"/>
  <c r="AA54" i="20"/>
  <c r="U54" i="25"/>
  <c r="U36" i="25"/>
  <c r="AC35" i="15"/>
  <c r="AC30" i="18"/>
  <c r="S54" i="16"/>
  <c r="AC54" i="16" s="1"/>
  <c r="AC33" i="16"/>
  <c r="S36" i="16"/>
  <c r="AA54" i="25"/>
  <c r="AA36" i="25"/>
  <c r="AA54" i="26"/>
  <c r="AA36" i="26"/>
  <c r="AC34" i="21"/>
  <c r="D102" i="12"/>
  <c r="AC34" i="20"/>
  <c r="S36" i="19"/>
  <c r="S54" i="19"/>
  <c r="AC54" i="19" s="1"/>
  <c r="AC33" i="19"/>
  <c r="AC36" i="19" s="1"/>
  <c r="AC34" i="16"/>
  <c r="AC35" i="16"/>
  <c r="N42" i="12"/>
  <c r="U36" i="27"/>
  <c r="U54" i="27"/>
  <c r="AC33" i="20"/>
  <c r="S36" i="20"/>
  <c r="S54" i="20"/>
  <c r="N36" i="12"/>
  <c r="N12" i="12"/>
  <c r="N99" i="12"/>
  <c r="W54" i="27"/>
  <c r="W36" i="27"/>
  <c r="AA54" i="15"/>
  <c r="AA36" i="15"/>
  <c r="AC35" i="25"/>
  <c r="Y36" i="24"/>
  <c r="Y54" i="24"/>
  <c r="U54" i="18"/>
  <c r="U36" i="18"/>
  <c r="AC33" i="24"/>
  <c r="AC36" i="24" s="1"/>
  <c r="S36" i="24"/>
  <c r="S54" i="24"/>
  <c r="U54" i="22"/>
  <c r="AC54" i="22" s="1"/>
  <c r="U36" i="22"/>
  <c r="AC33" i="22"/>
  <c r="AC36" i="22" s="1"/>
  <c r="AC35" i="23"/>
  <c r="N72" i="12"/>
  <c r="AC33" i="25"/>
  <c r="S54" i="25"/>
  <c r="AC54" i="25" s="1"/>
  <c r="S36" i="25"/>
  <c r="AA54" i="16"/>
  <c r="AA36" i="16"/>
  <c r="AC34" i="24"/>
  <c r="AC33" i="18"/>
  <c r="AC36" i="18" s="1"/>
  <c r="S54" i="18"/>
  <c r="S36" i="18"/>
  <c r="W54" i="25"/>
  <c r="W36" i="25"/>
  <c r="S54" i="23"/>
  <c r="AC33" i="23"/>
  <c r="S36" i="23"/>
  <c r="AC30" i="21"/>
  <c r="AC34" i="25"/>
  <c r="N78" i="12"/>
  <c r="N18" i="12"/>
  <c r="Y54" i="27"/>
  <c r="Y36" i="27"/>
  <c r="AC34" i="23"/>
  <c r="Y54" i="26"/>
  <c r="Y36" i="26"/>
  <c r="AC35" i="27"/>
  <c r="Y36" i="21"/>
  <c r="Y54" i="21"/>
  <c r="W36" i="20"/>
  <c r="W54" i="20"/>
  <c r="N100" i="12"/>
  <c r="AC33" i="26"/>
  <c r="AC36" i="26" s="1"/>
  <c r="S54" i="26"/>
  <c r="AC54" i="26" s="1"/>
  <c r="S36" i="26"/>
  <c r="AC34" i="18"/>
  <c r="S36" i="27"/>
  <c r="S54" i="27"/>
  <c r="AC33" i="27"/>
  <c r="AC36" i="27" s="1"/>
  <c r="U54" i="17"/>
  <c r="AC54" i="17" s="1"/>
  <c r="U36" i="17"/>
  <c r="U36" i="24"/>
  <c r="U54" i="24"/>
  <c r="N96" i="12"/>
  <c r="W36" i="18"/>
  <c r="W54" i="18"/>
  <c r="W54" i="21"/>
  <c r="W36" i="21"/>
  <c r="AC30" i="26"/>
  <c r="AA36" i="24"/>
  <c r="AA54" i="24"/>
  <c r="AC30" i="23"/>
  <c r="Y54" i="16"/>
  <c r="Y36" i="16"/>
  <c r="W54" i="26"/>
  <c r="W36" i="26"/>
  <c r="W54" i="24"/>
  <c r="W36" i="24"/>
  <c r="AA36" i="22"/>
  <c r="AA54" i="22"/>
  <c r="AC34" i="27"/>
  <c r="AC34" i="26"/>
  <c r="W54" i="23"/>
  <c r="W36" i="23"/>
  <c r="N30" i="12"/>
  <c r="Y36" i="23"/>
  <c r="Y54" i="23"/>
  <c r="U54" i="21"/>
  <c r="AC54" i="21" s="1"/>
  <c r="U36" i="21"/>
  <c r="AC33" i="21"/>
  <c r="AC36" i="21" s="1"/>
  <c r="Y54" i="15"/>
  <c r="AC54" i="15" s="1"/>
  <c r="Y36" i="15"/>
  <c r="AC33" i="15"/>
  <c r="AC36" i="15" s="1"/>
  <c r="AC36" i="16" l="1"/>
  <c r="AC54" i="18"/>
  <c r="AC54" i="24"/>
  <c r="N102" i="12"/>
  <c r="AC54" i="20"/>
  <c r="AC36" i="20"/>
  <c r="AC36" i="23"/>
  <c r="AC36" i="25"/>
  <c r="AC54" i="27"/>
  <c r="AC54" i="23"/>
  <c r="M58" i="11" l="1"/>
  <c r="K58" i="11"/>
  <c r="I58" i="11"/>
  <c r="G58" i="11"/>
  <c r="E58" i="11"/>
  <c r="C58" i="11"/>
  <c r="C56" i="11"/>
  <c r="S34" i="11" s="1"/>
  <c r="M54" i="11"/>
  <c r="K54" i="11"/>
  <c r="M52" i="11"/>
  <c r="K52" i="11"/>
  <c r="AA45" i="11" s="1"/>
  <c r="I52" i="11"/>
  <c r="G52" i="11"/>
  <c r="W43" i="11" s="1"/>
  <c r="E52" i="11"/>
  <c r="U43" i="11" s="1"/>
  <c r="C52" i="11"/>
  <c r="M50" i="11"/>
  <c r="M56" i="11" s="1"/>
  <c r="K50" i="11"/>
  <c r="G50" i="11"/>
  <c r="W28" i="11" s="1"/>
  <c r="E50" i="11"/>
  <c r="U28" i="11" s="1"/>
  <c r="C50" i="11"/>
  <c r="M48" i="11"/>
  <c r="I48" i="11"/>
  <c r="G48" i="11"/>
  <c r="E48" i="11"/>
  <c r="C48" i="11"/>
  <c r="Y45" i="11"/>
  <c r="W45" i="11"/>
  <c r="U45" i="11"/>
  <c r="S45" i="11"/>
  <c r="G44" i="11"/>
  <c r="E44" i="11"/>
  <c r="C44" i="11"/>
  <c r="Y43" i="11"/>
  <c r="G43" i="11"/>
  <c r="E43" i="11"/>
  <c r="C43" i="11"/>
  <c r="M42" i="11"/>
  <c r="M60" i="11" s="1"/>
  <c r="K42" i="11"/>
  <c r="K60" i="11" s="1"/>
  <c r="AA52" i="11" s="1"/>
  <c r="I42" i="11"/>
  <c r="I60" i="11" s="1"/>
  <c r="G42" i="11"/>
  <c r="G60" i="11" s="1"/>
  <c r="E42" i="11"/>
  <c r="E60" i="11" s="1"/>
  <c r="C42" i="11"/>
  <c r="C60" i="11" s="1"/>
  <c r="I41" i="11"/>
  <c r="E41" i="11"/>
  <c r="C41" i="11"/>
  <c r="M40" i="11"/>
  <c r="M62" i="11" s="1"/>
  <c r="K40" i="11"/>
  <c r="K62" i="11" s="1"/>
  <c r="I40" i="11"/>
  <c r="I62" i="11" s="1"/>
  <c r="E40" i="11"/>
  <c r="E62" i="11" s="1"/>
  <c r="K38" i="11"/>
  <c r="AA46" i="11" s="1"/>
  <c r="I38" i="11"/>
  <c r="Y46" i="11" s="1"/>
  <c r="G38" i="11"/>
  <c r="W46" i="11" s="1"/>
  <c r="E38" i="11"/>
  <c r="C38" i="11"/>
  <c r="C36" i="11"/>
  <c r="G34" i="11"/>
  <c r="W48" i="11" s="1"/>
  <c r="E34" i="11"/>
  <c r="U48" i="11" s="1"/>
  <c r="C34" i="11"/>
  <c r="G32" i="11"/>
  <c r="G40" i="11" s="1"/>
  <c r="G62" i="11" s="1"/>
  <c r="E32" i="11"/>
  <c r="C32" i="11"/>
  <c r="C40" i="11" s="1"/>
  <c r="C62" i="11" s="1"/>
  <c r="G30" i="11"/>
  <c r="E30" i="11"/>
  <c r="C30" i="11"/>
  <c r="W29" i="11"/>
  <c r="U29" i="11"/>
  <c r="M28" i="11"/>
  <c r="K28" i="11"/>
  <c r="I28" i="11"/>
  <c r="G28" i="11"/>
  <c r="E28" i="11"/>
  <c r="C28" i="11"/>
  <c r="AA23" i="11"/>
  <c r="Y23" i="11"/>
  <c r="W23" i="11"/>
  <c r="U23" i="11"/>
  <c r="S23" i="11"/>
  <c r="W19" i="11"/>
  <c r="G19" i="11"/>
  <c r="W18" i="11" s="1"/>
  <c r="E19" i="11"/>
  <c r="U18" i="11" s="1"/>
  <c r="U19" i="11" s="1"/>
  <c r="C19" i="11"/>
  <c r="AA18" i="11"/>
  <c r="Y18" i="11"/>
  <c r="W17" i="11"/>
  <c r="U17" i="11"/>
  <c r="M16" i="11"/>
  <c r="K16" i="11"/>
  <c r="K48" i="11" s="1"/>
  <c r="I16" i="11"/>
  <c r="Y48" i="11" s="1"/>
  <c r="G16" i="11"/>
  <c r="E16" i="11"/>
  <c r="C16" i="11"/>
  <c r="AA12" i="11"/>
  <c r="Y12" i="11"/>
  <c r="W12" i="11"/>
  <c r="U12" i="11"/>
  <c r="S12" i="11"/>
  <c r="M12" i="11"/>
  <c r="K12" i="11"/>
  <c r="I12" i="11"/>
  <c r="G12" i="11"/>
  <c r="E12" i="11"/>
  <c r="C12" i="11"/>
  <c r="Q8" i="11"/>
  <c r="Q7" i="11"/>
  <c r="Q6" i="11"/>
  <c r="M62" i="10"/>
  <c r="I62" i="10"/>
  <c r="G62" i="10"/>
  <c r="E62" i="10"/>
  <c r="C62" i="10"/>
  <c r="M58" i="10"/>
  <c r="K58" i="10"/>
  <c r="I58" i="10"/>
  <c r="G58" i="10"/>
  <c r="E58" i="10"/>
  <c r="C58" i="10"/>
  <c r="AA52" i="10"/>
  <c r="M52" i="10"/>
  <c r="K52" i="10"/>
  <c r="I52" i="10"/>
  <c r="Y45" i="10" s="1"/>
  <c r="G52" i="10"/>
  <c r="W45" i="10" s="1"/>
  <c r="E52" i="10"/>
  <c r="U45" i="10" s="1"/>
  <c r="AC45" i="10" s="1"/>
  <c r="C52" i="10"/>
  <c r="AA48" i="10"/>
  <c r="W48" i="10"/>
  <c r="U48" i="10"/>
  <c r="S48" i="10"/>
  <c r="M48" i="10"/>
  <c r="K48" i="10"/>
  <c r="I48" i="10"/>
  <c r="G48" i="10"/>
  <c r="E48" i="10"/>
  <c r="C48" i="10"/>
  <c r="AA46" i="10"/>
  <c r="U46" i="10"/>
  <c r="S46" i="10"/>
  <c r="AA45" i="10"/>
  <c r="S45" i="10"/>
  <c r="AA44" i="10"/>
  <c r="Y44" i="10"/>
  <c r="W44" i="10"/>
  <c r="U44" i="10"/>
  <c r="S44" i="10"/>
  <c r="AA43" i="10"/>
  <c r="S43" i="10"/>
  <c r="M42" i="10"/>
  <c r="M60" i="10" s="1"/>
  <c r="K42" i="10"/>
  <c r="K60" i="10" s="1"/>
  <c r="I42" i="10"/>
  <c r="I60" i="10" s="1"/>
  <c r="G42" i="10"/>
  <c r="E42" i="10"/>
  <c r="C42" i="10"/>
  <c r="C60" i="10" s="1"/>
  <c r="K40" i="10"/>
  <c r="K62" i="10" s="1"/>
  <c r="AA50" i="10" s="1"/>
  <c r="I40" i="10"/>
  <c r="G40" i="10"/>
  <c r="E40" i="10"/>
  <c r="C40" i="10"/>
  <c r="K34" i="10"/>
  <c r="I34" i="10"/>
  <c r="G34" i="10"/>
  <c r="E34" i="10"/>
  <c r="C34" i="10"/>
  <c r="M28" i="10"/>
  <c r="K28" i="10"/>
  <c r="I28" i="10"/>
  <c r="G28" i="10"/>
  <c r="E28" i="10"/>
  <c r="C28" i="10"/>
  <c r="AA18" i="10"/>
  <c r="Y18" i="10"/>
  <c r="W18" i="10"/>
  <c r="U18" i="10"/>
  <c r="S18" i="10"/>
  <c r="AA12" i="10"/>
  <c r="Y12" i="10"/>
  <c r="W12" i="10"/>
  <c r="U12" i="10"/>
  <c r="S12" i="10"/>
  <c r="M12" i="10"/>
  <c r="M54" i="10" s="1"/>
  <c r="K12" i="10"/>
  <c r="K54" i="10" s="1"/>
  <c r="I12" i="10"/>
  <c r="G12" i="10"/>
  <c r="E12" i="10"/>
  <c r="C12" i="10"/>
  <c r="Q8" i="10"/>
  <c r="Q7" i="10"/>
  <c r="Q6" i="10"/>
  <c r="E62" i="9"/>
  <c r="C62" i="9"/>
  <c r="S50" i="9" s="1"/>
  <c r="M60" i="9"/>
  <c r="K60" i="9"/>
  <c r="AA52" i="9" s="1"/>
  <c r="G60" i="9"/>
  <c r="W52" i="9" s="1"/>
  <c r="E60" i="9"/>
  <c r="M58" i="9"/>
  <c r="K58" i="9"/>
  <c r="I58" i="9"/>
  <c r="G58" i="9"/>
  <c r="E58" i="9"/>
  <c r="C58" i="9"/>
  <c r="M56" i="9"/>
  <c r="M54" i="9"/>
  <c r="K54" i="9"/>
  <c r="AA50" i="9" s="1"/>
  <c r="G54" i="9"/>
  <c r="E54" i="9"/>
  <c r="C54" i="9"/>
  <c r="M52" i="9"/>
  <c r="K52" i="9"/>
  <c r="I52" i="9"/>
  <c r="Y44" i="9" s="1"/>
  <c r="G52" i="9"/>
  <c r="W44" i="9" s="1"/>
  <c r="E52" i="9"/>
  <c r="U44" i="9" s="1"/>
  <c r="C52" i="9"/>
  <c r="M50" i="9"/>
  <c r="K50" i="9"/>
  <c r="AA29" i="9" s="1"/>
  <c r="G50" i="9"/>
  <c r="W17" i="9" s="1"/>
  <c r="W19" i="9" s="1"/>
  <c r="E50" i="9"/>
  <c r="U48" i="9"/>
  <c r="S48" i="9"/>
  <c r="M48" i="9"/>
  <c r="K48" i="9"/>
  <c r="I48" i="9"/>
  <c r="G48" i="9"/>
  <c r="E48" i="9"/>
  <c r="U46" i="9"/>
  <c r="S46" i="9"/>
  <c r="AA45" i="9"/>
  <c r="Y45" i="9"/>
  <c r="W45" i="9"/>
  <c r="S45" i="9"/>
  <c r="AA43" i="9"/>
  <c r="Y43" i="9"/>
  <c r="W43" i="9"/>
  <c r="S43" i="9"/>
  <c r="M42" i="9"/>
  <c r="K42" i="9"/>
  <c r="I42" i="9"/>
  <c r="G42" i="9"/>
  <c r="E42" i="9"/>
  <c r="C42" i="9"/>
  <c r="C60" i="9" s="1"/>
  <c r="S52" i="9" s="1"/>
  <c r="I41" i="9"/>
  <c r="I60" i="9" s="1"/>
  <c r="M40" i="9"/>
  <c r="M62" i="9" s="1"/>
  <c r="K40" i="9"/>
  <c r="K62" i="9" s="1"/>
  <c r="I40" i="9"/>
  <c r="I62" i="9" s="1"/>
  <c r="G40" i="9"/>
  <c r="G62" i="9" s="1"/>
  <c r="E40" i="9"/>
  <c r="M34" i="9"/>
  <c r="K34" i="9"/>
  <c r="AA48" i="9" s="1"/>
  <c r="I34" i="9"/>
  <c r="Y48" i="9" s="1"/>
  <c r="G34" i="9"/>
  <c r="C34" i="9"/>
  <c r="C40" i="9" s="1"/>
  <c r="S29" i="9"/>
  <c r="AA28" i="9"/>
  <c r="W28" i="9"/>
  <c r="S27" i="9"/>
  <c r="AA22" i="9"/>
  <c r="AA18" i="9"/>
  <c r="Y18" i="9"/>
  <c r="W18" i="9"/>
  <c r="U18" i="9"/>
  <c r="S18" i="9"/>
  <c r="AA17" i="9"/>
  <c r="AA19" i="9" s="1"/>
  <c r="E16" i="9"/>
  <c r="C16" i="9"/>
  <c r="C50" i="9" s="1"/>
  <c r="M15" i="9"/>
  <c r="AA12" i="9"/>
  <c r="Y12" i="9"/>
  <c r="W12" i="9"/>
  <c r="U12" i="9"/>
  <c r="S12" i="9"/>
  <c r="I12" i="9"/>
  <c r="G12" i="9"/>
  <c r="E12" i="9"/>
  <c r="C12" i="9"/>
  <c r="Q8" i="9"/>
  <c r="Q7" i="9"/>
  <c r="Q6" i="9"/>
  <c r="M62" i="8"/>
  <c r="E60" i="8"/>
  <c r="M58" i="8"/>
  <c r="K58" i="8"/>
  <c r="I58" i="8"/>
  <c r="G58" i="8"/>
  <c r="E58" i="8"/>
  <c r="C58" i="8"/>
  <c r="E54" i="8"/>
  <c r="C54" i="8"/>
  <c r="U52" i="8"/>
  <c r="S52" i="8"/>
  <c r="M52" i="8"/>
  <c r="K52" i="8"/>
  <c r="I52" i="8"/>
  <c r="G52" i="8"/>
  <c r="E52" i="8"/>
  <c r="C52" i="8"/>
  <c r="E50" i="8"/>
  <c r="E56" i="8" s="1"/>
  <c r="C50" i="8"/>
  <c r="S29" i="8" s="1"/>
  <c r="AA48" i="8"/>
  <c r="W48" i="8"/>
  <c r="M48" i="8"/>
  <c r="K48" i="8"/>
  <c r="I48" i="8"/>
  <c r="G48" i="8"/>
  <c r="E48" i="8"/>
  <c r="C48" i="8"/>
  <c r="AA46" i="8"/>
  <c r="W46" i="8"/>
  <c r="AA45" i="8"/>
  <c r="Y45" i="8"/>
  <c r="W45" i="8"/>
  <c r="U45" i="8"/>
  <c r="S45" i="8"/>
  <c r="AC45" i="8" s="1"/>
  <c r="AA44" i="8"/>
  <c r="Y44" i="8"/>
  <c r="W44" i="8"/>
  <c r="U44" i="8"/>
  <c r="S44" i="8"/>
  <c r="AC44" i="8" s="1"/>
  <c r="E44" i="8"/>
  <c r="C44" i="8"/>
  <c r="AA43" i="8"/>
  <c r="Y43" i="8"/>
  <c r="W43" i="8"/>
  <c r="U43" i="8"/>
  <c r="S43" i="8"/>
  <c r="G43" i="8"/>
  <c r="E43" i="8"/>
  <c r="C43" i="8"/>
  <c r="M42" i="8"/>
  <c r="M60" i="8" s="1"/>
  <c r="K42" i="8"/>
  <c r="K60" i="8" s="1"/>
  <c r="AA52" i="8" s="1"/>
  <c r="I42" i="8"/>
  <c r="I60" i="8" s="1"/>
  <c r="G42" i="8"/>
  <c r="G60" i="8" s="1"/>
  <c r="E42" i="8"/>
  <c r="C42" i="8"/>
  <c r="E41" i="8"/>
  <c r="C41" i="8"/>
  <c r="C60" i="8" s="1"/>
  <c r="M40" i="8"/>
  <c r="G40" i="8"/>
  <c r="G62" i="8" s="1"/>
  <c r="E38" i="8"/>
  <c r="C38" i="8"/>
  <c r="U34" i="8"/>
  <c r="U36" i="8" s="1"/>
  <c r="M34" i="8"/>
  <c r="K34" i="8"/>
  <c r="K40" i="8" s="1"/>
  <c r="K62" i="8" s="1"/>
  <c r="AA50" i="8" s="1"/>
  <c r="I34" i="8"/>
  <c r="G34" i="8"/>
  <c r="U33" i="8"/>
  <c r="U54" i="8" s="1"/>
  <c r="E32" i="8"/>
  <c r="E34" i="8" s="1"/>
  <c r="C32" i="8"/>
  <c r="C34" i="8" s="1"/>
  <c r="E30" i="8"/>
  <c r="C30" i="8"/>
  <c r="U29" i="8"/>
  <c r="S28" i="8"/>
  <c r="M28" i="8"/>
  <c r="S22" i="8"/>
  <c r="E19" i="8"/>
  <c r="C19" i="8"/>
  <c r="AA18" i="8"/>
  <c r="Y18" i="8"/>
  <c r="W18" i="8"/>
  <c r="U18" i="8"/>
  <c r="S18" i="8"/>
  <c r="U17" i="8"/>
  <c r="U19" i="8" s="1"/>
  <c r="S17" i="8"/>
  <c r="S19" i="8" s="1"/>
  <c r="E16" i="8"/>
  <c r="U35" i="8" s="1"/>
  <c r="C16" i="8"/>
  <c r="E15" i="8"/>
  <c r="AA12" i="8"/>
  <c r="Y12" i="8"/>
  <c r="W12" i="8"/>
  <c r="U12" i="8"/>
  <c r="S12" i="8"/>
  <c r="M12" i="8"/>
  <c r="M54" i="8" s="1"/>
  <c r="K12" i="8"/>
  <c r="K54" i="8" s="1"/>
  <c r="I12" i="8"/>
  <c r="G12" i="8"/>
  <c r="E12" i="8"/>
  <c r="U27" i="8" s="1"/>
  <c r="C12" i="8"/>
  <c r="S27" i="8" s="1"/>
  <c r="Q8" i="8"/>
  <c r="Q7" i="8"/>
  <c r="Q6" i="8"/>
  <c r="K62" i="7"/>
  <c r="I62" i="7"/>
  <c r="M60" i="7"/>
  <c r="M58" i="7"/>
  <c r="K58" i="7"/>
  <c r="AA23" i="7" s="1"/>
  <c r="I58" i="7"/>
  <c r="G58" i="7"/>
  <c r="C58" i="7"/>
  <c r="M56" i="7"/>
  <c r="M54" i="7"/>
  <c r="M52" i="7"/>
  <c r="K52" i="7"/>
  <c r="I52" i="7"/>
  <c r="G52" i="7"/>
  <c r="E52" i="7"/>
  <c r="C52" i="7"/>
  <c r="S45" i="7" s="1"/>
  <c r="AC45" i="7" s="1"/>
  <c r="AA50" i="7"/>
  <c r="M50" i="7"/>
  <c r="AA48" i="7"/>
  <c r="Y48" i="7"/>
  <c r="M48" i="7"/>
  <c r="C48" i="7"/>
  <c r="Y46" i="7"/>
  <c r="W46" i="7"/>
  <c r="U46" i="7"/>
  <c r="S46" i="7"/>
  <c r="AC46" i="7" s="1"/>
  <c r="AA45" i="7"/>
  <c r="Y45" i="7"/>
  <c r="W45" i="7"/>
  <c r="U45" i="7"/>
  <c r="G44" i="7"/>
  <c r="E44" i="7"/>
  <c r="C44" i="7"/>
  <c r="AA43" i="7"/>
  <c r="Y43" i="7"/>
  <c r="W43" i="7"/>
  <c r="U43" i="7"/>
  <c r="S43" i="7"/>
  <c r="G43" i="7"/>
  <c r="E43" i="7"/>
  <c r="C43" i="7"/>
  <c r="M42" i="7"/>
  <c r="K42" i="7"/>
  <c r="I42" i="7"/>
  <c r="G42" i="7"/>
  <c r="E42" i="7"/>
  <c r="C42" i="7"/>
  <c r="G41" i="7"/>
  <c r="G60" i="7" s="1"/>
  <c r="E41" i="7"/>
  <c r="E60" i="7" s="1"/>
  <c r="U52" i="7" s="1"/>
  <c r="C41" i="7"/>
  <c r="C60" i="7" s="1"/>
  <c r="S52" i="7" s="1"/>
  <c r="M40" i="7"/>
  <c r="M62" i="7" s="1"/>
  <c r="I40" i="7"/>
  <c r="G40" i="7"/>
  <c r="G62" i="7" s="1"/>
  <c r="E40" i="7"/>
  <c r="E62" i="7" s="1"/>
  <c r="G38" i="7"/>
  <c r="E38" i="7"/>
  <c r="C38" i="7"/>
  <c r="E36" i="7"/>
  <c r="C36" i="7"/>
  <c r="G34" i="7"/>
  <c r="W48" i="7" s="1"/>
  <c r="E34" i="7"/>
  <c r="C34" i="7"/>
  <c r="G32" i="7"/>
  <c r="E32" i="7"/>
  <c r="C32" i="7"/>
  <c r="C40" i="7" s="1"/>
  <c r="C62" i="7" s="1"/>
  <c r="S50" i="7" s="1"/>
  <c r="G30" i="7"/>
  <c r="E30" i="7"/>
  <c r="C30" i="7"/>
  <c r="M28" i="7"/>
  <c r="K28" i="7"/>
  <c r="I28" i="7"/>
  <c r="G28" i="7"/>
  <c r="E28" i="7"/>
  <c r="C28" i="7"/>
  <c r="U23" i="7"/>
  <c r="G19" i="7"/>
  <c r="E19" i="7"/>
  <c r="E54" i="7" s="1"/>
  <c r="U50" i="7" s="1"/>
  <c r="C19" i="7"/>
  <c r="AA18" i="7"/>
  <c r="Y18" i="7"/>
  <c r="W18" i="7"/>
  <c r="U18" i="7"/>
  <c r="S18" i="7"/>
  <c r="M16" i="7"/>
  <c r="K16" i="7"/>
  <c r="K48" i="7" s="1"/>
  <c r="I16" i="7"/>
  <c r="I48" i="7" s="1"/>
  <c r="Y44" i="7" s="1"/>
  <c r="G16" i="7"/>
  <c r="G50" i="7" s="1"/>
  <c r="E16" i="7"/>
  <c r="C16" i="7"/>
  <c r="E13" i="7"/>
  <c r="E58" i="7" s="1"/>
  <c r="AA12" i="7"/>
  <c r="Y12" i="7"/>
  <c r="W12" i="7"/>
  <c r="U12" i="7"/>
  <c r="S12" i="7"/>
  <c r="M12" i="7"/>
  <c r="K12" i="7"/>
  <c r="K54" i="7" s="1"/>
  <c r="AA22" i="7" s="1"/>
  <c r="I12" i="7"/>
  <c r="I54" i="7" s="1"/>
  <c r="Y22" i="7" s="1"/>
  <c r="E12" i="7"/>
  <c r="C12" i="7"/>
  <c r="C54" i="7" s="1"/>
  <c r="Q8" i="7"/>
  <c r="Q7" i="7"/>
  <c r="Q6" i="7"/>
  <c r="M62" i="6"/>
  <c r="K62" i="6"/>
  <c r="I62" i="6"/>
  <c r="M60" i="6"/>
  <c r="K60" i="6"/>
  <c r="I60" i="6"/>
  <c r="Y52" i="6" s="1"/>
  <c r="G60" i="6"/>
  <c r="E60" i="6"/>
  <c r="M58" i="6"/>
  <c r="K58" i="6"/>
  <c r="I58" i="6"/>
  <c r="G58" i="6"/>
  <c r="E58" i="6"/>
  <c r="C58" i="6"/>
  <c r="I54" i="6"/>
  <c r="Y22" i="6" s="1"/>
  <c r="M52" i="6"/>
  <c r="K52" i="6"/>
  <c r="I52" i="6"/>
  <c r="Y45" i="6" s="1"/>
  <c r="G52" i="6"/>
  <c r="E52" i="6"/>
  <c r="U45" i="6" s="1"/>
  <c r="C52" i="6"/>
  <c r="Y50" i="6"/>
  <c r="E50" i="6"/>
  <c r="U28" i="6" s="1"/>
  <c r="AA48" i="6"/>
  <c r="Y48" i="6"/>
  <c r="W48" i="6"/>
  <c r="K48" i="6"/>
  <c r="I48" i="6"/>
  <c r="G48" i="6"/>
  <c r="AA46" i="6"/>
  <c r="Y46" i="6"/>
  <c r="W46" i="6"/>
  <c r="AA45" i="6"/>
  <c r="W45" i="6"/>
  <c r="AA44" i="6"/>
  <c r="E44" i="6"/>
  <c r="C44" i="6"/>
  <c r="AA43" i="6"/>
  <c r="W43" i="6"/>
  <c r="E43" i="6"/>
  <c r="C43" i="6"/>
  <c r="G42" i="6"/>
  <c r="E42" i="6"/>
  <c r="C42" i="6"/>
  <c r="E41" i="6"/>
  <c r="C41" i="6"/>
  <c r="C60" i="6" s="1"/>
  <c r="I40" i="6"/>
  <c r="G40" i="6"/>
  <c r="G62" i="6" s="1"/>
  <c r="E40" i="6"/>
  <c r="C40" i="6"/>
  <c r="E38" i="6"/>
  <c r="C38" i="6"/>
  <c r="G34" i="6"/>
  <c r="E34" i="6"/>
  <c r="U48" i="6" s="1"/>
  <c r="C34" i="6"/>
  <c r="S48" i="6" s="1"/>
  <c r="AC48" i="6" s="1"/>
  <c r="E32" i="6"/>
  <c r="C32" i="6"/>
  <c r="U30" i="6"/>
  <c r="E30" i="6"/>
  <c r="C30" i="6"/>
  <c r="U29" i="6"/>
  <c r="E28" i="6"/>
  <c r="C28" i="6"/>
  <c r="U27" i="6"/>
  <c r="AA22" i="6"/>
  <c r="E19" i="6"/>
  <c r="C19" i="6"/>
  <c r="AA18" i="6"/>
  <c r="Y18" i="6"/>
  <c r="W18" i="6"/>
  <c r="U17" i="6"/>
  <c r="E16" i="6"/>
  <c r="E48" i="6" s="1"/>
  <c r="C16" i="6"/>
  <c r="M15" i="6"/>
  <c r="M48" i="6" s="1"/>
  <c r="AA12" i="6"/>
  <c r="Y12" i="6"/>
  <c r="W12" i="6"/>
  <c r="U12" i="6"/>
  <c r="S12" i="6"/>
  <c r="M12" i="6"/>
  <c r="M54" i="6" s="1"/>
  <c r="K12" i="6"/>
  <c r="K54" i="6" s="1"/>
  <c r="AA50" i="6" s="1"/>
  <c r="I12" i="6"/>
  <c r="I50" i="6" s="1"/>
  <c r="G12" i="6"/>
  <c r="G54" i="6" s="1"/>
  <c r="W22" i="6" s="1"/>
  <c r="E12" i="6"/>
  <c r="C12" i="6"/>
  <c r="Q8" i="6"/>
  <c r="Q7" i="6"/>
  <c r="Q6" i="6"/>
  <c r="M62" i="5"/>
  <c r="G60" i="5"/>
  <c r="E60" i="5"/>
  <c r="M58" i="5"/>
  <c r="K58" i="5"/>
  <c r="I58" i="5"/>
  <c r="G58" i="5"/>
  <c r="E58" i="5"/>
  <c r="C58" i="5"/>
  <c r="K54" i="5"/>
  <c r="I54" i="5"/>
  <c r="M52" i="5"/>
  <c r="K52" i="5"/>
  <c r="I52" i="5"/>
  <c r="G52" i="5"/>
  <c r="E52" i="5"/>
  <c r="C52" i="5"/>
  <c r="I50" i="5"/>
  <c r="Y17" i="5" s="1"/>
  <c r="K48" i="5"/>
  <c r="I48" i="5"/>
  <c r="AA45" i="5"/>
  <c r="W45" i="5"/>
  <c r="U45" i="5"/>
  <c r="M44" i="5"/>
  <c r="K44" i="5"/>
  <c r="I44" i="5"/>
  <c r="G44" i="5"/>
  <c r="E44" i="5"/>
  <c r="C44" i="5"/>
  <c r="M43" i="5"/>
  <c r="K43" i="5"/>
  <c r="I43" i="5"/>
  <c r="G43" i="5"/>
  <c r="E43" i="5"/>
  <c r="C43" i="5"/>
  <c r="M42" i="5"/>
  <c r="K42" i="5"/>
  <c r="I42" i="5"/>
  <c r="G42" i="5"/>
  <c r="E42" i="5"/>
  <c r="C42" i="5"/>
  <c r="M41" i="5"/>
  <c r="M60" i="5" s="1"/>
  <c r="K41" i="5"/>
  <c r="I41" i="5"/>
  <c r="I60" i="5" s="1"/>
  <c r="Y52" i="5" s="1"/>
  <c r="G41" i="5"/>
  <c r="E41" i="5"/>
  <c r="C41" i="5"/>
  <c r="C60" i="5" s="1"/>
  <c r="M40" i="5"/>
  <c r="G40" i="5"/>
  <c r="M38" i="5"/>
  <c r="K38" i="5"/>
  <c r="AA46" i="5" s="1"/>
  <c r="I38" i="5"/>
  <c r="G38" i="5"/>
  <c r="E38" i="5"/>
  <c r="U46" i="5" s="1"/>
  <c r="C38" i="5"/>
  <c r="M34" i="5"/>
  <c r="K34" i="5"/>
  <c r="E34" i="5"/>
  <c r="M32" i="5"/>
  <c r="K32" i="5"/>
  <c r="K40" i="5" s="1"/>
  <c r="I32" i="5"/>
  <c r="I40" i="5" s="1"/>
  <c r="G32" i="5"/>
  <c r="G34" i="5" s="1"/>
  <c r="W48" i="5" s="1"/>
  <c r="E32" i="5"/>
  <c r="E40" i="5" s="1"/>
  <c r="C32" i="5"/>
  <c r="M30" i="5"/>
  <c r="K30" i="5"/>
  <c r="I30" i="5"/>
  <c r="G30" i="5"/>
  <c r="E30" i="5"/>
  <c r="C30" i="5"/>
  <c r="Y29" i="5"/>
  <c r="Y28" i="5"/>
  <c r="M28" i="5"/>
  <c r="K28" i="5"/>
  <c r="I28" i="5"/>
  <c r="G28" i="5"/>
  <c r="AA27" i="5"/>
  <c r="Y27" i="5"/>
  <c r="Y30" i="5" s="1"/>
  <c r="M19" i="5"/>
  <c r="M54" i="5" s="1"/>
  <c r="K19" i="5"/>
  <c r="AA18" i="5" s="1"/>
  <c r="I19" i="5"/>
  <c r="G19" i="5"/>
  <c r="W18" i="5" s="1"/>
  <c r="E19" i="5"/>
  <c r="U18" i="5" s="1"/>
  <c r="C19" i="5"/>
  <c r="Y18" i="5"/>
  <c r="S18" i="5"/>
  <c r="AA17" i="5"/>
  <c r="AA19" i="5" s="1"/>
  <c r="M16" i="5"/>
  <c r="M48" i="5" s="1"/>
  <c r="K16" i="5"/>
  <c r="I16" i="5"/>
  <c r="G16" i="5"/>
  <c r="E16" i="5"/>
  <c r="C16" i="5"/>
  <c r="G15" i="5"/>
  <c r="E15" i="5"/>
  <c r="E48" i="5" s="1"/>
  <c r="C15" i="5"/>
  <c r="AA12" i="5"/>
  <c r="Y12" i="5"/>
  <c r="W12" i="5"/>
  <c r="U12" i="5"/>
  <c r="S12" i="5"/>
  <c r="M12" i="5"/>
  <c r="K12" i="5"/>
  <c r="K50" i="5" s="1"/>
  <c r="I12" i="5"/>
  <c r="G12" i="5"/>
  <c r="E12" i="5"/>
  <c r="C12" i="5"/>
  <c r="Q8" i="5"/>
  <c r="Q7" i="5"/>
  <c r="Q6" i="5"/>
  <c r="I62" i="4"/>
  <c r="K60" i="4"/>
  <c r="AA52" i="4" s="1"/>
  <c r="I60" i="4"/>
  <c r="Y52" i="4" s="1"/>
  <c r="M58" i="4"/>
  <c r="K58" i="4"/>
  <c r="I58" i="4"/>
  <c r="G58" i="4"/>
  <c r="E58" i="4"/>
  <c r="C58" i="4"/>
  <c r="K54" i="4"/>
  <c r="I54" i="4"/>
  <c r="M52" i="4"/>
  <c r="K52" i="4"/>
  <c r="I52" i="4"/>
  <c r="Y45" i="4" s="1"/>
  <c r="G52" i="4"/>
  <c r="E52" i="4"/>
  <c r="C52" i="4"/>
  <c r="S44" i="4" s="1"/>
  <c r="K50" i="4"/>
  <c r="AA27" i="4" s="1"/>
  <c r="I50" i="4"/>
  <c r="I56" i="4" s="1"/>
  <c r="E50" i="4"/>
  <c r="U29" i="4" s="1"/>
  <c r="Y48" i="4"/>
  <c r="M48" i="4"/>
  <c r="K48" i="4"/>
  <c r="I48" i="4"/>
  <c r="G48" i="4"/>
  <c r="E48" i="4"/>
  <c r="C48" i="4"/>
  <c r="Y46" i="4"/>
  <c r="AA45" i="4"/>
  <c r="W45" i="4"/>
  <c r="U45" i="4"/>
  <c r="S45" i="4"/>
  <c r="U44" i="4"/>
  <c r="E44" i="4"/>
  <c r="C44" i="4"/>
  <c r="W43" i="4"/>
  <c r="U43" i="4"/>
  <c r="S43" i="4"/>
  <c r="E43" i="4"/>
  <c r="C43" i="4"/>
  <c r="M42" i="4"/>
  <c r="M60" i="4" s="1"/>
  <c r="K42" i="4"/>
  <c r="I42" i="4"/>
  <c r="G42" i="4"/>
  <c r="G60" i="4" s="1"/>
  <c r="E42" i="4"/>
  <c r="C42" i="4"/>
  <c r="I41" i="4"/>
  <c r="E41" i="4"/>
  <c r="C41" i="4"/>
  <c r="C60" i="4" s="1"/>
  <c r="M40" i="4"/>
  <c r="M62" i="4" s="1"/>
  <c r="I40" i="4"/>
  <c r="G40" i="4"/>
  <c r="G62" i="4" s="1"/>
  <c r="E38" i="4"/>
  <c r="C38" i="4"/>
  <c r="M34" i="4"/>
  <c r="K34" i="4"/>
  <c r="I34" i="4"/>
  <c r="G34" i="4"/>
  <c r="W48" i="4" s="1"/>
  <c r="E34" i="4"/>
  <c r="U46" i="4" s="1"/>
  <c r="C34" i="4"/>
  <c r="S48" i="4" s="1"/>
  <c r="E32" i="4"/>
  <c r="E40" i="4" s="1"/>
  <c r="E62" i="4" s="1"/>
  <c r="C32" i="4"/>
  <c r="C40" i="4" s="1"/>
  <c r="C62" i="4" s="1"/>
  <c r="E30" i="4"/>
  <c r="C30" i="4"/>
  <c r="U28" i="4"/>
  <c r="E28" i="4"/>
  <c r="C28" i="4"/>
  <c r="U27" i="4"/>
  <c r="U30" i="4" s="1"/>
  <c r="E19" i="4"/>
  <c r="AA18" i="4"/>
  <c r="Y18" i="4"/>
  <c r="W18" i="4"/>
  <c r="S18" i="4"/>
  <c r="U17" i="4"/>
  <c r="AA12" i="4"/>
  <c r="Y12" i="4"/>
  <c r="W12" i="4"/>
  <c r="U12" i="4"/>
  <c r="S12" i="4"/>
  <c r="M12" i="4"/>
  <c r="M54" i="4" s="1"/>
  <c r="K12" i="4"/>
  <c r="I12" i="4"/>
  <c r="G12" i="4"/>
  <c r="E12" i="4"/>
  <c r="C12" i="4"/>
  <c r="Q8" i="4"/>
  <c r="Q7" i="4"/>
  <c r="Q6" i="4"/>
  <c r="K12" i="3"/>
  <c r="G14" i="2" s="1"/>
  <c r="I12" i="3"/>
  <c r="E14" i="2" s="1"/>
  <c r="K11" i="3"/>
  <c r="I11" i="3"/>
  <c r="K10" i="3"/>
  <c r="I10" i="3"/>
  <c r="O10" i="3" s="1"/>
  <c r="K9" i="3"/>
  <c r="I9" i="3"/>
  <c r="K8" i="3"/>
  <c r="I8" i="3"/>
  <c r="E10" i="2" s="1"/>
  <c r="K7" i="3"/>
  <c r="G9" i="2" s="1"/>
  <c r="I7" i="3"/>
  <c r="O7" i="3" s="1"/>
  <c r="K6" i="3"/>
  <c r="G8" i="2" s="1"/>
  <c r="I6" i="3"/>
  <c r="K5" i="3"/>
  <c r="I5" i="3"/>
  <c r="O5" i="3" s="1"/>
  <c r="G13" i="2"/>
  <c r="E13" i="2"/>
  <c r="I13" i="2" s="1"/>
  <c r="G12" i="2"/>
  <c r="E12" i="2"/>
  <c r="G11" i="2"/>
  <c r="G10" i="2"/>
  <c r="E8" i="2"/>
  <c r="G7" i="2"/>
  <c r="F6" i="1"/>
  <c r="H6" i="1" s="1"/>
  <c r="J6" i="1" s="1"/>
  <c r="L6" i="1" s="1"/>
  <c r="B50" i="1"/>
  <c r="F10" i="1" a="1"/>
  <c r="L9" i="1" a="1"/>
  <c r="D29" i="1" a="1"/>
  <c r="D34" i="1" a="1"/>
  <c r="J17" i="1" a="1"/>
  <c r="D35" i="1" a="1"/>
  <c r="H45" i="1" a="1"/>
  <c r="H34" i="1" a="1"/>
  <c r="J16" i="1" a="1"/>
  <c r="F46" i="1" a="1"/>
  <c r="J9" i="1" a="1"/>
  <c r="H33" i="1" a="1"/>
  <c r="D45" i="1" a="1"/>
  <c r="H22" i="1" a="1"/>
  <c r="J11" i="1" a="1"/>
  <c r="F34" i="1" a="1"/>
  <c r="L46" i="1" a="1"/>
  <c r="F47" i="1" a="1"/>
  <c r="F35" i="1" a="1"/>
  <c r="D47" i="1" a="1"/>
  <c r="L33" i="1" a="1"/>
  <c r="F33" i="1" a="1"/>
  <c r="L34" i="1" a="1"/>
  <c r="L11" i="1" a="1"/>
  <c r="F11" i="1" a="1"/>
  <c r="F9" i="1" a="1"/>
  <c r="O12" i="3" l="1"/>
  <c r="O8" i="3"/>
  <c r="E7" i="2"/>
  <c r="I7" i="2" s="1"/>
  <c r="O9" i="3"/>
  <c r="O11" i="3"/>
  <c r="O6" i="3"/>
  <c r="G18" i="2"/>
  <c r="I14" i="2"/>
  <c r="I10" i="2"/>
  <c r="I12" i="2"/>
  <c r="F11" i="1"/>
  <c r="J17" i="1"/>
  <c r="H22" i="1"/>
  <c r="F46" i="1"/>
  <c r="F10" i="1"/>
  <c r="H34" i="1"/>
  <c r="D47" i="1"/>
  <c r="D35" i="1"/>
  <c r="F33" i="1"/>
  <c r="F47" i="1"/>
  <c r="J9" i="1"/>
  <c r="L9" i="1"/>
  <c r="H33" i="1"/>
  <c r="L34" i="1"/>
  <c r="L33" i="1"/>
  <c r="J16" i="1"/>
  <c r="D45" i="1"/>
  <c r="D29" i="1"/>
  <c r="F9" i="1"/>
  <c r="L11" i="1"/>
  <c r="F35" i="1"/>
  <c r="J11" i="1"/>
  <c r="D34" i="1"/>
  <c r="F34" i="1"/>
  <c r="H45" i="1"/>
  <c r="L46" i="1"/>
  <c r="Y35" i="4"/>
  <c r="Y34" i="4"/>
  <c r="U22" i="5"/>
  <c r="AC45" i="4"/>
  <c r="AA28" i="5"/>
  <c r="K56" i="5"/>
  <c r="AA34" i="5" s="1"/>
  <c r="G48" i="5"/>
  <c r="U44" i="5" s="1"/>
  <c r="G50" i="5"/>
  <c r="W29" i="5" s="1"/>
  <c r="Y44" i="5"/>
  <c r="Y43" i="5"/>
  <c r="S18" i="6"/>
  <c r="C54" i="6"/>
  <c r="I8" i="2"/>
  <c r="S46" i="4"/>
  <c r="U48" i="4"/>
  <c r="S46" i="5"/>
  <c r="AC46" i="5" s="1"/>
  <c r="K60" i="5"/>
  <c r="AA52" i="5" s="1"/>
  <c r="E54" i="6"/>
  <c r="U18" i="6"/>
  <c r="C40" i="8"/>
  <c r="C62" i="8" s="1"/>
  <c r="S50" i="8" s="1"/>
  <c r="S46" i="8"/>
  <c r="S48" i="8"/>
  <c r="Y50" i="4"/>
  <c r="Y22" i="4"/>
  <c r="AA35" i="5"/>
  <c r="Y45" i="5"/>
  <c r="S52" i="6"/>
  <c r="AC52" i="6" s="1"/>
  <c r="U17" i="9"/>
  <c r="U19" i="9" s="1"/>
  <c r="U29" i="9"/>
  <c r="U27" i="9"/>
  <c r="U28" i="9"/>
  <c r="E56" i="9"/>
  <c r="E9" i="2"/>
  <c r="I9" i="2" s="1"/>
  <c r="AA22" i="4"/>
  <c r="Y22" i="5"/>
  <c r="AA29" i="4"/>
  <c r="AA17" i="4"/>
  <c r="AA19" i="4" s="1"/>
  <c r="U19" i="4"/>
  <c r="K56" i="4"/>
  <c r="AA33" i="5"/>
  <c r="C50" i="6"/>
  <c r="C48" i="6"/>
  <c r="W44" i="6"/>
  <c r="C54" i="4"/>
  <c r="C50" i="4"/>
  <c r="AA28" i="4"/>
  <c r="AA30" i="4" s="1"/>
  <c r="E60" i="4"/>
  <c r="AC44" i="4"/>
  <c r="C54" i="5"/>
  <c r="U48" i="5"/>
  <c r="Y19" i="5"/>
  <c r="AC45" i="11"/>
  <c r="E11" i="2"/>
  <c r="I11" i="2" s="1"/>
  <c r="K40" i="4"/>
  <c r="K62" i="4" s="1"/>
  <c r="AA50" i="4" s="1"/>
  <c r="AA48" i="4"/>
  <c r="AC48" i="4" s="1"/>
  <c r="AA46" i="4"/>
  <c r="U19" i="6"/>
  <c r="S44" i="6"/>
  <c r="S45" i="6"/>
  <c r="AC45" i="6" s="1"/>
  <c r="S43" i="6"/>
  <c r="C50" i="5"/>
  <c r="S27" i="5" s="1"/>
  <c r="S46" i="6"/>
  <c r="AC46" i="6" s="1"/>
  <c r="W27" i="4"/>
  <c r="W44" i="4"/>
  <c r="E50" i="5"/>
  <c r="U27" i="5" s="1"/>
  <c r="S52" i="5"/>
  <c r="S43" i="5"/>
  <c r="Y29" i="6"/>
  <c r="Y17" i="6"/>
  <c r="Y19" i="6" s="1"/>
  <c r="Y28" i="6"/>
  <c r="I56" i="6"/>
  <c r="Y33" i="6" s="1"/>
  <c r="G54" i="8"/>
  <c r="U22" i="8" s="1"/>
  <c r="G50" i="8"/>
  <c r="W27" i="8"/>
  <c r="Y17" i="4"/>
  <c r="Y19" i="4" s="1"/>
  <c r="Y29" i="4"/>
  <c r="Y28" i="4"/>
  <c r="AA22" i="5"/>
  <c r="G16" i="2"/>
  <c r="G20" i="2"/>
  <c r="Y27" i="4"/>
  <c r="Y30" i="4" s="1"/>
  <c r="Y44" i="4"/>
  <c r="Y43" i="4"/>
  <c r="Y23" i="7"/>
  <c r="W23" i="7"/>
  <c r="Y48" i="10"/>
  <c r="AC48" i="10" s="1"/>
  <c r="Y46" i="10"/>
  <c r="AC46" i="10" s="1"/>
  <c r="AA33" i="4"/>
  <c r="E54" i="4"/>
  <c r="U18" i="4"/>
  <c r="U33" i="4"/>
  <c r="AA43" i="4"/>
  <c r="AA44" i="4"/>
  <c r="C40" i="5"/>
  <c r="C62" i="5" s="1"/>
  <c r="C34" i="5"/>
  <c r="S48" i="5" s="1"/>
  <c r="S45" i="5"/>
  <c r="E62" i="6"/>
  <c r="I62" i="5"/>
  <c r="Y50" i="5" s="1"/>
  <c r="AA48" i="5"/>
  <c r="G62" i="5"/>
  <c r="U52" i="6"/>
  <c r="U29" i="7"/>
  <c r="E48" i="7"/>
  <c r="K62" i="5"/>
  <c r="AA50" i="5" s="1"/>
  <c r="I56" i="5"/>
  <c r="E50" i="7"/>
  <c r="G56" i="7"/>
  <c r="W34" i="7" s="1"/>
  <c r="W28" i="7"/>
  <c r="W27" i="7"/>
  <c r="W30" i="7" s="1"/>
  <c r="Y52" i="9"/>
  <c r="AA28" i="11"/>
  <c r="AA17" i="11"/>
  <c r="AA19" i="11" s="1"/>
  <c r="K56" i="11"/>
  <c r="AA34" i="11" s="1"/>
  <c r="Y33" i="4"/>
  <c r="C48" i="5"/>
  <c r="S44" i="5" s="1"/>
  <c r="C56" i="9"/>
  <c r="S28" i="9"/>
  <c r="S17" i="9"/>
  <c r="S19" i="9" s="1"/>
  <c r="AA29" i="11"/>
  <c r="E56" i="4"/>
  <c r="M50" i="5"/>
  <c r="M56" i="5" s="1"/>
  <c r="E54" i="5"/>
  <c r="S22" i="6"/>
  <c r="G50" i="6"/>
  <c r="W52" i="6"/>
  <c r="E56" i="6"/>
  <c r="AA44" i="7"/>
  <c r="S23" i="7"/>
  <c r="S48" i="7"/>
  <c r="AA44" i="9"/>
  <c r="AC44" i="10"/>
  <c r="S43" i="11"/>
  <c r="S44" i="11"/>
  <c r="G50" i="4"/>
  <c r="G54" i="4"/>
  <c r="W52" i="4" s="1"/>
  <c r="G54" i="5"/>
  <c r="W50" i="5" s="1"/>
  <c r="Y27" i="6"/>
  <c r="Y30" i="6" s="1"/>
  <c r="Y44" i="6"/>
  <c r="W29" i="7"/>
  <c r="AC43" i="7"/>
  <c r="U48" i="7"/>
  <c r="S30" i="8"/>
  <c r="S35" i="8"/>
  <c r="W52" i="8"/>
  <c r="U45" i="9"/>
  <c r="AC45" i="9" s="1"/>
  <c r="W50" i="6"/>
  <c r="AA52" i="6"/>
  <c r="G54" i="7"/>
  <c r="W52" i="7" s="1"/>
  <c r="AC52" i="7" s="1"/>
  <c r="S27" i="10"/>
  <c r="U22" i="11"/>
  <c r="S18" i="11"/>
  <c r="S33" i="11"/>
  <c r="Y44" i="11"/>
  <c r="M50" i="4"/>
  <c r="M56" i="4" s="1"/>
  <c r="W46" i="5"/>
  <c r="U43" i="5"/>
  <c r="U46" i="6"/>
  <c r="W17" i="7"/>
  <c r="W19" i="7" s="1"/>
  <c r="S22" i="7"/>
  <c r="C50" i="7"/>
  <c r="I54" i="8"/>
  <c r="Y52" i="8" s="1"/>
  <c r="I50" i="8"/>
  <c r="U48" i="8"/>
  <c r="U46" i="8"/>
  <c r="I54" i="9"/>
  <c r="I50" i="9"/>
  <c r="U50" i="9"/>
  <c r="U22" i="9"/>
  <c r="W27" i="10"/>
  <c r="G54" i="10"/>
  <c r="G50" i="10"/>
  <c r="E60" i="10"/>
  <c r="S35" i="11"/>
  <c r="AA44" i="11"/>
  <c r="AA43" i="11"/>
  <c r="AA29" i="5"/>
  <c r="AA30" i="5" s="1"/>
  <c r="Y46" i="5"/>
  <c r="W43" i="5"/>
  <c r="C62" i="6"/>
  <c r="U43" i="6"/>
  <c r="AA22" i="8"/>
  <c r="W50" i="9"/>
  <c r="U52" i="9"/>
  <c r="AC52" i="9" s="1"/>
  <c r="I54" i="10"/>
  <c r="I50" i="10"/>
  <c r="G60" i="10"/>
  <c r="W22" i="7"/>
  <c r="Y27" i="8"/>
  <c r="E40" i="8"/>
  <c r="E62" i="8" s="1"/>
  <c r="U50" i="8" s="1"/>
  <c r="U43" i="9"/>
  <c r="AC43" i="9" s="1"/>
  <c r="AA22" i="10"/>
  <c r="Y52" i="10"/>
  <c r="C54" i="11"/>
  <c r="S50" i="11" s="1"/>
  <c r="W46" i="4"/>
  <c r="E62" i="5"/>
  <c r="AA44" i="5"/>
  <c r="AA43" i="5"/>
  <c r="U33" i="6"/>
  <c r="Y43" i="6"/>
  <c r="U44" i="6"/>
  <c r="I60" i="7"/>
  <c r="Y52" i="7" s="1"/>
  <c r="S28" i="11"/>
  <c r="S27" i="11"/>
  <c r="S17" i="11"/>
  <c r="AA50" i="11"/>
  <c r="I34" i="5"/>
  <c r="Y48" i="5" s="1"/>
  <c r="U52" i="5"/>
  <c r="K60" i="7"/>
  <c r="AA52" i="7" s="1"/>
  <c r="Y50" i="7"/>
  <c r="Y48" i="8"/>
  <c r="Y46" i="8"/>
  <c r="I40" i="8"/>
  <c r="I62" i="8" s="1"/>
  <c r="AC43" i="8"/>
  <c r="S22" i="9"/>
  <c r="W48" i="9"/>
  <c r="AC48" i="9" s="1"/>
  <c r="W46" i="9"/>
  <c r="AC46" i="9" s="1"/>
  <c r="Y27" i="11"/>
  <c r="I54" i="11"/>
  <c r="I50" i="11"/>
  <c r="AA48" i="11"/>
  <c r="AA35" i="11"/>
  <c r="AA22" i="11"/>
  <c r="S29" i="11"/>
  <c r="S48" i="11"/>
  <c r="S46" i="11"/>
  <c r="G56" i="9"/>
  <c r="E54" i="11"/>
  <c r="U50" i="11" s="1"/>
  <c r="E56" i="11"/>
  <c r="U34" i="11" s="1"/>
  <c r="AA27" i="8"/>
  <c r="G54" i="11"/>
  <c r="W50" i="11" s="1"/>
  <c r="G56" i="11"/>
  <c r="K56" i="9"/>
  <c r="U28" i="8"/>
  <c r="U30" i="8" s="1"/>
  <c r="C56" i="8"/>
  <c r="C50" i="10"/>
  <c r="C54" i="10"/>
  <c r="S52" i="10" s="1"/>
  <c r="W27" i="9"/>
  <c r="W29" i="9"/>
  <c r="E50" i="10"/>
  <c r="U27" i="10" s="1"/>
  <c r="E54" i="10"/>
  <c r="U27" i="11"/>
  <c r="U30" i="11" s="1"/>
  <c r="U44" i="11"/>
  <c r="U46" i="11"/>
  <c r="K50" i="6"/>
  <c r="Y46" i="9"/>
  <c r="U43" i="10"/>
  <c r="W27" i="11"/>
  <c r="W30" i="11" s="1"/>
  <c r="W44" i="11"/>
  <c r="M50" i="6"/>
  <c r="M56" i="6" s="1"/>
  <c r="W35" i="7"/>
  <c r="G48" i="7"/>
  <c r="W44" i="7" s="1"/>
  <c r="AA27" i="9"/>
  <c r="AA30" i="9" s="1"/>
  <c r="AA46" i="9"/>
  <c r="W43" i="10"/>
  <c r="I50" i="7"/>
  <c r="K50" i="8"/>
  <c r="S35" i="9"/>
  <c r="Y43" i="10"/>
  <c r="K50" i="10"/>
  <c r="AA27" i="11"/>
  <c r="AA30" i="11" s="1"/>
  <c r="K50" i="7"/>
  <c r="M50" i="8"/>
  <c r="M56" i="8" s="1"/>
  <c r="C48" i="9"/>
  <c r="S44" i="9" s="1"/>
  <c r="AC44" i="9" s="1"/>
  <c r="M50" i="10"/>
  <c r="M56" i="10" s="1"/>
  <c r="J29" i="1" a="1"/>
  <c r="J46" i="1" a="1"/>
  <c r="F29" i="1" a="1"/>
  <c r="D23" i="1" a="1"/>
  <c r="D27" i="1" a="1"/>
  <c r="D11" i="1" a="1"/>
  <c r="F41" i="1" a="1"/>
  <c r="H46" i="1" a="1"/>
  <c r="D17" i="1" a="1"/>
  <c r="J33" i="1" a="1"/>
  <c r="H39" i="1" a="1"/>
  <c r="F28" i="1" a="1"/>
  <c r="L29" i="1" a="1"/>
  <c r="F23" i="1" a="1"/>
  <c r="H11" i="1" a="1"/>
  <c r="H27" i="1" a="1"/>
  <c r="L47" i="1" a="1"/>
  <c r="F40" i="1" a="1"/>
  <c r="F27" i="1" a="1"/>
  <c r="D33" i="1" a="1"/>
  <c r="D39" i="1" a="1"/>
  <c r="J23" i="1" a="1"/>
  <c r="D10" i="1" a="1"/>
  <c r="D21" i="1" a="1"/>
  <c r="J22" i="1" a="1"/>
  <c r="L10" i="1" a="1"/>
  <c r="J34" i="1" a="1"/>
  <c r="L27" i="1" a="1"/>
  <c r="L15" i="1" a="1"/>
  <c r="F16" i="1" a="1"/>
  <c r="H9" i="1" a="1"/>
  <c r="H10" i="1" a="1"/>
  <c r="H21" i="1" a="1"/>
  <c r="D41" i="1" a="1"/>
  <c r="L17" i="1" a="1"/>
  <c r="H40" i="1" a="1"/>
  <c r="H17" i="1" a="1"/>
  <c r="J10" i="1" a="1"/>
  <c r="J35" i="1" a="1"/>
  <c r="L39" i="1" a="1"/>
  <c r="H15" i="1" a="1"/>
  <c r="H41" i="1" a="1"/>
  <c r="J21" i="1" a="1"/>
  <c r="F22" i="1" a="1"/>
  <c r="F15" i="1" a="1"/>
  <c r="D9" i="1" a="1"/>
  <c r="L16" i="1" a="1"/>
  <c r="L41" i="1" a="1"/>
  <c r="J15" i="1" a="1"/>
  <c r="L23" i="1" a="1"/>
  <c r="L21" i="1" a="1"/>
  <c r="D40" i="1" a="1"/>
  <c r="L28" i="1" a="1"/>
  <c r="L35" i="1" a="1"/>
  <c r="H29" i="1" a="1"/>
  <c r="H28" i="1" a="1"/>
  <c r="J47" i="1" a="1"/>
  <c r="J40" i="1" a="1"/>
  <c r="J39" i="1" a="1"/>
  <c r="D46" i="1" a="1"/>
  <c r="L45" i="1" a="1"/>
  <c r="D22" i="1" a="1"/>
  <c r="F45" i="1" a="1"/>
  <c r="J41" i="1" a="1"/>
  <c r="D16" i="1" a="1"/>
  <c r="L22" i="1" a="1"/>
  <c r="F21" i="1" a="1"/>
  <c r="H35" i="1" a="1"/>
  <c r="L40" i="1" a="1"/>
  <c r="F17" i="1" a="1"/>
  <c r="D15" i="1" a="1"/>
  <c r="J27" i="1" a="1"/>
  <c r="D28" i="1" a="1"/>
  <c r="J45" i="1" a="1"/>
  <c r="H47" i="1" a="1"/>
  <c r="J28" i="1" a="1"/>
  <c r="H23" i="1" a="1"/>
  <c r="F39" i="1" a="1"/>
  <c r="H16" i="1" a="1"/>
  <c r="E18" i="2" l="1"/>
  <c r="D17" i="1"/>
  <c r="F29" i="1"/>
  <c r="D16" i="1"/>
  <c r="H28" i="1"/>
  <c r="D22" i="1"/>
  <c r="L23" i="1"/>
  <c r="D23" i="1"/>
  <c r="D46" i="1"/>
  <c r="D48" i="1" s="1"/>
  <c r="D27" i="1"/>
  <c r="D28" i="1"/>
  <c r="F22" i="1"/>
  <c r="F21" i="1"/>
  <c r="J10" i="1"/>
  <c r="J12" i="1" s="1"/>
  <c r="J15" i="1"/>
  <c r="J18" i="1" s="1"/>
  <c r="L21" i="1"/>
  <c r="F41" i="1"/>
  <c r="H23" i="1"/>
  <c r="F27" i="1"/>
  <c r="H15" i="1"/>
  <c r="H17" i="1"/>
  <c r="H16" i="1"/>
  <c r="L39" i="1"/>
  <c r="J46" i="1"/>
  <c r="J45" i="1"/>
  <c r="J47" i="1"/>
  <c r="H41" i="1"/>
  <c r="L41" i="1"/>
  <c r="H27" i="1"/>
  <c r="L16" i="1"/>
  <c r="D10" i="1"/>
  <c r="D9" i="1"/>
  <c r="J27" i="1"/>
  <c r="J28" i="1"/>
  <c r="H21" i="1"/>
  <c r="H29" i="1"/>
  <c r="H40" i="1"/>
  <c r="H10" i="1"/>
  <c r="L17" i="1"/>
  <c r="D21" i="1"/>
  <c r="J23" i="1"/>
  <c r="H39" i="1"/>
  <c r="D15" i="1"/>
  <c r="D39" i="1"/>
  <c r="J21" i="1"/>
  <c r="J22" i="1"/>
  <c r="J40" i="1"/>
  <c r="J41" i="1"/>
  <c r="L47" i="1"/>
  <c r="F17" i="1"/>
  <c r="J34" i="1"/>
  <c r="N34" i="1" s="1"/>
  <c r="F39" i="1"/>
  <c r="H46" i="1"/>
  <c r="F15" i="1"/>
  <c r="F16" i="1"/>
  <c r="L22" i="1"/>
  <c r="D41" i="1"/>
  <c r="D40" i="1"/>
  <c r="J35" i="1"/>
  <c r="H35" i="1"/>
  <c r="H36" i="1" s="1"/>
  <c r="F45" i="1"/>
  <c r="F48" i="1" s="1"/>
  <c r="H11" i="1"/>
  <c r="H9" i="1"/>
  <c r="F40" i="1"/>
  <c r="L27" i="1"/>
  <c r="L29" i="1"/>
  <c r="L28" i="1"/>
  <c r="L15" i="1"/>
  <c r="J39" i="1"/>
  <c r="D33" i="1"/>
  <c r="J33" i="1"/>
  <c r="H47" i="1"/>
  <c r="L10" i="1"/>
  <c r="L12" i="1" s="1"/>
  <c r="J29" i="1"/>
  <c r="F23" i="1"/>
  <c r="L35" i="1"/>
  <c r="L36" i="1" s="1"/>
  <c r="L45" i="1"/>
  <c r="D11" i="1"/>
  <c r="L40" i="1"/>
  <c r="F28" i="1"/>
  <c r="AC27" i="5"/>
  <c r="AC52" i="8"/>
  <c r="Y54" i="6"/>
  <c r="S17" i="6"/>
  <c r="S19" i="6" s="1"/>
  <c r="S28" i="6"/>
  <c r="C56" i="6"/>
  <c r="Y22" i="11"/>
  <c r="Y50" i="11"/>
  <c r="AC50" i="11" s="1"/>
  <c r="Y34" i="5"/>
  <c r="Y33" i="5"/>
  <c r="W30" i="10"/>
  <c r="C56" i="7"/>
  <c r="S17" i="7"/>
  <c r="S19" i="7" s="1"/>
  <c r="S28" i="7"/>
  <c r="AC28" i="7" s="1"/>
  <c r="K56" i="7"/>
  <c r="AA28" i="7"/>
  <c r="AA17" i="7"/>
  <c r="AA19" i="7" s="1"/>
  <c r="AA29" i="7"/>
  <c r="AC28" i="11"/>
  <c r="U33" i="11"/>
  <c r="AA33" i="9"/>
  <c r="AA34" i="9"/>
  <c r="AA35" i="9"/>
  <c r="U54" i="4"/>
  <c r="E56" i="5"/>
  <c r="U17" i="5"/>
  <c r="U19" i="5" s="1"/>
  <c r="U28" i="5"/>
  <c r="U30" i="5" s="1"/>
  <c r="U52" i="4"/>
  <c r="W22" i="5"/>
  <c r="U52" i="11"/>
  <c r="S22" i="11"/>
  <c r="S33" i="9"/>
  <c r="S34" i="9"/>
  <c r="W35" i="11"/>
  <c r="W34" i="11"/>
  <c r="W33" i="11"/>
  <c r="U52" i="10"/>
  <c r="AC52" i="10" s="1"/>
  <c r="W22" i="11"/>
  <c r="U34" i="6"/>
  <c r="U35" i="6"/>
  <c r="E56" i="7"/>
  <c r="U27" i="7"/>
  <c r="U28" i="7"/>
  <c r="U17" i="7"/>
  <c r="U19" i="7" s="1"/>
  <c r="W52" i="5"/>
  <c r="AA54" i="5"/>
  <c r="AA36" i="5"/>
  <c r="U50" i="6"/>
  <c r="U22" i="6"/>
  <c r="W29" i="6"/>
  <c r="W17" i="6"/>
  <c r="W19" i="6" s="1"/>
  <c r="G56" i="6"/>
  <c r="W28" i="6"/>
  <c r="AC43" i="10"/>
  <c r="K56" i="10"/>
  <c r="AA29" i="10"/>
  <c r="AA28" i="10"/>
  <c r="AA27" i="10"/>
  <c r="AA17" i="10"/>
  <c r="AA19" i="10" s="1"/>
  <c r="U50" i="10"/>
  <c r="U22" i="10"/>
  <c r="Y28" i="11"/>
  <c r="Y30" i="11" s="1"/>
  <c r="I56" i="11"/>
  <c r="Y29" i="11"/>
  <c r="Y17" i="11"/>
  <c r="Y19" i="11" s="1"/>
  <c r="W28" i="10"/>
  <c r="G56" i="10"/>
  <c r="W17" i="10"/>
  <c r="W19" i="10" s="1"/>
  <c r="W29" i="10"/>
  <c r="I56" i="8"/>
  <c r="Y28" i="8"/>
  <c r="Y30" i="8" s="1"/>
  <c r="Y17" i="8"/>
  <c r="Y19" i="8" s="1"/>
  <c r="Y29" i="8"/>
  <c r="S54" i="11"/>
  <c r="S36" i="11"/>
  <c r="W27" i="5"/>
  <c r="U22" i="4"/>
  <c r="U50" i="4"/>
  <c r="G56" i="8"/>
  <c r="W28" i="8"/>
  <c r="AC28" i="8" s="1"/>
  <c r="W17" i="8"/>
  <c r="W19" i="8" s="1"/>
  <c r="W29" i="8"/>
  <c r="AC29" i="8" s="1"/>
  <c r="S17" i="4"/>
  <c r="S19" i="4" s="1"/>
  <c r="S29" i="4"/>
  <c r="C56" i="4"/>
  <c r="S28" i="4"/>
  <c r="S27" i="4"/>
  <c r="AA34" i="4"/>
  <c r="AA35" i="4"/>
  <c r="F36" i="1"/>
  <c r="W22" i="10"/>
  <c r="W50" i="10"/>
  <c r="AA36" i="4"/>
  <c r="AA54" i="4"/>
  <c r="S50" i="4"/>
  <c r="AC50" i="4" s="1"/>
  <c r="S22" i="4"/>
  <c r="S52" i="4"/>
  <c r="W17" i="5"/>
  <c r="W19" i="5" s="1"/>
  <c r="W28" i="5"/>
  <c r="G56" i="5"/>
  <c r="S52" i="11"/>
  <c r="U28" i="10"/>
  <c r="U30" i="10" s="1"/>
  <c r="E56" i="10"/>
  <c r="U17" i="10"/>
  <c r="U19" i="10" s="1"/>
  <c r="U29" i="10"/>
  <c r="Y54" i="4"/>
  <c r="Y36" i="4"/>
  <c r="E20" i="2"/>
  <c r="F12" i="1"/>
  <c r="AC27" i="8"/>
  <c r="W27" i="6"/>
  <c r="I56" i="7"/>
  <c r="Y17" i="7"/>
  <c r="Y19" i="7" s="1"/>
  <c r="Y29" i="7"/>
  <c r="Y28" i="7"/>
  <c r="Y27" i="7"/>
  <c r="AC43" i="11"/>
  <c r="U50" i="5"/>
  <c r="AC45" i="5"/>
  <c r="AC46" i="4"/>
  <c r="Y35" i="5"/>
  <c r="W44" i="5"/>
  <c r="AC44" i="5" s="1"/>
  <c r="W33" i="9"/>
  <c r="W34" i="9"/>
  <c r="W35" i="9"/>
  <c r="S50" i="10"/>
  <c r="S22" i="10"/>
  <c r="Y29" i="9"/>
  <c r="AC29" i="9" s="1"/>
  <c r="I56" i="9"/>
  <c r="Y28" i="9"/>
  <c r="AC28" i="9" s="1"/>
  <c r="Y17" i="9"/>
  <c r="Y19" i="9" s="1"/>
  <c r="Y52" i="11"/>
  <c r="AC48" i="5"/>
  <c r="S28" i="5"/>
  <c r="AC28" i="5" s="1"/>
  <c r="C56" i="5"/>
  <c r="S17" i="5"/>
  <c r="S19" i="5" s="1"/>
  <c r="S29" i="5"/>
  <c r="S29" i="6"/>
  <c r="AC29" i="6" s="1"/>
  <c r="W50" i="4"/>
  <c r="W22" i="4"/>
  <c r="AC44" i="11"/>
  <c r="U35" i="11"/>
  <c r="AA27" i="7"/>
  <c r="W52" i="11"/>
  <c r="S28" i="10"/>
  <c r="AC28" i="10" s="1"/>
  <c r="C56" i="10"/>
  <c r="S29" i="10"/>
  <c r="S17" i="10"/>
  <c r="S19" i="10" s="1"/>
  <c r="AC46" i="11"/>
  <c r="Y50" i="9"/>
  <c r="AC50" i="9" s="1"/>
  <c r="Y22" i="9"/>
  <c r="W22" i="9"/>
  <c r="W33" i="7"/>
  <c r="U34" i="4"/>
  <c r="U36" i="4" s="1"/>
  <c r="U35" i="4"/>
  <c r="AA33" i="11"/>
  <c r="AC43" i="4"/>
  <c r="AC43" i="6"/>
  <c r="U35" i="9"/>
  <c r="U33" i="9"/>
  <c r="U34" i="9"/>
  <c r="W17" i="4"/>
  <c r="W19" i="4" s="1"/>
  <c r="G56" i="4"/>
  <c r="W28" i="4"/>
  <c r="W29" i="4"/>
  <c r="W30" i="4" s="1"/>
  <c r="Y34" i="6"/>
  <c r="Y36" i="6" s="1"/>
  <c r="Y35" i="6"/>
  <c r="K56" i="8"/>
  <c r="AA28" i="8"/>
  <c r="AA29" i="8"/>
  <c r="AA30" i="8" s="1"/>
  <c r="AA17" i="8"/>
  <c r="AA19" i="8" s="1"/>
  <c r="W30" i="9"/>
  <c r="S29" i="7"/>
  <c r="U54" i="6"/>
  <c r="U36" i="6"/>
  <c r="W52" i="10"/>
  <c r="AA29" i="6"/>
  <c r="AA17" i="6"/>
  <c r="AA19" i="6" s="1"/>
  <c r="K56" i="6"/>
  <c r="AA28" i="6"/>
  <c r="AA27" i="6"/>
  <c r="S34" i="8"/>
  <c r="S33" i="8"/>
  <c r="AC48" i="11"/>
  <c r="S19" i="11"/>
  <c r="I56" i="10"/>
  <c r="Y29" i="10"/>
  <c r="Y28" i="10"/>
  <c r="Y17" i="10"/>
  <c r="Y19" i="10" s="1"/>
  <c r="Y27" i="10"/>
  <c r="Y30" i="10" s="1"/>
  <c r="U29" i="5"/>
  <c r="Y27" i="9"/>
  <c r="W50" i="7"/>
  <c r="AC50" i="7" s="1"/>
  <c r="U22" i="7"/>
  <c r="AC48" i="7"/>
  <c r="S30" i="9"/>
  <c r="AC43" i="5"/>
  <c r="AC48" i="8"/>
  <c r="S50" i="6"/>
  <c r="Y22" i="8"/>
  <c r="Y50" i="8"/>
  <c r="W22" i="8"/>
  <c r="W50" i="8"/>
  <c r="AC50" i="8" s="1"/>
  <c r="E16" i="2"/>
  <c r="AC29" i="11"/>
  <c r="AC27" i="11"/>
  <c r="S30" i="11"/>
  <c r="Y22" i="10"/>
  <c r="Y50" i="10"/>
  <c r="S27" i="7"/>
  <c r="U44" i="7"/>
  <c r="S44" i="7"/>
  <c r="AC52" i="5"/>
  <c r="AC44" i="6"/>
  <c r="S50" i="5"/>
  <c r="AC50" i="5" s="1"/>
  <c r="S22" i="5"/>
  <c r="S27" i="6"/>
  <c r="U30" i="9"/>
  <c r="AC46" i="8"/>
  <c r="H48" i="1" l="1"/>
  <c r="N35" i="1"/>
  <c r="L42" i="1"/>
  <c r="H42" i="1"/>
  <c r="N29" i="1"/>
  <c r="F53" i="1"/>
  <c r="J53" i="1"/>
  <c r="H30" i="1"/>
  <c r="N47" i="1"/>
  <c r="F30" i="1"/>
  <c r="AC27" i="10"/>
  <c r="AC50" i="10"/>
  <c r="S30" i="5"/>
  <c r="D36" i="1"/>
  <c r="N33" i="1"/>
  <c r="L51" i="1"/>
  <c r="N28" i="1"/>
  <c r="N11" i="1"/>
  <c r="D53" i="1"/>
  <c r="U34" i="7"/>
  <c r="U33" i="7"/>
  <c r="U35" i="7"/>
  <c r="AA30" i="6"/>
  <c r="U54" i="9"/>
  <c r="U36" i="9"/>
  <c r="AC29" i="5"/>
  <c r="AC30" i="5" s="1"/>
  <c r="AC28" i="4"/>
  <c r="W34" i="6"/>
  <c r="W35" i="6"/>
  <c r="W33" i="6"/>
  <c r="J42" i="1"/>
  <c r="N40" i="1"/>
  <c r="D18" i="1"/>
  <c r="N15" i="1"/>
  <c r="J30" i="1"/>
  <c r="N27" i="1"/>
  <c r="D30" i="1"/>
  <c r="AC29" i="10"/>
  <c r="Y30" i="7"/>
  <c r="AC52" i="4"/>
  <c r="S34" i="4"/>
  <c r="S35" i="4"/>
  <c r="S33" i="4"/>
  <c r="Y34" i="11"/>
  <c r="AC34" i="11" s="1"/>
  <c r="Y35" i="11"/>
  <c r="AC35" i="11" s="1"/>
  <c r="Y33" i="11"/>
  <c r="J51" i="1"/>
  <c r="AA54" i="9"/>
  <c r="AA36" i="9"/>
  <c r="Y54" i="5"/>
  <c r="Y36" i="5"/>
  <c r="L18" i="1"/>
  <c r="N41" i="1"/>
  <c r="N9" i="1"/>
  <c r="D12" i="1"/>
  <c r="D51" i="1"/>
  <c r="N46" i="1"/>
  <c r="AC27" i="4"/>
  <c r="AC30" i="4" s="1"/>
  <c r="S30" i="4"/>
  <c r="Y30" i="9"/>
  <c r="AA34" i="8"/>
  <c r="AA35" i="8"/>
  <c r="AA33" i="8"/>
  <c r="AC44" i="7"/>
  <c r="AA34" i="6"/>
  <c r="AA33" i="6"/>
  <c r="AA35" i="6"/>
  <c r="S35" i="10"/>
  <c r="S34" i="10"/>
  <c r="AC34" i="10" s="1"/>
  <c r="S33" i="10"/>
  <c r="S34" i="5"/>
  <c r="S33" i="5"/>
  <c r="S35" i="5"/>
  <c r="W54" i="9"/>
  <c r="W36" i="9"/>
  <c r="AC29" i="4"/>
  <c r="U54" i="11"/>
  <c r="U36" i="11"/>
  <c r="F52" i="1"/>
  <c r="N10" i="1"/>
  <c r="D52" i="1"/>
  <c r="H18" i="1"/>
  <c r="N23" i="1"/>
  <c r="AA54" i="11"/>
  <c r="AA36" i="11"/>
  <c r="W54" i="11"/>
  <c r="W36" i="11"/>
  <c r="L53" i="1"/>
  <c r="L48" i="1"/>
  <c r="L30" i="1"/>
  <c r="AA30" i="7"/>
  <c r="Y34" i="7"/>
  <c r="Y33" i="7"/>
  <c r="Y35" i="7"/>
  <c r="U35" i="10"/>
  <c r="U34" i="10"/>
  <c r="U33" i="10"/>
  <c r="Y34" i="8"/>
  <c r="Y35" i="8"/>
  <c r="Y33" i="8"/>
  <c r="F18" i="1"/>
  <c r="N21" i="1"/>
  <c r="D24" i="1"/>
  <c r="AC50" i="6"/>
  <c r="W30" i="6"/>
  <c r="AA30" i="10"/>
  <c r="AC27" i="9"/>
  <c r="AC30" i="9" s="1"/>
  <c r="H12" i="1"/>
  <c r="H51" i="1"/>
  <c r="L24" i="1"/>
  <c r="N22" i="1"/>
  <c r="Y35" i="10"/>
  <c r="Y34" i="10"/>
  <c r="Y33" i="10"/>
  <c r="W35" i="4"/>
  <c r="W34" i="4"/>
  <c r="W33" i="4"/>
  <c r="W54" i="7"/>
  <c r="W36" i="7"/>
  <c r="N45" i="1"/>
  <c r="AC30" i="8"/>
  <c r="W35" i="8"/>
  <c r="W34" i="8"/>
  <c r="AC34" i="8" s="1"/>
  <c r="W33" i="8"/>
  <c r="U34" i="5"/>
  <c r="U35" i="5"/>
  <c r="U33" i="5"/>
  <c r="AA34" i="7"/>
  <c r="AA33" i="7"/>
  <c r="AA35" i="7"/>
  <c r="S34" i="6"/>
  <c r="AC34" i="6" s="1"/>
  <c r="S35" i="6"/>
  <c r="AC35" i="6" s="1"/>
  <c r="S33" i="6"/>
  <c r="H52" i="1"/>
  <c r="S30" i="10"/>
  <c r="F51" i="1"/>
  <c r="W30" i="8"/>
  <c r="AC28" i="6"/>
  <c r="L52" i="1"/>
  <c r="H53" i="1"/>
  <c r="J24" i="1"/>
  <c r="J52" i="1"/>
  <c r="N16" i="1"/>
  <c r="W35" i="10"/>
  <c r="W34" i="10"/>
  <c r="W33" i="10"/>
  <c r="AC33" i="9"/>
  <c r="S54" i="9"/>
  <c r="S36" i="9"/>
  <c r="AC27" i="6"/>
  <c r="S30" i="6"/>
  <c r="AC30" i="11"/>
  <c r="AA33" i="10"/>
  <c r="AA34" i="10"/>
  <c r="AA35" i="10"/>
  <c r="F42" i="1"/>
  <c r="N39" i="1"/>
  <c r="D42" i="1"/>
  <c r="J48" i="1"/>
  <c r="F24" i="1"/>
  <c r="AC27" i="7"/>
  <c r="AC30" i="7" s="1"/>
  <c r="S30" i="7"/>
  <c r="AC29" i="7"/>
  <c r="Y34" i="9"/>
  <c r="AC34" i="9" s="1"/>
  <c r="Y35" i="9"/>
  <c r="AC35" i="9" s="1"/>
  <c r="Y33" i="9"/>
  <c r="AC52" i="11"/>
  <c r="AC33" i="8"/>
  <c r="S36" i="8"/>
  <c r="S54" i="8"/>
  <c r="W34" i="5"/>
  <c r="W33" i="5"/>
  <c r="W35" i="5"/>
  <c r="W30" i="5"/>
  <c r="U30" i="7"/>
  <c r="S34" i="7"/>
  <c r="S35" i="7"/>
  <c r="S33" i="7"/>
  <c r="J36" i="1"/>
  <c r="H24" i="1"/>
  <c r="N17" i="1"/>
  <c r="N36" i="1" l="1"/>
  <c r="F54" i="1"/>
  <c r="N30" i="1"/>
  <c r="N18" i="1"/>
  <c r="U54" i="5"/>
  <c r="U36" i="5"/>
  <c r="AC35" i="7"/>
  <c r="H54" i="1"/>
  <c r="U36" i="10"/>
  <c r="U54" i="10"/>
  <c r="Y36" i="7"/>
  <c r="Y54" i="7"/>
  <c r="AA36" i="10"/>
  <c r="AA54" i="10"/>
  <c r="AC34" i="7"/>
  <c r="N48" i="1"/>
  <c r="AC35" i="5"/>
  <c r="S54" i="5"/>
  <c r="AC54" i="5" s="1"/>
  <c r="AC33" i="5"/>
  <c r="S36" i="5"/>
  <c r="L54" i="1"/>
  <c r="AC30" i="6"/>
  <c r="AA36" i="7"/>
  <c r="AA54" i="7"/>
  <c r="AC34" i="5"/>
  <c r="J54" i="1"/>
  <c r="N52" i="1"/>
  <c r="AC35" i="10"/>
  <c r="W54" i="10"/>
  <c r="W36" i="10"/>
  <c r="Y54" i="10"/>
  <c r="Y36" i="10"/>
  <c r="N24" i="1"/>
  <c r="S36" i="4"/>
  <c r="S54" i="4"/>
  <c r="AC54" i="4" s="1"/>
  <c r="AC33" i="4"/>
  <c r="AC36" i="4" s="1"/>
  <c r="U54" i="7"/>
  <c r="U36" i="7"/>
  <c r="N42" i="1"/>
  <c r="AA36" i="6"/>
  <c r="AA54" i="6"/>
  <c r="N51" i="1"/>
  <c r="N12" i="1"/>
  <c r="AC35" i="4"/>
  <c r="AC30" i="10"/>
  <c r="W54" i="4"/>
  <c r="W36" i="4"/>
  <c r="AC33" i="10"/>
  <c r="AC36" i="10" s="1"/>
  <c r="S36" i="10"/>
  <c r="S54" i="10"/>
  <c r="AC54" i="10" s="1"/>
  <c r="AC36" i="9"/>
  <c r="AC36" i="8"/>
  <c r="W54" i="8"/>
  <c r="AC54" i="8" s="1"/>
  <c r="W36" i="8"/>
  <c r="Y36" i="8"/>
  <c r="Y54" i="8"/>
  <c r="AC34" i="4"/>
  <c r="W36" i="6"/>
  <c r="W54" i="6"/>
  <c r="D54" i="1"/>
  <c r="Y54" i="11"/>
  <c r="AC54" i="11" s="1"/>
  <c r="Y36" i="11"/>
  <c r="W54" i="5"/>
  <c r="W36" i="5"/>
  <c r="AC33" i="7"/>
  <c r="S36" i="7"/>
  <c r="S54" i="7"/>
  <c r="Y54" i="9"/>
  <c r="AC54" i="9" s="1"/>
  <c r="Y36" i="9"/>
  <c r="S54" i="6"/>
  <c r="S36" i="6"/>
  <c r="AC33" i="6"/>
  <c r="AC36" i="6" s="1"/>
  <c r="AC35" i="8"/>
  <c r="AA36" i="8"/>
  <c r="AA54" i="8"/>
  <c r="N53" i="1"/>
  <c r="AC33" i="11"/>
  <c r="AC36" i="11" s="1"/>
  <c r="N54" i="1" l="1"/>
  <c r="AC54" i="6"/>
  <c r="AC54" i="7"/>
  <c r="AC36" i="7"/>
  <c r="AC3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<sst xmlns="http://schemas.openxmlformats.org/spreadsheetml/2006/main" count="4304" uniqueCount="244">
  <si>
    <t>Capital Structure Based upon Total Permanent Capital for the</t>
  </si>
  <si>
    <t>5 YEAR</t>
  </si>
  <si>
    <t>AVERAGE</t>
  </si>
  <si>
    <t>Long-Term Debt</t>
  </si>
  <si>
    <t>%</t>
  </si>
  <si>
    <t>Preferred Stock</t>
  </si>
  <si>
    <t>Common Equity</t>
  </si>
  <si>
    <t xml:space="preserve">     Total Capital</t>
  </si>
  <si>
    <t>Source of Information</t>
  </si>
  <si>
    <t xml:space="preserve">     Annual Forms 10-K</t>
  </si>
  <si>
    <t xml:space="preserve">Operating Subsidiary Company Capital Structures of the </t>
  </si>
  <si>
    <t>Company Name</t>
  </si>
  <si>
    <t>Parent Company Ticker</t>
  </si>
  <si>
    <t>Total Debt</t>
  </si>
  <si>
    <t>Total Capital</t>
  </si>
  <si>
    <t>Atmos Energy Corporation</t>
  </si>
  <si>
    <t>ATO</t>
  </si>
  <si>
    <t>CPK</t>
  </si>
  <si>
    <t>New Jersey Natural Gas Company</t>
  </si>
  <si>
    <t>NJR</t>
  </si>
  <si>
    <t>Northern Indiana Public Service Company</t>
  </si>
  <si>
    <t>NI</t>
  </si>
  <si>
    <t>Northwest Natural Gas Company</t>
  </si>
  <si>
    <t>NWN</t>
  </si>
  <si>
    <t>ONE Gas, Inc.</t>
  </si>
  <si>
    <t>OGS</t>
  </si>
  <si>
    <t>Southwest Gas Corporation</t>
  </si>
  <si>
    <t>SWX</t>
  </si>
  <si>
    <t>Spire Alabama Inc.</t>
  </si>
  <si>
    <t>SR</t>
  </si>
  <si>
    <t>Spire Missouri Inc.</t>
  </si>
  <si>
    <t>Average</t>
  </si>
  <si>
    <t>Maximum</t>
  </si>
  <si>
    <t>Minimum</t>
  </si>
  <si>
    <t>Source: S&amp;P Global Market Intelligence.</t>
  </si>
  <si>
    <t>Company Financial Statements.</t>
  </si>
  <si>
    <t>Northern Indiana Public Service Company is from FERC financial Report Form Form No. 1.</t>
  </si>
  <si>
    <t>Ticker</t>
  </si>
  <si>
    <t xml:space="preserve">Institution Name </t>
  </si>
  <si>
    <t xml:space="preserve">SNL Institution Key </t>
  </si>
  <si>
    <t>Common Equity (Reported)</t>
  </si>
  <si>
    <t>Total Preferred Equity (Reported)</t>
  </si>
  <si>
    <t>Long-term Debt, Including Current Portion (Reported)</t>
  </si>
  <si>
    <t>Short-term Debt (Reported)</t>
  </si>
  <si>
    <t>FY2024</t>
  </si>
  <si>
    <t>Common Equity (%)</t>
  </si>
  <si>
    <t>Total Debt, Including Short-Term (%)</t>
  </si>
  <si>
    <t>Check</t>
  </si>
  <si>
    <t>2024Y</t>
  </si>
  <si>
    <t>NA</t>
  </si>
  <si>
    <t>Notes</t>
  </si>
  <si>
    <t>(1) Data for Northern Indiana Public Service Company pulled from FERC Form No.1 from FY2024.</t>
  </si>
  <si>
    <t>Source: S&amp;P Capital IQ</t>
  </si>
  <si>
    <t xml:space="preserve">Atmos Energy        </t>
  </si>
  <si>
    <t>CAPITALIZATION AND FINANCIAL STATISTICS  (1)</t>
  </si>
  <si>
    <t>2019- 2024, Inclusive</t>
  </si>
  <si>
    <t>FYE: 9/30/2024</t>
  </si>
  <si>
    <t>Capital Structure:</t>
  </si>
  <si>
    <t xml:space="preserve">     Long Term Debt</t>
  </si>
  <si>
    <t>LTDEBT</t>
  </si>
  <si>
    <t xml:space="preserve">     Preferred Stock</t>
  </si>
  <si>
    <t>PFD</t>
  </si>
  <si>
    <t>(MILLIONS OF DOLLARS)</t>
  </si>
  <si>
    <t xml:space="preserve"> </t>
  </si>
  <si>
    <t>CAPITALIZATION STATISTICS</t>
  </si>
  <si>
    <t>Common Shares Outst.</t>
  </si>
  <si>
    <t>Input Data</t>
  </si>
  <si>
    <t>TOTEQ</t>
  </si>
  <si>
    <t>AMOUNT OF CAPITAL EMPLOYED</t>
  </si>
  <si>
    <t>Sinking Fund Requirements</t>
  </si>
  <si>
    <t xml:space="preserve">     TOTAL PERMANENT CAPITAL</t>
  </si>
  <si>
    <t xml:space="preserve">     SHORT-TERM DEBT</t>
  </si>
  <si>
    <t>Short Term Debt</t>
  </si>
  <si>
    <t>STDEBT</t>
  </si>
  <si>
    <t xml:space="preserve">          TOTAL CAPITAL EMPLOYED</t>
  </si>
  <si>
    <t>EPS excluding extra</t>
  </si>
  <si>
    <t>EPSAPPCOMM</t>
  </si>
  <si>
    <t>INDICATED AVERAGE CAPITAL COST RATES  (2)</t>
  </si>
  <si>
    <t>Price - High</t>
  </si>
  <si>
    <t>Bloomberg</t>
  </si>
  <si>
    <t xml:space="preserve">     TOTAL DEBT </t>
  </si>
  <si>
    <t>Price - Low</t>
  </si>
  <si>
    <t xml:space="preserve">     PREFERRED STOCK</t>
  </si>
  <si>
    <t>CAPITAL STRUCTURE RATIOS</t>
  </si>
  <si>
    <t>DPS by payable date</t>
  </si>
  <si>
    <t xml:space="preserve">     BASED ON TOTAL PERMANENT CAPITAL:</t>
  </si>
  <si>
    <t xml:space="preserve">          LONG-TERM DEBT</t>
  </si>
  <si>
    <t>AFUDC</t>
  </si>
  <si>
    <t xml:space="preserve">          PREFERRED STOCK</t>
  </si>
  <si>
    <t xml:space="preserve">          COMMON EQUITY</t>
  </si>
  <si>
    <t>Total Interest</t>
  </si>
  <si>
    <t>INTEXP</t>
  </si>
  <si>
    <t xml:space="preserve">               TOTAL</t>
  </si>
  <si>
    <t>Net Income before Extra.</t>
  </si>
  <si>
    <t>NETINC</t>
  </si>
  <si>
    <t xml:space="preserve">     BASED ON TOTAL CAPITAL:</t>
  </si>
  <si>
    <t xml:space="preserve">          TOTAL DEBT, INCLUDING SHORT-TERM</t>
  </si>
  <si>
    <t>CE Income before Extra.</t>
  </si>
  <si>
    <t>INCAVAILCOMM</t>
  </si>
  <si>
    <t>Preferred Stock Dividends</t>
  </si>
  <si>
    <t>PFDDIV</t>
  </si>
  <si>
    <t>Common Dividends</t>
  </si>
  <si>
    <t>COMDIVS1</t>
  </si>
  <si>
    <t>Income Bef Extra Items-S&amp;U</t>
  </si>
  <si>
    <t>INCBEFEXT</t>
  </si>
  <si>
    <t>FINANCIAL STATISTICS</t>
  </si>
  <si>
    <t>Net Operating Cash Flow</t>
  </si>
  <si>
    <t>NETOPGFC</t>
  </si>
  <si>
    <t>Change in op'g Assets + Liabilities</t>
  </si>
  <si>
    <t>CHGOPASLIAB</t>
  </si>
  <si>
    <t>FINANCIAL RATIOS - MARKET BASED</t>
  </si>
  <si>
    <t>Depreciation &amp; Amortization</t>
  </si>
  <si>
    <t>DEPAMORT</t>
  </si>
  <si>
    <t xml:space="preserve">     EARNINGS / PRICE RATIO</t>
  </si>
  <si>
    <t>Income Tax Expense</t>
  </si>
  <si>
    <t>INCTAX</t>
  </si>
  <si>
    <t xml:space="preserve">     MARKET / AVERAGE BOOK RATIO </t>
  </si>
  <si>
    <t xml:space="preserve">     DIVIDEND YIELD</t>
  </si>
  <si>
    <t>Calculations</t>
  </si>
  <si>
    <t xml:space="preserve">     DIVIDEND PAYOUT RATIO</t>
  </si>
  <si>
    <t>Com Eq / Shares Out.</t>
  </si>
  <si>
    <t>calc</t>
  </si>
  <si>
    <t>RATE OF RETURN ON AVERAGE BOOK COMMON EQUITY</t>
  </si>
  <si>
    <t>Total Permanent Capital</t>
  </si>
  <si>
    <t>TOTAL DEBT / EBITDA (3)</t>
  </si>
  <si>
    <t>x</t>
  </si>
  <si>
    <t>Average Price</t>
  </si>
  <si>
    <t>FUNDS FROM OPERATIONS / TOTAL DEBT (4)</t>
  </si>
  <si>
    <t>TOTAL DEBT / TOTAL CAPITAL</t>
  </si>
  <si>
    <t>Preferred Stk + Sink Fund Req.</t>
  </si>
  <si>
    <t>NETOPGFC + CHGOPASLIAB - AFUDC</t>
  </si>
  <si>
    <t>EBITDA</t>
  </si>
  <si>
    <t>SEE PAGE 2 FOR NOTES.</t>
  </si>
  <si>
    <t xml:space="preserve">Chesapeake Utilities Corporation   </t>
  </si>
  <si>
    <t>2018- 2023, Inclusive</t>
  </si>
  <si>
    <t>FYE: 9/30/2023</t>
  </si>
  <si>
    <t xml:space="preserve"> Ticker </t>
  </si>
  <si>
    <t>New Jersey Resources</t>
  </si>
  <si>
    <t>2019 - 2024, Inclusive</t>
  </si>
  <si>
    <t>FYE: 09/30/2023</t>
  </si>
  <si>
    <t>NiSource Inc.</t>
  </si>
  <si>
    <t>FYE: 12/31/2024</t>
  </si>
  <si>
    <t>NMF</t>
  </si>
  <si>
    <t xml:space="preserve">Northwest Nat. Gas  </t>
  </si>
  <si>
    <t>2018 - 2023, Inclusive</t>
  </si>
  <si>
    <t xml:space="preserve">Southwest Gas       </t>
  </si>
  <si>
    <t>Spire Inc.</t>
  </si>
  <si>
    <t>Preferred Equity</t>
  </si>
  <si>
    <t>Source: S&amp;P Capital IQ.</t>
  </si>
  <si>
    <t>SPGTable</t>
  </si>
  <si>
    <t xml:space="preserve">Entity Name </t>
  </si>
  <si>
    <t xml:space="preserve">Entity ID </t>
  </si>
  <si>
    <t>Total Common Equity (Reported)</t>
  </si>
  <si>
    <t>Preferred Equity (%)</t>
  </si>
  <si>
    <t>Long-Term Debt (%)</t>
  </si>
  <si>
    <t>SP_ENTITY_NAME</t>
  </si>
  <si>
    <t>SP_ENTITY_ID</t>
  </si>
  <si>
    <t>IQ_TOTAL_COMMON_EQUITY</t>
  </si>
  <si>
    <t>IQ_TOTAL_PREF_EQUITY</t>
  </si>
  <si>
    <t>SNL_LT_DEBT_INCL_CURRENT_PORTION</t>
  </si>
  <si>
    <t>Union Electric Company</t>
  </si>
  <si>
    <t>AEE</t>
  </si>
  <si>
    <t>Ameren Illinois Company</t>
  </si>
  <si>
    <t>Appalachian Power Company</t>
  </si>
  <si>
    <t>AEP</t>
  </si>
  <si>
    <t>AEP Texas Inc.</t>
  </si>
  <si>
    <t>Southwestern Electric Power Company</t>
  </si>
  <si>
    <t>Ohio Power Company</t>
  </si>
  <si>
    <t>Indiana Michigan Power Company</t>
  </si>
  <si>
    <t>Public Service Company of Oklahoma</t>
  </si>
  <si>
    <t>Kentucky Power Company</t>
  </si>
  <si>
    <t xml:space="preserve">Progress Energy, Inc. </t>
  </si>
  <si>
    <t>DUK</t>
  </si>
  <si>
    <t>Duke Energy Carolinas, LLC</t>
  </si>
  <si>
    <t>Duke Energy Kentucky, Inc.</t>
  </si>
  <si>
    <t>Duke Energy Progress, LLC</t>
  </si>
  <si>
    <t>Duke Energy Florida, LLC</t>
  </si>
  <si>
    <t>Duke Energy Indiana, LLC</t>
  </si>
  <si>
    <t xml:space="preserve">Duke Energy Ohio, Inc. </t>
  </si>
  <si>
    <t>Southern California Edison Company</t>
  </si>
  <si>
    <t>EIX</t>
  </si>
  <si>
    <t>Entergy Arkansas, LLC</t>
  </si>
  <si>
    <t>ETR</t>
  </si>
  <si>
    <t>Entergy Louisiana, LLC</t>
  </si>
  <si>
    <t>Entergy Texas, Inc.</t>
  </si>
  <si>
    <t>Entergy Mississippi, LLC</t>
  </si>
  <si>
    <t>Entergy New Orleans, LLC</t>
  </si>
  <si>
    <t>Evergy Kansas Central, Inc.</t>
  </si>
  <si>
    <t>EVRG</t>
  </si>
  <si>
    <t>Evergy Metro, Inc.</t>
  </si>
  <si>
    <t>Idaho Power Company</t>
  </si>
  <si>
    <t>IDA</t>
  </si>
  <si>
    <t xml:space="preserve">Interstate Power and Light Company </t>
  </si>
  <si>
    <t>LNT</t>
  </si>
  <si>
    <t>Wisconsin Power and Light Company</t>
  </si>
  <si>
    <t>Oklahoma Gas and Electric Company</t>
  </si>
  <si>
    <t>OGE</t>
  </si>
  <si>
    <t>Arizona Public Service Company</t>
  </si>
  <si>
    <t>PNW</t>
  </si>
  <si>
    <t>Portland General Electric Company</t>
  </si>
  <si>
    <t>POR</t>
  </si>
  <si>
    <t>Georgia Power Company</t>
  </si>
  <si>
    <t>SO</t>
  </si>
  <si>
    <t>Alabama Power Company</t>
  </si>
  <si>
    <t>Mississippi Power Company</t>
  </si>
  <si>
    <t xml:space="preserve">Public Service Company of Colorado </t>
  </si>
  <si>
    <t>XEL</t>
  </si>
  <si>
    <t>Northern States Power Company</t>
  </si>
  <si>
    <t>Southwestern Public Service Company</t>
  </si>
  <si>
    <t>Alliant Energy Corp.</t>
  </si>
  <si>
    <t>Ameren Corp.</t>
  </si>
  <si>
    <t>FYE: 12/31/2023</t>
  </si>
  <si>
    <t>American Electric Power Co., Inc.</t>
  </si>
  <si>
    <t>DUKE</t>
  </si>
  <si>
    <t>Edison International</t>
  </si>
  <si>
    <t>Entergy Corp</t>
  </si>
  <si>
    <t>Evergy, Inc.</t>
  </si>
  <si>
    <t>IDACORP, Inc.</t>
  </si>
  <si>
    <t>OGE Energy Corp.</t>
  </si>
  <si>
    <t>Pinnacle West Capital Corporation</t>
  </si>
  <si>
    <t xml:space="preserve">Portland General Electric Co. </t>
  </si>
  <si>
    <t>The Southern Company</t>
  </si>
  <si>
    <t>Xcel Energy Inc.</t>
  </si>
  <si>
    <t>NWE</t>
  </si>
  <si>
    <t>TXNM</t>
  </si>
  <si>
    <t>2020 - 2024, Inclusive</t>
  </si>
  <si>
    <t>New Jersey Resources Corporation</t>
  </si>
  <si>
    <t>Northwest Natural Holding Company</t>
  </si>
  <si>
    <t>Southwest Gas Holdings, Inc.</t>
  </si>
  <si>
    <t>Alliant Energy Corporation</t>
  </si>
  <si>
    <t>Ameren Corporation</t>
  </si>
  <si>
    <t>American Electric Power Corporation</t>
  </si>
  <si>
    <t>Duke Energy Corporation</t>
  </si>
  <si>
    <t>Entergy Corporation</t>
  </si>
  <si>
    <t>OGE Energy Corporation</t>
  </si>
  <si>
    <t>Southern Company</t>
  </si>
  <si>
    <t>Xcel Energy, Inc.</t>
  </si>
  <si>
    <t>Texas-New Mexico Power Company</t>
  </si>
  <si>
    <t>Northwestern Corp.</t>
  </si>
  <si>
    <t>TXNM Energy, Inc.</t>
  </si>
  <si>
    <t>North Western Corporation</t>
  </si>
  <si>
    <t>Proxy Group of Fifteen Electric Companies</t>
  </si>
  <si>
    <t>Proxy Group of Seven Natural Gas Companies</t>
  </si>
  <si>
    <t>Kentucky Utilities Company / Louisville Gas &amp; Electric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</si>
</sst>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.00000"/>
    <numFmt numFmtId="165" formatCode="#,##0.000"/>
    <numFmt numFmtId="166" formatCode="&quot;$&quot;#,##0.000_);\(&quot;$&quot;#,##0.000\)"/>
    <numFmt numFmtId="167" formatCode="0.0"/>
    <numFmt numFmtId="168" formatCode="0.000"/>
    <numFmt numFmtId="169" formatCode="#,##0.0_);\(#,##0.0\)"/>
    <numFmt numFmtId="170" formatCode="#,##0.0"/>
    <numFmt numFmtId="171" formatCode="_(* #,##0.000_);_(* \(#,##0.000\);_(* &quot;-&quot;??_);_(@_)"/>
    <numFmt numFmtId="172" formatCode="_(* #,##0_);_(* \(#,##0\);_(* &quot;-&quot;??_);_(@_)"/>
    <numFmt numFmtId="173" formatCode="_(* #,##0.000_);_(* \(#,##0.000\);_(* &quot;-&quot;?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Cambria"/>
      <family val="1"/>
    </font>
    <font>
      <u/>
      <sz val="12"/>
      <name val="Cambria"/>
      <family val="1"/>
    </font>
    <font>
      <sz val="10"/>
      <name val="Arial"/>
      <family val="2"/>
    </font>
    <font>
      <u/>
      <sz val="12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0"/>
      <name val="Cambria"/>
      <family val="1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 val="double"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4"/>
      <name val="Cambria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2" fontId="2" fillId="0" borderId="0" xfId="2" applyNumberFormat="1" applyFont="1" applyFill="1"/>
    <xf numFmtId="2" fontId="2" fillId="0" borderId="0" xfId="3" quotePrefix="1" applyNumberFormat="1" applyFont="1"/>
    <xf numFmtId="0" fontId="2" fillId="0" borderId="0" xfId="3" quotePrefix="1" applyFont="1"/>
    <xf numFmtId="2" fontId="2" fillId="0" borderId="0" xfId="0" applyNumberFormat="1" applyFont="1"/>
    <xf numFmtId="2" fontId="2" fillId="0" borderId="0" xfId="3" applyNumberFormat="1" applyFont="1"/>
    <xf numFmtId="0" fontId="2" fillId="0" borderId="0" xfId="3" applyFont="1"/>
    <xf numFmtId="2" fontId="2" fillId="0" borderId="1" xfId="2" applyNumberFormat="1" applyFont="1" applyFill="1" applyBorder="1"/>
    <xf numFmtId="2" fontId="2" fillId="0" borderId="2" xfId="2" applyNumberFormat="1" applyFont="1" applyFill="1" applyBorder="1"/>
    <xf numFmtId="2" fontId="2" fillId="0" borderId="0" xfId="0" quotePrefix="1" applyNumberFormat="1" applyFont="1"/>
    <xf numFmtId="0" fontId="2" fillId="0" borderId="0" xfId="0" quotePrefix="1" applyFont="1"/>
    <xf numFmtId="2" fontId="2" fillId="0" borderId="2" xfId="0" applyNumberFormat="1" applyFont="1" applyBorder="1"/>
    <xf numFmtId="43" fontId="2" fillId="0" borderId="0" xfId="0" applyNumberFormat="1" applyFont="1"/>
    <xf numFmtId="2" fontId="2" fillId="0" borderId="1" xfId="0" applyNumberFormat="1" applyFont="1" applyBorder="1"/>
    <xf numFmtId="0" fontId="5" fillId="0" borderId="0" xfId="4" applyFont="1" applyAlignment="1">
      <alignment horizontal="centerContinuous"/>
    </xf>
    <xf numFmtId="0" fontId="6" fillId="0" borderId="0" xfId="4" applyFont="1"/>
    <xf numFmtId="0" fontId="6" fillId="0" borderId="0" xfId="4" applyFont="1" applyAlignment="1">
      <alignment horizontal="center"/>
    </xf>
    <xf numFmtId="0" fontId="7" fillId="0" borderId="0" xfId="4" applyFont="1" applyAlignment="1">
      <alignment horizontal="right"/>
    </xf>
    <xf numFmtId="0" fontId="6" fillId="0" borderId="1" xfId="4" applyFont="1" applyBorder="1"/>
    <xf numFmtId="0" fontId="6" fillId="0" borderId="1" xfId="4" applyFont="1" applyBorder="1" applyAlignment="1">
      <alignment horizontal="center" wrapText="1"/>
    </xf>
    <xf numFmtId="0" fontId="6" fillId="0" borderId="0" xfId="4" applyFont="1" applyAlignment="1">
      <alignment horizontal="center" wrapText="1"/>
    </xf>
    <xf numFmtId="37" fontId="6" fillId="0" borderId="0" xfId="4" applyNumberFormat="1" applyFont="1" applyAlignment="1">
      <alignment horizontal="right"/>
    </xf>
    <xf numFmtId="1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center"/>
    </xf>
    <xf numFmtId="10" fontId="6" fillId="0" borderId="0" xfId="5" applyNumberFormat="1" applyFont="1" applyFill="1" applyBorder="1" applyAlignment="1">
      <alignment horizontal="center"/>
    </xf>
    <xf numFmtId="10" fontId="6" fillId="0" borderId="0" xfId="4" applyNumberFormat="1" applyFont="1" applyAlignment="1">
      <alignment horizontal="center"/>
    </xf>
    <xf numFmtId="10" fontId="6" fillId="0" borderId="3" xfId="5" applyNumberFormat="1" applyFont="1" applyFill="1" applyBorder="1" applyAlignment="1">
      <alignment horizontal="center"/>
    </xf>
    <xf numFmtId="0" fontId="6" fillId="0" borderId="0" xfId="4" applyFont="1" applyAlignment="1">
      <alignment horizontal="right"/>
    </xf>
    <xf numFmtId="10" fontId="6" fillId="0" borderId="4" xfId="4" applyNumberFormat="1" applyFont="1" applyBorder="1" applyAlignment="1">
      <alignment horizontal="center"/>
    </xf>
    <xf numFmtId="0" fontId="6" fillId="0" borderId="0" xfId="4" applyFont="1" applyAlignment="1">
      <alignment horizontal="left" indent="5"/>
    </xf>
    <xf numFmtId="0" fontId="6" fillId="0" borderId="0" xfId="6" applyFont="1"/>
    <xf numFmtId="0" fontId="6" fillId="0" borderId="0" xfId="6" applyFont="1" applyAlignment="1">
      <alignment horizontal="left"/>
    </xf>
    <xf numFmtId="0" fontId="6" fillId="0" borderId="0" xfId="6" applyFont="1" applyAlignment="1">
      <alignment horizontal="left" wrapText="1"/>
    </xf>
    <xf numFmtId="0" fontId="6" fillId="0" borderId="0" xfId="6" applyFont="1" applyAlignment="1">
      <alignment horizontal="right"/>
    </xf>
    <xf numFmtId="0" fontId="6" fillId="0" borderId="0" xfId="6" applyFont="1" applyAlignment="1">
      <alignment wrapText="1"/>
    </xf>
    <xf numFmtId="0" fontId="6" fillId="0" borderId="0" xfId="4" applyFont="1" applyAlignment="1">
      <alignment wrapText="1"/>
    </xf>
    <xf numFmtId="1" fontId="6" fillId="0" borderId="0" xfId="4" applyNumberFormat="1" applyFont="1" applyAlignment="1">
      <alignment horizontal="right"/>
    </xf>
    <xf numFmtId="3" fontId="6" fillId="0" borderId="0" xfId="4" applyNumberFormat="1" applyFont="1"/>
    <xf numFmtId="10" fontId="2" fillId="0" borderId="0" xfId="7" applyNumberFormat="1" applyFont="1" applyFill="1"/>
    <xf numFmtId="10" fontId="6" fillId="0" borderId="0" xfId="4" applyNumberFormat="1" applyFont="1"/>
    <xf numFmtId="3" fontId="6" fillId="0" borderId="0" xfId="4" applyNumberFormat="1" applyFont="1" applyAlignment="1">
      <alignment horizontal="right"/>
    </xf>
    <xf numFmtId="10" fontId="2" fillId="0" borderId="0" xfId="7" applyNumberFormat="1" applyFont="1" applyFill="1" applyAlignment="1"/>
    <xf numFmtId="3" fontId="6" fillId="0" borderId="0" xfId="6" applyNumberFormat="1" applyFont="1" applyAlignment="1">
      <alignment horizontal="right"/>
    </xf>
    <xf numFmtId="1" fontId="6" fillId="0" borderId="0" xfId="4" applyNumberFormat="1" applyFont="1"/>
    <xf numFmtId="0" fontId="2" fillId="0" borderId="0" xfId="6" applyFont="1"/>
    <xf numFmtId="1" fontId="6" fillId="0" borderId="0" xfId="6" applyNumberFormat="1" applyFont="1" applyAlignment="1">
      <alignment horizontal="left"/>
    </xf>
    <xf numFmtId="0" fontId="8" fillId="0" borderId="0" xfId="3" applyFont="1"/>
    <xf numFmtId="3" fontId="9" fillId="0" borderId="0" xfId="3" applyNumberFormat="1" applyFont="1"/>
    <xf numFmtId="0" fontId="6" fillId="0" borderId="0" xfId="4" applyFont="1" applyAlignment="1">
      <alignment horizontal="left"/>
    </xf>
    <xf numFmtId="0" fontId="4" fillId="0" borderId="0" xfId="8"/>
    <xf numFmtId="164" fontId="4" fillId="0" borderId="0" xfId="8" applyNumberFormat="1"/>
    <xf numFmtId="43" fontId="10" fillId="0" borderId="5" xfId="2" applyFont="1" applyFill="1" applyBorder="1" applyAlignment="1">
      <alignment horizontal="center"/>
    </xf>
    <xf numFmtId="0" fontId="4" fillId="0" borderId="6" xfId="8" applyBorder="1" applyAlignment="1">
      <alignment horizontal="center"/>
    </xf>
    <xf numFmtId="0" fontId="4" fillId="0" borderId="0" xfId="8" applyAlignment="1">
      <alignment horizontal="center"/>
    </xf>
    <xf numFmtId="0" fontId="0" fillId="0" borderId="0" xfId="0" applyAlignment="1">
      <alignment horizontal="center"/>
    </xf>
    <xf numFmtId="0" fontId="11" fillId="0" borderId="0" xfId="8" applyFont="1" applyAlignment="1">
      <alignment horizontal="centerContinuous"/>
    </xf>
    <xf numFmtId="0" fontId="4" fillId="0" borderId="0" xfId="8" applyAlignment="1">
      <alignment horizontal="centerContinuous"/>
    </xf>
    <xf numFmtId="0" fontId="12" fillId="0" borderId="0" xfId="8" applyFont="1" applyAlignment="1">
      <alignment horizontal="centerContinuous"/>
    </xf>
    <xf numFmtId="0" fontId="12" fillId="0" borderId="0" xfId="8" applyFont="1" applyAlignment="1">
      <alignment horizontal="center"/>
    </xf>
    <xf numFmtId="4" fontId="4" fillId="0" borderId="0" xfId="8" applyNumberFormat="1"/>
    <xf numFmtId="165" fontId="4" fillId="0" borderId="0" xfId="8" applyNumberFormat="1"/>
    <xf numFmtId="0" fontId="12" fillId="0" borderId="0" xfId="8" applyFont="1"/>
    <xf numFmtId="164" fontId="13" fillId="0" borderId="0" xfId="0" applyNumberFormat="1" applyFont="1"/>
    <xf numFmtId="3" fontId="13" fillId="0" borderId="0" xfId="0" applyNumberFormat="1" applyFont="1"/>
    <xf numFmtId="166" fontId="4" fillId="0" borderId="0" xfId="8" applyNumberFormat="1"/>
    <xf numFmtId="166" fontId="12" fillId="0" borderId="0" xfId="8" applyNumberFormat="1" applyFont="1"/>
    <xf numFmtId="166" fontId="14" fillId="0" borderId="0" xfId="8" applyNumberFormat="1" applyFont="1"/>
    <xf numFmtId="2" fontId="4" fillId="0" borderId="0" xfId="8" applyNumberFormat="1"/>
    <xf numFmtId="167" fontId="4" fillId="0" borderId="0" xfId="8" applyNumberFormat="1"/>
    <xf numFmtId="2" fontId="12" fillId="0" borderId="0" xfId="8" applyNumberFormat="1" applyFont="1"/>
    <xf numFmtId="2" fontId="14" fillId="0" borderId="0" xfId="8" applyNumberFormat="1" applyFont="1"/>
    <xf numFmtId="0" fontId="15" fillId="0" borderId="0" xfId="8" applyFont="1"/>
    <xf numFmtId="164" fontId="15" fillId="0" borderId="0" xfId="8" applyNumberFormat="1" applyFont="1"/>
    <xf numFmtId="165" fontId="15" fillId="0" borderId="0" xfId="8" applyNumberFormat="1" applyFont="1"/>
    <xf numFmtId="0" fontId="12" fillId="0" borderId="0" xfId="8" applyFont="1" applyAlignment="1">
      <alignment horizontal="left"/>
    </xf>
    <xf numFmtId="164" fontId="4" fillId="0" borderId="0" xfId="2" applyNumberFormat="1" applyFont="1" applyFill="1"/>
    <xf numFmtId="165" fontId="4" fillId="0" borderId="0" xfId="2" applyNumberFormat="1" applyFont="1" applyFill="1"/>
    <xf numFmtId="0" fontId="4" fillId="0" borderId="0" xfId="8" applyAlignment="1">
      <alignment wrapText="1"/>
    </xf>
    <xf numFmtId="168" fontId="4" fillId="0" borderId="0" xfId="8" applyNumberFormat="1"/>
    <xf numFmtId="169" fontId="4" fillId="0" borderId="0" xfId="8" applyNumberFormat="1"/>
    <xf numFmtId="0" fontId="4" fillId="0" borderId="0" xfId="0" applyFont="1"/>
    <xf numFmtId="0" fontId="16" fillId="0" borderId="0" xfId="0" applyFont="1"/>
    <xf numFmtId="43" fontId="10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0" xfId="1" applyFont="1" applyFill="1"/>
    <xf numFmtId="0" fontId="4" fillId="0" borderId="0" xfId="9"/>
    <xf numFmtId="165" fontId="4" fillId="0" borderId="0" xfId="9" applyNumberFormat="1"/>
    <xf numFmtId="168" fontId="4" fillId="0" borderId="0" xfId="9" applyNumberFormat="1"/>
    <xf numFmtId="2" fontId="4" fillId="0" borderId="0" xfId="10" applyNumberFormat="1" applyFont="1"/>
    <xf numFmtId="167" fontId="4" fillId="0" borderId="0" xfId="10" applyNumberFormat="1" applyFont="1"/>
    <xf numFmtId="0" fontId="15" fillId="0" borderId="0" xfId="9" applyFont="1"/>
    <xf numFmtId="168" fontId="15" fillId="0" borderId="0" xfId="9" applyNumberFormat="1" applyFont="1"/>
    <xf numFmtId="2" fontId="4" fillId="0" borderId="0" xfId="8" applyNumberFormat="1" applyAlignment="1">
      <alignment horizontal="right"/>
    </xf>
    <xf numFmtId="0" fontId="17" fillId="0" borderId="0" xfId="9" applyFont="1"/>
    <xf numFmtId="0" fontId="11" fillId="0" borderId="0" xfId="9" applyFont="1" applyAlignment="1">
      <alignment horizontal="centerContinuous"/>
    </xf>
    <xf numFmtId="0" fontId="4" fillId="0" borderId="0" xfId="9" applyAlignment="1">
      <alignment horizontal="centerContinuous"/>
    </xf>
    <xf numFmtId="0" fontId="12" fillId="0" borderId="0" xfId="9" applyFont="1" applyAlignment="1">
      <alignment horizontal="centerContinuous"/>
    </xf>
    <xf numFmtId="0" fontId="12" fillId="0" borderId="0" xfId="9" applyFont="1"/>
    <xf numFmtId="2" fontId="4" fillId="0" borderId="0" xfId="9" applyNumberFormat="1"/>
    <xf numFmtId="0" fontId="12" fillId="0" borderId="0" xfId="9" applyFont="1" applyAlignment="1">
      <alignment horizontal="left"/>
    </xf>
    <xf numFmtId="0" fontId="4" fillId="0" borderId="0" xfId="9" applyAlignment="1">
      <alignment wrapText="1"/>
    </xf>
    <xf numFmtId="169" fontId="4" fillId="0" borderId="0" xfId="9" applyNumberFormat="1"/>
    <xf numFmtId="0" fontId="17" fillId="0" borderId="0" xfId="8" applyFont="1"/>
    <xf numFmtId="168" fontId="15" fillId="0" borderId="0" xfId="8" applyNumberFormat="1" applyFont="1"/>
    <xf numFmtId="165" fontId="4" fillId="0" borderId="0" xfId="8" applyNumberFormat="1" applyAlignment="1">
      <alignment wrapText="1"/>
    </xf>
    <xf numFmtId="2" fontId="3" fillId="0" borderId="0" xfId="0" applyNumberFormat="1" applyFont="1" applyAlignment="1">
      <alignment horizontal="centerContinuous"/>
    </xf>
    <xf numFmtId="2" fontId="3" fillId="0" borderId="0" xfId="0" applyNumberFormat="1" applyFont="1" applyAlignment="1">
      <alignment horizontal="center"/>
    </xf>
    <xf numFmtId="2" fontId="18" fillId="0" borderId="0" xfId="0" applyNumberFormat="1" applyFont="1"/>
    <xf numFmtId="0" fontId="5" fillId="0" borderId="0" xfId="11" applyFont="1"/>
    <xf numFmtId="0" fontId="6" fillId="0" borderId="0" xfId="3" applyFont="1"/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1" xfId="11" applyFont="1" applyBorder="1"/>
    <xf numFmtId="0" fontId="6" fillId="0" borderId="1" xfId="11" applyFont="1" applyBorder="1" applyAlignment="1">
      <alignment horizontal="center" wrapText="1"/>
    </xf>
    <xf numFmtId="0" fontId="6" fillId="0" borderId="7" xfId="11" applyFont="1" applyBorder="1" applyAlignment="1">
      <alignment horizontal="center" wrapText="1"/>
    </xf>
    <xf numFmtId="0" fontId="6" fillId="0" borderId="0" xfId="11" applyFont="1" applyAlignment="1">
      <alignment horizontal="center" wrapText="1"/>
    </xf>
    <xf numFmtId="1" fontId="6" fillId="0" borderId="0" xfId="11" applyNumberFormat="1" applyFont="1" applyAlignment="1">
      <alignment horizontal="left"/>
    </xf>
    <xf numFmtId="10" fontId="6" fillId="0" borderId="0" xfId="12" quotePrefix="1" applyNumberFormat="1" applyFont="1" applyFill="1" applyBorder="1" applyAlignment="1">
      <alignment horizontal="center"/>
    </xf>
    <xf numFmtId="10" fontId="6" fillId="0" borderId="0" xfId="12" applyNumberFormat="1" applyFont="1" applyFill="1" applyBorder="1" applyAlignment="1">
      <alignment horizontal="center"/>
    </xf>
    <xf numFmtId="10" fontId="6" fillId="0" borderId="0" xfId="11" applyNumberFormat="1" applyFont="1" applyAlignment="1">
      <alignment horizontal="center"/>
    </xf>
    <xf numFmtId="10" fontId="6" fillId="0" borderId="1" xfId="12" quotePrefix="1" applyNumberFormat="1" applyFont="1" applyFill="1" applyBorder="1" applyAlignment="1">
      <alignment horizontal="center"/>
    </xf>
    <xf numFmtId="0" fontId="6" fillId="0" borderId="0" xfId="11" applyFont="1" applyAlignment="1">
      <alignment horizontal="right"/>
    </xf>
    <xf numFmtId="10" fontId="6" fillId="0" borderId="4" xfId="11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10" fontId="8" fillId="0" borderId="0" xfId="0" applyNumberFormat="1" applyFont="1"/>
    <xf numFmtId="10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3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3" applyNumberFormat="1" applyFont="1" applyAlignment="1">
      <alignment horizontal="right"/>
    </xf>
    <xf numFmtId="0" fontId="2" fillId="0" borderId="0" xfId="3" applyFont="1" applyAlignment="1">
      <alignment horizontal="right"/>
    </xf>
    <xf numFmtId="3" fontId="2" fillId="0" borderId="0" xfId="3" applyNumberFormat="1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1" fontId="2" fillId="0" borderId="0" xfId="3" applyNumberFormat="1" applyFont="1" applyAlignment="1">
      <alignment horizontal="left"/>
    </xf>
    <xf numFmtId="0" fontId="4" fillId="0" borderId="0" xfId="3"/>
    <xf numFmtId="43" fontId="10" fillId="0" borderId="5" xfId="3" applyNumberFormat="1" applyFont="1" applyBorder="1" applyAlignment="1">
      <alignment horizontal="center"/>
    </xf>
    <xf numFmtId="0" fontId="4" fillId="0" borderId="6" xfId="3" applyBorder="1" applyAlignment="1">
      <alignment horizontal="center"/>
    </xf>
    <xf numFmtId="170" fontId="4" fillId="0" borderId="0" xfId="8" applyNumberFormat="1"/>
    <xf numFmtId="43" fontId="4" fillId="0" borderId="0" xfId="2" applyFont="1" applyFill="1"/>
    <xf numFmtId="3" fontId="4" fillId="0" borderId="0" xfId="3" applyNumberFormat="1"/>
    <xf numFmtId="3" fontId="4" fillId="0" borderId="0" xfId="8" applyNumberFormat="1"/>
    <xf numFmtId="2" fontId="4" fillId="0" borderId="0" xfId="13" applyNumberFormat="1" applyFont="1"/>
    <xf numFmtId="0" fontId="4" fillId="0" borderId="0" xfId="8" applyAlignment="1">
      <alignment horizontal="left"/>
    </xf>
    <xf numFmtId="1" fontId="4" fillId="0" borderId="0" xfId="8" applyNumberFormat="1" applyAlignment="1">
      <alignment horizontal="right"/>
    </xf>
    <xf numFmtId="0" fontId="4" fillId="0" borderId="0" xfId="8" applyAlignment="1">
      <alignment horizontal="right"/>
    </xf>
    <xf numFmtId="1" fontId="15" fillId="0" borderId="0" xfId="8" applyNumberFormat="1" applyFont="1" applyAlignment="1">
      <alignment horizontal="right"/>
    </xf>
    <xf numFmtId="1" fontId="4" fillId="0" borderId="0" xfId="8" applyNumberFormat="1"/>
    <xf numFmtId="171" fontId="4" fillId="0" borderId="0" xfId="2" applyNumberFormat="1" applyFont="1" applyFill="1"/>
    <xf numFmtId="172" fontId="4" fillId="0" borderId="0" xfId="2" applyNumberFormat="1" applyFont="1" applyFill="1"/>
    <xf numFmtId="0" fontId="4" fillId="0" borderId="0" xfId="13" applyFont="1"/>
    <xf numFmtId="43" fontId="10" fillId="0" borderId="5" xfId="13" applyNumberFormat="1" applyFont="1" applyBorder="1" applyAlignment="1">
      <alignment horizontal="center"/>
    </xf>
    <xf numFmtId="0" fontId="4" fillId="0" borderId="6" xfId="13" applyFont="1" applyBorder="1" applyAlignment="1">
      <alignment horizontal="center"/>
    </xf>
    <xf numFmtId="43" fontId="4" fillId="0" borderId="0" xfId="14" applyFont="1" applyFill="1"/>
    <xf numFmtId="3" fontId="4" fillId="0" borderId="0" xfId="3" applyNumberFormat="1" applyAlignment="1">
      <alignment horizontal="right"/>
    </xf>
    <xf numFmtId="173" fontId="4" fillId="0" borderId="0" xfId="8" applyNumberFormat="1"/>
    <xf numFmtId="4" fontId="4" fillId="0" borderId="0" xfId="3" applyNumberFormat="1"/>
    <xf numFmtId="2" fontId="4" fillId="0" borderId="0" xfId="3" applyNumberFormat="1"/>
    <xf numFmtId="43" fontId="19" fillId="0" borderId="0" xfId="2" applyFont="1" applyFill="1"/>
    <xf numFmtId="43" fontId="4" fillId="0" borderId="0" xfId="2" applyFill="1"/>
    <xf numFmtId="43" fontId="15" fillId="0" borderId="0" xfId="2" applyFont="1" applyFill="1"/>
    <xf numFmtId="0" fontId="4" fillId="0" borderId="0" xfId="15" applyFont="1"/>
    <xf numFmtId="43" fontId="4" fillId="0" borderId="0" xfId="16" applyFont="1" applyFill="1"/>
    <xf numFmtId="43" fontId="10" fillId="0" borderId="5" xfId="15" applyNumberFormat="1" applyFont="1" applyBorder="1" applyAlignment="1">
      <alignment horizontal="center"/>
    </xf>
    <xf numFmtId="0" fontId="4" fillId="0" borderId="6" xfId="15" applyFont="1" applyBorder="1" applyAlignment="1">
      <alignment horizontal="center"/>
    </xf>
    <xf numFmtId="2" fontId="4" fillId="0" borderId="0" xfId="17" applyNumberFormat="1" applyFont="1"/>
    <xf numFmtId="43" fontId="4" fillId="0" borderId="0" xfId="8" applyNumberFormat="1"/>
    <xf numFmtId="0" fontId="2" fillId="0" borderId="0" xfId="8" applyFont="1"/>
    <xf numFmtId="165" fontId="4" fillId="0" borderId="0" xfId="3" applyNumberFormat="1"/>
    <xf numFmtId="0" fontId="2" fillId="0" borderId="0" xfId="0" applyFont="1" applyAlignment="1">
      <alignment horizontal="centerContinuous"/>
    </xf>
    <xf numFmtId="0" fontId="2" fillId="0" borderId="0" xfId="6" applyFont="1" applyAlignment="1">
      <alignment horizontal="right"/>
    </xf>
    <xf numFmtId="1" fontId="6" fillId="0" borderId="0" xfId="6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1" xfId="4" applyFont="1" applyBorder="1" applyAlignment="1">
      <alignment horizontal="center"/>
    </xf>
    <xf numFmtId="43" fontId="5" fillId="0" borderId="0" xfId="11" applyNumberFormat="1" applyFont="1" applyAlignment="1">
      <alignment horizontal="center"/>
    </xf>
    <xf numFmtId="0" fontId="6" fillId="0" borderId="0" xfId="11" applyFont="1" applyAlignment="1">
      <alignment horizontal="center"/>
    </xf>
    <xf numFmtId="0" fontId="5" fillId="0" borderId="0" xfId="11" applyFont="1" applyAlignment="1">
      <alignment horizontal="center"/>
    </xf>
    <xf numFmtId="0" fontId="6" fillId="0" borderId="1" xfId="11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12" fillId="0" borderId="0" xfId="8" applyFont="1" applyAlignment="1">
      <alignment horizontal="center"/>
    </xf>
    <xf numFmtId="0" fontId="4" fillId="0" borderId="0" xfId="8" applyAlignment="1">
      <alignment horizontal="center"/>
    </xf>
    <xf numFmtId="0" fontId="11" fillId="0" borderId="0" xfId="8" applyFont="1" applyAlignment="1">
      <alignment horizontal="center"/>
    </xf>
    <xf numFmtId="0" fontId="12" fillId="0" borderId="8" xfId="8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9" applyAlignment="1">
      <alignment horizontal="center"/>
    </xf>
  </cellXfs>
  <cellStyles count="18">
    <cellStyle name="Comma" xfId="1" builtinId="3"/>
    <cellStyle name="Comma 12" xfId="2" xr:uid="{ABB304FD-1ED1-49AA-94A7-24457F1BB62F}"/>
    <cellStyle name="Comma 23 2" xfId="14" xr:uid="{904BE8D5-1BBB-4E1D-BDD3-413C23D38F56}"/>
    <cellStyle name="Comma 23 3" xfId="16" xr:uid="{29682884-1D99-4754-B2EE-A609A300D0D0}"/>
    <cellStyle name="Normal" xfId="0" builtinId="0"/>
    <cellStyle name="Normal - Style1" xfId="3" xr:uid="{C850805E-7F17-4E3C-991D-91B343D55834}"/>
    <cellStyle name="Normal 10" xfId="8" xr:uid="{7E48BB0F-7733-4CEF-AA84-FA9B6434BED8}"/>
    <cellStyle name="Normal 2 2 9 4 4" xfId="9" xr:uid="{B463BAB3-F050-43D7-8163-9BF0E4CECDF5}"/>
    <cellStyle name="Normal 69 2" xfId="10" xr:uid="{41D9E898-6699-4C27-BC24-956370E31632}"/>
    <cellStyle name="Normal 69 2 2 2" xfId="13" xr:uid="{B23C4645-1022-4661-9B8D-EBE4E617D992}"/>
    <cellStyle name="Normal 69 2 2 3" xfId="17" xr:uid="{C1C74C74-2F0D-4A99-94A9-3EA2EDEE672E}"/>
    <cellStyle name="Normal 77 2" xfId="15" xr:uid="{B6416845-9F44-4E8D-899E-B373AE4B789D}"/>
    <cellStyle name="Normal 78 2 2" xfId="11" xr:uid="{B777AF50-AD90-48FC-8CD0-96AEDF1ACBEC}"/>
    <cellStyle name="Normal 78 3 4 2 2 2 2" xfId="6" xr:uid="{6222CF7E-4BB0-4CA6-B9E3-5C45E3E71CBE}"/>
    <cellStyle name="Normal 78 6 2 2 2 2" xfId="4" xr:uid="{69FE73FF-E2ED-4BB7-87A5-7060F51CFE42}"/>
    <cellStyle name="Percent 17 2 4 2 2 2 2" xfId="7" xr:uid="{583B7371-F2BA-45C3-B14C-B946AFE943BD}"/>
    <cellStyle name="Percent 17 2 4 2 2 2 3" xfId="12" xr:uid="{8564FBC7-E047-4796-8964-644450E8C88F}"/>
    <cellStyle name="Percent 17 5 2 2 2" xfId="5" xr:uid="{F3E9F07F-62BF-4F21-8E3D-23A842BB4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34.xml"/><Relationship Id="rId68" Type="http://schemas.openxmlformats.org/officeDocument/2006/relationships/externalLink" Target="externalLinks/externalLink3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37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35.xml"/><Relationship Id="rId69" Type="http://schemas.openxmlformats.org/officeDocument/2006/relationships/theme" Target="theme/theme1.xml"/><Relationship Id="rId77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72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33.xml"/><Relationship Id="rId70" Type="http://schemas.openxmlformats.org/officeDocument/2006/relationships/styles" Target="styles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31.xml"/><Relationship Id="rId65" Type="http://schemas.openxmlformats.org/officeDocument/2006/relationships/externalLink" Target="externalLinks/externalLink36.xml"/><Relationship Id="rId73" Type="http://schemas.openxmlformats.org/officeDocument/2006/relationships/calcChain" Target="calcChain.xml"/><Relationship Id="rId78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5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6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COS/ANNLRPTS/WY/98/G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RD/MTGAS/2014%20Case/2014%20RateDesignM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COS/PGA/2002/Ma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Documents%20and%20Settings/jlm8149/Local%20Settings/Temporary%20Internet%20Files/OLK5C/Cost%20of%20Capital%20estimated%2012-31-04%20(1-24-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TEMPLATE/Testimony%20Templates/Econ.%20data%20&amp;%20graphs/Testimony%20draft%20to%20be%20updated/historical.Graphs-testimony%20ready-revi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TEMPLATE/Testimony%20Templates/Econ.%20data%20&amp;%20graphs/Testimony%20draft%20to%20be%20updated/historical.Graphs-testimony%20ready-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Documents%20and%20Settings\sminer\Local%20Settings\Temporary%20Internet%20Files\OLK12\Documents%20and%20Settings\sminer\My%20Documents\GCA%2050\New%20WEEKLY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Users/RyanKucan/Box%20Sync/Projects%20-%20Sussex/16.1246%20Dominion%20NC%20ROE/Rebuttal%20Testimony/Supporting%20Analyses/forward%20interpolated%20yield%20curv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COS/Annual%20Rpts/WY/2000/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Electric/2014%20Rate%20Cases/Final%20Schedules/historical.Graphs-testimony%20ready-revised%20update-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Electric/2014%20Rate%20Cases/Final%20Schedules/historical.Graphs-testimony%20ready-revised%20update-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grp\common\Report15\10-K\MD&amp;A%20-%20Annual\MDA%20-%20Annual%20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grp\common\Report13\10-Q\Q3\10Q%20Q3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grp\common\Report12\10Q\Q3\10Q%20q3%20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grp\common\Report15\10-K\MD&amp;A%20-%20Annual\ANRE%202014%20pt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grp\Budget%20Department\Department%20Files\Annual%20Report%20Data\Selected%20Financial%20Data-06.08.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grp\common\Report15\10-K\MD&amp;A%20-%20Annual\MDA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fingrp\Treasury\Finance\Operating%20Budget\Department%20Files\Cheah\2010%20Budget\Share%20Data%20Upload%200219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xcelenergy.com\SharedData\General-Offices-GO\INCTAX\PROVIS\Old%20Link%20File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https://appriver3651005964-my.sharepoint.com/Users/RBOld/Library/Mobile%20Documents/com~apple~CloudDocs/Green%20Mountain%20Power%202017%20Rate%20Case/Baudino%20Work%20Papers%20and%20Exhibits/192.168.1.15/ceadata/FINANC/AFUDC/AFUDC%202002/AFUDC2002%20Forecast%20All%20Cos%20Act.%20thru%20Mar.xls?E4186BD9" TargetMode="External"/><Relationship Id="rId1" Type="http://schemas.openxmlformats.org/officeDocument/2006/relationships/externalLinkPath" Target="file:///\\E4186BD9\AFUDC2002%20Forecast%20All%20Cos%20Act.%20thru%20Mar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microsoft.com/office/2019/04/relationships/externalLinkLongPath" Target="https://scottmadden-my.sharepoint.com/Users/RBOld/Library/Mobile%20Documents/com~apple~CloudDocs/Green%20Mountain%20Power%202017%20Rate%20Case/Baudino%20Work%20Papers%20and%20Exhibits/192.168.1.15/ceadata/FINANC/AFUDC/AFUDC%202002/AFUDC2002%20Forecast%20All%20Cos%20Act.%20thru%20Mar.xls?F89655ED" TargetMode="External"/><Relationship Id="rId1" Type="http://schemas.openxmlformats.org/officeDocument/2006/relationships/externalLinkPath" Target="file:///\\F89655ED\AFUDC2002%20Forecast%20All%20Cos%20Act.%20thru%20Ma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personal/jsemenza_scottmadden_com1/Documents/Downloads/D'Ascendis%20Electronic%20Workpapers%20(1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Users/rislam/Box/Projects%20-%20ScottMadden/363-002%20Alaska%20Power%202020%20Rate%20Case%20Support/Rebuttal/Exhibit/D'Ascendis%20Rebuttal%20Exhibit%20APC_GL_BBLH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04234\06welf\othsys\TEAM\Pricing\2007%20CIGNA%20Budget%20Rate%20Development-Medic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Users/combswr/AppData/Local/Microsoft/Windows/Temporary%20Internet%20Files/Content.Outlook/PPC0MUZ5/Okla%20COS%20Model%20TYE%2012-31-2010%20(FILED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Users/combswr/AppData/Local/Microsoft/Windows/Temporary%20Internet%20Files/Content.Outlook/PPC0MUZ5/Okla%20COS%20Model%20TYE%2012-31-2010%20(FILED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fingrp\Treasury\Finance\Operating%20Budget\2013%20Budget\Summary\BOARD%20SLIDES%20DFT%20080212%20(v9)-AUG2%20BRD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General%20Ledger%20Accounting/ADI%20Vouchers/Amanda's%20ADI%20Vouchers/FY2013/January%202013/Uploaded/010-109%20MTM%20Jan-1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General%20Ledger%20Accounting/ADI%20Vouchers/Amanda's%20ADI%20Vouchers/FY2013/January%202013/Uploaded/010-109%20MTM%20Jan-1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W/Profiles/kms7245/Local%20Settings/Temporary%20Internet%20Files/OLK8D/Cost%20of%20Capital%20estimated%2012-31-03%20Preliminary%20(1-21-0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Users/MBernard/Box/337-005%20AWC%20Eastern%20Group%202022%20ROR%20Study/Exhibit/Selection%20Criteri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vfil04\user07$\Evansville\SPCCRESULTS\TPPM\FBC3%20calcs%200608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  <sheetName val="Chart_Data"/>
      <sheetName val="Moody's_Bond_Yield_Data"/>
      <sheetName val="Discount_Rate"/>
      <sheetName val="Prime_Rate"/>
      <sheetName val="30_Yr__Bonds"/>
      <sheetName val="Discount_Chart"/>
      <sheetName val="Inflation_Chart"/>
      <sheetName val="Moody's_T-Bond_Chart"/>
      <sheetName val="Moody's_Spread_Chart"/>
      <sheetName val="Moody's_Baa_Bond_Yields_Chart"/>
      <sheetName val="Econ_Est_&amp;_Proj"/>
      <sheetName val="Hist__Cap_Stru_Atmos"/>
      <sheetName val="Cap__Struct_"/>
      <sheetName val="LTD_Rate"/>
      <sheetName val="STD_Rate"/>
      <sheetName val="Comp__Co_Criteria"/>
      <sheetName val="Ticker_-_Distr_"/>
      <sheetName val="10-yr__Historical_Growth"/>
      <sheetName val="5-yr__historical_growth"/>
      <sheetName val="Avg_5-year_and_10-year"/>
      <sheetName val="Comparable_Projected_Growth"/>
      <sheetName val="Comparable_Stock_Prices"/>
      <sheetName val="Comp_DCF"/>
      <sheetName val="Comp_CAPM"/>
      <sheetName val="Comp__Ratios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">
          <cell r="B30" t="str">
            <v>82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  <sheetName val="Per_Books"/>
      <sheetName val="Current_Rates"/>
      <sheetName val="Fuel_Cost"/>
      <sheetName val="Rate_10"/>
      <sheetName val="Rate_11"/>
      <sheetName val="Rate_13"/>
      <sheetName val="Rate_16"/>
      <sheetName val="Rate_20"/>
      <sheetName val="Rate_22"/>
      <sheetName val="Rate_25"/>
      <sheetName val="Rate_26"/>
      <sheetName val="Rate_27"/>
      <sheetName val="Rate_29"/>
      <sheetName val="Rate_30"/>
      <sheetName val="Rate_31"/>
      <sheetName val="Rate_34"/>
      <sheetName val="Rate_39"/>
      <sheetName val="Rate_40"/>
      <sheetName val="Rate_41"/>
      <sheetName val="Rate_48"/>
      <sheetName val="Rate_50"/>
      <sheetName val="Rate_52"/>
      <sheetName val="Rate_56"/>
      <sheetName val="Rate_95"/>
      <sheetName val="Adj_Factors"/>
      <sheetName val="ST-9_Demand"/>
      <sheetName val="Primary_Service_Accts"/>
      <sheetName val="Primary_Secondary_Demand"/>
      <sheetName val="Detailed Cost of Plant"/>
      <sheetName val="38.5.124 Stmt C P3"/>
      <sheetName val="38.5.134 Stmt D 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NDD"/>
      <sheetName val="COMBINED"/>
      <sheetName val="JAN98"/>
      <sheetName val="FEB98"/>
      <sheetName val="Nov01"/>
      <sheetName val="Jan02"/>
      <sheetName val="Dec01"/>
      <sheetName val="Feb02"/>
      <sheetName val="Mar02"/>
      <sheetName val="Apr02"/>
      <sheetName val="May02"/>
      <sheetName val="chgs"/>
      <sheetName val="June02"/>
      <sheetName val="July02"/>
      <sheetName val="August02"/>
      <sheetName val="September02"/>
      <sheetName val="October02"/>
      <sheetName val="Graphs"/>
      <sheetName val="wint graf"/>
      <sheetName val="summ graf"/>
      <sheetName val="CityGate"/>
      <sheetName val="SAD"/>
      <sheetName val="Jan00 Chart"/>
      <sheetName val="stor"/>
      <sheetName val="Storage OBA"/>
      <sheetName val="Sheet1"/>
      <sheetName val="dmdeqn"/>
      <sheetName val="wint_graf"/>
      <sheetName val="summ_graf"/>
      <sheetName val="Jan00_Chart"/>
      <sheetName val="Storage_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D4">
            <v>0.36247751322751326</v>
          </cell>
          <cell r="E4">
            <v>0.36247751322751326</v>
          </cell>
          <cell r="F4">
            <v>0.36247751322751326</v>
          </cell>
          <cell r="G4">
            <v>0.36247751322751326</v>
          </cell>
          <cell r="H4">
            <v>0.36247751322751326</v>
          </cell>
          <cell r="I4">
            <v>0.36247751322751326</v>
          </cell>
          <cell r="J4">
            <v>0.36247751322751326</v>
          </cell>
          <cell r="K4">
            <v>0.36247751322751326</v>
          </cell>
          <cell r="L4">
            <v>0.36247751322751326</v>
          </cell>
          <cell r="M4">
            <v>0.36247751322751326</v>
          </cell>
          <cell r="N4">
            <v>0.36247751322751326</v>
          </cell>
          <cell r="O4">
            <v>0.36247751322751326</v>
          </cell>
          <cell r="P4">
            <v>0.36247751322751326</v>
          </cell>
          <cell r="Q4">
            <v>0.36247751322751326</v>
          </cell>
          <cell r="R4">
            <v>0.36247751322751326</v>
          </cell>
          <cell r="S4">
            <v>0.36247751322751326</v>
          </cell>
          <cell r="T4">
            <v>0.36247751322751326</v>
          </cell>
          <cell r="U4">
            <v>0.36247751322751326</v>
          </cell>
          <cell r="V4">
            <v>0.36247751322751326</v>
          </cell>
          <cell r="W4">
            <v>0.36247751322751326</v>
          </cell>
          <cell r="X4">
            <v>0.36247751322751326</v>
          </cell>
          <cell r="Y4">
            <v>0.36247751322751326</v>
          </cell>
          <cell r="Z4">
            <v>0.36247751322751326</v>
          </cell>
          <cell r="AA4">
            <v>0.36247751322751326</v>
          </cell>
          <cell r="AB4">
            <v>0.36247751322751326</v>
          </cell>
          <cell r="AC4">
            <v>0.36247751322751326</v>
          </cell>
          <cell r="AD4">
            <v>0.36247751322751326</v>
          </cell>
          <cell r="AE4">
            <v>0.36247751322751326</v>
          </cell>
          <cell r="AF4">
            <v>0.36247751322751326</v>
          </cell>
          <cell r="AG4">
            <v>0.36247751322751326</v>
          </cell>
          <cell r="AH4">
            <v>0.36247751322751326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  <cell r="AQ4" t="e">
            <v>#REF!</v>
          </cell>
          <cell r="AR4" t="e">
            <v>#REF!</v>
          </cell>
          <cell r="AS4" t="e">
            <v>#REF!</v>
          </cell>
          <cell r="AT4" t="e">
            <v>#REF!</v>
          </cell>
          <cell r="AU4" t="e">
            <v>#REF!</v>
          </cell>
          <cell r="AV4" t="e">
            <v>#REF!</v>
          </cell>
          <cell r="AW4" t="e">
            <v>#REF!</v>
          </cell>
          <cell r="AX4" t="e">
            <v>#REF!</v>
          </cell>
          <cell r="AY4" t="e">
            <v>#REF!</v>
          </cell>
          <cell r="AZ4" t="e">
            <v>#REF!</v>
          </cell>
          <cell r="BA4" t="e">
            <v>#REF!</v>
          </cell>
          <cell r="BB4" t="e">
            <v>#REF!</v>
          </cell>
          <cell r="BC4" t="e">
            <v>#REF!</v>
          </cell>
          <cell r="BD4" t="e">
            <v>#REF!</v>
          </cell>
          <cell r="BE4" t="e">
            <v>#REF!</v>
          </cell>
          <cell r="BF4" t="e">
            <v>#REF!</v>
          </cell>
          <cell r="BG4" t="e">
            <v>#REF!</v>
          </cell>
          <cell r="BH4" t="e">
            <v>#REF!</v>
          </cell>
          <cell r="BI4" t="e">
            <v>#REF!</v>
          </cell>
          <cell r="BJ4" t="e">
            <v>#REF!</v>
          </cell>
          <cell r="BK4" t="e">
            <v>#REF!</v>
          </cell>
          <cell r="BL4" t="e">
            <v>#REF!</v>
          </cell>
          <cell r="BM4" t="e">
            <v>#REF!</v>
          </cell>
          <cell r="BN4" t="e">
            <v>#REF!</v>
          </cell>
          <cell r="BO4" t="e">
            <v>#REF!</v>
          </cell>
          <cell r="BP4" t="e">
            <v>#REF!</v>
          </cell>
          <cell r="BQ4" t="e">
            <v>#REF!</v>
          </cell>
          <cell r="BR4" t="e">
            <v>#REF!</v>
          </cell>
          <cell r="BS4" t="e">
            <v>#REF!</v>
          </cell>
          <cell r="BT4" t="e">
            <v>#REF!</v>
          </cell>
          <cell r="BU4" t="e">
            <v>#REF!</v>
          </cell>
          <cell r="BV4" t="e">
            <v>#REF!</v>
          </cell>
          <cell r="BW4" t="e">
            <v>#REF!</v>
          </cell>
          <cell r="BX4" t="e">
            <v>#REF!</v>
          </cell>
          <cell r="BY4" t="e">
            <v>#REF!</v>
          </cell>
          <cell r="BZ4" t="e">
            <v>#REF!</v>
          </cell>
          <cell r="CA4" t="e">
            <v>#REF!</v>
          </cell>
          <cell r="CB4" t="e">
            <v>#REF!</v>
          </cell>
          <cell r="CC4" t="e">
            <v>#REF!</v>
          </cell>
          <cell r="CD4" t="e">
            <v>#REF!</v>
          </cell>
          <cell r="CE4" t="e">
            <v>#REF!</v>
          </cell>
          <cell r="CF4" t="e">
            <v>#REF!</v>
          </cell>
          <cell r="CG4" t="e">
            <v>#REF!</v>
          </cell>
          <cell r="CH4" t="e">
            <v>#REF!</v>
          </cell>
          <cell r="CI4" t="e">
            <v>#REF!</v>
          </cell>
          <cell r="CJ4" t="e">
            <v>#REF!</v>
          </cell>
          <cell r="CK4" t="e">
            <v>#REF!</v>
          </cell>
          <cell r="CL4" t="e">
            <v>#REF!</v>
          </cell>
          <cell r="CM4" t="e">
            <v>#REF!</v>
          </cell>
          <cell r="CN4" t="e">
            <v>#REF!</v>
          </cell>
          <cell r="CO4" t="e">
            <v>#REF!</v>
          </cell>
          <cell r="CP4" t="e">
            <v>#REF!</v>
          </cell>
          <cell r="CQ4" t="e">
            <v>#REF!</v>
          </cell>
          <cell r="CR4" t="e">
            <v>#REF!</v>
          </cell>
          <cell r="CS4" t="e">
            <v>#REF!</v>
          </cell>
          <cell r="CT4" t="e">
            <v>#REF!</v>
          </cell>
          <cell r="CU4" t="e">
            <v>#REF!</v>
          </cell>
          <cell r="CV4" t="e">
            <v>#REF!</v>
          </cell>
          <cell r="CW4" t="e">
            <v>#REF!</v>
          </cell>
          <cell r="CX4" t="e">
            <v>#REF!</v>
          </cell>
          <cell r="CY4" t="e">
            <v>#REF!</v>
          </cell>
          <cell r="CZ4" t="e">
            <v>#REF!</v>
          </cell>
          <cell r="DA4" t="e">
            <v>#REF!</v>
          </cell>
          <cell r="DB4" t="e">
            <v>#REF!</v>
          </cell>
          <cell r="DC4" t="e">
            <v>#REF!</v>
          </cell>
          <cell r="DD4" t="e">
            <v>#REF!</v>
          </cell>
          <cell r="DE4" t="e">
            <v>#REF!</v>
          </cell>
          <cell r="DF4" t="e">
            <v>#REF!</v>
          </cell>
          <cell r="DG4" t="e">
            <v>#REF!</v>
          </cell>
          <cell r="DH4" t="e">
            <v>#REF!</v>
          </cell>
          <cell r="DI4" t="e">
            <v>#REF!</v>
          </cell>
          <cell r="DJ4" t="e">
            <v>#REF!</v>
          </cell>
          <cell r="DK4" t="e">
            <v>#REF!</v>
          </cell>
          <cell r="DL4" t="e">
            <v>#REF!</v>
          </cell>
          <cell r="DM4" t="e">
            <v>#REF!</v>
          </cell>
          <cell r="DN4" t="e">
            <v>#REF!</v>
          </cell>
          <cell r="DO4" t="e">
            <v>#REF!</v>
          </cell>
          <cell r="DP4" t="e">
            <v>#REF!</v>
          </cell>
          <cell r="DQ4" t="e">
            <v>#REF!</v>
          </cell>
          <cell r="DR4" t="e">
            <v>#REF!</v>
          </cell>
          <cell r="DS4" t="e">
            <v>#REF!</v>
          </cell>
          <cell r="DT4" t="e">
            <v>#REF!</v>
          </cell>
          <cell r="DU4" t="e">
            <v>#REF!</v>
          </cell>
          <cell r="DV4" t="e">
            <v>#REF!</v>
          </cell>
          <cell r="DW4" t="e">
            <v>#REF!</v>
          </cell>
          <cell r="DX4" t="e">
            <v>#REF!</v>
          </cell>
          <cell r="DY4" t="e">
            <v>#REF!</v>
          </cell>
          <cell r="DZ4" t="e">
            <v>#REF!</v>
          </cell>
          <cell r="EA4" t="e">
            <v>#REF!</v>
          </cell>
          <cell r="EB4" t="e">
            <v>#REF!</v>
          </cell>
          <cell r="EC4" t="e">
            <v>#REF!</v>
          </cell>
          <cell r="ED4" t="e">
            <v>#REF!</v>
          </cell>
          <cell r="EE4" t="e">
            <v>#REF!</v>
          </cell>
          <cell r="EF4" t="e">
            <v>#REF!</v>
          </cell>
          <cell r="EG4" t="e">
            <v>#REF!</v>
          </cell>
          <cell r="EH4" t="e">
            <v>#REF!</v>
          </cell>
          <cell r="EI4" t="e">
            <v>#REF!</v>
          </cell>
          <cell r="EJ4" t="e">
            <v>#REF!</v>
          </cell>
          <cell r="EK4" t="e">
            <v>#REF!</v>
          </cell>
          <cell r="EL4" t="e">
            <v>#REF!</v>
          </cell>
          <cell r="EM4" t="e">
            <v>#REF!</v>
          </cell>
          <cell r="EN4" t="e">
            <v>#REF!</v>
          </cell>
          <cell r="EO4" t="e">
            <v>#REF!</v>
          </cell>
          <cell r="EP4" t="e">
            <v>#REF!</v>
          </cell>
          <cell r="EQ4" t="e">
            <v>#REF!</v>
          </cell>
          <cell r="ER4" t="e">
            <v>#REF!</v>
          </cell>
          <cell r="ES4" t="e">
            <v>#REF!</v>
          </cell>
          <cell r="ET4" t="e">
            <v>#REF!</v>
          </cell>
          <cell r="EU4" t="e">
            <v>#REF!</v>
          </cell>
          <cell r="EV4" t="e">
            <v>#REF!</v>
          </cell>
          <cell r="EW4" t="e">
            <v>#REF!</v>
          </cell>
          <cell r="EX4" t="e">
            <v>#REF!</v>
          </cell>
          <cell r="EY4" t="e">
            <v>#REF!</v>
          </cell>
          <cell r="EZ4" t="e">
            <v>#REF!</v>
          </cell>
          <cell r="FA4" t="e">
            <v>#REF!</v>
          </cell>
          <cell r="FB4" t="e">
            <v>#REF!</v>
          </cell>
          <cell r="FC4" t="e">
            <v>#REF!</v>
          </cell>
          <cell r="FD4" t="e">
            <v>#REF!</v>
          </cell>
          <cell r="FE4" t="e">
            <v>#REF!</v>
          </cell>
          <cell r="FF4" t="e">
            <v>#REF!</v>
          </cell>
          <cell r="FG4" t="e">
            <v>#REF!</v>
          </cell>
          <cell r="FH4" t="e">
            <v>#REF!</v>
          </cell>
          <cell r="FI4" t="e">
            <v>#REF!</v>
          </cell>
          <cell r="FJ4" t="e">
            <v>#REF!</v>
          </cell>
          <cell r="FK4" t="e">
            <v>#REF!</v>
          </cell>
          <cell r="FL4" t="e">
            <v>#REF!</v>
          </cell>
          <cell r="FM4" t="e">
            <v>#REF!</v>
          </cell>
          <cell r="FN4" t="e">
            <v>#REF!</v>
          </cell>
          <cell r="FO4" t="e">
            <v>#REF!</v>
          </cell>
          <cell r="FP4" t="e">
            <v>#REF!</v>
          </cell>
          <cell r="FQ4" t="e">
            <v>#REF!</v>
          </cell>
          <cell r="FR4" t="e">
            <v>#REF!</v>
          </cell>
          <cell r="FS4" t="e">
            <v>#REF!</v>
          </cell>
          <cell r="FT4" t="e">
            <v>#REF!</v>
          </cell>
          <cell r="FU4" t="e">
            <v>#REF!</v>
          </cell>
          <cell r="FV4" t="e">
            <v>#REF!</v>
          </cell>
          <cell r="FW4" t="e">
            <v>#REF!</v>
          </cell>
          <cell r="FX4" t="e">
            <v>#REF!</v>
          </cell>
          <cell r="FY4" t="e">
            <v>#REF!</v>
          </cell>
          <cell r="FZ4" t="e">
            <v>#REF!</v>
          </cell>
          <cell r="GA4" t="e">
            <v>#REF!</v>
          </cell>
          <cell r="GB4" t="e">
            <v>#REF!</v>
          </cell>
          <cell r="GC4" t="e">
            <v>#REF!</v>
          </cell>
          <cell r="GD4" t="e">
            <v>#REF!</v>
          </cell>
          <cell r="GE4" t="e">
            <v>#REF!</v>
          </cell>
          <cell r="GF4" t="e">
            <v>#REF!</v>
          </cell>
          <cell r="GG4" t="e">
            <v>#REF!</v>
          </cell>
          <cell r="GH4" t="e">
            <v>#REF!</v>
          </cell>
          <cell r="GI4" t="e">
            <v>#REF!</v>
          </cell>
          <cell r="GJ4" t="e">
            <v>#REF!</v>
          </cell>
          <cell r="GK4" t="e">
            <v>#REF!</v>
          </cell>
          <cell r="GL4" t="e">
            <v>#REF!</v>
          </cell>
          <cell r="GM4" t="e">
            <v>#REF!</v>
          </cell>
          <cell r="GN4" t="e">
            <v>#REF!</v>
          </cell>
          <cell r="GO4" t="e">
            <v>#REF!</v>
          </cell>
          <cell r="GP4" t="e">
            <v>#REF!</v>
          </cell>
          <cell r="GQ4" t="e">
            <v>#REF!</v>
          </cell>
          <cell r="GR4" t="e">
            <v>#REF!</v>
          </cell>
          <cell r="GS4" t="e">
            <v>#REF!</v>
          </cell>
          <cell r="GT4" t="e">
            <v>#REF!</v>
          </cell>
          <cell r="GU4" t="e">
            <v>#REF!</v>
          </cell>
          <cell r="GV4" t="e">
            <v>#REF!</v>
          </cell>
          <cell r="GW4" t="e">
            <v>#REF!</v>
          </cell>
          <cell r="GX4" t="e">
            <v>#REF!</v>
          </cell>
          <cell r="GY4" t="e">
            <v>#REF!</v>
          </cell>
          <cell r="GZ4" t="e">
            <v>#REF!</v>
          </cell>
          <cell r="HA4" t="e">
            <v>#REF!</v>
          </cell>
          <cell r="HB4" t="e">
            <v>#REF!</v>
          </cell>
          <cell r="HC4" t="e">
            <v>#REF!</v>
          </cell>
          <cell r="HD4" t="e">
            <v>#REF!</v>
          </cell>
          <cell r="HE4" t="e">
            <v>#REF!</v>
          </cell>
          <cell r="HF4" t="e">
            <v>#REF!</v>
          </cell>
          <cell r="HG4" t="e">
            <v>#REF!</v>
          </cell>
          <cell r="HH4" t="e">
            <v>#REF!</v>
          </cell>
          <cell r="HI4" t="e">
            <v>#REF!</v>
          </cell>
          <cell r="HJ4" t="e">
            <v>#REF!</v>
          </cell>
          <cell r="HK4" t="e">
            <v>#REF!</v>
          </cell>
        </row>
        <row r="6"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  <cell r="AQ6" t="e">
            <v>#REF!</v>
          </cell>
          <cell r="AR6" t="e">
            <v>#REF!</v>
          </cell>
          <cell r="AS6" t="e">
            <v>#REF!</v>
          </cell>
          <cell r="AT6" t="e">
            <v>#REF!</v>
          </cell>
          <cell r="AU6" t="e">
            <v>#REF!</v>
          </cell>
          <cell r="AV6" t="e">
            <v>#REF!</v>
          </cell>
          <cell r="AW6" t="e">
            <v>#REF!</v>
          </cell>
          <cell r="AX6" t="e">
            <v>#REF!</v>
          </cell>
          <cell r="AY6" t="e">
            <v>#REF!</v>
          </cell>
          <cell r="AZ6" t="e">
            <v>#REF!</v>
          </cell>
          <cell r="BA6" t="e">
            <v>#REF!</v>
          </cell>
          <cell r="BB6" t="e">
            <v>#REF!</v>
          </cell>
          <cell r="BC6" t="e">
            <v>#REF!</v>
          </cell>
          <cell r="BD6" t="e">
            <v>#REF!</v>
          </cell>
          <cell r="BE6" t="e">
            <v>#REF!</v>
          </cell>
          <cell r="BF6" t="e">
            <v>#REF!</v>
          </cell>
          <cell r="BG6" t="e">
            <v>#REF!</v>
          </cell>
          <cell r="BH6" t="e">
            <v>#REF!</v>
          </cell>
          <cell r="BI6" t="e">
            <v>#REF!</v>
          </cell>
          <cell r="BJ6" t="e">
            <v>#REF!</v>
          </cell>
          <cell r="BK6" t="e">
            <v>#REF!</v>
          </cell>
          <cell r="BL6" t="e">
            <v>#REF!</v>
          </cell>
          <cell r="BM6" t="e">
            <v>#REF!</v>
          </cell>
          <cell r="BN6" t="e">
            <v>#REF!</v>
          </cell>
          <cell r="BO6" t="e">
            <v>#REF!</v>
          </cell>
          <cell r="BP6" t="e">
            <v>#REF!</v>
          </cell>
          <cell r="BQ6" t="e">
            <v>#REF!</v>
          </cell>
          <cell r="BR6" t="e">
            <v>#REF!</v>
          </cell>
          <cell r="BS6" t="e">
            <v>#REF!</v>
          </cell>
          <cell r="BT6" t="e">
            <v>#REF!</v>
          </cell>
          <cell r="BU6" t="e">
            <v>#REF!</v>
          </cell>
          <cell r="BV6" t="e">
            <v>#REF!</v>
          </cell>
          <cell r="BW6" t="e">
            <v>#REF!</v>
          </cell>
          <cell r="BX6" t="e">
            <v>#REF!</v>
          </cell>
          <cell r="BY6" t="e">
            <v>#REF!</v>
          </cell>
          <cell r="BZ6" t="e">
            <v>#REF!</v>
          </cell>
          <cell r="CA6" t="e">
            <v>#REF!</v>
          </cell>
          <cell r="CB6" t="e">
            <v>#REF!</v>
          </cell>
          <cell r="CC6" t="e">
            <v>#REF!</v>
          </cell>
          <cell r="CD6" t="e">
            <v>#REF!</v>
          </cell>
          <cell r="CE6" t="e">
            <v>#REF!</v>
          </cell>
          <cell r="CF6" t="e">
            <v>#REF!</v>
          </cell>
          <cell r="CG6" t="e">
            <v>#REF!</v>
          </cell>
          <cell r="CH6" t="e">
            <v>#REF!</v>
          </cell>
          <cell r="CI6" t="e">
            <v>#REF!</v>
          </cell>
          <cell r="CJ6" t="e">
            <v>#REF!</v>
          </cell>
          <cell r="CK6" t="e">
            <v>#REF!</v>
          </cell>
          <cell r="CL6" t="e">
            <v>#REF!</v>
          </cell>
          <cell r="CM6" t="e">
            <v>#REF!</v>
          </cell>
          <cell r="CN6" t="e">
            <v>#REF!</v>
          </cell>
          <cell r="CO6" t="e">
            <v>#REF!</v>
          </cell>
          <cell r="CP6" t="e">
            <v>#REF!</v>
          </cell>
          <cell r="CQ6" t="e">
            <v>#REF!</v>
          </cell>
          <cell r="CR6" t="e">
            <v>#REF!</v>
          </cell>
          <cell r="CS6" t="e">
            <v>#REF!</v>
          </cell>
          <cell r="CT6" t="e">
            <v>#REF!</v>
          </cell>
          <cell r="CU6" t="e">
            <v>#REF!</v>
          </cell>
          <cell r="CV6" t="e">
            <v>#REF!</v>
          </cell>
          <cell r="CW6" t="e">
            <v>#REF!</v>
          </cell>
          <cell r="CX6" t="e">
            <v>#REF!</v>
          </cell>
          <cell r="CY6" t="e">
            <v>#REF!</v>
          </cell>
          <cell r="CZ6" t="e">
            <v>#REF!</v>
          </cell>
          <cell r="DA6" t="e">
            <v>#REF!</v>
          </cell>
          <cell r="DB6" t="e">
            <v>#REF!</v>
          </cell>
          <cell r="DC6" t="e">
            <v>#REF!</v>
          </cell>
          <cell r="DD6" t="e">
            <v>#REF!</v>
          </cell>
          <cell r="DE6" t="e">
            <v>#REF!</v>
          </cell>
          <cell r="DF6" t="e">
            <v>#REF!</v>
          </cell>
          <cell r="DG6" t="e">
            <v>#REF!</v>
          </cell>
          <cell r="DH6" t="e">
            <v>#REF!</v>
          </cell>
          <cell r="DI6" t="e">
            <v>#REF!</v>
          </cell>
          <cell r="DJ6" t="e">
            <v>#REF!</v>
          </cell>
          <cell r="DK6" t="e">
            <v>#REF!</v>
          </cell>
          <cell r="DL6" t="e">
            <v>#REF!</v>
          </cell>
          <cell r="DM6" t="e">
            <v>#REF!</v>
          </cell>
          <cell r="DN6" t="e">
            <v>#REF!</v>
          </cell>
          <cell r="DO6" t="e">
            <v>#REF!</v>
          </cell>
          <cell r="DP6" t="e">
            <v>#REF!</v>
          </cell>
          <cell r="DQ6" t="e">
            <v>#REF!</v>
          </cell>
          <cell r="DR6" t="e">
            <v>#REF!</v>
          </cell>
          <cell r="DS6" t="e">
            <v>#REF!</v>
          </cell>
          <cell r="DT6" t="e">
            <v>#REF!</v>
          </cell>
          <cell r="DU6" t="e">
            <v>#REF!</v>
          </cell>
          <cell r="DV6" t="e">
            <v>#REF!</v>
          </cell>
          <cell r="DW6" t="e">
            <v>#REF!</v>
          </cell>
          <cell r="DX6" t="e">
            <v>#REF!</v>
          </cell>
          <cell r="DY6" t="e">
            <v>#REF!</v>
          </cell>
          <cell r="DZ6" t="e">
            <v>#REF!</v>
          </cell>
          <cell r="EA6" t="e">
            <v>#REF!</v>
          </cell>
          <cell r="EB6" t="e">
            <v>#REF!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FB6" t="e">
            <v>#REF!</v>
          </cell>
          <cell r="FC6" t="e">
            <v>#REF!</v>
          </cell>
          <cell r="FD6" t="e">
            <v>#REF!</v>
          </cell>
          <cell r="FE6" t="e">
            <v>#REF!</v>
          </cell>
          <cell r="FF6" t="e">
            <v>#REF!</v>
          </cell>
          <cell r="FG6" t="e">
            <v>#REF!</v>
          </cell>
          <cell r="FH6" t="e">
            <v>#REF!</v>
          </cell>
          <cell r="FI6" t="e">
            <v>#REF!</v>
          </cell>
          <cell r="FJ6" t="e">
            <v>#REF!</v>
          </cell>
          <cell r="FK6" t="e">
            <v>#REF!</v>
          </cell>
          <cell r="FL6" t="e">
            <v>#REF!</v>
          </cell>
          <cell r="FM6" t="e">
            <v>#REF!</v>
          </cell>
          <cell r="FN6" t="e">
            <v>#REF!</v>
          </cell>
          <cell r="FO6" t="e">
            <v>#REF!</v>
          </cell>
          <cell r="FP6" t="e">
            <v>#REF!</v>
          </cell>
          <cell r="FQ6" t="e">
            <v>#REF!</v>
          </cell>
          <cell r="FR6" t="e">
            <v>#REF!</v>
          </cell>
          <cell r="FS6" t="e">
            <v>#REF!</v>
          </cell>
          <cell r="FT6" t="e">
            <v>#REF!</v>
          </cell>
          <cell r="FU6" t="e">
            <v>#REF!</v>
          </cell>
          <cell r="FV6" t="e">
            <v>#REF!</v>
          </cell>
          <cell r="FW6" t="e">
            <v>#REF!</v>
          </cell>
          <cell r="FX6" t="e">
            <v>#REF!</v>
          </cell>
          <cell r="FY6" t="e">
            <v>#REF!</v>
          </cell>
          <cell r="FZ6" t="e">
            <v>#REF!</v>
          </cell>
          <cell r="GA6" t="e">
            <v>#REF!</v>
          </cell>
          <cell r="GB6" t="e">
            <v>#REF!</v>
          </cell>
          <cell r="GC6" t="e">
            <v>#REF!</v>
          </cell>
          <cell r="GD6" t="e">
            <v>#REF!</v>
          </cell>
          <cell r="GE6" t="e">
            <v>#REF!</v>
          </cell>
          <cell r="GF6" t="e">
            <v>#REF!</v>
          </cell>
          <cell r="GG6" t="e">
            <v>#REF!</v>
          </cell>
          <cell r="GH6" t="e">
            <v>#REF!</v>
          </cell>
          <cell r="GI6" t="e">
            <v>#REF!</v>
          </cell>
          <cell r="GJ6" t="e">
            <v>#REF!</v>
          </cell>
          <cell r="GK6" t="e">
            <v>#REF!</v>
          </cell>
          <cell r="GL6" t="e">
            <v>#REF!</v>
          </cell>
          <cell r="GM6" t="e">
            <v>#REF!</v>
          </cell>
          <cell r="GN6" t="e">
            <v>#REF!</v>
          </cell>
          <cell r="GO6" t="e">
            <v>#REF!</v>
          </cell>
          <cell r="GP6" t="e">
            <v>#REF!</v>
          </cell>
          <cell r="GQ6" t="e">
            <v>#REF!</v>
          </cell>
          <cell r="GR6" t="e">
            <v>#REF!</v>
          </cell>
          <cell r="GS6" t="e">
            <v>#REF!</v>
          </cell>
          <cell r="GT6" t="e">
            <v>#REF!</v>
          </cell>
          <cell r="GU6" t="e">
            <v>#REF!</v>
          </cell>
          <cell r="GV6" t="e">
            <v>#REF!</v>
          </cell>
          <cell r="GW6" t="e">
            <v>#REF!</v>
          </cell>
          <cell r="GX6" t="e">
            <v>#REF!</v>
          </cell>
          <cell r="GY6" t="e">
            <v>#REF!</v>
          </cell>
          <cell r="GZ6" t="e">
            <v>#REF!</v>
          </cell>
          <cell r="HA6" t="e">
            <v>#REF!</v>
          </cell>
          <cell r="HB6" t="e">
            <v>#REF!</v>
          </cell>
          <cell r="HC6" t="e">
            <v>#REF!</v>
          </cell>
          <cell r="HD6" t="e">
            <v>#REF!</v>
          </cell>
          <cell r="HE6" t="e">
            <v>#REF!</v>
          </cell>
          <cell r="HF6" t="e">
            <v>#REF!</v>
          </cell>
          <cell r="HG6" t="e">
            <v>#REF!</v>
          </cell>
          <cell r="HH6" t="e">
            <v>#REF!</v>
          </cell>
          <cell r="HI6" t="e">
            <v>#REF!</v>
          </cell>
          <cell r="HJ6" t="e">
            <v>#REF!</v>
          </cell>
          <cell r="HK6" t="e">
            <v>#REF!</v>
          </cell>
        </row>
        <row r="9">
          <cell r="D9">
            <v>0.10783166285218215</v>
          </cell>
          <cell r="E9">
            <v>0.10783166285218215</v>
          </cell>
          <cell r="F9">
            <v>0.10783166285218215</v>
          </cell>
          <cell r="G9">
            <v>0.10783166285218215</v>
          </cell>
          <cell r="H9">
            <v>0.10783166285218215</v>
          </cell>
          <cell r="I9">
            <v>0.10783166285218215</v>
          </cell>
          <cell r="J9">
            <v>0.10783166285218215</v>
          </cell>
          <cell r="K9">
            <v>0.10783166285218215</v>
          </cell>
          <cell r="L9">
            <v>0.10783166285218215</v>
          </cell>
          <cell r="M9">
            <v>0.10783166285218215</v>
          </cell>
          <cell r="N9">
            <v>0.10783166285218215</v>
          </cell>
          <cell r="O9">
            <v>0.10783166285218215</v>
          </cell>
          <cell r="P9">
            <v>0.10783166285218215</v>
          </cell>
          <cell r="Q9">
            <v>0.10783166285218215</v>
          </cell>
          <cell r="R9">
            <v>0.10783166285218215</v>
          </cell>
          <cell r="S9">
            <v>0.10783166285218215</v>
          </cell>
          <cell r="T9">
            <v>0.10783166285218215</v>
          </cell>
          <cell r="U9">
            <v>0.10783166285218215</v>
          </cell>
          <cell r="V9">
            <v>0.10783166285218215</v>
          </cell>
          <cell r="W9">
            <v>0.10783166285218215</v>
          </cell>
          <cell r="X9">
            <v>0.10783166285218215</v>
          </cell>
          <cell r="Y9">
            <v>0.10783166285218215</v>
          </cell>
          <cell r="Z9">
            <v>0.10783166285218215</v>
          </cell>
          <cell r="AA9">
            <v>0.10783166285218215</v>
          </cell>
          <cell r="AB9">
            <v>0.10783166285218215</v>
          </cell>
          <cell r="AC9">
            <v>0.10783166285218215</v>
          </cell>
          <cell r="AD9">
            <v>0.10783166285218215</v>
          </cell>
          <cell r="AE9">
            <v>0.10783166285218215</v>
          </cell>
          <cell r="AF9">
            <v>0.10783166285218215</v>
          </cell>
          <cell r="AG9">
            <v>0.10783166285218215</v>
          </cell>
          <cell r="AH9">
            <v>0.10783166285218215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  <cell r="AQ9" t="e">
            <v>#REF!</v>
          </cell>
          <cell r="AR9" t="e">
            <v>#REF!</v>
          </cell>
          <cell r="AS9" t="e">
            <v>#REF!</v>
          </cell>
          <cell r="AT9" t="e">
            <v>#REF!</v>
          </cell>
          <cell r="AU9" t="e">
            <v>#REF!</v>
          </cell>
          <cell r="AV9" t="e">
            <v>#REF!</v>
          </cell>
          <cell r="AW9" t="e">
            <v>#REF!</v>
          </cell>
          <cell r="AX9" t="e">
            <v>#REF!</v>
          </cell>
          <cell r="AY9" t="e">
            <v>#REF!</v>
          </cell>
          <cell r="AZ9" t="e">
            <v>#REF!</v>
          </cell>
          <cell r="BA9" t="e">
            <v>#REF!</v>
          </cell>
          <cell r="BB9" t="e">
            <v>#REF!</v>
          </cell>
          <cell r="BC9" t="e">
            <v>#REF!</v>
          </cell>
          <cell r="BD9" t="e">
            <v>#REF!</v>
          </cell>
          <cell r="BE9" t="e">
            <v>#REF!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 t="e">
            <v>#REF!</v>
          </cell>
          <cell r="BL9" t="e">
            <v>#REF!</v>
          </cell>
          <cell r="BM9" t="e">
            <v>#REF!</v>
          </cell>
          <cell r="BN9" t="e">
            <v>#REF!</v>
          </cell>
          <cell r="BO9" t="e">
            <v>#REF!</v>
          </cell>
          <cell r="BP9" t="e">
            <v>#REF!</v>
          </cell>
          <cell r="BQ9" t="e">
            <v>#REF!</v>
          </cell>
          <cell r="BR9" t="e">
            <v>#REF!</v>
          </cell>
          <cell r="BS9" t="e">
            <v>#REF!</v>
          </cell>
          <cell r="BT9" t="e">
            <v>#REF!</v>
          </cell>
          <cell r="BU9" t="e">
            <v>#REF!</v>
          </cell>
          <cell r="BV9" t="e">
            <v>#REF!</v>
          </cell>
          <cell r="BW9" t="e">
            <v>#REF!</v>
          </cell>
          <cell r="BX9" t="e">
            <v>#REF!</v>
          </cell>
          <cell r="BY9" t="e">
            <v>#REF!</v>
          </cell>
          <cell r="BZ9" t="e">
            <v>#REF!</v>
          </cell>
          <cell r="CA9" t="e">
            <v>#REF!</v>
          </cell>
          <cell r="CB9" t="e">
            <v>#REF!</v>
          </cell>
          <cell r="CC9" t="e">
            <v>#REF!</v>
          </cell>
          <cell r="CD9" t="e">
            <v>#REF!</v>
          </cell>
          <cell r="CE9" t="e">
            <v>#REF!</v>
          </cell>
          <cell r="CF9" t="e">
            <v>#REF!</v>
          </cell>
          <cell r="CG9" t="e">
            <v>#REF!</v>
          </cell>
          <cell r="CH9" t="e">
            <v>#REF!</v>
          </cell>
          <cell r="CI9" t="e">
            <v>#REF!</v>
          </cell>
          <cell r="CJ9" t="e">
            <v>#REF!</v>
          </cell>
          <cell r="CK9" t="e">
            <v>#REF!</v>
          </cell>
          <cell r="CL9" t="e">
            <v>#REF!</v>
          </cell>
          <cell r="CM9" t="e">
            <v>#REF!</v>
          </cell>
          <cell r="CN9" t="e">
            <v>#REF!</v>
          </cell>
          <cell r="CO9" t="e">
            <v>#REF!</v>
          </cell>
          <cell r="CP9" t="e">
            <v>#REF!</v>
          </cell>
          <cell r="CQ9" t="e">
            <v>#REF!</v>
          </cell>
          <cell r="CR9" t="e">
            <v>#REF!</v>
          </cell>
          <cell r="CS9" t="e">
            <v>#REF!</v>
          </cell>
          <cell r="CT9" t="e">
            <v>#REF!</v>
          </cell>
          <cell r="CU9" t="e">
            <v>#REF!</v>
          </cell>
          <cell r="CV9" t="e">
            <v>#REF!</v>
          </cell>
          <cell r="CW9" t="e">
            <v>#REF!</v>
          </cell>
          <cell r="CX9" t="e">
            <v>#REF!</v>
          </cell>
          <cell r="CY9" t="e">
            <v>#REF!</v>
          </cell>
          <cell r="CZ9" t="e">
            <v>#REF!</v>
          </cell>
          <cell r="DA9" t="e">
            <v>#REF!</v>
          </cell>
          <cell r="DB9" t="e">
            <v>#REF!</v>
          </cell>
          <cell r="DC9" t="e">
            <v>#REF!</v>
          </cell>
          <cell r="DD9" t="e">
            <v>#REF!</v>
          </cell>
          <cell r="DE9" t="e">
            <v>#REF!</v>
          </cell>
          <cell r="DF9" t="e">
            <v>#REF!</v>
          </cell>
          <cell r="DG9" t="e">
            <v>#REF!</v>
          </cell>
          <cell r="DH9" t="e">
            <v>#REF!</v>
          </cell>
          <cell r="DI9" t="e">
            <v>#REF!</v>
          </cell>
          <cell r="DJ9" t="e">
            <v>#REF!</v>
          </cell>
          <cell r="DK9" t="e">
            <v>#REF!</v>
          </cell>
          <cell r="DL9" t="e">
            <v>#REF!</v>
          </cell>
          <cell r="DM9" t="e">
            <v>#REF!</v>
          </cell>
          <cell r="DN9" t="e">
            <v>#REF!</v>
          </cell>
          <cell r="DO9" t="e">
            <v>#REF!</v>
          </cell>
          <cell r="DP9" t="e">
            <v>#REF!</v>
          </cell>
          <cell r="DQ9" t="e">
            <v>#REF!</v>
          </cell>
          <cell r="DR9" t="e">
            <v>#REF!</v>
          </cell>
          <cell r="DS9" t="e">
            <v>#REF!</v>
          </cell>
          <cell r="DT9" t="e">
            <v>#REF!</v>
          </cell>
          <cell r="DU9" t="e">
            <v>#REF!</v>
          </cell>
          <cell r="DV9" t="e">
            <v>#REF!</v>
          </cell>
          <cell r="DW9" t="e">
            <v>#REF!</v>
          </cell>
          <cell r="DX9" t="e">
            <v>#REF!</v>
          </cell>
          <cell r="DY9" t="e">
            <v>#REF!</v>
          </cell>
          <cell r="DZ9" t="e">
            <v>#REF!</v>
          </cell>
          <cell r="EA9" t="e">
            <v>#REF!</v>
          </cell>
          <cell r="EB9" t="e">
            <v>#REF!</v>
          </cell>
          <cell r="EC9" t="e">
            <v>#REF!</v>
          </cell>
          <cell r="ED9" t="e">
            <v>#REF!</v>
          </cell>
          <cell r="EE9" t="e">
            <v>#REF!</v>
          </cell>
          <cell r="EF9" t="e">
            <v>#REF!</v>
          </cell>
          <cell r="EG9" t="e">
            <v>#REF!</v>
          </cell>
          <cell r="EH9" t="e">
            <v>#REF!</v>
          </cell>
          <cell r="EI9" t="e">
            <v>#REF!</v>
          </cell>
          <cell r="EJ9" t="e">
            <v>#REF!</v>
          </cell>
          <cell r="EK9" t="e">
            <v>#REF!</v>
          </cell>
          <cell r="EL9" t="e">
            <v>#REF!</v>
          </cell>
          <cell r="EM9" t="e">
            <v>#REF!</v>
          </cell>
          <cell r="EN9" t="e">
            <v>#REF!</v>
          </cell>
          <cell r="EO9" t="e">
            <v>#REF!</v>
          </cell>
          <cell r="EP9" t="e">
            <v>#REF!</v>
          </cell>
          <cell r="EQ9" t="e">
            <v>#REF!</v>
          </cell>
          <cell r="ER9" t="e">
            <v>#REF!</v>
          </cell>
          <cell r="ES9" t="e">
            <v>#REF!</v>
          </cell>
          <cell r="ET9" t="e">
            <v>#REF!</v>
          </cell>
          <cell r="EU9" t="e">
            <v>#REF!</v>
          </cell>
          <cell r="EV9" t="e">
            <v>#REF!</v>
          </cell>
          <cell r="EW9" t="e">
            <v>#REF!</v>
          </cell>
          <cell r="EX9" t="e">
            <v>#REF!</v>
          </cell>
          <cell r="EY9" t="e">
            <v>#REF!</v>
          </cell>
          <cell r="EZ9" t="e">
            <v>#REF!</v>
          </cell>
          <cell r="FA9" t="e">
            <v>#REF!</v>
          </cell>
          <cell r="FB9" t="e">
            <v>#REF!</v>
          </cell>
          <cell r="FC9" t="e">
            <v>#REF!</v>
          </cell>
          <cell r="FD9" t="e">
            <v>#REF!</v>
          </cell>
          <cell r="FE9" t="e">
            <v>#REF!</v>
          </cell>
          <cell r="FF9" t="e">
            <v>#REF!</v>
          </cell>
          <cell r="FG9" t="e">
            <v>#REF!</v>
          </cell>
          <cell r="FH9" t="e">
            <v>#REF!</v>
          </cell>
          <cell r="FI9" t="e">
            <v>#REF!</v>
          </cell>
          <cell r="FJ9" t="e">
            <v>#REF!</v>
          </cell>
          <cell r="FK9" t="e">
            <v>#REF!</v>
          </cell>
          <cell r="FL9" t="e">
            <v>#REF!</v>
          </cell>
          <cell r="FM9" t="e">
            <v>#REF!</v>
          </cell>
          <cell r="FN9" t="e">
            <v>#REF!</v>
          </cell>
          <cell r="FO9" t="e">
            <v>#REF!</v>
          </cell>
          <cell r="FP9" t="e">
            <v>#REF!</v>
          </cell>
          <cell r="FQ9" t="e">
            <v>#REF!</v>
          </cell>
          <cell r="FR9" t="e">
            <v>#REF!</v>
          </cell>
          <cell r="FS9" t="e">
            <v>#REF!</v>
          </cell>
          <cell r="FT9" t="e">
            <v>#REF!</v>
          </cell>
          <cell r="FU9" t="e">
            <v>#REF!</v>
          </cell>
          <cell r="FV9" t="e">
            <v>#REF!</v>
          </cell>
          <cell r="FW9" t="e">
            <v>#REF!</v>
          </cell>
          <cell r="FX9" t="e">
            <v>#REF!</v>
          </cell>
          <cell r="FY9" t="e">
            <v>#REF!</v>
          </cell>
          <cell r="FZ9" t="e">
            <v>#REF!</v>
          </cell>
          <cell r="GA9" t="e">
            <v>#REF!</v>
          </cell>
          <cell r="GB9" t="e">
            <v>#REF!</v>
          </cell>
          <cell r="GC9" t="e">
            <v>#REF!</v>
          </cell>
          <cell r="GD9" t="e">
            <v>#REF!</v>
          </cell>
          <cell r="GE9" t="e">
            <v>#REF!</v>
          </cell>
          <cell r="GF9" t="e">
            <v>#REF!</v>
          </cell>
          <cell r="GG9" t="e">
            <v>#REF!</v>
          </cell>
          <cell r="GH9" t="e">
            <v>#REF!</v>
          </cell>
          <cell r="GI9" t="e">
            <v>#REF!</v>
          </cell>
          <cell r="GJ9" t="e">
            <v>#REF!</v>
          </cell>
          <cell r="GK9" t="e">
            <v>#REF!</v>
          </cell>
          <cell r="GL9" t="e">
            <v>#REF!</v>
          </cell>
          <cell r="GM9" t="e">
            <v>#REF!</v>
          </cell>
          <cell r="GN9" t="e">
            <v>#REF!</v>
          </cell>
          <cell r="GO9" t="e">
            <v>#REF!</v>
          </cell>
          <cell r="GP9" t="e">
            <v>#REF!</v>
          </cell>
          <cell r="GQ9" t="e">
            <v>#REF!</v>
          </cell>
          <cell r="GR9" t="e">
            <v>#REF!</v>
          </cell>
          <cell r="GS9" t="e">
            <v>#REF!</v>
          </cell>
          <cell r="GT9" t="e">
            <v>#REF!</v>
          </cell>
          <cell r="GU9" t="e">
            <v>#REF!</v>
          </cell>
          <cell r="GV9" t="e">
            <v>#REF!</v>
          </cell>
          <cell r="GW9" t="e">
            <v>#REF!</v>
          </cell>
          <cell r="GX9" t="e">
            <v>#REF!</v>
          </cell>
          <cell r="GY9" t="e">
            <v>#REF!</v>
          </cell>
          <cell r="GZ9" t="e">
            <v>#REF!</v>
          </cell>
          <cell r="HA9" t="e">
            <v>#REF!</v>
          </cell>
          <cell r="HB9" t="e">
            <v>#REF!</v>
          </cell>
          <cell r="HC9" t="e">
            <v>#REF!</v>
          </cell>
          <cell r="HD9" t="e">
            <v>#REF!</v>
          </cell>
          <cell r="HE9" t="e">
            <v>#REF!</v>
          </cell>
          <cell r="HF9" t="e">
            <v>#REF!</v>
          </cell>
          <cell r="HG9" t="e">
            <v>#REF!</v>
          </cell>
          <cell r="HH9" t="e">
            <v>#REF!</v>
          </cell>
          <cell r="HI9" t="e">
            <v>#REF!</v>
          </cell>
          <cell r="HJ9" t="e">
            <v>#REF!</v>
          </cell>
          <cell r="HK9" t="e">
            <v>#REF!</v>
          </cell>
        </row>
        <row r="11">
          <cell r="D11">
            <v>1535.6979000000033</v>
          </cell>
          <cell r="E11">
            <v>1510.4778000000033</v>
          </cell>
          <cell r="F11">
            <v>1519.0705000000032</v>
          </cell>
          <cell r="G11">
            <v>1527.6632000000031</v>
          </cell>
          <cell r="H11">
            <v>1536.2559000000031</v>
          </cell>
          <cell r="I11">
            <v>1544.848600000003</v>
          </cell>
          <cell r="J11">
            <v>1553.4413000000029</v>
          </cell>
          <cell r="K11">
            <v>1562.0340000000028</v>
          </cell>
          <cell r="L11">
            <v>1570.6267000000028</v>
          </cell>
          <cell r="M11">
            <v>1579.2194000000027</v>
          </cell>
          <cell r="N11">
            <v>1587.8121000000026</v>
          </cell>
          <cell r="O11">
            <v>1596.4048000000025</v>
          </cell>
          <cell r="P11">
            <v>1604.9975000000024</v>
          </cell>
          <cell r="Q11">
            <v>1613.5902000000024</v>
          </cell>
          <cell r="R11">
            <v>1622.1829000000023</v>
          </cell>
          <cell r="S11">
            <v>1630.7756000000022</v>
          </cell>
          <cell r="T11">
            <v>1639.3683000000021</v>
          </cell>
          <cell r="U11">
            <v>1647.9610000000021</v>
          </cell>
          <cell r="V11">
            <v>1656.553700000002</v>
          </cell>
          <cell r="W11">
            <v>1665.1464000000019</v>
          </cell>
          <cell r="X11">
            <v>1673.7391000000018</v>
          </cell>
          <cell r="Y11">
            <v>1682.3318000000017</v>
          </cell>
          <cell r="Z11">
            <v>1690.9245000000017</v>
          </cell>
          <cell r="AA11">
            <v>1699.5172000000016</v>
          </cell>
          <cell r="AB11">
            <v>1708.1099000000015</v>
          </cell>
          <cell r="AC11">
            <v>1716.7026000000014</v>
          </cell>
          <cell r="AD11">
            <v>1725.2953000000014</v>
          </cell>
          <cell r="AE11">
            <v>1733.8880000000013</v>
          </cell>
          <cell r="AF11">
            <v>1742.4807000000012</v>
          </cell>
          <cell r="AG11">
            <v>804.31500000000005</v>
          </cell>
          <cell r="AH11">
            <v>804.31500000000005</v>
          </cell>
          <cell r="AI11">
            <v>858.13179493087569</v>
          </cell>
          <cell r="AJ11">
            <v>911.94858986175132</v>
          </cell>
          <cell r="AK11">
            <v>965.76538479262695</v>
          </cell>
          <cell r="AL11">
            <v>1019.5821797235026</v>
          </cell>
          <cell r="AM11">
            <v>1073.3989746543782</v>
          </cell>
          <cell r="AN11">
            <v>1127.2157695852538</v>
          </cell>
          <cell r="AO11">
            <v>1181.0325645161295</v>
          </cell>
          <cell r="AP11">
            <v>1234.8493594470051</v>
          </cell>
          <cell r="AQ11">
            <v>1288.6661543778807</v>
          </cell>
          <cell r="AR11">
            <v>1342.4829493087564</v>
          </cell>
          <cell r="AS11">
            <v>1396.299744239632</v>
          </cell>
          <cell r="AT11">
            <v>1450.1165391705076</v>
          </cell>
          <cell r="AU11">
            <v>1503.9333341013833</v>
          </cell>
          <cell r="AV11">
            <v>1557.7501290322589</v>
          </cell>
          <cell r="AW11">
            <v>1611.5669239631345</v>
          </cell>
          <cell r="AX11">
            <v>1665.3837188940101</v>
          </cell>
          <cell r="AY11">
            <v>1719.2005138248858</v>
          </cell>
          <cell r="AZ11">
            <v>1773.0173087557614</v>
          </cell>
          <cell r="BA11">
            <v>1826.834103686637</v>
          </cell>
          <cell r="BB11">
            <v>1880.6508986175127</v>
          </cell>
          <cell r="BC11">
            <v>1934.4676935483883</v>
          </cell>
          <cell r="BD11">
            <v>1988.2844884792639</v>
          </cell>
          <cell r="BE11">
            <v>2042.1012834101396</v>
          </cell>
          <cell r="BF11">
            <v>2095.9180783410152</v>
          </cell>
          <cell r="BG11">
            <v>2149.734873271891</v>
          </cell>
          <cell r="BH11">
            <v>2203.5516682027669</v>
          </cell>
          <cell r="BI11">
            <v>2257.3684631336428</v>
          </cell>
          <cell r="BJ11">
            <v>2311.1852580645186</v>
          </cell>
          <cell r="BK11">
            <v>2365.0020529953945</v>
          </cell>
          <cell r="BL11">
            <v>2418.8188479262703</v>
          </cell>
          <cell r="BM11">
            <v>2472.6356428571453</v>
          </cell>
          <cell r="BN11">
            <v>2472.6356428571453</v>
          </cell>
          <cell r="BO11">
            <v>2526.4524377880211</v>
          </cell>
          <cell r="BP11">
            <v>2580.269232718897</v>
          </cell>
          <cell r="BQ11">
            <v>2634.0860276497729</v>
          </cell>
          <cell r="BR11">
            <v>2687.9028225806487</v>
          </cell>
          <cell r="BS11">
            <v>2741.7196175115246</v>
          </cell>
          <cell r="BT11">
            <v>2795.5364124424004</v>
          </cell>
          <cell r="BU11">
            <v>2849.3532073732763</v>
          </cell>
          <cell r="BV11">
            <v>2903.1700023041521</v>
          </cell>
          <cell r="BW11">
            <v>2956.986797235028</v>
          </cell>
          <cell r="BX11">
            <v>3010.8035921659039</v>
          </cell>
          <cell r="BY11">
            <v>3064.6203870967797</v>
          </cell>
          <cell r="BZ11">
            <v>3118.4371820276556</v>
          </cell>
          <cell r="CA11">
            <v>3172.2539769585314</v>
          </cell>
          <cell r="CB11">
            <v>3226.0707718894073</v>
          </cell>
          <cell r="CC11">
            <v>3279.8875668202832</v>
          </cell>
          <cell r="CD11">
            <v>3333.704361751159</v>
          </cell>
          <cell r="CE11">
            <v>3387.5211566820349</v>
          </cell>
          <cell r="CF11">
            <v>3441.3379516129107</v>
          </cell>
          <cell r="CG11">
            <v>3495.1547465437866</v>
          </cell>
          <cell r="CH11">
            <v>3548.9715414746624</v>
          </cell>
          <cell r="CI11">
            <v>3602.7883364055383</v>
          </cell>
          <cell r="CJ11">
            <v>3656.6051313364142</v>
          </cell>
          <cell r="CK11">
            <v>3710.42192626729</v>
          </cell>
          <cell r="CL11">
            <v>3764.2387211981659</v>
          </cell>
          <cell r="CM11">
            <v>3818.0555161290417</v>
          </cell>
          <cell r="CN11">
            <v>3871.8723110599176</v>
          </cell>
          <cell r="CO11">
            <v>3925.6891059907935</v>
          </cell>
          <cell r="CP11">
            <v>3979.5059009216693</v>
          </cell>
          <cell r="CQ11">
            <v>4033.3226958525452</v>
          </cell>
          <cell r="CR11">
            <v>4087.139490783421</v>
          </cell>
          <cell r="CS11">
            <v>4140.9562857142964</v>
          </cell>
          <cell r="CT11">
            <v>4194.7730806451718</v>
          </cell>
          <cell r="CU11">
            <v>4248.5898755760472</v>
          </cell>
          <cell r="CV11">
            <v>4302.4066705069226</v>
          </cell>
          <cell r="CW11">
            <v>4356.223465437798</v>
          </cell>
          <cell r="CX11">
            <v>4410.0402603686734</v>
          </cell>
          <cell r="CY11">
            <v>4463.8570552995488</v>
          </cell>
          <cell r="CZ11">
            <v>4517.6738502304243</v>
          </cell>
          <cell r="DA11">
            <v>4571.4906451612997</v>
          </cell>
          <cell r="DB11">
            <v>4625.3074400921751</v>
          </cell>
          <cell r="DC11">
            <v>4679.1242350230505</v>
          </cell>
          <cell r="DD11">
            <v>4732.9410299539259</v>
          </cell>
          <cell r="DE11">
            <v>4786.7578248848013</v>
          </cell>
          <cell r="DF11">
            <v>4840.5746198156767</v>
          </cell>
          <cell r="DG11">
            <v>4894.3914147465521</v>
          </cell>
          <cell r="DH11">
            <v>4948.2082096774275</v>
          </cell>
          <cell r="DI11">
            <v>5002.0250046083029</v>
          </cell>
          <cell r="DJ11">
            <v>5055.8417995391783</v>
          </cell>
          <cell r="DK11">
            <v>5109.6585944700537</v>
          </cell>
          <cell r="DL11">
            <v>5163.4753894009291</v>
          </cell>
          <cell r="DM11">
            <v>5217.2921843318045</v>
          </cell>
          <cell r="DN11">
            <v>5271.1089792626799</v>
          </cell>
          <cell r="DO11">
            <v>5324.9257741935553</v>
          </cell>
          <cell r="DP11">
            <v>5378.7425691244307</v>
          </cell>
          <cell r="DQ11">
            <v>5432.5593640553061</v>
          </cell>
          <cell r="DR11">
            <v>5486.3761589861815</v>
          </cell>
          <cell r="DS11">
            <v>5540.1929539170569</v>
          </cell>
          <cell r="DT11">
            <v>5594.0097488479323</v>
          </cell>
          <cell r="DU11">
            <v>5647.8265437788077</v>
          </cell>
          <cell r="DV11">
            <v>5701.6433387096831</v>
          </cell>
          <cell r="DW11">
            <v>5755.4601336405585</v>
          </cell>
          <cell r="DX11">
            <v>5694.8982666567617</v>
          </cell>
          <cell r="DY11">
            <v>5634.3363996729649</v>
          </cell>
          <cell r="DZ11">
            <v>5573.7745326891682</v>
          </cell>
          <cell r="EA11">
            <v>5513.2126657053714</v>
          </cell>
          <cell r="EB11">
            <v>5452.6507987215746</v>
          </cell>
          <cell r="EC11">
            <v>5392.0889317377778</v>
          </cell>
          <cell r="ED11">
            <v>5331.527064753981</v>
          </cell>
          <cell r="EE11">
            <v>5270.9651977701842</v>
          </cell>
          <cell r="EF11">
            <v>5210.4033307863874</v>
          </cell>
          <cell r="EG11">
            <v>5149.8414638025906</v>
          </cell>
          <cell r="EH11">
            <v>5089.2795968187938</v>
          </cell>
          <cell r="EI11">
            <v>5028.717729834997</v>
          </cell>
          <cell r="EJ11">
            <v>4968.1558628512003</v>
          </cell>
          <cell r="EK11">
            <v>4907.5939958674035</v>
          </cell>
          <cell r="EL11">
            <v>4847.0321288836067</v>
          </cell>
          <cell r="EM11">
            <v>4786.4702618998099</v>
          </cell>
          <cell r="EN11">
            <v>4725.9083949160131</v>
          </cell>
          <cell r="EO11">
            <v>4665.3465279322163</v>
          </cell>
          <cell r="EP11">
            <v>4604.7846609484195</v>
          </cell>
          <cell r="EQ11">
            <v>4544.2227939646227</v>
          </cell>
          <cell r="ER11">
            <v>4483.6609269808259</v>
          </cell>
          <cell r="ES11">
            <v>4423.0990599970291</v>
          </cell>
          <cell r="ET11">
            <v>4362.5371930132324</v>
          </cell>
          <cell r="EU11">
            <v>4301.9753260294356</v>
          </cell>
          <cell r="EV11">
            <v>4241.4134590456388</v>
          </cell>
          <cell r="EW11">
            <v>4180.851592061842</v>
          </cell>
          <cell r="EX11">
            <v>4120.2897250780452</v>
          </cell>
          <cell r="EY11">
            <v>4059.7278580942484</v>
          </cell>
          <cell r="EZ11">
            <v>3999.1659911104516</v>
          </cell>
          <cell r="FA11">
            <v>3938.6041241266548</v>
          </cell>
          <cell r="FB11">
            <v>3878.0422571428576</v>
          </cell>
          <cell r="FC11">
            <v>3817.4803901590608</v>
          </cell>
          <cell r="FD11">
            <v>3756.918523175264</v>
          </cell>
          <cell r="FE11">
            <v>3696.3566561914672</v>
          </cell>
          <cell r="FF11">
            <v>3635.7947892076704</v>
          </cell>
          <cell r="FG11">
            <v>3575.2329222238736</v>
          </cell>
          <cell r="FH11">
            <v>3514.6710552400768</v>
          </cell>
          <cell r="FI11">
            <v>3454.10918825628</v>
          </cell>
          <cell r="FJ11">
            <v>3393.5473212724833</v>
          </cell>
          <cell r="FK11">
            <v>3332.9854542886865</v>
          </cell>
          <cell r="FL11">
            <v>3272.4235873048897</v>
          </cell>
          <cell r="FM11">
            <v>3211.8617203210929</v>
          </cell>
          <cell r="FN11">
            <v>3151.2998533372961</v>
          </cell>
          <cell r="FO11">
            <v>3090.7379863534993</v>
          </cell>
          <cell r="FP11">
            <v>3030.1761193697025</v>
          </cell>
          <cell r="FQ11">
            <v>2969.6142523859057</v>
          </cell>
          <cell r="FR11">
            <v>2909.0523854021089</v>
          </cell>
          <cell r="FS11">
            <v>2848.4905184183121</v>
          </cell>
          <cell r="FT11">
            <v>2787.9286514345154</v>
          </cell>
          <cell r="FU11">
            <v>2727.3667844507186</v>
          </cell>
          <cell r="FV11">
            <v>2666.8049174669218</v>
          </cell>
          <cell r="FW11">
            <v>2606.243050483125</v>
          </cell>
          <cell r="FX11">
            <v>2545.6811834993282</v>
          </cell>
          <cell r="FY11">
            <v>2485.1193165155314</v>
          </cell>
          <cell r="FZ11">
            <v>2424.5574495317346</v>
          </cell>
          <cell r="GA11">
            <v>2363.9955825479378</v>
          </cell>
          <cell r="GB11">
            <v>2303.433715564141</v>
          </cell>
          <cell r="GC11">
            <v>2242.8718485803442</v>
          </cell>
          <cell r="GD11">
            <v>2182.3099815965475</v>
          </cell>
          <cell r="GE11">
            <v>2121.7481146127507</v>
          </cell>
          <cell r="GF11">
            <v>4346.5111285714283</v>
          </cell>
          <cell r="GG11">
            <v>4285.9492615876316</v>
          </cell>
          <cell r="GH11">
            <v>4225.3873946038348</v>
          </cell>
          <cell r="GI11">
            <v>4164.825527620038</v>
          </cell>
          <cell r="GJ11">
            <v>4104.2636606362412</v>
          </cell>
          <cell r="GK11">
            <v>4043.7017936524444</v>
          </cell>
          <cell r="GL11">
            <v>3983.1399266686476</v>
          </cell>
          <cell r="GM11">
            <v>3922.5780596848508</v>
          </cell>
          <cell r="GN11">
            <v>3862.016192701054</v>
          </cell>
          <cell r="GO11">
            <v>3801.4543257172572</v>
          </cell>
          <cell r="GP11">
            <v>3740.8924587334604</v>
          </cell>
          <cell r="GQ11">
            <v>3680.3305917496637</v>
          </cell>
          <cell r="GR11">
            <v>3619.7687247658669</v>
          </cell>
          <cell r="GS11">
            <v>3559.2068577820701</v>
          </cell>
          <cell r="GT11">
            <v>3498.6449907982733</v>
          </cell>
          <cell r="GU11">
            <v>3438.0831238144765</v>
          </cell>
          <cell r="GV11">
            <v>3377.5212568306797</v>
          </cell>
          <cell r="GW11">
            <v>3316.9593898468829</v>
          </cell>
          <cell r="GX11">
            <v>3256.3975228630861</v>
          </cell>
          <cell r="GY11">
            <v>3195.8356558792893</v>
          </cell>
          <cell r="GZ11">
            <v>3135.2737888954925</v>
          </cell>
          <cell r="HA11">
            <v>3074.7119219116958</v>
          </cell>
          <cell r="HB11">
            <v>3014.150054927899</v>
          </cell>
          <cell r="HC11">
            <v>2953.5881879441022</v>
          </cell>
          <cell r="HD11">
            <v>2893.0263209603054</v>
          </cell>
          <cell r="HE11">
            <v>2832.4644539765086</v>
          </cell>
          <cell r="HF11">
            <v>2771.9025869927118</v>
          </cell>
          <cell r="HG11">
            <v>2711.340720008915</v>
          </cell>
          <cell r="HH11">
            <v>2650.7788530251182</v>
          </cell>
          <cell r="HI11">
            <v>2590.2169860413214</v>
          </cell>
          <cell r="HJ11">
            <v>2529.6551190575246</v>
          </cell>
          <cell r="HK11">
            <v>4814.9799999999996</v>
          </cell>
        </row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  <cell r="AU14" t="e">
            <v>#REF!</v>
          </cell>
          <cell r="AV14" t="e">
            <v>#REF!</v>
          </cell>
          <cell r="AW14" t="e">
            <v>#REF!</v>
          </cell>
          <cell r="AX14" t="e">
            <v>#REF!</v>
          </cell>
          <cell r="AY14" t="e">
            <v>#REF!</v>
          </cell>
          <cell r="AZ14" t="e">
            <v>#REF!</v>
          </cell>
          <cell r="BA14" t="e">
            <v>#REF!</v>
          </cell>
          <cell r="BB14" t="e">
            <v>#REF!</v>
          </cell>
          <cell r="BC14" t="e">
            <v>#REF!</v>
          </cell>
          <cell r="BD14" t="e">
            <v>#REF!</v>
          </cell>
          <cell r="BE14" t="e">
            <v>#REF!</v>
          </cell>
          <cell r="BF14" t="e">
            <v>#REF!</v>
          </cell>
          <cell r="BG14" t="e">
            <v>#REF!</v>
          </cell>
          <cell r="BH14" t="e">
            <v>#REF!</v>
          </cell>
          <cell r="BI14" t="e">
            <v>#REF!</v>
          </cell>
          <cell r="BJ14" t="e">
            <v>#REF!</v>
          </cell>
          <cell r="BK14" t="e">
            <v>#REF!</v>
          </cell>
          <cell r="BL14" t="e">
            <v>#REF!</v>
          </cell>
          <cell r="BM14" t="e">
            <v>#REF!</v>
          </cell>
          <cell r="BN14" t="e">
            <v>#REF!</v>
          </cell>
          <cell r="BO14" t="e">
            <v>#REF!</v>
          </cell>
          <cell r="BP14" t="e">
            <v>#REF!</v>
          </cell>
          <cell r="BQ14" t="e">
            <v>#REF!</v>
          </cell>
          <cell r="BR14" t="e">
            <v>#REF!</v>
          </cell>
          <cell r="BS14" t="e">
            <v>#REF!</v>
          </cell>
          <cell r="BT14" t="e">
            <v>#REF!</v>
          </cell>
          <cell r="BU14" t="e">
            <v>#REF!</v>
          </cell>
          <cell r="BV14" t="e">
            <v>#REF!</v>
          </cell>
          <cell r="BW14" t="e">
            <v>#REF!</v>
          </cell>
          <cell r="BX14" t="e">
            <v>#REF!</v>
          </cell>
          <cell r="BY14" t="e">
            <v>#REF!</v>
          </cell>
          <cell r="BZ14" t="e">
            <v>#REF!</v>
          </cell>
          <cell r="CA14" t="e">
            <v>#REF!</v>
          </cell>
          <cell r="CB14" t="e">
            <v>#REF!</v>
          </cell>
          <cell r="CC14" t="e">
            <v>#REF!</v>
          </cell>
          <cell r="CD14" t="e">
            <v>#REF!</v>
          </cell>
          <cell r="CE14" t="e">
            <v>#REF!</v>
          </cell>
          <cell r="CF14" t="e">
            <v>#REF!</v>
          </cell>
          <cell r="CG14" t="e">
            <v>#REF!</v>
          </cell>
          <cell r="CH14" t="e">
            <v>#REF!</v>
          </cell>
          <cell r="CI14" t="e">
            <v>#REF!</v>
          </cell>
          <cell r="CJ14" t="e">
            <v>#REF!</v>
          </cell>
          <cell r="CK14" t="e">
            <v>#REF!</v>
          </cell>
          <cell r="CL14" t="e">
            <v>#REF!</v>
          </cell>
          <cell r="CM14" t="e">
            <v>#REF!</v>
          </cell>
          <cell r="CN14" t="e">
            <v>#REF!</v>
          </cell>
          <cell r="CO14" t="e">
            <v>#REF!</v>
          </cell>
          <cell r="CP14" t="e">
            <v>#REF!</v>
          </cell>
          <cell r="CQ14" t="e">
            <v>#REF!</v>
          </cell>
          <cell r="CR14" t="e">
            <v>#REF!</v>
          </cell>
          <cell r="CS14" t="e">
            <v>#REF!</v>
          </cell>
          <cell r="CT14" t="e">
            <v>#REF!</v>
          </cell>
          <cell r="CU14" t="e">
            <v>#REF!</v>
          </cell>
          <cell r="CV14" t="e">
            <v>#REF!</v>
          </cell>
          <cell r="CW14" t="e">
            <v>#REF!</v>
          </cell>
          <cell r="CX14" t="e">
            <v>#REF!</v>
          </cell>
          <cell r="CY14" t="e">
            <v>#REF!</v>
          </cell>
          <cell r="CZ14" t="e">
            <v>#REF!</v>
          </cell>
          <cell r="DA14" t="e">
            <v>#REF!</v>
          </cell>
          <cell r="DB14" t="e">
            <v>#REF!</v>
          </cell>
          <cell r="DC14" t="e">
            <v>#REF!</v>
          </cell>
          <cell r="DD14" t="e">
            <v>#REF!</v>
          </cell>
          <cell r="DE14" t="e">
            <v>#REF!</v>
          </cell>
          <cell r="DF14" t="e">
            <v>#REF!</v>
          </cell>
          <cell r="DG14" t="e">
            <v>#REF!</v>
          </cell>
          <cell r="DH14" t="e">
            <v>#REF!</v>
          </cell>
          <cell r="DI14" t="e">
            <v>#REF!</v>
          </cell>
          <cell r="DJ14" t="e">
            <v>#REF!</v>
          </cell>
          <cell r="DK14" t="e">
            <v>#REF!</v>
          </cell>
          <cell r="DL14" t="e">
            <v>#REF!</v>
          </cell>
          <cell r="DM14" t="e">
            <v>#REF!</v>
          </cell>
          <cell r="DN14" t="e">
            <v>#REF!</v>
          </cell>
          <cell r="DO14" t="e">
            <v>#REF!</v>
          </cell>
          <cell r="DP14" t="e">
            <v>#REF!</v>
          </cell>
          <cell r="DQ14" t="e">
            <v>#REF!</v>
          </cell>
          <cell r="DR14" t="e">
            <v>#REF!</v>
          </cell>
          <cell r="DS14" t="e">
            <v>#REF!</v>
          </cell>
          <cell r="DT14" t="e">
            <v>#REF!</v>
          </cell>
          <cell r="DU14" t="e">
            <v>#REF!</v>
          </cell>
          <cell r="DV14" t="e">
            <v>#REF!</v>
          </cell>
          <cell r="DW14" t="e">
            <v>#REF!</v>
          </cell>
          <cell r="DX14" t="e">
            <v>#REF!</v>
          </cell>
          <cell r="DY14" t="e">
            <v>#REF!</v>
          </cell>
          <cell r="DZ14" t="e">
            <v>#REF!</v>
          </cell>
          <cell r="EA14" t="e">
            <v>#REF!</v>
          </cell>
          <cell r="EB14" t="e">
            <v>#REF!</v>
          </cell>
          <cell r="EC14" t="e">
            <v>#REF!</v>
          </cell>
          <cell r="ED14" t="e">
            <v>#REF!</v>
          </cell>
          <cell r="EE14" t="e">
            <v>#REF!</v>
          </cell>
          <cell r="EF14" t="e">
            <v>#REF!</v>
          </cell>
          <cell r="EG14" t="e">
            <v>#REF!</v>
          </cell>
          <cell r="EH14" t="e">
            <v>#REF!</v>
          </cell>
          <cell r="EI14" t="e">
            <v>#REF!</v>
          </cell>
          <cell r="EJ14" t="e">
            <v>#REF!</v>
          </cell>
          <cell r="EK14" t="e">
            <v>#REF!</v>
          </cell>
          <cell r="EL14" t="e">
            <v>#REF!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 t="e">
            <v>#REF!</v>
          </cell>
          <cell r="EX14" t="e">
            <v>#REF!</v>
          </cell>
          <cell r="EY14" t="e">
            <v>#REF!</v>
          </cell>
          <cell r="EZ14" t="e">
            <v>#REF!</v>
          </cell>
          <cell r="FA14" t="e">
            <v>#REF!</v>
          </cell>
          <cell r="FB14" t="e">
            <v>#REF!</v>
          </cell>
          <cell r="FC14" t="e">
            <v>#REF!</v>
          </cell>
          <cell r="FD14" t="e">
            <v>#REF!</v>
          </cell>
          <cell r="FE14" t="e">
            <v>#REF!</v>
          </cell>
          <cell r="FF14" t="e">
            <v>#REF!</v>
          </cell>
          <cell r="FG14" t="e">
            <v>#REF!</v>
          </cell>
          <cell r="FH14" t="e">
            <v>#REF!</v>
          </cell>
          <cell r="FI14" t="e">
            <v>#REF!</v>
          </cell>
          <cell r="FJ14" t="e">
            <v>#REF!</v>
          </cell>
          <cell r="FK14" t="e">
            <v>#REF!</v>
          </cell>
          <cell r="FL14" t="e">
            <v>#REF!</v>
          </cell>
          <cell r="FM14" t="e">
            <v>#REF!</v>
          </cell>
          <cell r="FN14" t="e">
            <v>#REF!</v>
          </cell>
          <cell r="FO14" t="e">
            <v>#REF!</v>
          </cell>
          <cell r="FP14" t="e">
            <v>#REF!</v>
          </cell>
          <cell r="FQ14" t="e">
            <v>#REF!</v>
          </cell>
          <cell r="FR14" t="e">
            <v>#REF!</v>
          </cell>
          <cell r="FS14" t="e">
            <v>#REF!</v>
          </cell>
          <cell r="FT14" t="e">
            <v>#REF!</v>
          </cell>
          <cell r="FU14" t="e">
            <v>#REF!</v>
          </cell>
          <cell r="FV14" t="e">
            <v>#REF!</v>
          </cell>
          <cell r="FW14" t="e">
            <v>#REF!</v>
          </cell>
          <cell r="FX14" t="e">
            <v>#REF!</v>
          </cell>
          <cell r="FY14" t="e">
            <v>#REF!</v>
          </cell>
          <cell r="FZ14" t="e">
            <v>#REF!</v>
          </cell>
          <cell r="GA14" t="e">
            <v>#REF!</v>
          </cell>
          <cell r="GB14" t="e">
            <v>#REF!</v>
          </cell>
          <cell r="GC14" t="e">
            <v>#REF!</v>
          </cell>
          <cell r="GD14" t="e">
            <v>#REF!</v>
          </cell>
          <cell r="GE14" t="e">
            <v>#REF!</v>
          </cell>
          <cell r="GF14" t="e">
            <v>#REF!</v>
          </cell>
          <cell r="GG14" t="e">
            <v>#REF!</v>
          </cell>
          <cell r="GH14" t="e">
            <v>#REF!</v>
          </cell>
          <cell r="GI14" t="e">
            <v>#REF!</v>
          </cell>
          <cell r="GJ14" t="e">
            <v>#REF!</v>
          </cell>
          <cell r="GK14" t="e">
            <v>#REF!</v>
          </cell>
          <cell r="GL14" t="e">
            <v>#REF!</v>
          </cell>
          <cell r="GM14" t="e">
            <v>#REF!</v>
          </cell>
          <cell r="GN14" t="e">
            <v>#REF!</v>
          </cell>
          <cell r="GO14" t="e">
            <v>#REF!</v>
          </cell>
          <cell r="GP14" t="e">
            <v>#REF!</v>
          </cell>
          <cell r="GQ14" t="e">
            <v>#REF!</v>
          </cell>
          <cell r="GR14" t="e">
            <v>#REF!</v>
          </cell>
          <cell r="GS14" t="e">
            <v>#REF!</v>
          </cell>
          <cell r="GT14" t="e">
            <v>#REF!</v>
          </cell>
          <cell r="GU14" t="e">
            <v>#REF!</v>
          </cell>
          <cell r="GV14" t="e">
            <v>#REF!</v>
          </cell>
          <cell r="GW14" t="e">
            <v>#REF!</v>
          </cell>
          <cell r="GX14" t="e">
            <v>#REF!</v>
          </cell>
          <cell r="GY14" t="e">
            <v>#REF!</v>
          </cell>
          <cell r="GZ14" t="e">
            <v>#REF!</v>
          </cell>
          <cell r="HA14" t="e">
            <v>#REF!</v>
          </cell>
          <cell r="HB14" t="e">
            <v>#REF!</v>
          </cell>
          <cell r="HC14" t="e">
            <v>#REF!</v>
          </cell>
          <cell r="HD14" t="e">
            <v>#REF!</v>
          </cell>
          <cell r="HE14" t="e">
            <v>#REF!</v>
          </cell>
          <cell r="HF14" t="e">
            <v>#REF!</v>
          </cell>
          <cell r="HG14" t="e">
            <v>#REF!</v>
          </cell>
          <cell r="HH14" t="e">
            <v>#REF!</v>
          </cell>
          <cell r="HI14" t="e">
            <v>#REF!</v>
          </cell>
          <cell r="HJ14" t="e">
            <v>#REF!</v>
          </cell>
          <cell r="HK14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  <cell r="AR16" t="e">
            <v>#REF!</v>
          </cell>
          <cell r="AS16" t="e">
            <v>#REF!</v>
          </cell>
          <cell r="AT16" t="e">
            <v>#REF!</v>
          </cell>
          <cell r="AU16" t="e">
            <v>#REF!</v>
          </cell>
          <cell r="AV16" t="e">
            <v>#REF!</v>
          </cell>
          <cell r="AW16" t="e">
            <v>#REF!</v>
          </cell>
          <cell r="AX16" t="e">
            <v>#REF!</v>
          </cell>
          <cell r="AY16" t="e">
            <v>#REF!</v>
          </cell>
          <cell r="AZ16" t="e">
            <v>#REF!</v>
          </cell>
          <cell r="BA16" t="e">
            <v>#REF!</v>
          </cell>
          <cell r="BB16" t="e">
            <v>#REF!</v>
          </cell>
          <cell r="BC16" t="e">
            <v>#REF!</v>
          </cell>
          <cell r="BD16" t="e">
            <v>#REF!</v>
          </cell>
          <cell r="BE16" t="e">
            <v>#REF!</v>
          </cell>
          <cell r="BF16" t="e">
            <v>#REF!</v>
          </cell>
          <cell r="BG16" t="e">
            <v>#REF!</v>
          </cell>
          <cell r="BH16" t="e">
            <v>#REF!</v>
          </cell>
          <cell r="BI16" t="e">
            <v>#REF!</v>
          </cell>
          <cell r="BJ16" t="e">
            <v>#REF!</v>
          </cell>
          <cell r="BK16" t="e">
            <v>#REF!</v>
          </cell>
          <cell r="BL16" t="e">
            <v>#REF!</v>
          </cell>
          <cell r="BM16" t="e">
            <v>#REF!</v>
          </cell>
          <cell r="BN16" t="e">
            <v>#REF!</v>
          </cell>
          <cell r="BO16" t="e">
            <v>#REF!</v>
          </cell>
          <cell r="BP16" t="e">
            <v>#REF!</v>
          </cell>
          <cell r="BQ16" t="e">
            <v>#REF!</v>
          </cell>
          <cell r="BR16" t="e">
            <v>#REF!</v>
          </cell>
          <cell r="BS16" t="e">
            <v>#REF!</v>
          </cell>
          <cell r="BT16" t="e">
            <v>#REF!</v>
          </cell>
          <cell r="BU16" t="e">
            <v>#REF!</v>
          </cell>
          <cell r="BV16" t="e">
            <v>#REF!</v>
          </cell>
          <cell r="BW16" t="e">
            <v>#REF!</v>
          </cell>
          <cell r="BX16" t="e">
            <v>#REF!</v>
          </cell>
          <cell r="BY16" t="e">
            <v>#REF!</v>
          </cell>
          <cell r="BZ16" t="e">
            <v>#REF!</v>
          </cell>
          <cell r="CA16" t="e">
            <v>#REF!</v>
          </cell>
          <cell r="CB16" t="e">
            <v>#REF!</v>
          </cell>
          <cell r="CC16" t="e">
            <v>#REF!</v>
          </cell>
          <cell r="CD16" t="e">
            <v>#REF!</v>
          </cell>
          <cell r="CE16" t="e">
            <v>#REF!</v>
          </cell>
          <cell r="CF16" t="e">
            <v>#REF!</v>
          </cell>
          <cell r="CG16" t="e">
            <v>#REF!</v>
          </cell>
          <cell r="CH16" t="e">
            <v>#REF!</v>
          </cell>
          <cell r="CI16" t="e">
            <v>#REF!</v>
          </cell>
          <cell r="CJ16" t="e">
            <v>#REF!</v>
          </cell>
          <cell r="CK16" t="e">
            <v>#REF!</v>
          </cell>
          <cell r="CL16" t="e">
            <v>#REF!</v>
          </cell>
          <cell r="CM16" t="e">
            <v>#REF!</v>
          </cell>
          <cell r="CN16" t="e">
            <v>#REF!</v>
          </cell>
          <cell r="CO16" t="e">
            <v>#REF!</v>
          </cell>
          <cell r="CP16" t="e">
            <v>#REF!</v>
          </cell>
          <cell r="CQ16" t="e">
            <v>#REF!</v>
          </cell>
          <cell r="CR16" t="e">
            <v>#REF!</v>
          </cell>
          <cell r="CS16" t="e">
            <v>#REF!</v>
          </cell>
          <cell r="CT16" t="e">
            <v>#REF!</v>
          </cell>
          <cell r="CU16" t="e">
            <v>#REF!</v>
          </cell>
          <cell r="CV16" t="e">
            <v>#REF!</v>
          </cell>
          <cell r="CW16" t="e">
            <v>#REF!</v>
          </cell>
          <cell r="CX16" t="e">
            <v>#REF!</v>
          </cell>
          <cell r="CY16" t="e">
            <v>#REF!</v>
          </cell>
          <cell r="CZ16" t="e">
            <v>#REF!</v>
          </cell>
          <cell r="DA16" t="e">
            <v>#REF!</v>
          </cell>
          <cell r="DB16" t="e">
            <v>#REF!</v>
          </cell>
          <cell r="DC16" t="e">
            <v>#REF!</v>
          </cell>
          <cell r="DD16" t="e">
            <v>#REF!</v>
          </cell>
          <cell r="DE16" t="e">
            <v>#REF!</v>
          </cell>
          <cell r="DF16" t="e">
            <v>#REF!</v>
          </cell>
          <cell r="DG16" t="e">
            <v>#REF!</v>
          </cell>
          <cell r="DH16" t="e">
            <v>#REF!</v>
          </cell>
          <cell r="DI16" t="e">
            <v>#REF!</v>
          </cell>
          <cell r="DJ16" t="e">
            <v>#REF!</v>
          </cell>
          <cell r="DK16" t="e">
            <v>#REF!</v>
          </cell>
          <cell r="DL16" t="e">
            <v>#REF!</v>
          </cell>
          <cell r="DM16" t="e">
            <v>#REF!</v>
          </cell>
          <cell r="DN16" t="e">
            <v>#REF!</v>
          </cell>
          <cell r="DO16" t="e">
            <v>#REF!</v>
          </cell>
          <cell r="DP16" t="e">
            <v>#REF!</v>
          </cell>
          <cell r="DQ16" t="e">
            <v>#REF!</v>
          </cell>
          <cell r="DR16" t="e">
            <v>#REF!</v>
          </cell>
          <cell r="DS16" t="e">
            <v>#REF!</v>
          </cell>
          <cell r="DT16" t="e">
            <v>#REF!</v>
          </cell>
          <cell r="DU16" t="e">
            <v>#REF!</v>
          </cell>
          <cell r="DV16" t="e">
            <v>#REF!</v>
          </cell>
          <cell r="DW16" t="e">
            <v>#REF!</v>
          </cell>
          <cell r="DX16" t="e">
            <v>#REF!</v>
          </cell>
          <cell r="DY16" t="e">
            <v>#REF!</v>
          </cell>
          <cell r="DZ16" t="e">
            <v>#REF!</v>
          </cell>
          <cell r="EA16" t="e">
            <v>#REF!</v>
          </cell>
          <cell r="EB16" t="e">
            <v>#REF!</v>
          </cell>
          <cell r="EC16" t="e">
            <v>#REF!</v>
          </cell>
          <cell r="ED16" t="e">
            <v>#REF!</v>
          </cell>
          <cell r="EE16" t="e">
            <v>#REF!</v>
          </cell>
          <cell r="EF16" t="e">
            <v>#REF!</v>
          </cell>
          <cell r="EG16" t="e">
            <v>#REF!</v>
          </cell>
          <cell r="EH16" t="e">
            <v>#REF!</v>
          </cell>
          <cell r="EI16" t="e">
            <v>#REF!</v>
          </cell>
          <cell r="EJ16" t="e">
            <v>#REF!</v>
          </cell>
          <cell r="EK16" t="e">
            <v>#REF!</v>
          </cell>
          <cell r="EL16" t="e">
            <v>#REF!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  <cell r="EY16" t="e">
            <v>#REF!</v>
          </cell>
          <cell r="EZ16" t="e">
            <v>#REF!</v>
          </cell>
          <cell r="FA16" t="e">
            <v>#REF!</v>
          </cell>
          <cell r="FB16" t="e">
            <v>#REF!</v>
          </cell>
          <cell r="FC16" t="e">
            <v>#REF!</v>
          </cell>
          <cell r="FD16" t="e">
            <v>#REF!</v>
          </cell>
          <cell r="FE16" t="e">
            <v>#REF!</v>
          </cell>
          <cell r="FF16" t="e">
            <v>#REF!</v>
          </cell>
          <cell r="FG16" t="e">
            <v>#REF!</v>
          </cell>
          <cell r="FH16" t="e">
            <v>#REF!</v>
          </cell>
          <cell r="FI16" t="e">
            <v>#REF!</v>
          </cell>
          <cell r="FJ16" t="e">
            <v>#REF!</v>
          </cell>
          <cell r="FK16" t="e">
            <v>#REF!</v>
          </cell>
          <cell r="FL16" t="e">
            <v>#REF!</v>
          </cell>
          <cell r="FM16" t="e">
            <v>#REF!</v>
          </cell>
          <cell r="FN16" t="e">
            <v>#REF!</v>
          </cell>
          <cell r="FO16" t="e">
            <v>#REF!</v>
          </cell>
          <cell r="FP16" t="e">
            <v>#REF!</v>
          </cell>
          <cell r="FQ16" t="e">
            <v>#REF!</v>
          </cell>
          <cell r="FR16" t="e">
            <v>#REF!</v>
          </cell>
          <cell r="FS16" t="e">
            <v>#REF!</v>
          </cell>
          <cell r="FT16" t="e">
            <v>#REF!</v>
          </cell>
          <cell r="FU16" t="e">
            <v>#REF!</v>
          </cell>
          <cell r="FV16" t="e">
            <v>#REF!</v>
          </cell>
          <cell r="FW16" t="e">
            <v>#REF!</v>
          </cell>
          <cell r="FX16" t="e">
            <v>#REF!</v>
          </cell>
          <cell r="FY16" t="e">
            <v>#REF!</v>
          </cell>
          <cell r="FZ16" t="e">
            <v>#REF!</v>
          </cell>
          <cell r="GA16" t="e">
            <v>#REF!</v>
          </cell>
          <cell r="GB16" t="e">
            <v>#REF!</v>
          </cell>
          <cell r="GC16" t="e">
            <v>#REF!</v>
          </cell>
          <cell r="GD16" t="e">
            <v>#REF!</v>
          </cell>
          <cell r="GE16" t="e">
            <v>#REF!</v>
          </cell>
          <cell r="GF16" t="e">
            <v>#REF!</v>
          </cell>
          <cell r="GG16" t="e">
            <v>#REF!</v>
          </cell>
          <cell r="GH16" t="e">
            <v>#REF!</v>
          </cell>
          <cell r="GI16" t="e">
            <v>#REF!</v>
          </cell>
          <cell r="GJ16" t="e">
            <v>#REF!</v>
          </cell>
          <cell r="GK16" t="e">
            <v>#REF!</v>
          </cell>
          <cell r="GL16" t="e">
            <v>#REF!</v>
          </cell>
          <cell r="GM16" t="e">
            <v>#REF!</v>
          </cell>
          <cell r="GN16" t="e">
            <v>#REF!</v>
          </cell>
          <cell r="GO16" t="e">
            <v>#REF!</v>
          </cell>
          <cell r="GP16" t="e">
            <v>#REF!</v>
          </cell>
          <cell r="GQ16" t="e">
            <v>#REF!</v>
          </cell>
          <cell r="GR16" t="e">
            <v>#REF!</v>
          </cell>
          <cell r="GS16" t="e">
            <v>#REF!</v>
          </cell>
          <cell r="GT16" t="e">
            <v>#REF!</v>
          </cell>
          <cell r="GU16" t="e">
            <v>#REF!</v>
          </cell>
          <cell r="GV16" t="e">
            <v>#REF!</v>
          </cell>
          <cell r="GW16" t="e">
            <v>#REF!</v>
          </cell>
          <cell r="GX16" t="e">
            <v>#REF!</v>
          </cell>
          <cell r="GY16" t="e">
            <v>#REF!</v>
          </cell>
          <cell r="GZ16" t="e">
            <v>#REF!</v>
          </cell>
          <cell r="HA16" t="e">
            <v>#REF!</v>
          </cell>
          <cell r="HB16" t="e">
            <v>#REF!</v>
          </cell>
          <cell r="HC16" t="e">
            <v>#REF!</v>
          </cell>
          <cell r="HD16" t="e">
            <v>#REF!</v>
          </cell>
          <cell r="HE16" t="e">
            <v>#REF!</v>
          </cell>
          <cell r="HF16" t="e">
            <v>#REF!</v>
          </cell>
          <cell r="HG16" t="e">
            <v>#REF!</v>
          </cell>
          <cell r="HH16" t="e">
            <v>#REF!</v>
          </cell>
          <cell r="HI16" t="e">
            <v>#REF!</v>
          </cell>
          <cell r="HJ16" t="e">
            <v>#REF!</v>
          </cell>
          <cell r="HK16" t="e">
            <v>#REF!</v>
          </cell>
        </row>
        <row r="19">
          <cell r="D19">
            <v>0.12069674999999999</v>
          </cell>
          <cell r="E19">
            <v>0.12069674999999999</v>
          </cell>
          <cell r="F19">
            <v>0.12069674999999999</v>
          </cell>
          <cell r="G19">
            <v>0.12069674999999999</v>
          </cell>
          <cell r="H19">
            <v>0.12069674999999999</v>
          </cell>
          <cell r="I19">
            <v>0.12069674999999999</v>
          </cell>
          <cell r="J19">
            <v>0.12069674999999999</v>
          </cell>
          <cell r="K19">
            <v>0.12069674999999999</v>
          </cell>
          <cell r="L19">
            <v>0.12069674999999999</v>
          </cell>
          <cell r="M19">
            <v>0.12069674999999999</v>
          </cell>
          <cell r="N19">
            <v>0.12069674999999999</v>
          </cell>
          <cell r="O19">
            <v>0.12069674999999999</v>
          </cell>
          <cell r="P19">
            <v>0.12069674999999999</v>
          </cell>
          <cell r="Q19">
            <v>0.12069674999999999</v>
          </cell>
          <cell r="R19">
            <v>0.12069674999999999</v>
          </cell>
          <cell r="S19">
            <v>0.12069674999999999</v>
          </cell>
          <cell r="T19">
            <v>0.12069674999999999</v>
          </cell>
          <cell r="U19">
            <v>0.12069674999999999</v>
          </cell>
          <cell r="V19">
            <v>0.12069674999999999</v>
          </cell>
          <cell r="W19">
            <v>0.12069674999999999</v>
          </cell>
          <cell r="X19">
            <v>0.12069674999999999</v>
          </cell>
          <cell r="Y19">
            <v>0.12069674999999999</v>
          </cell>
          <cell r="Z19">
            <v>0.12069674999999999</v>
          </cell>
          <cell r="AA19">
            <v>0.12069674999999999</v>
          </cell>
          <cell r="AB19">
            <v>0.12069674999999999</v>
          </cell>
          <cell r="AC19">
            <v>0.12069674999999999</v>
          </cell>
          <cell r="AD19">
            <v>0.12069674999999999</v>
          </cell>
          <cell r="AE19">
            <v>0.12069674999999999</v>
          </cell>
          <cell r="AF19">
            <v>0.12069674999999999</v>
          </cell>
          <cell r="AG19">
            <v>0.12069674999999999</v>
          </cell>
          <cell r="AH19">
            <v>0.12069674999999999</v>
          </cell>
          <cell r="AI19">
            <v>0.36627974999999996</v>
          </cell>
          <cell r="AJ19">
            <v>0.36627974999999996</v>
          </cell>
          <cell r="AK19">
            <v>0.36627974999999996</v>
          </cell>
          <cell r="AL19">
            <v>0.36627974999999996</v>
          </cell>
          <cell r="AM19">
            <v>0.36627974999999996</v>
          </cell>
          <cell r="AN19">
            <v>0.36627974999999996</v>
          </cell>
          <cell r="AO19">
            <v>0.36627974999999996</v>
          </cell>
          <cell r="AP19">
            <v>0.36627974999999996</v>
          </cell>
          <cell r="AQ19">
            <v>0.36627974999999996</v>
          </cell>
          <cell r="AR19">
            <v>0.36627974999999996</v>
          </cell>
          <cell r="AS19">
            <v>0.36627974999999996</v>
          </cell>
          <cell r="AT19">
            <v>0.36627974999999996</v>
          </cell>
          <cell r="AU19">
            <v>0.36627974999999996</v>
          </cell>
          <cell r="AV19">
            <v>0.36627974999999996</v>
          </cell>
          <cell r="AW19">
            <v>0.36627974999999996</v>
          </cell>
          <cell r="AX19">
            <v>0.36627974999999996</v>
          </cell>
          <cell r="AY19">
            <v>0.36627974999999996</v>
          </cell>
          <cell r="AZ19">
            <v>0.36627974999999996</v>
          </cell>
          <cell r="BA19">
            <v>0.36627974999999996</v>
          </cell>
          <cell r="BB19">
            <v>0.36627974999999996</v>
          </cell>
          <cell r="BC19">
            <v>0.36627974999999996</v>
          </cell>
          <cell r="BD19">
            <v>0.36627974999999996</v>
          </cell>
          <cell r="BE19">
            <v>0.36627974999999996</v>
          </cell>
          <cell r="BF19">
            <v>0.36627974999999996</v>
          </cell>
          <cell r="BG19">
            <v>0.36627974999999996</v>
          </cell>
          <cell r="BH19">
            <v>0.36627974999999996</v>
          </cell>
          <cell r="BI19">
            <v>0.36627974999999996</v>
          </cell>
          <cell r="BJ19">
            <v>0.36627974999999996</v>
          </cell>
          <cell r="BK19">
            <v>0.36627974999999996</v>
          </cell>
          <cell r="BL19">
            <v>0.36627974999999996</v>
          </cell>
          <cell r="BM19">
            <v>0.36627974999999996</v>
          </cell>
        </row>
        <row r="20">
          <cell r="D20">
            <v>302</v>
          </cell>
          <cell r="E20">
            <v>302</v>
          </cell>
          <cell r="F20">
            <v>302</v>
          </cell>
          <cell r="G20">
            <v>302</v>
          </cell>
          <cell r="H20">
            <v>302</v>
          </cell>
          <cell r="I20">
            <v>302</v>
          </cell>
          <cell r="J20">
            <v>302</v>
          </cell>
          <cell r="K20">
            <v>302</v>
          </cell>
          <cell r="L20">
            <v>302</v>
          </cell>
          <cell r="M20">
            <v>302</v>
          </cell>
          <cell r="N20">
            <v>302</v>
          </cell>
          <cell r="O20">
            <v>302</v>
          </cell>
          <cell r="P20">
            <v>302</v>
          </cell>
          <cell r="Q20">
            <v>302</v>
          </cell>
          <cell r="R20">
            <v>302</v>
          </cell>
          <cell r="S20">
            <v>302</v>
          </cell>
          <cell r="T20">
            <v>302</v>
          </cell>
          <cell r="U20">
            <v>302</v>
          </cell>
          <cell r="V20">
            <v>302</v>
          </cell>
          <cell r="W20">
            <v>302</v>
          </cell>
          <cell r="X20">
            <v>302</v>
          </cell>
          <cell r="Y20">
            <v>302</v>
          </cell>
          <cell r="Z20">
            <v>302</v>
          </cell>
          <cell r="AA20">
            <v>302</v>
          </cell>
          <cell r="AB20">
            <v>302</v>
          </cell>
          <cell r="AC20">
            <v>302</v>
          </cell>
          <cell r="AD20">
            <v>302</v>
          </cell>
          <cell r="AE20">
            <v>302</v>
          </cell>
          <cell r="AF20">
            <v>302</v>
          </cell>
          <cell r="AG20">
            <v>302</v>
          </cell>
          <cell r="AH20">
            <v>302</v>
          </cell>
          <cell r="AI20">
            <v>302</v>
          </cell>
          <cell r="AJ20">
            <v>302</v>
          </cell>
          <cell r="AK20">
            <v>302</v>
          </cell>
          <cell r="AL20">
            <v>302</v>
          </cell>
          <cell r="AM20">
            <v>302</v>
          </cell>
          <cell r="AN20">
            <v>302</v>
          </cell>
          <cell r="AO20">
            <v>302</v>
          </cell>
          <cell r="AP20">
            <v>302</v>
          </cell>
          <cell r="AQ20">
            <v>302</v>
          </cell>
          <cell r="AR20">
            <v>302</v>
          </cell>
          <cell r="AS20">
            <v>302</v>
          </cell>
          <cell r="AT20">
            <v>302</v>
          </cell>
          <cell r="AU20">
            <v>302</v>
          </cell>
          <cell r="AV20">
            <v>302</v>
          </cell>
          <cell r="AW20">
            <v>302</v>
          </cell>
          <cell r="AX20">
            <v>302</v>
          </cell>
          <cell r="AY20">
            <v>302</v>
          </cell>
          <cell r="AZ20">
            <v>302</v>
          </cell>
          <cell r="BA20">
            <v>302</v>
          </cell>
          <cell r="BB20">
            <v>302</v>
          </cell>
          <cell r="BC20">
            <v>302</v>
          </cell>
          <cell r="BD20">
            <v>302</v>
          </cell>
          <cell r="BE20">
            <v>302</v>
          </cell>
          <cell r="BF20">
            <v>302</v>
          </cell>
          <cell r="BG20">
            <v>302</v>
          </cell>
          <cell r="BH20">
            <v>302</v>
          </cell>
          <cell r="BI20">
            <v>302</v>
          </cell>
          <cell r="BJ20">
            <v>302</v>
          </cell>
          <cell r="BK20">
            <v>302</v>
          </cell>
          <cell r="BL20">
            <v>302</v>
          </cell>
          <cell r="BM20">
            <v>302</v>
          </cell>
        </row>
        <row r="21">
          <cell r="D21">
            <v>70.033728571428583</v>
          </cell>
          <cell r="E21">
            <v>87.880457142857153</v>
          </cell>
          <cell r="F21">
            <v>105.72718571428572</v>
          </cell>
          <cell r="G21">
            <v>123.5739142857143</v>
          </cell>
          <cell r="H21">
            <v>141.42064285714287</v>
          </cell>
          <cell r="I21">
            <v>159.26737142857144</v>
          </cell>
          <cell r="J21">
            <v>177.11410000000001</v>
          </cell>
          <cell r="K21">
            <v>194.96082857142858</v>
          </cell>
          <cell r="L21">
            <v>212.80755714285715</v>
          </cell>
          <cell r="M21">
            <v>230.65428571428572</v>
          </cell>
          <cell r="N21">
            <v>248.50101428571429</v>
          </cell>
          <cell r="O21">
            <v>266.34774285714286</v>
          </cell>
          <cell r="P21">
            <v>284.19447142857143</v>
          </cell>
          <cell r="Q21">
            <v>302.0412</v>
          </cell>
          <cell r="R21">
            <v>319.88792857142857</v>
          </cell>
          <cell r="S21">
            <v>337.73465714285715</v>
          </cell>
          <cell r="T21">
            <v>355.58138571428572</v>
          </cell>
          <cell r="U21">
            <v>373.42811428571429</v>
          </cell>
          <cell r="V21">
            <v>391.27484285714286</v>
          </cell>
          <cell r="W21">
            <v>409.12157142857143</v>
          </cell>
          <cell r="X21">
            <v>426.9683</v>
          </cell>
          <cell r="Y21">
            <v>444.81502857142857</v>
          </cell>
          <cell r="Z21">
            <v>462.66175714285714</v>
          </cell>
          <cell r="AA21">
            <v>480.50848571428571</v>
          </cell>
          <cell r="AB21">
            <v>498.35521428571428</v>
          </cell>
          <cell r="AC21">
            <v>516.20194285714285</v>
          </cell>
          <cell r="AD21">
            <v>534.04867142857142</v>
          </cell>
          <cell r="AE21">
            <v>551.8954</v>
          </cell>
          <cell r="AF21">
            <v>569.74212857142857</v>
          </cell>
          <cell r="AG21">
            <v>587.58885714285714</v>
          </cell>
          <cell r="AH21">
            <v>587.58885714285714</v>
          </cell>
          <cell r="AI21">
            <v>604.85988479262676</v>
          </cell>
          <cell r="AJ21">
            <v>622.13091244239638</v>
          </cell>
          <cell r="AK21">
            <v>639.401940092166</v>
          </cell>
          <cell r="AL21">
            <v>656.67296774193562</v>
          </cell>
          <cell r="AM21">
            <v>673.94399539170524</v>
          </cell>
          <cell r="AN21">
            <v>691.21502304147486</v>
          </cell>
          <cell r="AO21">
            <v>708.48605069124449</v>
          </cell>
          <cell r="AP21">
            <v>725.75707834101411</v>
          </cell>
          <cell r="AQ21">
            <v>743.02810599078373</v>
          </cell>
          <cell r="AR21">
            <v>760.29913364055335</v>
          </cell>
          <cell r="AS21">
            <v>777.57016129032297</v>
          </cell>
          <cell r="AT21">
            <v>794.84118894009259</v>
          </cell>
          <cell r="AU21">
            <v>812.11221658986221</v>
          </cell>
          <cell r="AV21">
            <v>829.38324423963184</v>
          </cell>
          <cell r="AW21">
            <v>846.65427188940146</v>
          </cell>
          <cell r="AX21">
            <v>863.92529953917108</v>
          </cell>
          <cell r="AY21">
            <v>881.1963271889407</v>
          </cell>
          <cell r="AZ21">
            <v>898.46735483871032</v>
          </cell>
          <cell r="BA21">
            <v>915.73838248847994</v>
          </cell>
          <cell r="BB21">
            <v>933.00941013824956</v>
          </cell>
          <cell r="BC21">
            <v>950.28043778801919</v>
          </cell>
          <cell r="BD21">
            <v>967.55146543778881</v>
          </cell>
          <cell r="BE21">
            <v>984.82249308755843</v>
          </cell>
          <cell r="BF21">
            <v>1002.093520737328</v>
          </cell>
          <cell r="BG21">
            <v>1019.3645483870977</v>
          </cell>
          <cell r="BH21">
            <v>1036.6355760368672</v>
          </cell>
          <cell r="BI21">
            <v>1053.9066036866368</v>
          </cell>
          <cell r="BJ21">
            <v>1071.1776313364064</v>
          </cell>
          <cell r="BK21">
            <v>1088.448658986176</v>
          </cell>
          <cell r="BL21">
            <v>1105.7196866359457</v>
          </cell>
          <cell r="BM21">
            <v>1122.9907142857153</v>
          </cell>
          <cell r="BN21">
            <v>1140.8374428571437</v>
          </cell>
          <cell r="BO21">
            <v>1158.6841714285724</v>
          </cell>
          <cell r="BP21">
            <v>1176.5309000000011</v>
          </cell>
          <cell r="BQ21">
            <v>1194.3776285714298</v>
          </cell>
          <cell r="BR21">
            <v>1212.2243571428585</v>
          </cell>
          <cell r="BS21">
            <v>1230.0710857142872</v>
          </cell>
          <cell r="BT21">
            <v>1247.9178142857158</v>
          </cell>
          <cell r="BU21">
            <v>1265.7645428571445</v>
          </cell>
          <cell r="BV21">
            <v>1283.6112714285732</v>
          </cell>
          <cell r="BW21">
            <v>1301.4580000000019</v>
          </cell>
          <cell r="BX21">
            <v>1319.3047285714306</v>
          </cell>
          <cell r="BY21">
            <v>1337.1514571428593</v>
          </cell>
          <cell r="BZ21">
            <v>1354.998185714288</v>
          </cell>
          <cell r="CA21">
            <v>1372.8449142857166</v>
          </cell>
          <cell r="CB21">
            <v>1390.6916428571453</v>
          </cell>
          <cell r="CC21">
            <v>1408.538371428574</v>
          </cell>
          <cell r="CD21">
            <v>1426.3851000000027</v>
          </cell>
          <cell r="CE21">
            <v>1444.2318285714314</v>
          </cell>
          <cell r="CF21">
            <v>1462.0785571428601</v>
          </cell>
          <cell r="CG21">
            <v>1479.9252857142887</v>
          </cell>
          <cell r="CH21">
            <v>1497.7720142857174</v>
          </cell>
          <cell r="CI21">
            <v>1515.6187428571461</v>
          </cell>
          <cell r="CJ21">
            <v>1533.4654714285748</v>
          </cell>
          <cell r="CK21">
            <v>1551.3122000000035</v>
          </cell>
          <cell r="CL21">
            <v>1569.1589285714322</v>
          </cell>
          <cell r="CM21">
            <v>1587.0056571428609</v>
          </cell>
          <cell r="CN21">
            <v>1604.8523857142895</v>
          </cell>
          <cell r="CO21">
            <v>1622.6991142857182</v>
          </cell>
          <cell r="CP21">
            <v>1640.5458428571469</v>
          </cell>
          <cell r="CQ21">
            <v>1658.3925714285756</v>
          </cell>
          <cell r="CR21">
            <v>1658.3925714285756</v>
          </cell>
          <cell r="CS21">
            <v>1675.6635990783452</v>
          </cell>
          <cell r="CT21">
            <v>1692.9346267281148</v>
          </cell>
          <cell r="CU21">
            <v>1710.2056543778845</v>
          </cell>
          <cell r="CV21">
            <v>1727.4766820276541</v>
          </cell>
          <cell r="CW21">
            <v>1744.7477096774237</v>
          </cell>
          <cell r="CX21">
            <v>1762.0187373271933</v>
          </cell>
          <cell r="CY21">
            <v>1779.2897649769629</v>
          </cell>
          <cell r="CZ21">
            <v>1796.5607926267326</v>
          </cell>
          <cell r="DA21">
            <v>1813.8318202765022</v>
          </cell>
          <cell r="DB21">
            <v>1831.1028479262718</v>
          </cell>
          <cell r="DC21">
            <v>1848.3738755760414</v>
          </cell>
          <cell r="DD21">
            <v>1865.644903225811</v>
          </cell>
          <cell r="DE21">
            <v>1882.9159308755807</v>
          </cell>
          <cell r="DF21">
            <v>1900.1869585253503</v>
          </cell>
          <cell r="DG21">
            <v>1917.4579861751199</v>
          </cell>
          <cell r="DH21">
            <v>1934.7290138248895</v>
          </cell>
          <cell r="DI21">
            <v>1952.0000414746592</v>
          </cell>
          <cell r="DJ21">
            <v>1969.2710691244288</v>
          </cell>
          <cell r="DK21">
            <v>1986.5420967741984</v>
          </cell>
          <cell r="DL21">
            <v>2003.813124423968</v>
          </cell>
          <cell r="DM21">
            <v>2021.0841520737376</v>
          </cell>
          <cell r="DN21">
            <v>2038.3551797235073</v>
          </cell>
          <cell r="DO21">
            <v>2055.6262073732769</v>
          </cell>
          <cell r="DP21">
            <v>2072.8972350230465</v>
          </cell>
          <cell r="DQ21">
            <v>2090.1682626728161</v>
          </cell>
          <cell r="DR21">
            <v>2107.4392903225857</v>
          </cell>
          <cell r="DS21">
            <v>2124.7103179723554</v>
          </cell>
          <cell r="DT21">
            <v>2141.981345622125</v>
          </cell>
          <cell r="DU21">
            <v>2159.2523732718946</v>
          </cell>
          <cell r="DV21">
            <v>2176.5234009216642</v>
          </cell>
          <cell r="DW21">
            <v>2193.7944285714339</v>
          </cell>
          <cell r="DX21">
            <v>2211.0654562212035</v>
          </cell>
          <cell r="DY21">
            <v>2228.3364838709731</v>
          </cell>
          <cell r="DZ21">
            <v>2245.6075115207427</v>
          </cell>
          <cell r="EA21">
            <v>2262.8785391705123</v>
          </cell>
          <cell r="EB21">
            <v>2280.149566820282</v>
          </cell>
          <cell r="EC21">
            <v>2297.4205944700516</v>
          </cell>
          <cell r="ED21">
            <v>2314.6916221198212</v>
          </cell>
          <cell r="EE21">
            <v>2331.9626497695908</v>
          </cell>
          <cell r="EF21">
            <v>2349.2336774193604</v>
          </cell>
          <cell r="EG21">
            <v>2366.5047050691301</v>
          </cell>
          <cell r="EH21">
            <v>2383.7757327188997</v>
          </cell>
          <cell r="EI21">
            <v>2401.0467603686693</v>
          </cell>
          <cell r="EJ21">
            <v>2418.3177880184389</v>
          </cell>
          <cell r="EK21">
            <v>2435.5888156682086</v>
          </cell>
          <cell r="EL21">
            <v>2452.8598433179782</v>
          </cell>
          <cell r="EM21">
            <v>2470.1308709677478</v>
          </cell>
          <cell r="EN21">
            <v>2487.4018986175174</v>
          </cell>
          <cell r="EO21">
            <v>2504.672926267287</v>
          </cell>
          <cell r="EP21">
            <v>2521.9439539170567</v>
          </cell>
          <cell r="EQ21">
            <v>2539.2149815668263</v>
          </cell>
          <cell r="ER21">
            <v>2556.4860092165959</v>
          </cell>
          <cell r="ES21">
            <v>2573.7570368663655</v>
          </cell>
          <cell r="ET21">
            <v>2591.0280645161351</v>
          </cell>
          <cell r="EU21">
            <v>2608.2990921659048</v>
          </cell>
          <cell r="EV21">
            <v>2625.5701198156744</v>
          </cell>
          <cell r="EW21">
            <v>2642.841147465444</v>
          </cell>
          <cell r="EX21">
            <v>2660.1121751152136</v>
          </cell>
          <cell r="EY21">
            <v>2677.3832027649833</v>
          </cell>
          <cell r="EZ21">
            <v>2694.6542304147529</v>
          </cell>
          <cell r="FA21">
            <v>2711.9252580645225</v>
          </cell>
          <cell r="FB21">
            <v>2729.1962857142921</v>
          </cell>
          <cell r="FC21">
            <v>2747.0430142857208</v>
          </cell>
          <cell r="FD21">
            <v>2764.8897428571495</v>
          </cell>
          <cell r="FE21">
            <v>2782.7364714285782</v>
          </cell>
          <cell r="FF21">
            <v>2800.5832000000069</v>
          </cell>
          <cell r="FG21">
            <v>2818.4299285714355</v>
          </cell>
          <cell r="FH21">
            <v>2836.2766571428642</v>
          </cell>
          <cell r="FI21">
            <v>2854.1233857142929</v>
          </cell>
          <cell r="FJ21">
            <v>2871.9701142857216</v>
          </cell>
          <cell r="FK21">
            <v>2889.8168428571503</v>
          </cell>
          <cell r="FL21">
            <v>2907.663571428579</v>
          </cell>
          <cell r="FM21">
            <v>2925.5103000000076</v>
          </cell>
          <cell r="FN21">
            <v>2943.3570285714363</v>
          </cell>
          <cell r="FO21">
            <v>2961.203757142865</v>
          </cell>
          <cell r="FP21">
            <v>2979.0504857142937</v>
          </cell>
          <cell r="FQ21">
            <v>2996.8972142857224</v>
          </cell>
          <cell r="FR21">
            <v>3014.7439428571511</v>
          </cell>
          <cell r="FS21">
            <v>3032.5906714285798</v>
          </cell>
          <cell r="FT21">
            <v>3050.4374000000084</v>
          </cell>
          <cell r="FU21">
            <v>3068.2841285714371</v>
          </cell>
          <cell r="FV21">
            <v>3086.1308571428658</v>
          </cell>
          <cell r="FW21">
            <v>3103.9775857142945</v>
          </cell>
          <cell r="FX21">
            <v>3121.8243142857232</v>
          </cell>
          <cell r="FY21">
            <v>3139.6710428571519</v>
          </cell>
          <cell r="FZ21">
            <v>3157.5177714285805</v>
          </cell>
          <cell r="GA21">
            <v>3175.3645000000092</v>
          </cell>
          <cell r="GB21">
            <v>3193.2112285714379</v>
          </cell>
          <cell r="GC21">
            <v>3211.0579571428666</v>
          </cell>
          <cell r="GD21">
            <v>3228.9046857142953</v>
          </cell>
          <cell r="GE21">
            <v>3246.751414285724</v>
          </cell>
          <cell r="GF21">
            <v>3264.5981428571527</v>
          </cell>
          <cell r="GG21">
            <v>3281.8691705069223</v>
          </cell>
          <cell r="GH21">
            <v>3299.1401981566919</v>
          </cell>
          <cell r="GI21">
            <v>3316.4112258064615</v>
          </cell>
          <cell r="GJ21">
            <v>3333.6822534562311</v>
          </cell>
          <cell r="GK21">
            <v>3350.9532811060008</v>
          </cell>
          <cell r="GL21">
            <v>3368.2243087557704</v>
          </cell>
          <cell r="GM21">
            <v>3385.49533640554</v>
          </cell>
          <cell r="GN21">
            <v>3402.7663640553096</v>
          </cell>
          <cell r="GO21">
            <v>3420.0373917050792</v>
          </cell>
          <cell r="GP21">
            <v>3437.3084193548489</v>
          </cell>
          <cell r="GQ21">
            <v>3454.5794470046185</v>
          </cell>
          <cell r="GR21">
            <v>3471.8504746543881</v>
          </cell>
          <cell r="GS21">
            <v>3489.1215023041577</v>
          </cell>
          <cell r="GT21">
            <v>3506.3925299539274</v>
          </cell>
          <cell r="GU21">
            <v>3523.663557603697</v>
          </cell>
          <cell r="GV21">
            <v>3540.9345852534666</v>
          </cell>
          <cell r="GW21">
            <v>3558.2056129032362</v>
          </cell>
          <cell r="GX21">
            <v>3575.4766405530058</v>
          </cell>
          <cell r="GY21">
            <v>3592.7476682027755</v>
          </cell>
          <cell r="GZ21">
            <v>3610.0186958525451</v>
          </cell>
          <cell r="HA21">
            <v>3627.2897235023147</v>
          </cell>
          <cell r="HB21">
            <v>3644.5607511520843</v>
          </cell>
          <cell r="HC21">
            <v>3661.8317788018539</v>
          </cell>
          <cell r="HD21">
            <v>3679.1028064516236</v>
          </cell>
          <cell r="HE21">
            <v>3696.3738341013932</v>
          </cell>
          <cell r="HF21">
            <v>3713.6448617511628</v>
          </cell>
          <cell r="HG21">
            <v>3730.9158894009324</v>
          </cell>
          <cell r="HH21">
            <v>3748.186917050702</v>
          </cell>
          <cell r="HI21">
            <v>3765.4579447004717</v>
          </cell>
          <cell r="HJ21">
            <v>3782.7289723502413</v>
          </cell>
          <cell r="HK21">
            <v>3800.0000000000109</v>
          </cell>
        </row>
        <row r="24">
          <cell r="AH24">
            <v>2774.2939999999999</v>
          </cell>
          <cell r="AI24">
            <v>2755.5259999999998</v>
          </cell>
          <cell r="AJ24">
            <v>2736.7579999999998</v>
          </cell>
          <cell r="AK24">
            <v>2717.99</v>
          </cell>
          <cell r="AL24">
            <v>2699.2219999999998</v>
          </cell>
          <cell r="AM24">
            <v>2680.4539999999997</v>
          </cell>
          <cell r="AN24">
            <v>2661.6859999999997</v>
          </cell>
          <cell r="AO24">
            <v>2642.9179999999997</v>
          </cell>
          <cell r="AP24">
            <v>2624.1499999999996</v>
          </cell>
          <cell r="AQ24">
            <v>2605.3819999999996</v>
          </cell>
          <cell r="AR24">
            <v>2586.6139999999996</v>
          </cell>
          <cell r="AS24">
            <v>2567.8459999999995</v>
          </cell>
          <cell r="AT24">
            <v>2549.0779999999995</v>
          </cell>
          <cell r="AU24">
            <v>2530.3099999999995</v>
          </cell>
          <cell r="AV24">
            <v>2511.5419999999995</v>
          </cell>
          <cell r="AW24">
            <v>2492.7739999999994</v>
          </cell>
          <cell r="AX24">
            <v>2474.0059999999994</v>
          </cell>
          <cell r="AY24">
            <v>2455.2379999999994</v>
          </cell>
          <cell r="AZ24">
            <v>2436.4699999999993</v>
          </cell>
          <cell r="BA24">
            <v>2417.7019999999993</v>
          </cell>
          <cell r="BB24">
            <v>2398.9339999999993</v>
          </cell>
          <cell r="BC24">
            <v>2380.1659999999993</v>
          </cell>
          <cell r="BD24">
            <v>2361.3979999999992</v>
          </cell>
          <cell r="BE24">
            <v>2342.6299999999992</v>
          </cell>
          <cell r="BF24">
            <v>2323.8619999999992</v>
          </cell>
          <cell r="BG24">
            <v>2305.0939999999991</v>
          </cell>
          <cell r="BH24">
            <v>2286.3259999999991</v>
          </cell>
          <cell r="BI24">
            <v>2267.5579999999991</v>
          </cell>
          <cell r="BJ24">
            <v>2248.7899999999991</v>
          </cell>
          <cell r="BK24">
            <v>2230.021999999999</v>
          </cell>
          <cell r="BL24">
            <v>2211.253999999999</v>
          </cell>
          <cell r="BM24">
            <v>2192.485999999999</v>
          </cell>
        </row>
        <row r="28">
          <cell r="D28">
            <v>-3.1696264364959803</v>
          </cell>
          <cell r="E28">
            <v>-3.1666898526706673</v>
          </cell>
          <cell r="F28">
            <v>-3.1713498292190376</v>
          </cell>
          <cell r="G28">
            <v>-3.1788828134822111</v>
          </cell>
          <cell r="H28">
            <v>-3.1847317206390624</v>
          </cell>
          <cell r="I28">
            <v>-3.180717901636311</v>
          </cell>
          <cell r="J28">
            <v>-3.1768287419953296</v>
          </cell>
          <cell r="K28">
            <v>-3.1707775469592234</v>
          </cell>
          <cell r="L28">
            <v>-3.1705548935048111</v>
          </cell>
          <cell r="M28">
            <v>-3.1696129206680825</v>
          </cell>
          <cell r="N28">
            <v>-3.1655394857478809</v>
          </cell>
          <cell r="O28">
            <v>-3.1602469218498648</v>
          </cell>
          <cell r="P28">
            <v>-3.1598622722492475</v>
          </cell>
          <cell r="Q28">
            <v>-3.1573980111621993</v>
          </cell>
          <cell r="R28">
            <v>-3.1559495529020047</v>
          </cell>
          <cell r="S28">
            <v>-3.1545438268087014</v>
          </cell>
          <cell r="T28">
            <v>-3.1529662437368811</v>
          </cell>
          <cell r="U28">
            <v>-3.1521534655102825</v>
          </cell>
          <cell r="V28">
            <v>-3.1480247479866508</v>
          </cell>
          <cell r="W28">
            <v>-3.1465229750428132</v>
          </cell>
          <cell r="X28">
            <v>-3.1465396532756893</v>
          </cell>
          <cell r="Y28">
            <v>-3.1512689638881071</v>
          </cell>
          <cell r="Z28">
            <v>-3.1490961021205939</v>
          </cell>
          <cell r="AA28">
            <v>-3.1510184937046466</v>
          </cell>
          <cell r="AB28">
            <v>-3.1508905317469806</v>
          </cell>
          <cell r="AC28">
            <v>-3.1493663071014892</v>
          </cell>
          <cell r="AD28">
            <v>-3.1490433451583879</v>
          </cell>
          <cell r="AE28">
            <v>-3.1435781250526404</v>
          </cell>
          <cell r="AF28">
            <v>-3.1456812526432962</v>
          </cell>
          <cell r="AG28">
            <v>-3.1381599084022618</v>
          </cell>
          <cell r="AH28">
            <v>-3.1381599084022618</v>
          </cell>
          <cell r="AI28">
            <v>0.4356665545087483</v>
          </cell>
          <cell r="AJ28">
            <v>0.4356665545087483</v>
          </cell>
          <cell r="AK28">
            <v>0.4356665545087483</v>
          </cell>
          <cell r="AL28">
            <v>0.4356665545087483</v>
          </cell>
          <cell r="AM28">
            <v>0.4356665545087483</v>
          </cell>
          <cell r="AN28">
            <v>0.4356665545087483</v>
          </cell>
          <cell r="AO28">
            <v>0.4356665545087483</v>
          </cell>
          <cell r="AP28">
            <v>0.4356665545087483</v>
          </cell>
          <cell r="AQ28">
            <v>0.4356665545087483</v>
          </cell>
          <cell r="AR28">
            <v>0.4356665545087483</v>
          </cell>
          <cell r="AS28">
            <v>0.4356665545087483</v>
          </cell>
          <cell r="AT28">
            <v>0.4356665545087483</v>
          </cell>
          <cell r="AU28">
            <v>0.4356665545087483</v>
          </cell>
          <cell r="AV28">
            <v>0.4356665545087483</v>
          </cell>
          <cell r="AW28">
            <v>0.4356665545087483</v>
          </cell>
          <cell r="AX28">
            <v>0.4356665545087483</v>
          </cell>
          <cell r="AY28">
            <v>0.4356665545087483</v>
          </cell>
          <cell r="AZ28">
            <v>0.4356665545087483</v>
          </cell>
          <cell r="BA28">
            <v>0.4356665545087483</v>
          </cell>
          <cell r="BB28">
            <v>0.4356665545087483</v>
          </cell>
          <cell r="BC28">
            <v>0.4356665545087483</v>
          </cell>
          <cell r="BD28">
            <v>0.4356665545087483</v>
          </cell>
          <cell r="BE28">
            <v>0.4356665545087483</v>
          </cell>
          <cell r="BF28">
            <v>0.4356665545087483</v>
          </cell>
          <cell r="BG28">
            <v>0.4356665545087483</v>
          </cell>
          <cell r="BH28">
            <v>0.4356665545087483</v>
          </cell>
          <cell r="BI28">
            <v>0.4356665545087483</v>
          </cell>
          <cell r="BJ28">
            <v>0.4356665545087483</v>
          </cell>
          <cell r="BK28">
            <v>0.4356665545087483</v>
          </cell>
          <cell r="BL28">
            <v>0.4356665545087483</v>
          </cell>
          <cell r="BM28">
            <v>0.4356665545087483</v>
          </cell>
          <cell r="BN28">
            <v>0.43662563044132086</v>
          </cell>
          <cell r="BO28">
            <v>0.43419845810402502</v>
          </cell>
          <cell r="BP28">
            <v>0.43456984937083853</v>
          </cell>
          <cell r="BQ28">
            <v>0.43806859151830313</v>
          </cell>
          <cell r="BR28">
            <v>0.43832384950673842</v>
          </cell>
          <cell r="BS28">
            <v>0.43857910749517376</v>
          </cell>
          <cell r="BT28">
            <v>0.43905009435102438</v>
          </cell>
          <cell r="BU28">
            <v>0.44267375225228667</v>
          </cell>
          <cell r="BV28">
            <v>0.44291116188368057</v>
          </cell>
          <cell r="BW28">
            <v>0.44347031442230928</v>
          </cell>
          <cell r="BX28">
            <v>0.4436315733934616</v>
          </cell>
          <cell r="BY28">
            <v>0.44379283236461387</v>
          </cell>
          <cell r="BZ28">
            <v>0.44395409133576619</v>
          </cell>
          <cell r="CA28">
            <v>0.4186282228860132</v>
          </cell>
          <cell r="CB28">
            <v>0.39988705778315237</v>
          </cell>
          <cell r="CC28">
            <v>0.38078790820584707</v>
          </cell>
          <cell r="CD28">
            <v>0.353935131414646</v>
          </cell>
          <cell r="CE28">
            <v>0.32708235462344493</v>
          </cell>
          <cell r="CF28">
            <v>0.30022957783224391</v>
          </cell>
          <cell r="CG28">
            <v>0.27337680104104284</v>
          </cell>
          <cell r="CH28">
            <v>0.25107919638671378</v>
          </cell>
          <cell r="CI28">
            <v>0.23536629507927684</v>
          </cell>
          <cell r="CJ28">
            <v>0.2162671455019716</v>
          </cell>
          <cell r="CK28">
            <v>0.18941436871077053</v>
          </cell>
          <cell r="CL28">
            <v>0.16262888667057887</v>
          </cell>
          <cell r="CM28">
            <v>0.13584340463038724</v>
          </cell>
          <cell r="CN28">
            <v>0.10905792259019559</v>
          </cell>
          <cell r="CO28">
            <v>8.6827612686875957E-2</v>
          </cell>
          <cell r="CP28">
            <v>7.1182006130448464E-2</v>
          </cell>
          <cell r="CQ28">
            <v>5.2150151304152639E-2</v>
          </cell>
          <cell r="CR28">
            <v>5.2150151304152639E-2</v>
          </cell>
          <cell r="CS28">
            <v>0.76529811574697171</v>
          </cell>
          <cell r="CT28">
            <v>0.76529811574697171</v>
          </cell>
          <cell r="CU28">
            <v>0.76529811574697171</v>
          </cell>
          <cell r="CV28">
            <v>0.76529811574697171</v>
          </cell>
          <cell r="CW28">
            <v>0.76529811574697171</v>
          </cell>
          <cell r="CX28">
            <v>0.76529811574697171</v>
          </cell>
          <cell r="CY28">
            <v>0.76529811574697171</v>
          </cell>
          <cell r="CZ28">
            <v>0.76529811574697171</v>
          </cell>
          <cell r="DA28">
            <v>0.76529811574697171</v>
          </cell>
          <cell r="DB28">
            <v>0.76529811574697171</v>
          </cell>
          <cell r="DC28">
            <v>0.76529811574697171</v>
          </cell>
          <cell r="DD28">
            <v>0.76529811574697171</v>
          </cell>
          <cell r="DE28">
            <v>0.76529811574697171</v>
          </cell>
          <cell r="DF28">
            <v>0.76529811574697171</v>
          </cell>
          <cell r="DG28">
            <v>0.76529811574697171</v>
          </cell>
          <cell r="DH28">
            <v>0.76529811574697171</v>
          </cell>
          <cell r="DI28">
            <v>0.76529811574697171</v>
          </cell>
          <cell r="DJ28">
            <v>0.76529811574697171</v>
          </cell>
          <cell r="DK28">
            <v>0.76529811574697171</v>
          </cell>
          <cell r="DL28">
            <v>0.76529811574697171</v>
          </cell>
          <cell r="DM28">
            <v>0.76529811574697171</v>
          </cell>
          <cell r="DN28">
            <v>0.76529811574697171</v>
          </cell>
          <cell r="DO28">
            <v>0.76529811574697171</v>
          </cell>
          <cell r="DP28">
            <v>0.76529811574697171</v>
          </cell>
          <cell r="DQ28">
            <v>0.76529811574697171</v>
          </cell>
          <cell r="DR28">
            <v>0.76529811574697171</v>
          </cell>
          <cell r="DS28">
            <v>0.76529811574697171</v>
          </cell>
          <cell r="DT28">
            <v>0.76529811574697171</v>
          </cell>
          <cell r="DU28">
            <v>0.76529811574697171</v>
          </cell>
          <cell r="DV28">
            <v>0.76529811574697171</v>
          </cell>
          <cell r="DW28">
            <v>0.76529811574697171</v>
          </cell>
          <cell r="DX28">
            <v>0.7757605488413285</v>
          </cell>
          <cell r="DY28">
            <v>0.79089415473482305</v>
          </cell>
          <cell r="DZ28">
            <v>0.80711196460543044</v>
          </cell>
          <cell r="EA28">
            <v>0.81388699861532154</v>
          </cell>
          <cell r="EB28">
            <v>0.81613855345976904</v>
          </cell>
          <cell r="EC28">
            <v>0.82508593602965397</v>
          </cell>
          <cell r="ED28">
            <v>0.82862612660654611</v>
          </cell>
          <cell r="EE28">
            <v>0.83209999446772132</v>
          </cell>
          <cell r="EF28">
            <v>0.8398259584896578</v>
          </cell>
          <cell r="EG28">
            <v>0.85309439964911982</v>
          </cell>
          <cell r="EH28">
            <v>0.8537896573339453</v>
          </cell>
          <cell r="EI28">
            <v>0.84942307784525162</v>
          </cell>
          <cell r="EJ28">
            <v>0.85226342971591207</v>
          </cell>
          <cell r="EK28">
            <v>0.85590868021717759</v>
          </cell>
          <cell r="EL28">
            <v>0.85955393071844322</v>
          </cell>
          <cell r="EM28">
            <v>0.86409143596889892</v>
          </cell>
          <cell r="EN28">
            <v>0.87035934838388873</v>
          </cell>
          <cell r="EO28">
            <v>0.87071745936615697</v>
          </cell>
          <cell r="EP28">
            <v>0.86332194313452937</v>
          </cell>
          <cell r="EQ28">
            <v>0.86365542666790407</v>
          </cell>
          <cell r="ER28">
            <v>0.86386273254313628</v>
          </cell>
          <cell r="ES28">
            <v>0.86490045564582474</v>
          </cell>
          <cell r="ET28">
            <v>0.87049335088538526</v>
          </cell>
          <cell r="EU28">
            <v>0.87704309211534648</v>
          </cell>
          <cell r="EV28">
            <v>0.87381358372954443</v>
          </cell>
          <cell r="EW28">
            <v>0.86619518568031761</v>
          </cell>
          <cell r="EX28">
            <v>0.86618109449515557</v>
          </cell>
          <cell r="EY28">
            <v>0.86610658490754944</v>
          </cell>
          <cell r="EZ28">
            <v>0.86603207531994331</v>
          </cell>
          <cell r="FA28">
            <v>0.87051273786920902</v>
          </cell>
          <cell r="FB28">
            <v>0.8770693554477359</v>
          </cell>
          <cell r="FC28">
            <v>0.84800687800131946</v>
          </cell>
          <cell r="FD28">
            <v>0.8111907733410072</v>
          </cell>
          <cell r="FE28">
            <v>0.77437466868069493</v>
          </cell>
          <cell r="FF28">
            <v>0.77933413602576629</v>
          </cell>
          <cell r="FG28">
            <v>0.78088714040431428</v>
          </cell>
          <cell r="FH28">
            <v>0.78730588219564257</v>
          </cell>
          <cell r="FI28">
            <v>0.79554083877538373</v>
          </cell>
          <cell r="FJ28">
            <v>0.7946160992639798</v>
          </cell>
          <cell r="FK28">
            <v>0.78593773253868016</v>
          </cell>
          <cell r="FL28">
            <v>0.78185228330787926</v>
          </cell>
          <cell r="FM28">
            <v>0.78348688791287924</v>
          </cell>
          <cell r="FN28">
            <v>0.7851214925178791</v>
          </cell>
          <cell r="FO28">
            <v>0.79635837558545786</v>
          </cell>
          <cell r="FP28">
            <v>0.81317054073478734</v>
          </cell>
          <cell r="FQ28">
            <v>0.81986698251330625</v>
          </cell>
          <cell r="FR28">
            <v>0.8221745346284004</v>
          </cell>
          <cell r="FS28">
            <v>0.83185513466163008</v>
          </cell>
          <cell r="FT28">
            <v>0.82478228468030013</v>
          </cell>
          <cell r="FU28">
            <v>0.82368053516536588</v>
          </cell>
          <cell r="FV28">
            <v>0.8271339577873037</v>
          </cell>
          <cell r="FW28">
            <v>0.83548971498089819</v>
          </cell>
          <cell r="FX28">
            <v>0.83372974880368222</v>
          </cell>
          <cell r="FY28">
            <v>0.82758089296304127</v>
          </cell>
          <cell r="FZ28">
            <v>0.87033204443248713</v>
          </cell>
          <cell r="GA28">
            <v>0.92735148850097326</v>
          </cell>
          <cell r="GB28">
            <v>0.97162621467332844</v>
          </cell>
          <cell r="GC28">
            <v>1.0102227043431913</v>
          </cell>
          <cell r="GD28">
            <v>1.0498409247827549</v>
          </cell>
          <cell r="GE28">
            <v>1.0736280412623052</v>
          </cell>
          <cell r="GF28">
            <v>1.0866332667325356</v>
          </cell>
          <cell r="GG28">
            <v>1.0979285050391991</v>
          </cell>
          <cell r="GH28">
            <v>0.90780245628897582</v>
          </cell>
          <cell r="GI28">
            <v>0.90466568642465939</v>
          </cell>
          <cell r="GJ28">
            <v>0.90212803415163401</v>
          </cell>
          <cell r="GK28">
            <v>0.91605208233991653</v>
          </cell>
          <cell r="GL28">
            <v>0.96733452433417966</v>
          </cell>
          <cell r="GM28">
            <v>1.0180770397101304</v>
          </cell>
          <cell r="GN28">
            <v>1.0619071122598032</v>
          </cell>
          <cell r="GO28">
            <v>1.1000675451291566</v>
          </cell>
          <cell r="GP28">
            <v>1.1181061280084552</v>
          </cell>
          <cell r="GQ28">
            <v>1.1312926153135796</v>
          </cell>
          <cell r="GR28">
            <v>1.154073013044872</v>
          </cell>
          <cell r="GS28">
            <v>1.1718966129085424</v>
          </cell>
          <cell r="GT28">
            <v>1.1889450390795255</v>
          </cell>
          <cell r="GU28">
            <v>1.2049020183865455</v>
          </cell>
          <cell r="GV28">
            <v>1.2526440360649007</v>
          </cell>
          <cell r="GW28">
            <v>1.3169595551763575</v>
          </cell>
          <cell r="GX28">
            <v>1.3779239048608691</v>
          </cell>
          <cell r="GY28">
            <v>1.4234487194678282</v>
          </cell>
          <cell r="GZ28">
            <v>1.461762813464748</v>
          </cell>
          <cell r="HA28">
            <v>1.4716994144504616</v>
          </cell>
          <cell r="HB28">
            <v>1.4738823882222798</v>
          </cell>
          <cell r="HC28">
            <v>1.4715508936226305</v>
          </cell>
          <cell r="HD28">
            <v>1.4675770866471562</v>
          </cell>
          <cell r="HE28">
            <v>1.4889937502141053</v>
          </cell>
          <cell r="HF28">
            <v>1.5595548244972564</v>
          </cell>
          <cell r="HG28">
            <v>1.6350582897514745</v>
          </cell>
          <cell r="HH28">
            <v>1.7071755067358241</v>
          </cell>
          <cell r="HI28">
            <v>1.7634637263851476</v>
          </cell>
          <cell r="HJ28">
            <v>1.8064612327101102</v>
          </cell>
          <cell r="HK28">
            <v>1.8408786582813716</v>
          </cell>
        </row>
        <row r="30">
          <cell r="D30">
            <v>835.54725714285712</v>
          </cell>
          <cell r="E30">
            <v>845.0585142857143</v>
          </cell>
          <cell r="F30">
            <v>854.56977142857147</v>
          </cell>
          <cell r="G30">
            <v>864.08102857142865</v>
          </cell>
          <cell r="H30">
            <v>873.59228571428582</v>
          </cell>
          <cell r="I30">
            <v>883.103542857143</v>
          </cell>
          <cell r="J30">
            <v>892.61480000000017</v>
          </cell>
          <cell r="K30">
            <v>902.12605714285735</v>
          </cell>
          <cell r="L30">
            <v>911.63731428571452</v>
          </cell>
          <cell r="M30">
            <v>921.1485714285717</v>
          </cell>
          <cell r="N30">
            <v>930.65982857142887</v>
          </cell>
          <cell r="O30">
            <v>940.17108571428605</v>
          </cell>
          <cell r="P30">
            <v>949.68234285714323</v>
          </cell>
          <cell r="Q30">
            <v>959.1936000000004</v>
          </cell>
          <cell r="R30">
            <v>968.70485714285758</v>
          </cell>
          <cell r="S30">
            <v>978.21611428571475</v>
          </cell>
          <cell r="T30">
            <v>987.72737142857193</v>
          </cell>
          <cell r="U30">
            <v>997.2386285714291</v>
          </cell>
          <cell r="V30">
            <v>1006.7498857142863</v>
          </cell>
          <cell r="W30">
            <v>1016.2611428571435</v>
          </cell>
          <cell r="X30">
            <v>1025.7724000000005</v>
          </cell>
          <cell r="Y30">
            <v>1035.2836571428577</v>
          </cell>
          <cell r="Z30">
            <v>1044.7949142857149</v>
          </cell>
          <cell r="AA30">
            <v>1054.306171428572</v>
          </cell>
          <cell r="AB30">
            <v>1063.8174285714292</v>
          </cell>
          <cell r="AC30">
            <v>1073.3286857142864</v>
          </cell>
          <cell r="AD30">
            <v>1082.8399428571436</v>
          </cell>
          <cell r="AE30">
            <v>1092.3512000000007</v>
          </cell>
          <cell r="AF30">
            <v>1101.8624571428579</v>
          </cell>
          <cell r="AG30">
            <v>1111.3737142857151</v>
          </cell>
          <cell r="AH30">
            <v>1111.3737142857151</v>
          </cell>
          <cell r="AI30">
            <v>1120.5781566820285</v>
          </cell>
          <cell r="AJ30">
            <v>1129.7825990783419</v>
          </cell>
          <cell r="AK30">
            <v>1138.9870414746554</v>
          </cell>
          <cell r="AL30">
            <v>1148.1914838709688</v>
          </cell>
          <cell r="AM30">
            <v>1157.3959262672822</v>
          </cell>
          <cell r="AN30">
            <v>1166.6003686635956</v>
          </cell>
          <cell r="AO30">
            <v>1175.8048110599091</v>
          </cell>
          <cell r="AP30">
            <v>1185.0092534562225</v>
          </cell>
          <cell r="AQ30">
            <v>1194.2136958525359</v>
          </cell>
          <cell r="AR30">
            <v>1203.4181382488493</v>
          </cell>
          <cell r="AS30">
            <v>1212.6225806451628</v>
          </cell>
          <cell r="AT30">
            <v>1221.8270230414762</v>
          </cell>
          <cell r="AU30">
            <v>1231.0314654377896</v>
          </cell>
          <cell r="AV30">
            <v>1240.235907834103</v>
          </cell>
          <cell r="AW30">
            <v>1249.4403502304165</v>
          </cell>
          <cell r="AX30">
            <v>1258.6447926267299</v>
          </cell>
          <cell r="AY30">
            <v>1267.8492350230433</v>
          </cell>
          <cell r="AZ30">
            <v>1277.0536774193567</v>
          </cell>
          <cell r="BA30">
            <v>1286.2581198156702</v>
          </cell>
          <cell r="BB30">
            <v>1295.4625622119836</v>
          </cell>
          <cell r="BC30">
            <v>1304.667004608297</v>
          </cell>
          <cell r="BD30">
            <v>1313.8714470046104</v>
          </cell>
          <cell r="BE30">
            <v>1323.0758894009239</v>
          </cell>
          <cell r="BF30">
            <v>1332.2803317972373</v>
          </cell>
          <cell r="BG30">
            <v>1341.4847741935507</v>
          </cell>
          <cell r="BH30">
            <v>1350.6892165898641</v>
          </cell>
          <cell r="BI30">
            <v>1359.8936589861776</v>
          </cell>
          <cell r="BJ30">
            <v>1369.098101382491</v>
          </cell>
          <cell r="BK30">
            <v>1378.3025437788044</v>
          </cell>
          <cell r="BL30">
            <v>1387.5069861751178</v>
          </cell>
          <cell r="BM30">
            <v>1396.7114285714313</v>
          </cell>
          <cell r="BN30">
            <v>1406.2226857142884</v>
          </cell>
          <cell r="BO30">
            <v>1415.7339428571456</v>
          </cell>
          <cell r="BP30">
            <v>1425.2452000000028</v>
          </cell>
          <cell r="BQ30">
            <v>1434.75645714286</v>
          </cell>
          <cell r="BR30">
            <v>1444.2677142857171</v>
          </cell>
          <cell r="BS30">
            <v>1453.7789714285743</v>
          </cell>
          <cell r="BT30">
            <v>1463.2902285714315</v>
          </cell>
          <cell r="BU30">
            <v>1472.8014857142887</v>
          </cell>
          <cell r="BV30">
            <v>1482.3127428571458</v>
          </cell>
          <cell r="BW30">
            <v>1491.824000000003</v>
          </cell>
          <cell r="BX30">
            <v>1501.3352571428602</v>
          </cell>
          <cell r="BY30">
            <v>1510.8465142857174</v>
          </cell>
          <cell r="BZ30">
            <v>1520.3577714285746</v>
          </cell>
          <cell r="CA30">
            <v>1529.8690285714317</v>
          </cell>
          <cell r="CB30">
            <v>1539.3802857142889</v>
          </cell>
          <cell r="CC30">
            <v>1548.8915428571461</v>
          </cell>
          <cell r="CD30">
            <v>1558.4028000000033</v>
          </cell>
          <cell r="CE30">
            <v>1567.9140571428604</v>
          </cell>
          <cell r="CF30">
            <v>1577.4253142857176</v>
          </cell>
          <cell r="CG30">
            <v>1586.9365714285748</v>
          </cell>
          <cell r="CH30">
            <v>1596.447828571432</v>
          </cell>
          <cell r="CI30">
            <v>1605.9590857142891</v>
          </cell>
          <cell r="CJ30">
            <v>1615.4703428571463</v>
          </cell>
          <cell r="CK30">
            <v>1624.9816000000035</v>
          </cell>
          <cell r="CL30">
            <v>1634.4928571428607</v>
          </cell>
          <cell r="CM30">
            <v>1644.0041142857178</v>
          </cell>
          <cell r="CN30">
            <v>1653.515371428575</v>
          </cell>
          <cell r="CO30">
            <v>1663.0266285714322</v>
          </cell>
          <cell r="CP30">
            <v>1672.5378857142894</v>
          </cell>
          <cell r="CQ30">
            <v>1682.0491428571465</v>
          </cell>
          <cell r="CR30">
            <v>1682.0491428571465</v>
          </cell>
          <cell r="CS30">
            <v>1691.25358525346</v>
          </cell>
          <cell r="CT30">
            <v>1700.4580276497734</v>
          </cell>
          <cell r="CU30">
            <v>1709.6624700460868</v>
          </cell>
          <cell r="CV30">
            <v>1718.8669124424002</v>
          </cell>
          <cell r="CW30">
            <v>1728.0713548387137</v>
          </cell>
          <cell r="CX30">
            <v>1737.2757972350271</v>
          </cell>
          <cell r="CY30">
            <v>1746.4802396313405</v>
          </cell>
          <cell r="CZ30">
            <v>1755.6846820276539</v>
          </cell>
          <cell r="DA30">
            <v>1764.8891244239674</v>
          </cell>
          <cell r="DB30">
            <v>1774.0935668202808</v>
          </cell>
          <cell r="DC30">
            <v>1783.2980092165942</v>
          </cell>
          <cell r="DD30">
            <v>1792.5024516129076</v>
          </cell>
          <cell r="DE30">
            <v>1801.7068940092211</v>
          </cell>
          <cell r="DF30">
            <v>1810.9113364055345</v>
          </cell>
          <cell r="DG30">
            <v>1820.1157788018479</v>
          </cell>
          <cell r="DH30">
            <v>1829.3202211981613</v>
          </cell>
          <cell r="DI30">
            <v>1838.5246635944748</v>
          </cell>
          <cell r="DJ30">
            <v>1847.7291059907882</v>
          </cell>
          <cell r="DK30">
            <v>1856.9335483871016</v>
          </cell>
          <cell r="DL30">
            <v>1866.137990783415</v>
          </cell>
          <cell r="DM30">
            <v>1875.3424331797285</v>
          </cell>
          <cell r="DN30">
            <v>1884.5468755760419</v>
          </cell>
          <cell r="DO30">
            <v>1893.7513179723553</v>
          </cell>
          <cell r="DP30">
            <v>1902.9557603686687</v>
          </cell>
          <cell r="DQ30">
            <v>1912.1602027649822</v>
          </cell>
          <cell r="DR30">
            <v>1921.3646451612956</v>
          </cell>
          <cell r="DS30">
            <v>1930.569087557609</v>
          </cell>
          <cell r="DT30">
            <v>1939.7735299539224</v>
          </cell>
          <cell r="DU30">
            <v>1948.9779723502359</v>
          </cell>
          <cell r="DV30">
            <v>1958.1824147465493</v>
          </cell>
          <cell r="DW30">
            <v>1967.3868571428627</v>
          </cell>
          <cell r="DX30">
            <v>1976.5912995391761</v>
          </cell>
          <cell r="DY30">
            <v>1985.7957419354896</v>
          </cell>
          <cell r="DZ30">
            <v>1995.000184331803</v>
          </cell>
          <cell r="EA30">
            <v>2004.2046267281164</v>
          </cell>
          <cell r="EB30">
            <v>2013.4090691244298</v>
          </cell>
          <cell r="EC30">
            <v>2022.6135115207433</v>
          </cell>
          <cell r="ED30">
            <v>2031.8179539170567</v>
          </cell>
          <cell r="EE30">
            <v>2041.0223963133701</v>
          </cell>
          <cell r="EF30">
            <v>2050.2268387096833</v>
          </cell>
          <cell r="EG30">
            <v>2059.4312811059967</v>
          </cell>
          <cell r="EH30">
            <v>2068.6357235023102</v>
          </cell>
          <cell r="EI30">
            <v>2077.8401658986236</v>
          </cell>
          <cell r="EJ30">
            <v>2087.044608294937</v>
          </cell>
          <cell r="EK30">
            <v>2096.2490506912504</v>
          </cell>
          <cell r="EL30">
            <v>2105.4534930875639</v>
          </cell>
          <cell r="EM30">
            <v>2114.6579354838773</v>
          </cell>
          <cell r="EN30">
            <v>2123.8623778801907</v>
          </cell>
          <cell r="EO30">
            <v>2133.0668202765041</v>
          </cell>
          <cell r="EP30">
            <v>2142.2712626728176</v>
          </cell>
          <cell r="EQ30">
            <v>2151.475705069131</v>
          </cell>
          <cell r="ER30">
            <v>2160.6801474654444</v>
          </cell>
          <cell r="ES30">
            <v>2169.8845898617578</v>
          </cell>
          <cell r="ET30">
            <v>2179.0890322580713</v>
          </cell>
          <cell r="EU30">
            <v>2188.2934746543847</v>
          </cell>
          <cell r="EV30">
            <v>2197.4979170506981</v>
          </cell>
          <cell r="EW30">
            <v>2206.7023594470115</v>
          </cell>
          <cell r="EX30">
            <v>2215.906801843325</v>
          </cell>
          <cell r="EY30">
            <v>2225.1112442396384</v>
          </cell>
          <cell r="EZ30">
            <v>2234.3156866359518</v>
          </cell>
          <cell r="FA30">
            <v>2243.5201290322652</v>
          </cell>
          <cell r="FB30">
            <v>2252.7245714285787</v>
          </cell>
          <cell r="FC30">
            <v>2262.2358285714358</v>
          </cell>
          <cell r="FD30">
            <v>2271.747085714293</v>
          </cell>
          <cell r="FE30">
            <v>2281.2583428571502</v>
          </cell>
          <cell r="FF30">
            <v>2290.7696000000074</v>
          </cell>
          <cell r="FG30">
            <v>2300.2808571428645</v>
          </cell>
          <cell r="FH30">
            <v>2309.7921142857217</v>
          </cell>
          <cell r="FI30">
            <v>2319.3033714285789</v>
          </cell>
          <cell r="FJ30">
            <v>2328.8146285714361</v>
          </cell>
          <cell r="FK30">
            <v>2338.3258857142932</v>
          </cell>
          <cell r="FL30">
            <v>2347.8371428571504</v>
          </cell>
          <cell r="FM30">
            <v>2357.3484000000076</v>
          </cell>
          <cell r="FN30">
            <v>2366.8596571428648</v>
          </cell>
          <cell r="FO30">
            <v>2376.3709142857219</v>
          </cell>
          <cell r="FP30">
            <v>2385.8821714285791</v>
          </cell>
          <cell r="FQ30">
            <v>2395.3934285714363</v>
          </cell>
          <cell r="FR30">
            <v>2404.9046857142935</v>
          </cell>
          <cell r="FS30">
            <v>2414.4159428571506</v>
          </cell>
          <cell r="FT30">
            <v>2423.9272000000078</v>
          </cell>
          <cell r="FU30">
            <v>2433.438457142865</v>
          </cell>
          <cell r="FV30">
            <v>2442.9497142857222</v>
          </cell>
          <cell r="FW30">
            <v>2452.4609714285793</v>
          </cell>
          <cell r="FX30">
            <v>2461.9722285714365</v>
          </cell>
          <cell r="FY30">
            <v>2471.4834857142937</v>
          </cell>
          <cell r="FZ30">
            <v>2480.9947428571509</v>
          </cell>
          <cell r="GA30">
            <v>2490.506000000008</v>
          </cell>
          <cell r="GB30">
            <v>2500.0172571428652</v>
          </cell>
          <cell r="GC30">
            <v>2509.5285142857224</v>
          </cell>
          <cell r="GD30">
            <v>2519.0397714285796</v>
          </cell>
          <cell r="GE30">
            <v>2528.5510285714367</v>
          </cell>
          <cell r="GF30">
            <v>2538.0622857142939</v>
          </cell>
          <cell r="GG30">
            <v>2547.2667281106073</v>
          </cell>
          <cell r="GH30">
            <v>2556.4711705069208</v>
          </cell>
          <cell r="GI30">
            <v>2565.6756129032342</v>
          </cell>
          <cell r="GJ30">
            <v>2574.8800552995476</v>
          </cell>
          <cell r="GK30">
            <v>2584.084497695861</v>
          </cell>
          <cell r="GL30">
            <v>2593.2889400921745</v>
          </cell>
          <cell r="GM30">
            <v>2602.4933824884879</v>
          </cell>
          <cell r="GN30">
            <v>2611.6978248848013</v>
          </cell>
          <cell r="GO30">
            <v>2620.9022672811147</v>
          </cell>
          <cell r="GP30">
            <v>2630.1067096774282</v>
          </cell>
          <cell r="GQ30">
            <v>2639.3111520737416</v>
          </cell>
          <cell r="GR30">
            <v>2648.515594470055</v>
          </cell>
          <cell r="GS30">
            <v>2657.7200368663684</v>
          </cell>
          <cell r="GT30">
            <v>2666.9244792626819</v>
          </cell>
          <cell r="GU30">
            <v>2676.1289216589953</v>
          </cell>
          <cell r="GV30">
            <v>2685.3333640553087</v>
          </cell>
          <cell r="GW30">
            <v>2694.5378064516221</v>
          </cell>
          <cell r="GX30">
            <v>2703.7422488479356</v>
          </cell>
          <cell r="GY30">
            <v>2712.946691244249</v>
          </cell>
          <cell r="GZ30">
            <v>2722.1511336405624</v>
          </cell>
          <cell r="HA30">
            <v>2731.3555760368758</v>
          </cell>
          <cell r="HB30">
            <v>2740.5600184331893</v>
          </cell>
          <cell r="HC30">
            <v>2749.7644608295027</v>
          </cell>
          <cell r="HD30">
            <v>2758.9689032258161</v>
          </cell>
          <cell r="HE30">
            <v>2768.1733456221295</v>
          </cell>
          <cell r="HF30">
            <v>2777.377788018443</v>
          </cell>
          <cell r="HG30">
            <v>2786.5822304147564</v>
          </cell>
          <cell r="HH30">
            <v>2795.7866728110698</v>
          </cell>
          <cell r="HI30">
            <v>2804.9911152073832</v>
          </cell>
          <cell r="HJ30">
            <v>2814.1955576036967</v>
          </cell>
          <cell r="HK30">
            <v>2823.4000000000101</v>
          </cell>
        </row>
        <row r="34">
          <cell r="D34">
            <v>0.2014608669578295</v>
          </cell>
          <cell r="E34">
            <v>0.20680177098465899</v>
          </cell>
          <cell r="F34">
            <v>0.20188861670961178</v>
          </cell>
          <cell r="G34">
            <v>0.19765313589763697</v>
          </cell>
          <cell r="H34">
            <v>0.19317665458613564</v>
          </cell>
          <cell r="I34">
            <v>0.19266769922466834</v>
          </cell>
          <cell r="J34">
            <v>0.19903207263032435</v>
          </cell>
          <cell r="K34">
            <v>0.21034463028255568</v>
          </cell>
          <cell r="L34">
            <v>0.21137862754276876</v>
          </cell>
          <cell r="M34">
            <v>0.21322184466599553</v>
          </cell>
          <cell r="N34">
            <v>0.21631902790878854</v>
          </cell>
          <cell r="O34">
            <v>0.21984380370003365</v>
          </cell>
          <cell r="P34">
            <v>0.22434228771045683</v>
          </cell>
          <cell r="Q34">
            <v>0.22880869021403066</v>
          </cell>
          <cell r="R34">
            <v>0.23096940778609767</v>
          </cell>
          <cell r="S34">
            <v>0.23311728289241124</v>
          </cell>
          <cell r="T34">
            <v>0.23748189180246229</v>
          </cell>
          <cell r="U34">
            <v>0.23930540482210236</v>
          </cell>
          <cell r="V34">
            <v>0.24231917469105752</v>
          </cell>
          <cell r="W34">
            <v>0.24595621281106972</v>
          </cell>
          <cell r="X34">
            <v>0.24802663380779424</v>
          </cell>
          <cell r="Y34">
            <v>0.23731075069492974</v>
          </cell>
          <cell r="Z34">
            <v>0.23169176963685978</v>
          </cell>
          <cell r="AA34">
            <v>0.23382079816783088</v>
          </cell>
          <cell r="AB34">
            <v>0.23231265127363759</v>
          </cell>
          <cell r="AC34">
            <v>0.23420010711917036</v>
          </cell>
          <cell r="AD34">
            <v>0.23966448907479898</v>
          </cell>
          <cell r="AE34">
            <v>0.24432952171535915</v>
          </cell>
          <cell r="AF34">
            <v>0.23746710093126178</v>
          </cell>
          <cell r="AG34">
            <v>0.24207641499597257</v>
          </cell>
          <cell r="AH34">
            <v>0.24207641499597257</v>
          </cell>
          <cell r="AI34">
            <v>0.35291866438356162</v>
          </cell>
          <cell r="AJ34">
            <v>0.35291866438356162</v>
          </cell>
          <cell r="AK34">
            <v>0.35291866438356162</v>
          </cell>
          <cell r="AL34">
            <v>0.35291866438356162</v>
          </cell>
          <cell r="AM34">
            <v>0.35291866438356162</v>
          </cell>
          <cell r="AN34">
            <v>0.35291866438356162</v>
          </cell>
          <cell r="AO34">
            <v>0.35291866438356162</v>
          </cell>
          <cell r="AP34">
            <v>0.35291866438356162</v>
          </cell>
          <cell r="AQ34">
            <v>0.35291866438356162</v>
          </cell>
          <cell r="AR34">
            <v>0.35291866438356162</v>
          </cell>
          <cell r="AS34">
            <v>0.35291866438356162</v>
          </cell>
          <cell r="AT34">
            <v>0.35291866438356162</v>
          </cell>
          <cell r="AU34">
            <v>0.35291866438356162</v>
          </cell>
          <cell r="AV34">
            <v>0.35291866438356162</v>
          </cell>
          <cell r="AW34">
            <v>0.35291866438356162</v>
          </cell>
          <cell r="AX34">
            <v>0.35291866438356162</v>
          </cell>
          <cell r="AY34">
            <v>0.35291866438356162</v>
          </cell>
          <cell r="AZ34">
            <v>0.35291866438356162</v>
          </cell>
          <cell r="BA34">
            <v>0.35291866438356162</v>
          </cell>
          <cell r="BB34">
            <v>0.35291866438356162</v>
          </cell>
          <cell r="BC34">
            <v>0.35291866438356162</v>
          </cell>
          <cell r="BD34">
            <v>0.35291866438356162</v>
          </cell>
          <cell r="BE34">
            <v>0.35291866438356162</v>
          </cell>
          <cell r="BF34">
            <v>0.35291866438356162</v>
          </cell>
          <cell r="BG34">
            <v>0.35291866438356162</v>
          </cell>
          <cell r="BH34">
            <v>0.35291866438356162</v>
          </cell>
          <cell r="BI34">
            <v>0.35291866438356162</v>
          </cell>
          <cell r="BJ34">
            <v>0.35291866438356162</v>
          </cell>
          <cell r="BK34">
            <v>0.35291866438356162</v>
          </cell>
          <cell r="BL34">
            <v>0.35291866438356162</v>
          </cell>
          <cell r="BM34">
            <v>0.35291866438356162</v>
          </cell>
          <cell r="BN34">
            <v>0.3561915261067613</v>
          </cell>
          <cell r="BO34">
            <v>0.35866503851489245</v>
          </cell>
          <cell r="BP34">
            <v>0.35882002352576337</v>
          </cell>
          <cell r="BQ34">
            <v>0.35929139253844822</v>
          </cell>
          <cell r="BR34">
            <v>0.36002132319496877</v>
          </cell>
          <cell r="BS34">
            <v>0.36158490953168559</v>
          </cell>
          <cell r="BT34">
            <v>0.36452539655333399</v>
          </cell>
          <cell r="BU34">
            <v>0.36907329795854399</v>
          </cell>
          <cell r="BV34">
            <v>0.37282185004868551</v>
          </cell>
          <cell r="BW34">
            <v>0.37425187474156674</v>
          </cell>
          <cell r="BX34">
            <v>0.3758668309412973</v>
          </cell>
          <cell r="BY34">
            <v>0.37748178714102787</v>
          </cell>
          <cell r="BZ34">
            <v>0.37926198306678582</v>
          </cell>
          <cell r="CA34">
            <v>0.38241907967747529</v>
          </cell>
          <cell r="CB34">
            <v>0.38727948108268534</v>
          </cell>
          <cell r="CC34">
            <v>0.39134053317282685</v>
          </cell>
          <cell r="CD34">
            <v>0.39308305786570807</v>
          </cell>
          <cell r="CE34">
            <v>0.39488893872297293</v>
          </cell>
          <cell r="CF34">
            <v>0.39669481958023772</v>
          </cell>
          <cell r="CG34">
            <v>0.39844933057448884</v>
          </cell>
          <cell r="CH34">
            <v>0.40158074225367146</v>
          </cell>
          <cell r="CI34">
            <v>0.40645312996025135</v>
          </cell>
          <cell r="CJ34">
            <v>0.41052616835176275</v>
          </cell>
          <cell r="CK34">
            <v>0.41228067934601387</v>
          </cell>
          <cell r="CL34">
            <v>0.41461224513478551</v>
          </cell>
          <cell r="CM34">
            <v>0.41669381092355717</v>
          </cell>
          <cell r="CN34">
            <v>0.41878051369863023</v>
          </cell>
          <cell r="CO34">
            <v>0.42224411715863475</v>
          </cell>
          <cell r="CP34">
            <v>0.42766958705699543</v>
          </cell>
          <cell r="CQ34">
            <v>0.43229570764028763</v>
          </cell>
          <cell r="CR34">
            <v>0.43229570764028763</v>
          </cell>
          <cell r="CS34">
            <v>0.59539297945205483</v>
          </cell>
          <cell r="CT34">
            <v>0.59539297945205483</v>
          </cell>
          <cell r="CU34">
            <v>0.59539297945205483</v>
          </cell>
          <cell r="CV34">
            <v>0.59539297945205483</v>
          </cell>
          <cell r="CW34">
            <v>0.59539297945205483</v>
          </cell>
          <cell r="CX34">
            <v>0.59539297945205483</v>
          </cell>
          <cell r="CY34">
            <v>0.59539297945205483</v>
          </cell>
          <cell r="CZ34">
            <v>0.59539297945205483</v>
          </cell>
          <cell r="DA34">
            <v>0.59539297945205483</v>
          </cell>
          <cell r="DB34">
            <v>0.59539297945205483</v>
          </cell>
          <cell r="DC34">
            <v>0.59539297945205483</v>
          </cell>
          <cell r="DD34">
            <v>0.59539297945205483</v>
          </cell>
          <cell r="DE34">
            <v>0.59539297945205483</v>
          </cell>
          <cell r="DF34">
            <v>0.59539297945205483</v>
          </cell>
          <cell r="DG34">
            <v>0.59539297945205483</v>
          </cell>
          <cell r="DH34">
            <v>0.59539297945205483</v>
          </cell>
          <cell r="DI34">
            <v>0.59539297945205483</v>
          </cell>
          <cell r="DJ34">
            <v>0.59539297945205483</v>
          </cell>
          <cell r="DK34">
            <v>0.59539297945205483</v>
          </cell>
          <cell r="DL34">
            <v>0.59539297945205483</v>
          </cell>
          <cell r="DM34">
            <v>0.59539297945205483</v>
          </cell>
          <cell r="DN34">
            <v>0.59539297945205483</v>
          </cell>
          <cell r="DO34">
            <v>0.59539297945205483</v>
          </cell>
          <cell r="DP34">
            <v>0.59539297945205483</v>
          </cell>
          <cell r="DQ34">
            <v>0.59539297945205483</v>
          </cell>
          <cell r="DR34">
            <v>0.59539297945205483</v>
          </cell>
          <cell r="DS34">
            <v>0.59539297945205483</v>
          </cell>
          <cell r="DT34">
            <v>0.59539297945205483</v>
          </cell>
          <cell r="DU34">
            <v>0.59539297945205483</v>
          </cell>
          <cell r="DV34">
            <v>0.59539297945205483</v>
          </cell>
          <cell r="DW34">
            <v>0.59539297945205483</v>
          </cell>
          <cell r="DX34">
            <v>0.59936102134491998</v>
          </cell>
          <cell r="DY34">
            <v>0.60470596392271669</v>
          </cell>
          <cell r="DZ34">
            <v>0.61019209727761403</v>
          </cell>
          <cell r="EA34">
            <v>0.61487888131744273</v>
          </cell>
          <cell r="EB34">
            <v>0.61724713796001118</v>
          </cell>
          <cell r="EC34">
            <v>0.61704690145189467</v>
          </cell>
          <cell r="ED34">
            <v>0.62018128766456349</v>
          </cell>
          <cell r="EE34">
            <v>0.62331567387723241</v>
          </cell>
          <cell r="EF34">
            <v>0.6278269607748328</v>
          </cell>
          <cell r="EG34">
            <v>0.63357936125301761</v>
          </cell>
          <cell r="EH34">
            <v>0.63853241241613412</v>
          </cell>
          <cell r="EI34">
            <v>0.64116693618199017</v>
          </cell>
          <cell r="EJ34">
            <v>0.64380145994784632</v>
          </cell>
          <cell r="EK34">
            <v>0.64779678822478004</v>
          </cell>
          <cell r="EL34">
            <v>0.65179211650171376</v>
          </cell>
          <cell r="EM34">
            <v>0.65608643450467496</v>
          </cell>
          <cell r="EN34">
            <v>0.66297789291859499</v>
          </cell>
          <cell r="EO34">
            <v>0.6690700020174466</v>
          </cell>
          <cell r="EP34">
            <v>0.67284358371903785</v>
          </cell>
          <cell r="EQ34">
            <v>0.6765632270644647</v>
          </cell>
          <cell r="ER34">
            <v>0.68028287040989155</v>
          </cell>
          <cell r="ES34">
            <v>0.68404360964572941</v>
          </cell>
          <cell r="ET34">
            <v>0.68918124956649873</v>
          </cell>
          <cell r="EU34">
            <v>0.69612750250096678</v>
          </cell>
          <cell r="EV34">
            <v>0.70227440612036629</v>
          </cell>
          <cell r="EW34">
            <v>0.70610278234250545</v>
          </cell>
          <cell r="EX34">
            <v>0.70993115856464473</v>
          </cell>
          <cell r="EY34">
            <v>0.713759534786784</v>
          </cell>
          <cell r="EZ34">
            <v>0.71758791100892327</v>
          </cell>
          <cell r="FA34">
            <v>0.72279318791599401</v>
          </cell>
          <cell r="FB34">
            <v>0.72973944085046194</v>
          </cell>
          <cell r="FC34">
            <v>0.7321348939089779</v>
          </cell>
          <cell r="FD34">
            <v>0.73221181957023362</v>
          </cell>
          <cell r="FE34">
            <v>0.73228874523148924</v>
          </cell>
          <cell r="FF34">
            <v>0.73298895856397783</v>
          </cell>
          <cell r="FG34">
            <v>0.73744062245734987</v>
          </cell>
          <cell r="FH34">
            <v>0.74297723498085899</v>
          </cell>
          <cell r="FI34">
            <v>0.75025482353176542</v>
          </cell>
          <cell r="FJ34">
            <v>0.75673306276760322</v>
          </cell>
          <cell r="FK34">
            <v>0.76089277460618077</v>
          </cell>
          <cell r="FL34">
            <v>0.76507817137626521</v>
          </cell>
          <cell r="FM34">
            <v>0.76926356814634966</v>
          </cell>
          <cell r="FN34">
            <v>0.77344896491643422</v>
          </cell>
          <cell r="FO34">
            <v>0.7782439945632309</v>
          </cell>
          <cell r="FP34">
            <v>0.78478000023742489</v>
          </cell>
          <cell r="FQ34">
            <v>0.79051665659655035</v>
          </cell>
          <cell r="FR34">
            <v>0.79393478555841568</v>
          </cell>
          <cell r="FS34">
            <v>0.7973529145202809</v>
          </cell>
          <cell r="FT34">
            <v>0.79733894223633106</v>
          </cell>
          <cell r="FU34">
            <v>0.80090176297901827</v>
          </cell>
          <cell r="FV34">
            <v>0.80507421659841771</v>
          </cell>
          <cell r="FW34">
            <v>0.81098764624521447</v>
          </cell>
          <cell r="FX34">
            <v>0.8161017265769428</v>
          </cell>
          <cell r="FY34">
            <v>0.81889727951141078</v>
          </cell>
          <cell r="FZ34">
            <v>0.82208495573355</v>
          </cell>
          <cell r="GA34">
            <v>0.83325874878953177</v>
          </cell>
          <cell r="GB34">
            <v>0.84377464829333992</v>
          </cell>
          <cell r="GC34">
            <v>0.85147666137773248</v>
          </cell>
          <cell r="GD34">
            <v>0.86105321213335806</v>
          </cell>
          <cell r="GE34">
            <v>0.86607896301303144</v>
          </cell>
          <cell r="GF34">
            <v>0.86801891868722558</v>
          </cell>
          <cell r="GG34">
            <v>0.86588895214728789</v>
          </cell>
          <cell r="GH34">
            <v>0.86785984917938686</v>
          </cell>
          <cell r="GI34">
            <v>0.86889218784937694</v>
          </cell>
          <cell r="GJ34">
            <v>0.86992452651936691</v>
          </cell>
          <cell r="GK34">
            <v>0.87156649806606934</v>
          </cell>
          <cell r="GL34">
            <v>0.87494944564016897</v>
          </cell>
          <cell r="GM34">
            <v>0.88378546150067283</v>
          </cell>
          <cell r="GN34">
            <v>0.88953568215569712</v>
          </cell>
          <cell r="GO34">
            <v>0.89535867678332404</v>
          </cell>
          <cell r="GP34">
            <v>0.89701339300996941</v>
          </cell>
          <cell r="GQ34">
            <v>0.89866810923661489</v>
          </cell>
          <cell r="GR34">
            <v>0.89974545519875782</v>
          </cell>
          <cell r="GS34">
            <v>0.90423108854869083</v>
          </cell>
          <cell r="GT34">
            <v>0.90625006122316265</v>
          </cell>
          <cell r="GU34">
            <v>0.90518323869215511</v>
          </cell>
          <cell r="GV34">
            <v>0.90828469456212912</v>
          </cell>
          <cell r="GW34">
            <v>0.91305346179249591</v>
          </cell>
          <cell r="GX34">
            <v>0.9178222290228627</v>
          </cell>
          <cell r="GY34">
            <v>0.92396789693816106</v>
          </cell>
          <cell r="GZ34">
            <v>0.92941996171224472</v>
          </cell>
          <cell r="HA34">
            <v>0.92990439877027808</v>
          </cell>
          <cell r="HB34">
            <v>0.92730304062283209</v>
          </cell>
          <cell r="HC34">
            <v>0.92470168247538609</v>
          </cell>
          <cell r="HD34">
            <v>0.92210032432794009</v>
          </cell>
          <cell r="HE34">
            <v>0.91873169837227497</v>
          </cell>
          <cell r="HF34">
            <v>0.92046307936929805</v>
          </cell>
          <cell r="HG34">
            <v>0.92688157556753248</v>
          </cell>
          <cell r="HH34">
            <v>0.93173345464247903</v>
          </cell>
          <cell r="HI34">
            <v>0.93426680632016534</v>
          </cell>
          <cell r="HJ34">
            <v>0.93680015799785166</v>
          </cell>
          <cell r="HK34">
            <v>0.93933350967553797</v>
          </cell>
        </row>
        <row r="36">
          <cell r="D36">
            <v>235.1758476190476</v>
          </cell>
          <cell r="E36">
            <v>239.35969523809521</v>
          </cell>
          <cell r="F36">
            <v>243.54354285714282</v>
          </cell>
          <cell r="G36">
            <v>247.72739047619044</v>
          </cell>
          <cell r="H36">
            <v>251.91123809523805</v>
          </cell>
          <cell r="I36">
            <v>256.09508571428569</v>
          </cell>
          <cell r="J36">
            <v>260.27893333333333</v>
          </cell>
          <cell r="K36">
            <v>264.46278095238097</v>
          </cell>
          <cell r="L36">
            <v>268.64662857142861</v>
          </cell>
          <cell r="M36">
            <v>272.83047619047625</v>
          </cell>
          <cell r="N36">
            <v>277.01432380952389</v>
          </cell>
          <cell r="O36">
            <v>281.19817142857153</v>
          </cell>
          <cell r="P36">
            <v>285.38201904761917</v>
          </cell>
          <cell r="Q36">
            <v>289.56586666666681</v>
          </cell>
          <cell r="R36">
            <v>293.74971428571445</v>
          </cell>
          <cell r="S36">
            <v>297.93356190476209</v>
          </cell>
          <cell r="T36">
            <v>302.11740952380973</v>
          </cell>
          <cell r="U36">
            <v>306.30125714285737</v>
          </cell>
          <cell r="V36">
            <v>310.48510476190501</v>
          </cell>
          <cell r="W36">
            <v>314.66895238095265</v>
          </cell>
          <cell r="X36">
            <v>318.85280000000029</v>
          </cell>
          <cell r="Y36">
            <v>323.03664761904793</v>
          </cell>
          <cell r="Z36">
            <v>327.22049523809557</v>
          </cell>
          <cell r="AA36">
            <v>331.40434285714321</v>
          </cell>
          <cell r="AB36">
            <v>335.58819047619085</v>
          </cell>
          <cell r="AC36">
            <v>339.77203809523849</v>
          </cell>
          <cell r="AD36">
            <v>343.95588571428613</v>
          </cell>
          <cell r="AE36">
            <v>348.13973333333377</v>
          </cell>
          <cell r="AF36">
            <v>352.32358095238141</v>
          </cell>
          <cell r="AG36">
            <v>356.50742857142905</v>
          </cell>
          <cell r="AH36">
            <v>360.69127619047669</v>
          </cell>
          <cell r="AI36">
            <v>364.74016098310341</v>
          </cell>
          <cell r="AJ36">
            <v>368.78904577573013</v>
          </cell>
          <cell r="AK36">
            <v>372.83793056835685</v>
          </cell>
          <cell r="AL36">
            <v>376.88681536098358</v>
          </cell>
          <cell r="AM36">
            <v>380.9357001536103</v>
          </cell>
          <cell r="AN36">
            <v>384.98458494623702</v>
          </cell>
          <cell r="AO36">
            <v>389.03346973886374</v>
          </cell>
          <cell r="AP36">
            <v>393.08235453149047</v>
          </cell>
          <cell r="AQ36">
            <v>397.13123932411719</v>
          </cell>
          <cell r="AR36">
            <v>401.18012411674391</v>
          </cell>
          <cell r="AS36">
            <v>405.22900890937063</v>
          </cell>
          <cell r="AT36">
            <v>409.27789370199736</v>
          </cell>
          <cell r="AU36">
            <v>413.32677849462408</v>
          </cell>
          <cell r="AV36">
            <v>417.3756632872508</v>
          </cell>
          <cell r="AW36">
            <v>421.42454807987752</v>
          </cell>
          <cell r="AX36">
            <v>425.47343287250425</v>
          </cell>
          <cell r="AY36">
            <v>429.52231766513097</v>
          </cell>
          <cell r="AZ36">
            <v>433.57120245775769</v>
          </cell>
          <cell r="BA36">
            <v>437.62008725038442</v>
          </cell>
          <cell r="BB36">
            <v>441.66897204301114</v>
          </cell>
          <cell r="BC36">
            <v>445.71785683563786</v>
          </cell>
          <cell r="BD36">
            <v>449.76674162826458</v>
          </cell>
          <cell r="BE36">
            <v>453.81562642089131</v>
          </cell>
          <cell r="BF36">
            <v>457.86451121351803</v>
          </cell>
          <cell r="BG36">
            <v>461.91339600614475</v>
          </cell>
          <cell r="BH36">
            <v>465.96228079877147</v>
          </cell>
          <cell r="BI36">
            <v>470.0111655913982</v>
          </cell>
          <cell r="BJ36">
            <v>474.06005038402492</v>
          </cell>
          <cell r="BK36">
            <v>478.10893517665164</v>
          </cell>
          <cell r="BL36">
            <v>482.15781996927836</v>
          </cell>
          <cell r="BM36">
            <v>486.20670476190509</v>
          </cell>
          <cell r="BN36">
            <v>490.39055238095273</v>
          </cell>
          <cell r="BO36">
            <v>494.57440000000037</v>
          </cell>
          <cell r="BP36">
            <v>498.75824761904801</v>
          </cell>
          <cell r="BQ36">
            <v>502.94209523809565</v>
          </cell>
          <cell r="BR36">
            <v>507.12594285714329</v>
          </cell>
          <cell r="BS36">
            <v>511.30979047619093</v>
          </cell>
          <cell r="BT36">
            <v>515.49363809523857</v>
          </cell>
          <cell r="BU36">
            <v>519.67748571428615</v>
          </cell>
          <cell r="BV36">
            <v>523.86133333333373</v>
          </cell>
          <cell r="BW36">
            <v>528.04518095238132</v>
          </cell>
          <cell r="BX36">
            <v>532.2290285714289</v>
          </cell>
          <cell r="BY36">
            <v>536.41287619047648</v>
          </cell>
          <cell r="BZ36">
            <v>540.59672380952406</v>
          </cell>
          <cell r="CA36">
            <v>544.78057142857165</v>
          </cell>
          <cell r="CB36">
            <v>548.96441904761923</v>
          </cell>
          <cell r="CC36">
            <v>553.14826666666681</v>
          </cell>
          <cell r="CD36">
            <v>557.3321142857144</v>
          </cell>
          <cell r="CE36">
            <v>561.51596190476198</v>
          </cell>
          <cell r="CF36">
            <v>565.69980952380956</v>
          </cell>
          <cell r="CG36">
            <v>569.88365714285715</v>
          </cell>
          <cell r="CH36">
            <v>574.06750476190473</v>
          </cell>
          <cell r="CI36">
            <v>578.25135238095231</v>
          </cell>
          <cell r="CJ36">
            <v>582.4351999999999</v>
          </cell>
          <cell r="CK36">
            <v>586.61904761904748</v>
          </cell>
          <cell r="CL36">
            <v>590.80289523809506</v>
          </cell>
          <cell r="CM36">
            <v>594.98674285714264</v>
          </cell>
          <cell r="CN36">
            <v>599.17059047619023</v>
          </cell>
          <cell r="CO36">
            <v>603.35443809523781</v>
          </cell>
          <cell r="CP36">
            <v>607.53828571428539</v>
          </cell>
          <cell r="CQ36">
            <v>611.72213333333298</v>
          </cell>
          <cell r="CR36">
            <v>615.90598095238056</v>
          </cell>
          <cell r="CS36">
            <v>619.95486574500728</v>
          </cell>
          <cell r="CT36">
            <v>624.00375053763401</v>
          </cell>
          <cell r="CU36">
            <v>628.05263533026073</v>
          </cell>
          <cell r="CV36">
            <v>632.10152012288745</v>
          </cell>
          <cell r="CW36">
            <v>636.15040491551417</v>
          </cell>
          <cell r="CX36">
            <v>640.1992897081409</v>
          </cell>
          <cell r="CY36">
            <v>644.24817450076762</v>
          </cell>
          <cell r="CZ36">
            <v>648.29705929339434</v>
          </cell>
          <cell r="DA36">
            <v>652.34594408602106</v>
          </cell>
          <cell r="DB36">
            <v>656.39482887864779</v>
          </cell>
          <cell r="DC36">
            <v>660.44371367127451</v>
          </cell>
          <cell r="DD36">
            <v>664.49259846390123</v>
          </cell>
          <cell r="DE36">
            <v>668.54148325652795</v>
          </cell>
          <cell r="DF36">
            <v>672.59036804915468</v>
          </cell>
          <cell r="DG36">
            <v>676.6392528417814</v>
          </cell>
          <cell r="DH36">
            <v>680.68813763440812</v>
          </cell>
          <cell r="DI36">
            <v>684.73702242703484</v>
          </cell>
          <cell r="DJ36">
            <v>688.78590721966157</v>
          </cell>
          <cell r="DK36">
            <v>692.83479201228829</v>
          </cell>
          <cell r="DL36">
            <v>696.88367680491501</v>
          </cell>
          <cell r="DM36">
            <v>700.93256159754173</v>
          </cell>
          <cell r="DN36">
            <v>704.98144639016846</v>
          </cell>
          <cell r="DO36">
            <v>709.03033118279518</v>
          </cell>
          <cell r="DP36">
            <v>713.0792159754219</v>
          </cell>
          <cell r="DQ36">
            <v>717.12810076804863</v>
          </cell>
          <cell r="DR36">
            <v>721.17698556067535</v>
          </cell>
          <cell r="DS36">
            <v>725.22587035330207</v>
          </cell>
          <cell r="DT36">
            <v>729.27475514592879</v>
          </cell>
          <cell r="DU36">
            <v>733.32363993855552</v>
          </cell>
          <cell r="DV36">
            <v>737.37252473118224</v>
          </cell>
          <cell r="DW36">
            <v>741.42140952380896</v>
          </cell>
          <cell r="DX36">
            <v>745.47029431643568</v>
          </cell>
          <cell r="DY36">
            <v>749.51917910906241</v>
          </cell>
          <cell r="DZ36">
            <v>753.56806390168913</v>
          </cell>
          <cell r="EA36">
            <v>757.61694869431585</v>
          </cell>
          <cell r="EB36">
            <v>761.66583348694257</v>
          </cell>
          <cell r="EC36">
            <v>765.7147182795693</v>
          </cell>
          <cell r="ED36">
            <v>769.76360307219602</v>
          </cell>
          <cell r="EE36">
            <v>773.81248786482274</v>
          </cell>
          <cell r="EF36">
            <v>777.86137265744946</v>
          </cell>
          <cell r="EG36">
            <v>781.91025745007619</v>
          </cell>
          <cell r="EH36">
            <v>785.95914224270291</v>
          </cell>
          <cell r="EI36">
            <v>790.00802703532963</v>
          </cell>
          <cell r="EJ36">
            <v>794.05691182795636</v>
          </cell>
          <cell r="EK36">
            <v>798.10579662058308</v>
          </cell>
          <cell r="EL36">
            <v>802.1546814132098</v>
          </cell>
          <cell r="EM36">
            <v>806.20356620583652</v>
          </cell>
          <cell r="EN36">
            <v>810.25245099846325</v>
          </cell>
          <cell r="EO36">
            <v>814.30133579108997</v>
          </cell>
          <cell r="EP36">
            <v>818.35022058371669</v>
          </cell>
          <cell r="EQ36">
            <v>822.39910537634341</v>
          </cell>
          <cell r="ER36">
            <v>826.44799016897014</v>
          </cell>
          <cell r="ES36">
            <v>830.49687496159686</v>
          </cell>
          <cell r="ET36">
            <v>834.54575975422358</v>
          </cell>
          <cell r="EU36">
            <v>838.5946445468503</v>
          </cell>
          <cell r="EV36">
            <v>842.64352933947703</v>
          </cell>
          <cell r="EW36">
            <v>846.69241413210375</v>
          </cell>
          <cell r="EX36">
            <v>850.74129892473047</v>
          </cell>
          <cell r="EY36">
            <v>854.79018371735719</v>
          </cell>
          <cell r="EZ36">
            <v>858.83906850998392</v>
          </cell>
          <cell r="FA36">
            <v>862.88795330261064</v>
          </cell>
          <cell r="FB36">
            <v>866.93683809523736</v>
          </cell>
          <cell r="FC36">
            <v>871.12068571428495</v>
          </cell>
          <cell r="FD36">
            <v>875.30453333333253</v>
          </cell>
          <cell r="FE36">
            <v>879.48838095238011</v>
          </cell>
          <cell r="FF36">
            <v>883.67222857142769</v>
          </cell>
          <cell r="FG36">
            <v>887.85607619047528</v>
          </cell>
          <cell r="FH36">
            <v>892.03992380952286</v>
          </cell>
          <cell r="FI36">
            <v>896.22377142857044</v>
          </cell>
          <cell r="FJ36">
            <v>900.40761904761803</v>
          </cell>
          <cell r="FK36">
            <v>904.59146666666561</v>
          </cell>
          <cell r="FL36">
            <v>908.77531428571319</v>
          </cell>
          <cell r="FM36">
            <v>912.95916190476078</v>
          </cell>
          <cell r="FN36">
            <v>917.14300952380836</v>
          </cell>
          <cell r="FO36">
            <v>921.32685714285594</v>
          </cell>
          <cell r="FP36">
            <v>925.51070476190353</v>
          </cell>
          <cell r="FQ36">
            <v>929.69455238095111</v>
          </cell>
          <cell r="FR36">
            <v>933.87839999999869</v>
          </cell>
          <cell r="FS36">
            <v>938.06224761904627</v>
          </cell>
          <cell r="FT36">
            <v>942.24609523809386</v>
          </cell>
          <cell r="FU36">
            <v>946.42994285714144</v>
          </cell>
          <cell r="FV36">
            <v>950.61379047618902</v>
          </cell>
          <cell r="FW36">
            <v>954.79763809523661</v>
          </cell>
          <cell r="FX36">
            <v>958.98148571428419</v>
          </cell>
          <cell r="FY36">
            <v>963.16533333333177</v>
          </cell>
          <cell r="FZ36">
            <v>967.34918095237936</v>
          </cell>
          <cell r="GA36">
            <v>971.53302857142694</v>
          </cell>
          <cell r="GB36">
            <v>975.71687619047452</v>
          </cell>
          <cell r="GC36">
            <v>979.90072380952211</v>
          </cell>
          <cell r="GD36">
            <v>984.08457142856969</v>
          </cell>
          <cell r="GE36">
            <v>988.26841904761727</v>
          </cell>
          <cell r="GF36">
            <v>992.45226666666485</v>
          </cell>
          <cell r="GG36">
            <v>996.50115145929158</v>
          </cell>
          <cell r="GH36">
            <v>1000.5500362519183</v>
          </cell>
          <cell r="GI36">
            <v>1004.598921044545</v>
          </cell>
          <cell r="GJ36">
            <v>1008.6478058371717</v>
          </cell>
          <cell r="GK36">
            <v>1012.6966906297985</v>
          </cell>
          <cell r="GL36">
            <v>1016.7455754224252</v>
          </cell>
          <cell r="GM36">
            <v>1020.7944602150519</v>
          </cell>
          <cell r="GN36">
            <v>1024.8433450076786</v>
          </cell>
          <cell r="GO36">
            <v>1028.8922298003054</v>
          </cell>
          <cell r="GP36">
            <v>1032.9411145929321</v>
          </cell>
          <cell r="GQ36">
            <v>1036.9899993855588</v>
          </cell>
          <cell r="GR36">
            <v>1041.0388841781855</v>
          </cell>
          <cell r="GS36">
            <v>1045.0877689708122</v>
          </cell>
          <cell r="GT36">
            <v>1049.136653763439</v>
          </cell>
          <cell r="GU36">
            <v>1053.1855385560657</v>
          </cell>
          <cell r="GV36">
            <v>1057.2344233486924</v>
          </cell>
          <cell r="GW36">
            <v>1061.2833081413191</v>
          </cell>
          <cell r="GX36">
            <v>1065.3321929339459</v>
          </cell>
          <cell r="GY36">
            <v>1069.3810777265726</v>
          </cell>
          <cell r="GZ36">
            <v>1073.4299625191993</v>
          </cell>
          <cell r="HA36">
            <v>1077.478847311826</v>
          </cell>
          <cell r="HB36">
            <v>1081.5277321044528</v>
          </cell>
          <cell r="HC36">
            <v>1085.5766168970795</v>
          </cell>
          <cell r="HD36">
            <v>1089.6255016897062</v>
          </cell>
          <cell r="HE36">
            <v>1093.6743864823329</v>
          </cell>
          <cell r="HF36">
            <v>1097.7232712749596</v>
          </cell>
          <cell r="HG36">
            <v>1101.7721560675864</v>
          </cell>
          <cell r="HH36">
            <v>1105.8210408602131</v>
          </cell>
          <cell r="HI36">
            <v>1109.8699256528398</v>
          </cell>
          <cell r="HJ36">
            <v>1113.9188104454665</v>
          </cell>
          <cell r="HK36">
            <v>1117.9676952380933</v>
          </cell>
        </row>
        <row r="46">
          <cell r="D46">
            <v>8.2221754567485705E-2</v>
          </cell>
          <cell r="E46">
            <v>8.482427201072909E-2</v>
          </cell>
          <cell r="F46">
            <v>8.7396432375788938E-2</v>
          </cell>
          <cell r="G46">
            <v>9.0838410245237797E-2</v>
          </cell>
          <cell r="H46">
            <v>9.5169530825927509E-2</v>
          </cell>
          <cell r="I46">
            <v>9.6838392077172569E-2</v>
          </cell>
          <cell r="J46">
            <v>0.10096620978780127</v>
          </cell>
          <cell r="K46">
            <v>0.10673552235011974</v>
          </cell>
          <cell r="L46">
            <v>0.10748972436183139</v>
          </cell>
          <cell r="M46">
            <v>0.1094138671268083</v>
          </cell>
          <cell r="N46">
            <v>0.11299509122570379</v>
          </cell>
          <cell r="O46">
            <v>0.11704116565407649</v>
          </cell>
          <cell r="P46">
            <v>0.12108591241917878</v>
          </cell>
          <cell r="Q46">
            <v>0.1270825074239669</v>
          </cell>
          <cell r="R46">
            <v>0.13218505618195581</v>
          </cell>
          <cell r="S46">
            <v>0.13728760493994469</v>
          </cell>
          <cell r="T46">
            <v>0.14265688275736271</v>
          </cell>
          <cell r="U46">
            <v>0.14802616057478071</v>
          </cell>
          <cell r="V46">
            <v>0.15436739694137372</v>
          </cell>
          <cell r="W46">
            <v>0.1573204944565037</v>
          </cell>
          <cell r="X46">
            <v>0.15731100801994599</v>
          </cell>
          <cell r="Y46">
            <v>0.15129723063820996</v>
          </cell>
          <cell r="Z46">
            <v>0.15074415616894632</v>
          </cell>
          <cell r="AA46">
            <v>0.15036594845938986</v>
          </cell>
          <cell r="AB46">
            <v>0.15007958413254552</v>
          </cell>
          <cell r="AC46">
            <v>0.15103788909831997</v>
          </cell>
          <cell r="AD46">
            <v>0.1542828398027313</v>
          </cell>
          <cell r="AE46">
            <v>0.15846542230743285</v>
          </cell>
          <cell r="AF46">
            <v>0.15718998458805497</v>
          </cell>
          <cell r="AG46">
            <v>0.15936141388905012</v>
          </cell>
          <cell r="AH46">
            <v>0.15936141388905012</v>
          </cell>
          <cell r="AI46">
            <v>0.15957416939635002</v>
          </cell>
          <cell r="AJ46">
            <v>0.15957416939635002</v>
          </cell>
          <cell r="AK46">
            <v>0.15957416939635002</v>
          </cell>
          <cell r="AL46">
            <v>0.15957416939635002</v>
          </cell>
          <cell r="AM46">
            <v>0.15957416939635002</v>
          </cell>
          <cell r="AN46">
            <v>0.15957416939635002</v>
          </cell>
          <cell r="AO46">
            <v>0.15957416939635002</v>
          </cell>
          <cell r="AP46">
            <v>0.15957416939635002</v>
          </cell>
          <cell r="AQ46">
            <v>0.15957416939635002</v>
          </cell>
          <cell r="AR46">
            <v>0.15957416939635002</v>
          </cell>
          <cell r="AS46">
            <v>0.15957416939635002</v>
          </cell>
          <cell r="AT46">
            <v>0.15957416939635002</v>
          </cell>
          <cell r="AU46">
            <v>0.15957416939635002</v>
          </cell>
          <cell r="AV46">
            <v>0.15957416939635002</v>
          </cell>
          <cell r="AW46">
            <v>0.15957416939635002</v>
          </cell>
          <cell r="AX46">
            <v>0.15957416939635002</v>
          </cell>
          <cell r="AY46">
            <v>0.15957416939635002</v>
          </cell>
          <cell r="AZ46">
            <v>0.15957416939635002</v>
          </cell>
          <cell r="BA46">
            <v>0.15957416939635002</v>
          </cell>
          <cell r="BB46">
            <v>0.15957416939635002</v>
          </cell>
          <cell r="BC46">
            <v>0.15957416939635002</v>
          </cell>
          <cell r="BD46">
            <v>0.15957416939635002</v>
          </cell>
          <cell r="BE46">
            <v>0.15957416939635002</v>
          </cell>
          <cell r="BF46">
            <v>0.15957416939635002</v>
          </cell>
          <cell r="BG46">
            <v>0.15957416939635002</v>
          </cell>
          <cell r="BH46">
            <v>0.15957416939635002</v>
          </cell>
          <cell r="BI46">
            <v>0.15957416939635002</v>
          </cell>
          <cell r="BJ46">
            <v>0.15957416939635002</v>
          </cell>
          <cell r="BK46">
            <v>0.15957416939635002</v>
          </cell>
          <cell r="BL46">
            <v>0.15957416939635002</v>
          </cell>
          <cell r="BM46">
            <v>0.15957416939635002</v>
          </cell>
          <cell r="BN46">
            <v>0.1650158037861047</v>
          </cell>
          <cell r="BO46">
            <v>0.16987374531705615</v>
          </cell>
          <cell r="BP46">
            <v>0.17282342416181279</v>
          </cell>
          <cell r="BQ46">
            <v>0.17714325535294395</v>
          </cell>
          <cell r="BR46">
            <v>0.18146308654407509</v>
          </cell>
          <cell r="BS46">
            <v>0.18578291773520622</v>
          </cell>
          <cell r="BT46">
            <v>0.19107470747551236</v>
          </cell>
          <cell r="BU46">
            <v>0.19788649421164153</v>
          </cell>
          <cell r="BV46">
            <v>0.20411458808896751</v>
          </cell>
          <cell r="BW46">
            <v>0.20843441928009868</v>
          </cell>
          <cell r="BX46">
            <v>0.21275425047122981</v>
          </cell>
          <cell r="BY46">
            <v>0.21707408166236095</v>
          </cell>
          <cell r="BZ46">
            <v>0.22139391285349211</v>
          </cell>
          <cell r="CA46">
            <v>0.2269898673106911</v>
          </cell>
          <cell r="CB46">
            <v>0.22864341738281804</v>
          </cell>
          <cell r="CC46">
            <v>0.2297132745961418</v>
          </cell>
          <cell r="CD46">
            <v>0.22887486912327074</v>
          </cell>
          <cell r="CE46">
            <v>0.2281721679087057</v>
          </cell>
          <cell r="CF46">
            <v>0.2274694666941407</v>
          </cell>
          <cell r="CG46">
            <v>0.22676676547957567</v>
          </cell>
          <cell r="CH46">
            <v>0.22703602281418561</v>
          </cell>
          <cell r="CI46">
            <v>0.22882527714461856</v>
          </cell>
          <cell r="CJ46">
            <v>0.23003083861624835</v>
          </cell>
          <cell r="CK46">
            <v>0.22932813740168334</v>
          </cell>
          <cell r="CL46">
            <v>0.22768954475052494</v>
          </cell>
          <cell r="CM46">
            <v>0.22605095209936654</v>
          </cell>
          <cell r="CN46">
            <v>0.2244591540200378</v>
          </cell>
          <cell r="CO46">
            <v>0.22383931448988409</v>
          </cell>
          <cell r="CP46">
            <v>0.22482838164202973</v>
          </cell>
          <cell r="CQ46">
            <v>0.22523375593537218</v>
          </cell>
          <cell r="CR46">
            <v>0.22523375593537218</v>
          </cell>
          <cell r="CS46">
            <v>0.36444080486663549</v>
          </cell>
          <cell r="CT46">
            <v>0.36444080486663549</v>
          </cell>
          <cell r="CU46">
            <v>0.36444080486663549</v>
          </cell>
          <cell r="CV46">
            <v>0.36444080486663549</v>
          </cell>
          <cell r="CW46">
            <v>0.36444080486663549</v>
          </cell>
          <cell r="CX46">
            <v>0.36444080486663549</v>
          </cell>
          <cell r="CY46">
            <v>0.36444080486663549</v>
          </cell>
          <cell r="CZ46">
            <v>0.36444080486663549</v>
          </cell>
          <cell r="DA46">
            <v>0.36444080486663549</v>
          </cell>
          <cell r="DB46">
            <v>0.36444080486663549</v>
          </cell>
          <cell r="DC46">
            <v>0.36444080486663549</v>
          </cell>
          <cell r="DD46">
            <v>0.36444080486663549</v>
          </cell>
          <cell r="DE46">
            <v>0.36444080486663549</v>
          </cell>
          <cell r="DF46">
            <v>0.36444080486663549</v>
          </cell>
          <cell r="DG46">
            <v>0.36444080486663549</v>
          </cell>
          <cell r="DH46">
            <v>0.36444080486663549</v>
          </cell>
          <cell r="DI46">
            <v>0.36444080486663549</v>
          </cell>
          <cell r="DJ46">
            <v>0.36444080486663549</v>
          </cell>
          <cell r="DK46">
            <v>0.36444080486663549</v>
          </cell>
          <cell r="DL46">
            <v>0.36444080486663549</v>
          </cell>
          <cell r="DM46">
            <v>0.36444080486663549</v>
          </cell>
          <cell r="DN46">
            <v>0.36444080486663549</v>
          </cell>
          <cell r="DO46">
            <v>0.36444080486663549</v>
          </cell>
          <cell r="DP46">
            <v>0.36444080486663549</v>
          </cell>
          <cell r="DQ46">
            <v>0.36444080486663549</v>
          </cell>
          <cell r="DR46">
            <v>0.36444080486663549</v>
          </cell>
          <cell r="DS46">
            <v>0.36444080486663549</v>
          </cell>
          <cell r="DT46">
            <v>0.36444080486663549</v>
          </cell>
          <cell r="DU46">
            <v>0.36444080486663549</v>
          </cell>
          <cell r="DV46">
            <v>0.36444080486663549</v>
          </cell>
          <cell r="DW46">
            <v>0.36444080486663549</v>
          </cell>
          <cell r="DX46">
            <v>0.37020052506177059</v>
          </cell>
          <cell r="DY46">
            <v>0.37698835729227631</v>
          </cell>
          <cell r="DZ46">
            <v>0.38529618651860503</v>
          </cell>
          <cell r="EA46">
            <v>0.39302032288613054</v>
          </cell>
          <cell r="EB46">
            <v>0.39602852225768115</v>
          </cell>
          <cell r="EC46">
            <v>0.39950466734752849</v>
          </cell>
          <cell r="ED46">
            <v>0.40532054102885923</v>
          </cell>
          <cell r="EE46">
            <v>0.4112842819155707</v>
          </cell>
          <cell r="EF46">
            <v>0.41821998135145722</v>
          </cell>
          <cell r="EG46">
            <v>0.42646173372908169</v>
          </cell>
          <cell r="EH46">
            <v>0.43271595609301294</v>
          </cell>
          <cell r="EI46">
            <v>0.43706191577074938</v>
          </cell>
          <cell r="EJ46">
            <v>0.44140787544848581</v>
          </cell>
          <cell r="EK46">
            <v>0.44573979675467335</v>
          </cell>
          <cell r="EL46">
            <v>0.45007171806086088</v>
          </cell>
          <cell r="EM46">
            <v>0.4553755979162234</v>
          </cell>
          <cell r="EN46">
            <v>0.46219947476740897</v>
          </cell>
          <cell r="EO46">
            <v>0.46843965875979127</v>
          </cell>
          <cell r="EP46">
            <v>0.4727715800659788</v>
          </cell>
          <cell r="EQ46">
            <v>0.47710350137216634</v>
          </cell>
          <cell r="ER46">
            <v>0.48168123074049418</v>
          </cell>
          <cell r="ES46">
            <v>0.48364155944714315</v>
          </cell>
          <cell r="ET46">
            <v>0.48657384670296705</v>
          </cell>
          <cell r="EU46">
            <v>0.49129286001404304</v>
          </cell>
          <cell r="EV46">
            <v>0.49425376416942352</v>
          </cell>
          <cell r="EW46">
            <v>0.49530640563860906</v>
          </cell>
          <cell r="EX46">
            <v>0.49635904710779466</v>
          </cell>
          <cell r="EY46">
            <v>0.49767570464372352</v>
          </cell>
          <cell r="EZ46">
            <v>0.49899236217965237</v>
          </cell>
          <cell r="FA46">
            <v>0.50128097826475626</v>
          </cell>
          <cell r="FB46">
            <v>0.5050895913456831</v>
          </cell>
          <cell r="FC46">
            <v>0.50941300048550475</v>
          </cell>
          <cell r="FD46">
            <v>0.51182814693913159</v>
          </cell>
          <cell r="FE46">
            <v>0.51424329339275843</v>
          </cell>
          <cell r="FF46">
            <v>0.51559152360866889</v>
          </cell>
          <cell r="FG46">
            <v>0.51693975382457935</v>
          </cell>
          <cell r="FH46">
            <v>0.51925994258966479</v>
          </cell>
          <cell r="FI46">
            <v>0.52310012835057329</v>
          </cell>
          <cell r="FJ46">
            <v>0.52635662125267857</v>
          </cell>
          <cell r="FK46">
            <v>0.52770485146858903</v>
          </cell>
          <cell r="FL46">
            <v>0.52898024966608748</v>
          </cell>
          <cell r="FM46">
            <v>0.53025564786358603</v>
          </cell>
          <cell r="FN46">
            <v>0.53153104606108459</v>
          </cell>
          <cell r="FO46">
            <v>0.53377840280775801</v>
          </cell>
          <cell r="FP46">
            <v>0.53754575655025461</v>
          </cell>
          <cell r="FQ46">
            <v>0.54072941743394787</v>
          </cell>
          <cell r="FR46">
            <v>0.54200481563144642</v>
          </cell>
          <cell r="FS46">
            <v>0.54328021382894498</v>
          </cell>
          <cell r="FT46">
            <v>0.544054910107866</v>
          </cell>
          <cell r="FU46">
            <v>0.54482960638678712</v>
          </cell>
          <cell r="FV46">
            <v>0.54657626121488312</v>
          </cell>
          <cell r="FW46">
            <v>0.54984291303880228</v>
          </cell>
          <cell r="FX46">
            <v>0.55252587200391812</v>
          </cell>
          <cell r="FY46">
            <v>0.55330056828283924</v>
          </cell>
          <cell r="FZ46">
            <v>0.55419922465709737</v>
          </cell>
          <cell r="GA46">
            <v>0.56239018687485043</v>
          </cell>
          <cell r="GB46">
            <v>0.57058114909260349</v>
          </cell>
          <cell r="GC46">
            <v>0.57572465284342289</v>
          </cell>
          <cell r="GD46">
            <v>0.58139126533805208</v>
          </cell>
          <cell r="GE46">
            <v>0.58647418497387804</v>
          </cell>
          <cell r="GF46">
            <v>0.58964884192350908</v>
          </cell>
          <cell r="GG46">
            <v>0.59155214315974147</v>
          </cell>
          <cell r="GH46">
            <v>0.59471967419416172</v>
          </cell>
          <cell r="GI46">
            <v>0.59760192251954025</v>
          </cell>
          <cell r="GJ46">
            <v>0.59936110112100671</v>
          </cell>
          <cell r="GK46">
            <v>0.60209223827164826</v>
          </cell>
          <cell r="GL46">
            <v>0.61401302094900001</v>
          </cell>
          <cell r="GM46">
            <v>0.62535011076754843</v>
          </cell>
          <cell r="GN46">
            <v>0.63477893789990214</v>
          </cell>
          <cell r="GO46">
            <v>0.6443033570564215</v>
          </cell>
          <cell r="GP46">
            <v>0.65100098349832769</v>
          </cell>
          <cell r="GQ46">
            <v>0.65682462571929057</v>
          </cell>
          <cell r="GR46">
            <v>0.66397287912257907</v>
          </cell>
          <cell r="GS46">
            <v>0.67264112952169064</v>
          </cell>
          <cell r="GT46">
            <v>0.6807256870619991</v>
          </cell>
          <cell r="GU46">
            <v>0.68783787335270585</v>
          </cell>
          <cell r="GV46">
            <v>0.69495005964341272</v>
          </cell>
          <cell r="GW46">
            <v>0.7060907669525297</v>
          </cell>
          <cell r="GX46">
            <v>0.71723147426164668</v>
          </cell>
          <cell r="GY46">
            <v>0.72934414011993864</v>
          </cell>
          <cell r="GZ46">
            <v>0.73751440159315862</v>
          </cell>
          <cell r="HA46">
            <v>0.74328016974727695</v>
          </cell>
          <cell r="HB46">
            <v>0.74713767521520047</v>
          </cell>
          <cell r="HC46">
            <v>0.7509951806831241</v>
          </cell>
          <cell r="HD46">
            <v>0.75485268615104772</v>
          </cell>
          <cell r="HE46">
            <v>0.75869198361436829</v>
          </cell>
          <cell r="HF46">
            <v>0.77171504970280946</v>
          </cell>
          <cell r="HG46">
            <v>0.78853411336244661</v>
          </cell>
          <cell r="HH46">
            <v>0.80476948416328065</v>
          </cell>
          <cell r="HI46">
            <v>0.81909659227791975</v>
          </cell>
          <cell r="HJ46">
            <v>0.83108397180107541</v>
          </cell>
          <cell r="HK46">
            <v>0.84085907876496857</v>
          </cell>
        </row>
        <row r="48">
          <cell r="D48">
            <v>16.923390476190477</v>
          </cell>
          <cell r="E48">
            <v>17.813780952380952</v>
          </cell>
          <cell r="F48">
            <v>18.704171428571428</v>
          </cell>
          <cell r="G48">
            <v>19.594561904761903</v>
          </cell>
          <cell r="H48">
            <v>20.484952380952379</v>
          </cell>
          <cell r="I48">
            <v>21.375342857142854</v>
          </cell>
          <cell r="J48">
            <v>22.26573333333333</v>
          </cell>
          <cell r="K48">
            <v>23.156123809523805</v>
          </cell>
          <cell r="L48">
            <v>24.046514285714281</v>
          </cell>
          <cell r="M48">
            <v>24.936904761904756</v>
          </cell>
          <cell r="N48">
            <v>25.827295238095232</v>
          </cell>
          <cell r="O48">
            <v>26.717685714285707</v>
          </cell>
          <cell r="P48">
            <v>27.608076190476183</v>
          </cell>
          <cell r="Q48">
            <v>28.498466666666658</v>
          </cell>
          <cell r="R48">
            <v>29.388857142857134</v>
          </cell>
          <cell r="S48">
            <v>30.279247619047609</v>
          </cell>
          <cell r="T48">
            <v>31.169638095238085</v>
          </cell>
          <cell r="U48">
            <v>32.06002857142856</v>
          </cell>
          <cell r="V48">
            <v>32.950419047619036</v>
          </cell>
          <cell r="W48">
            <v>33.840809523809511</v>
          </cell>
          <cell r="X48">
            <v>34.731199999999987</v>
          </cell>
          <cell r="Y48">
            <v>35.621590476190462</v>
          </cell>
          <cell r="Z48">
            <v>36.511980952380938</v>
          </cell>
          <cell r="AA48">
            <v>37.402371428571414</v>
          </cell>
          <cell r="AB48">
            <v>38.292761904761889</v>
          </cell>
          <cell r="AC48">
            <v>39.183152380952365</v>
          </cell>
          <cell r="AD48">
            <v>40.07354285714284</v>
          </cell>
          <cell r="AE48">
            <v>40.963933333333316</v>
          </cell>
          <cell r="AF48">
            <v>41.854323809523791</v>
          </cell>
          <cell r="AG48">
            <v>42.744714285714267</v>
          </cell>
          <cell r="AH48">
            <v>43.635104761904742</v>
          </cell>
          <cell r="AI48">
            <v>44.496772964669717</v>
          </cell>
          <cell r="AJ48">
            <v>45.358441167434691</v>
          </cell>
          <cell r="AK48">
            <v>46.220109370199665</v>
          </cell>
          <cell r="AL48">
            <v>47.08177757296464</v>
          </cell>
          <cell r="AM48">
            <v>47.943445775729614</v>
          </cell>
          <cell r="AN48">
            <v>48.805113978494589</v>
          </cell>
          <cell r="AO48">
            <v>49.666782181259563</v>
          </cell>
          <cell r="AP48">
            <v>50.528450384024538</v>
          </cell>
          <cell r="AQ48">
            <v>51.390118586789512</v>
          </cell>
          <cell r="AR48">
            <v>52.251786789554487</v>
          </cell>
          <cell r="AS48">
            <v>53.113454992319461</v>
          </cell>
          <cell r="AT48">
            <v>53.975123195084436</v>
          </cell>
          <cell r="AU48">
            <v>54.83679139784941</v>
          </cell>
          <cell r="AV48">
            <v>55.698459600614385</v>
          </cell>
          <cell r="AW48">
            <v>56.560127803379359</v>
          </cell>
          <cell r="AX48">
            <v>57.421796006144334</v>
          </cell>
          <cell r="AY48">
            <v>58.283464208909308</v>
          </cell>
          <cell r="AZ48">
            <v>59.145132411674282</v>
          </cell>
          <cell r="BA48">
            <v>60.006800614439257</v>
          </cell>
          <cell r="BB48">
            <v>60.868468817204231</v>
          </cell>
          <cell r="BC48">
            <v>61.730137019969206</v>
          </cell>
          <cell r="BD48">
            <v>62.59180522273418</v>
          </cell>
          <cell r="BE48">
            <v>63.453473425499155</v>
          </cell>
          <cell r="BF48">
            <v>64.315141628264129</v>
          </cell>
          <cell r="BG48">
            <v>65.176809831029104</v>
          </cell>
          <cell r="BH48">
            <v>66.038478033794078</v>
          </cell>
          <cell r="BI48">
            <v>66.900146236559053</v>
          </cell>
          <cell r="BJ48">
            <v>67.761814439324027</v>
          </cell>
          <cell r="BK48">
            <v>68.623482642089002</v>
          </cell>
          <cell r="BL48">
            <v>69.485150844853976</v>
          </cell>
          <cell r="BM48">
            <v>70.346819047618951</v>
          </cell>
          <cell r="BN48">
            <v>71.237209523809426</v>
          </cell>
          <cell r="BO48">
            <v>72.127599999999902</v>
          </cell>
          <cell r="BP48">
            <v>73.017990476190377</v>
          </cell>
          <cell r="BQ48">
            <v>73.908380952380853</v>
          </cell>
          <cell r="BR48">
            <v>74.798771428571328</v>
          </cell>
          <cell r="BS48">
            <v>75.689161904761804</v>
          </cell>
          <cell r="BT48">
            <v>76.579552380952279</v>
          </cell>
          <cell r="BU48">
            <v>77.469942857142755</v>
          </cell>
          <cell r="BV48">
            <v>78.36033333333323</v>
          </cell>
          <cell r="BW48">
            <v>79.250723809523706</v>
          </cell>
          <cell r="BX48">
            <v>80.141114285714181</v>
          </cell>
          <cell r="BY48">
            <v>81.031504761904657</v>
          </cell>
          <cell r="BZ48">
            <v>81.921895238095132</v>
          </cell>
          <cell r="CA48">
            <v>82.812285714285608</v>
          </cell>
          <cell r="CB48">
            <v>83.702676190476083</v>
          </cell>
          <cell r="CC48">
            <v>84.593066666666559</v>
          </cell>
          <cell r="CD48">
            <v>85.483457142857034</v>
          </cell>
          <cell r="CE48">
            <v>86.37384761904751</v>
          </cell>
          <cell r="CF48">
            <v>87.264238095237985</v>
          </cell>
          <cell r="CG48">
            <v>88.154628571428461</v>
          </cell>
          <cell r="CH48">
            <v>89.045019047618936</v>
          </cell>
          <cell r="CI48">
            <v>89.935409523809412</v>
          </cell>
          <cell r="CJ48">
            <v>90.825799999999887</v>
          </cell>
          <cell r="CK48">
            <v>91.716190476190363</v>
          </cell>
          <cell r="CL48">
            <v>92.606580952380838</v>
          </cell>
          <cell r="CM48">
            <v>93.496971428571314</v>
          </cell>
          <cell r="CN48">
            <v>94.387361904761789</v>
          </cell>
          <cell r="CO48">
            <v>95.277752380952265</v>
          </cell>
          <cell r="CP48">
            <v>96.16814285714274</v>
          </cell>
          <cell r="CQ48">
            <v>97.058533333333216</v>
          </cell>
          <cell r="CR48">
            <v>97.948923809523691</v>
          </cell>
          <cell r="CS48">
            <v>98.810592012288666</v>
          </cell>
          <cell r="CT48">
            <v>99.67226021505364</v>
          </cell>
          <cell r="CU48">
            <v>100.53392841781861</v>
          </cell>
          <cell r="CV48">
            <v>101.39559662058359</v>
          </cell>
          <cell r="CW48">
            <v>102.25726482334856</v>
          </cell>
          <cell r="CX48">
            <v>103.11893302611354</v>
          </cell>
          <cell r="CY48">
            <v>103.98060122887851</v>
          </cell>
          <cell r="CZ48">
            <v>104.84226943164349</v>
          </cell>
          <cell r="DA48">
            <v>105.70393763440846</v>
          </cell>
          <cell r="DB48">
            <v>106.56560583717344</v>
          </cell>
          <cell r="DC48">
            <v>107.42727403993841</v>
          </cell>
          <cell r="DD48">
            <v>108.28894224270338</v>
          </cell>
          <cell r="DE48">
            <v>109.15061044546836</v>
          </cell>
          <cell r="DF48">
            <v>110.01227864823333</v>
          </cell>
          <cell r="DG48">
            <v>110.87394685099831</v>
          </cell>
          <cell r="DH48">
            <v>111.73561505376328</v>
          </cell>
          <cell r="DI48">
            <v>112.59728325652826</v>
          </cell>
          <cell r="DJ48">
            <v>113.45895145929323</v>
          </cell>
          <cell r="DK48">
            <v>114.32061966205821</v>
          </cell>
          <cell r="DL48">
            <v>115.18228786482318</v>
          </cell>
          <cell r="DM48">
            <v>116.04395606758816</v>
          </cell>
          <cell r="DN48">
            <v>116.90562427035313</v>
          </cell>
          <cell r="DO48">
            <v>117.7672924731181</v>
          </cell>
          <cell r="DP48">
            <v>118.62896067588308</v>
          </cell>
          <cell r="DQ48">
            <v>119.49062887864805</v>
          </cell>
          <cell r="DR48">
            <v>120.35229708141303</v>
          </cell>
          <cell r="DS48">
            <v>121.213965284178</v>
          </cell>
          <cell r="DT48">
            <v>122.07563348694298</v>
          </cell>
          <cell r="DU48">
            <v>122.93730168970795</v>
          </cell>
          <cell r="DV48">
            <v>123.79896989247293</v>
          </cell>
          <cell r="DW48">
            <v>124.6606380952379</v>
          </cell>
          <cell r="DX48">
            <v>125.52230629800287</v>
          </cell>
          <cell r="DY48">
            <v>126.38397450076785</v>
          </cell>
          <cell r="DZ48">
            <v>127.24564270353282</v>
          </cell>
          <cell r="EA48">
            <v>128.10731090629781</v>
          </cell>
          <cell r="EB48">
            <v>128.96897910906279</v>
          </cell>
          <cell r="EC48">
            <v>129.83064731182776</v>
          </cell>
          <cell r="ED48">
            <v>130.69231551459274</v>
          </cell>
          <cell r="EE48">
            <v>131.55398371735771</v>
          </cell>
          <cell r="EF48">
            <v>132.41565192012268</v>
          </cell>
          <cell r="EG48">
            <v>133.27732012288766</v>
          </cell>
          <cell r="EH48">
            <v>134.13898832565263</v>
          </cell>
          <cell r="EI48">
            <v>135.00065652841761</v>
          </cell>
          <cell r="EJ48">
            <v>135.86232473118258</v>
          </cell>
          <cell r="EK48">
            <v>136.72399293394756</v>
          </cell>
          <cell r="EL48">
            <v>137.58566113671253</v>
          </cell>
          <cell r="EM48">
            <v>138.44732933947751</v>
          </cell>
          <cell r="EN48">
            <v>139.30899754224248</v>
          </cell>
          <cell r="EO48">
            <v>140.17066574500745</v>
          </cell>
          <cell r="EP48">
            <v>141.03233394777243</v>
          </cell>
          <cell r="EQ48">
            <v>141.8940021505374</v>
          </cell>
          <cell r="ER48">
            <v>142.75567035330238</v>
          </cell>
          <cell r="ES48">
            <v>143.61733855606735</v>
          </cell>
          <cell r="ET48">
            <v>144.47900675883233</v>
          </cell>
          <cell r="EU48">
            <v>145.3406749615973</v>
          </cell>
          <cell r="EV48">
            <v>146.20234316436228</v>
          </cell>
          <cell r="EW48">
            <v>147.06401136712725</v>
          </cell>
          <cell r="EX48">
            <v>147.92567956989222</v>
          </cell>
          <cell r="EY48">
            <v>148.7873477726572</v>
          </cell>
          <cell r="EZ48">
            <v>149.64901597542217</v>
          </cell>
          <cell r="FA48">
            <v>150.51068417818715</v>
          </cell>
          <cell r="FB48">
            <v>151.37235238095212</v>
          </cell>
          <cell r="FC48">
            <v>152.2627428571426</v>
          </cell>
          <cell r="FD48">
            <v>153.15313333333307</v>
          </cell>
          <cell r="FE48">
            <v>154.04352380952355</v>
          </cell>
          <cell r="FF48">
            <v>154.93391428571402</v>
          </cell>
          <cell r="FG48">
            <v>155.8243047619045</v>
          </cell>
          <cell r="FH48">
            <v>156.71469523809498</v>
          </cell>
          <cell r="FI48">
            <v>157.60508571428545</v>
          </cell>
          <cell r="FJ48">
            <v>158.49547619047593</v>
          </cell>
          <cell r="FK48">
            <v>159.3858666666664</v>
          </cell>
          <cell r="FL48">
            <v>160.27625714285688</v>
          </cell>
          <cell r="FM48">
            <v>161.16664761904735</v>
          </cell>
          <cell r="FN48">
            <v>162.05703809523783</v>
          </cell>
          <cell r="FO48">
            <v>162.9474285714283</v>
          </cell>
          <cell r="FP48">
            <v>163.83781904761878</v>
          </cell>
          <cell r="FQ48">
            <v>164.72820952380926</v>
          </cell>
          <cell r="FR48">
            <v>165.61859999999973</v>
          </cell>
          <cell r="FS48">
            <v>166.50899047619021</v>
          </cell>
          <cell r="FT48">
            <v>167.39938095238068</v>
          </cell>
          <cell r="FU48">
            <v>168.28977142857116</v>
          </cell>
          <cell r="FV48">
            <v>169.18016190476163</v>
          </cell>
          <cell r="FW48">
            <v>170.07055238095211</v>
          </cell>
          <cell r="FX48">
            <v>170.96094285714258</v>
          </cell>
          <cell r="FY48">
            <v>171.85133333333306</v>
          </cell>
          <cell r="FZ48">
            <v>172.74172380952353</v>
          </cell>
          <cell r="GA48">
            <v>173.63211428571401</v>
          </cell>
          <cell r="GB48">
            <v>174.52250476190449</v>
          </cell>
          <cell r="GC48">
            <v>175.41289523809496</v>
          </cell>
          <cell r="GD48">
            <v>176.30328571428544</v>
          </cell>
          <cell r="GE48">
            <v>177.19367619047591</v>
          </cell>
          <cell r="GF48">
            <v>178.08406666666639</v>
          </cell>
          <cell r="GG48">
            <v>178.94573486943136</v>
          </cell>
          <cell r="GH48">
            <v>179.80740307219634</v>
          </cell>
          <cell r="GI48">
            <v>180.66907127496131</v>
          </cell>
          <cell r="GJ48">
            <v>181.53073947772629</v>
          </cell>
          <cell r="GK48">
            <v>182.39240768049126</v>
          </cell>
          <cell r="GL48">
            <v>183.25407588325623</v>
          </cell>
          <cell r="GM48">
            <v>184.11574408602121</v>
          </cell>
          <cell r="GN48">
            <v>184.97741228878618</v>
          </cell>
          <cell r="GO48">
            <v>185.83908049155116</v>
          </cell>
          <cell r="GP48">
            <v>186.70074869431613</v>
          </cell>
          <cell r="GQ48">
            <v>187.56241689708111</v>
          </cell>
          <cell r="GR48">
            <v>188.42408509984608</v>
          </cell>
          <cell r="GS48">
            <v>189.28575330261106</v>
          </cell>
          <cell r="GT48">
            <v>190.14742150537603</v>
          </cell>
          <cell r="GU48">
            <v>191.009089708141</v>
          </cell>
          <cell r="GV48">
            <v>191.87075791090598</v>
          </cell>
          <cell r="GW48">
            <v>192.73242611367095</v>
          </cell>
          <cell r="GX48">
            <v>193.59409431643593</v>
          </cell>
          <cell r="GY48">
            <v>194.4557625192009</v>
          </cell>
          <cell r="GZ48">
            <v>195.31743072196588</v>
          </cell>
          <cell r="HA48">
            <v>196.17909892473085</v>
          </cell>
          <cell r="HB48">
            <v>197.04076712749583</v>
          </cell>
          <cell r="HC48">
            <v>197.9024353302608</v>
          </cell>
          <cell r="HD48">
            <v>198.76410353302578</v>
          </cell>
          <cell r="HE48">
            <v>199.62577173579075</v>
          </cell>
          <cell r="HF48">
            <v>200.48743993855572</v>
          </cell>
          <cell r="HG48">
            <v>201.3491081413207</v>
          </cell>
          <cell r="HH48">
            <v>202.21077634408567</v>
          </cell>
          <cell r="HI48">
            <v>203.07244454685065</v>
          </cell>
          <cell r="HJ48">
            <v>203.93411274961562</v>
          </cell>
          <cell r="HK48">
            <v>204.7957809523806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4">
          <cell r="D4">
            <v>0.36247751322751326</v>
          </cell>
        </row>
      </sheetData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>
        <row r="6">
          <cell r="H6" t="str">
            <v>FRWD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evenue_Comparison"/>
      <sheetName val="Earnings_Comparison"/>
      <sheetName val="Check_Earnings"/>
      <sheetName val="MIRR_Comparisons"/>
      <sheetName val="MIRR_Calculations"/>
      <sheetName val="MIRR_SAW_as_Filed"/>
      <sheetName val="MIRR_SAW_wo_IS_&amp;_SG"/>
      <sheetName val="(A)_MIRR_SAW_-_36_Mos_LM"/>
      <sheetName val="(A)_wo_IS_&amp;_SG_-_36_Mos_LM"/>
      <sheetName val="(B)_MIRR_PS_-_5%_&amp;_10%"/>
      <sheetName val="(B)_MIRR_PS_-_5%_&amp;_10%_wo_ISSG"/>
      <sheetName val="(C)_MIRR_PS_-_8%_&amp;_13%"/>
      <sheetName val="(C)_MIRR_PS_-_8%_&amp;_13%_wo_ISSG"/>
      <sheetName val="(D)_MIRR_PEC_-_8%_&amp;_13%"/>
      <sheetName val="(D)_MIRR_PEC_-_8%_&amp;_13%_wo_ISSG"/>
      <sheetName val="(E)_MIRR_PEC_-_10%_&amp;_15%"/>
      <sheetName val="(E)_MIRR_PEC_-_10_&amp;_15%_wo_ISSG"/>
      <sheetName val="(F)_MIRR_Mod_SAW_-_60%_&amp;_75%"/>
      <sheetName val="(F)_MIRR_MSAW_-_60%&amp;75%_wo_ISSG"/>
      <sheetName val="(G)_MIRR_Mod_SAW_-_65%_&amp;_80%"/>
      <sheetName val="(G)_MIRR_MSAW_-_65%&amp;80%_wo_ISSG"/>
      <sheetName val="Input_Data"/>
      <sheetName val="Avoided_Costs_by_Vintage"/>
      <sheetName val="Stevie_Ex_4"/>
      <sheetName val="Program_Lives"/>
      <sheetName val="Cost_of_Capital"/>
      <sheetName val="AC_by_Pgm_by_Vint"/>
      <sheetName val="Forecast_Summary"/>
      <sheetName val="Fall_2008_Forecast"/>
      <sheetName val="Old_Discount_Rate"/>
      <sheetName val="36_Months_Lost_Margins"/>
      <sheetName val="Lost_Margins_-_3_Years"/>
      <sheetName val="As_Filed_Data"/>
      <sheetName val="SAW_as_Filed"/>
      <sheetName val="Ted's_Exhibit"/>
      <sheetName val="PS_25Yr_Level_for_Revenue"/>
      <sheetName val="As_Filed_Rider"/>
      <sheetName val="As_Filed_SAW"/>
      <sheetName val="(A)_SAW_with_36_Mos_LM"/>
      <sheetName val="(B)_&amp;_(C)_PS_Model"/>
      <sheetName val="(B)_PS_Method"/>
      <sheetName val="(B)_PS_Method_wo_IS_&amp;_SG"/>
      <sheetName val="(C)_PS_Method"/>
      <sheetName val="25Yr_PS_Revenue"/>
      <sheetName val="25Yr_PS_Lost_Margin_Level"/>
      <sheetName val="25Yr_PS_Incentive_Level"/>
      <sheetName val="25Yr_Revenue_Adj"/>
      <sheetName val="25Yr_Incentive_Adj"/>
      <sheetName val="As_Filed_PS"/>
      <sheetName val="(C)_PS_Method_wo_IS_&amp;_SG"/>
      <sheetName val="PS_Method"/>
      <sheetName val="PS_Sensitivity"/>
      <sheetName val="PS_PowerShare"/>
      <sheetName val="PS_PowerShare_wo_IS_&amp;_SG"/>
      <sheetName val="(D)_&amp;_(E)_PEC_Model"/>
      <sheetName val="(D)_PEC_Method"/>
      <sheetName val="(D)_PEC_Method_wo_IS_&amp;_SG"/>
      <sheetName val="(E)_PEC_Method"/>
      <sheetName val="(E)_PEC_Method_wo_IS_&amp;_SG"/>
      <sheetName val="(F)_&amp;_(G)_Modified_SAW"/>
      <sheetName val="Mod_SAW_without_IS_Scaled"/>
      <sheetName val="(F)_Mod_SAW"/>
      <sheetName val="Sum_Mod_SAW_without_IS_&amp;_SG"/>
      <sheetName val="Sum_Mod_SAW"/>
      <sheetName val="(F)_Mod_SAW_wo_IS_&amp;_SG"/>
      <sheetName val="(G)_Mod_SAW"/>
      <sheetName val="(G)_Mod_SAW_wo_IS_&amp;_SG"/>
      <sheetName val="Prove_MIRR"/>
      <sheetName val="Sheet2_(4)"/>
      <sheetName val="Sheet2_(3)"/>
      <sheetName val="Sheet2_(2)"/>
      <sheetName val="Vintage_1"/>
      <sheetName val="Stevie_Ex_4_wLM_Sw"/>
      <sheetName val="Lost_Margins_-_4_Years"/>
      <sheetName val="25Yr_PS_SAW_Revenue"/>
      <sheetName val="Stevie_Ex_4_(IS_Removed)"/>
      <sheetName val="Save_A_Watt_(IS_removed)"/>
      <sheetName val="Save_A_Watt_(as_filed)"/>
      <sheetName val="Sales_Forecast"/>
      <sheetName val="Spring_2007_Forecast"/>
      <sheetName val="New_DR_Calc"/>
      <sheetName val="Check_DR_Rev_Calc"/>
      <sheetName val="North_Carolina"/>
      <sheetName val="As_Filed_SAW_for_Mod_Term"/>
      <sheetName val="Scaled_Data"/>
      <sheetName val="Lost_Margins_-_3_Years_Scaled"/>
      <sheetName val="Avoided_Costs_by_Vintage_Scaled"/>
      <sheetName val="Lost_Margins_-_3_Years_-_Carol"/>
      <sheetName val="Mod_SAW_Cap"/>
      <sheetName val="Prog_Meth_Sum"/>
      <sheetName val="PS_Meth_Sensitivity"/>
      <sheetName val="PS_Meth_Mod"/>
      <sheetName val="Progress_Method"/>
      <sheetName val="PS_25Yr_for_4_Years"/>
      <sheetName val="PS_25Yr_Unlevel"/>
      <sheetName val="4Yr_PS_Revenue"/>
      <sheetName val="PS_4Yr_Level_for_Revenue"/>
      <sheetName val="PS_4Yr_Unlevel"/>
      <sheetName val="DSM_in_Current_Rates"/>
      <sheetName val="PS_High_Level"/>
      <sheetName val="Indiana_Proposal"/>
      <sheetName val="Sum_2_Rnd_Old"/>
      <sheetName val="Sum_2_Old"/>
      <sheetName val="25Yr_PS_Incentive_Unlevel"/>
      <sheetName val="Graph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>
        <row r="51">
          <cell r="E51">
            <v>2810350</v>
          </cell>
        </row>
      </sheetData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ent BS"/>
      <sheetName val="Parent IS"/>
      <sheetName val="Parent CF"/>
      <sheetName val="Parent LTD"/>
      <sheetName val="Parent STD"/>
      <sheetName val="Consol5YrFin&amp;OpStats"/>
      <sheetName val="Operating Results"/>
      <sheetName val="Summary"/>
      <sheetName val="Fourth Quarter"/>
      <sheetName val="5 Yr CF_Div_CapEx_Acq"/>
      <sheetName val="ContractualObligs"/>
      <sheetName val="Market Risk"/>
      <sheetName val="Debt to Equity"/>
      <sheetName val="Income Stmt"/>
      <sheetName val="Comprehensive Income"/>
      <sheetName val="Balance Sheet"/>
      <sheetName val="Stmt of Capitalization"/>
      <sheetName val="Com.StkHldr's Equity"/>
      <sheetName val="Cash Flow Stmt"/>
      <sheetName val="Goodwill"/>
      <sheetName val="OH Acquisition"/>
      <sheetName val="DISCO FN (IS)"/>
      <sheetName val="DISCO FN (BS)"/>
      <sheetName val="Prop_Plant_Equip"/>
      <sheetName val="AcctsReceiv"/>
      <sheetName val="Regulatory Assets"/>
      <sheetName val="IncomeTaxes"/>
      <sheetName val="FedIncomeTax"/>
      <sheetName val="UTP"/>
      <sheetName val="DeferAssetLiab"/>
      <sheetName val="OtherTaxes"/>
      <sheetName val="Commitments"/>
      <sheetName val="Rent "/>
      <sheetName val="5YrDebt"/>
      <sheetName val="FairValue"/>
      <sheetName val="S-E"/>
      <sheetName val="NetIncomePerCommonShare"/>
      <sheetName val="PSU Expense"/>
      <sheetName val="PSU RF"/>
      <sheetName val="PSU Assumptions"/>
      <sheetName val="RSU Expense"/>
      <sheetName val="RSUs RF"/>
      <sheetName val="RSU FV"/>
      <sheetName val="Options Expense"/>
      <sheetName val="Options RF"/>
      <sheetName val="Intrinsic and FV"/>
      <sheetName val="OptionsExOS"/>
      <sheetName val="RS Expense"/>
      <sheetName val="RspActivity"/>
      <sheetName val="RSP Intrinsic FV"/>
      <sheetName val="Benefit Payments"/>
      <sheetName val="PensOPEBObligations"/>
      <sheetName val="BalsheetPension"/>
      <sheetName val="PBO - ABO"/>
      <sheetName val="Costs"/>
      <sheetName val="ChangesInAOCI"/>
      <sheetName val=" Assumptions_A"/>
      <sheetName val="Assumptions_B"/>
      <sheetName val="TrendRates"/>
      <sheetName val="AssetMix"/>
      <sheetName val="FV_Current Year"/>
      <sheetName val="FV_Prior Year"/>
      <sheetName val="Segments"/>
      <sheetName val="SelectedQtrFinData"/>
      <sheetName val="5YR Table"/>
      <sheetName val="Rollforwarddates "/>
      <sheetName val="Date Assumptions"/>
      <sheetName val="Date Text Outputs"/>
      <sheetName val="XBRL ONLY LI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balancesheet"/>
      <sheetName val="CONINCOME YTD"/>
      <sheetName val="CONINCOME QTR"/>
      <sheetName val="Comprehensive Income"/>
      <sheetName val="concapital"/>
      <sheetName val="STEQUITY"/>
      <sheetName val="CONCASHFLOW"/>
      <sheetName val="goodwill"/>
      <sheetName val="DISCO FOOTNOTE (EPS)"/>
      <sheetName val="DISCO FN (IS)"/>
      <sheetName val="DISCO FN (BS)"/>
      <sheetName val="FV of Debt"/>
      <sheetName val="EPS FOOTNOTE"/>
      <sheetName val="Acquisitions"/>
      <sheetName val="OCI FOOTNOTE"/>
      <sheetName val="PSU Expense"/>
      <sheetName val="PSUs"/>
      <sheetName val="Sheet2"/>
      <sheetName val="RSU Expense"/>
      <sheetName val="RSUs"/>
      <sheetName val="Options Expense"/>
      <sheetName val="Option summary"/>
      <sheetName val="RS Expense"/>
      <sheetName val="Restricted Stk"/>
      <sheetName val="Val Model Assumptions"/>
      <sheetName val="Options price"/>
      <sheetName val="Intrinsic and FV"/>
      <sheetName val="RSP Intrinsic FV"/>
      <sheetName val="Pension"/>
      <sheetName val="other taxes"/>
      <sheetName val="segments"/>
      <sheetName val="segments assets"/>
      <sheetName val="Non-GAAP"/>
      <sheetName val="Unrecognized Tax Benefits"/>
      <sheetName val="Equity Purchases"/>
      <sheetName val="Sheet1"/>
      <sheetName val="Date Assumptions"/>
      <sheetName val="Date Text Outputs"/>
      <sheetName val="XBRL ONLY LINKIN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balancesheet"/>
      <sheetName val="CONINCOME YTD"/>
      <sheetName val="CONINCOME"/>
      <sheetName val="Comprehensive Income"/>
      <sheetName val="concapital"/>
      <sheetName val="ST EQUITY"/>
      <sheetName val="CONCASHFLOW"/>
      <sheetName val="goodwill"/>
      <sheetName val="DISCO FOOTNOTE (EPS)"/>
      <sheetName val="OH Acquisition"/>
      <sheetName val="DISCO FN (IS)"/>
      <sheetName val="DISCO FN (BS)"/>
      <sheetName val="FV of Debt"/>
      <sheetName val="EPS FOOTNOTE"/>
      <sheetName val="Acquisitions"/>
      <sheetName val="OCI FOOTNOTE"/>
      <sheetName val="PSU Expense"/>
      <sheetName val="PSUs"/>
      <sheetName val="Sheet2"/>
      <sheetName val="RSU Expense"/>
      <sheetName val="RSUs"/>
      <sheetName val="Options Expense"/>
      <sheetName val="Option summary"/>
      <sheetName val="RS Expense"/>
      <sheetName val="Restricted Stk"/>
      <sheetName val="Val Model Assumptions"/>
      <sheetName val="Options price"/>
      <sheetName val="Intrinsic and FV"/>
      <sheetName val="RSP Intrinsic FV"/>
      <sheetName val="Pension"/>
      <sheetName val="other taxes"/>
      <sheetName val="segments"/>
      <sheetName val="segments assets"/>
      <sheetName val="Non-GAAP"/>
      <sheetName val="Equity Purchases"/>
      <sheetName val="Sheet1"/>
      <sheetName val="Rollforward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IncomePerCommonShare"/>
      <sheetName val="PSU Expense"/>
      <sheetName val="PSU RF"/>
      <sheetName val="PSU FV "/>
      <sheetName val="RSU Expense"/>
      <sheetName val="RSUs RF"/>
      <sheetName val="RSU FV"/>
      <sheetName val="Options Expense"/>
      <sheetName val="options FV"/>
      <sheetName val="Options RF"/>
      <sheetName val="Intrinsic and FV"/>
      <sheetName val="OptionsExOS"/>
      <sheetName val="PensionExp"/>
      <sheetName val="PostReBeneCosts"/>
      <sheetName val="RS Expense"/>
      <sheetName val="RspActivity"/>
      <sheetName val="RSP Intrinsic FV"/>
      <sheetName val="Benefit Payments"/>
      <sheetName val="NewPensOPEBObligations"/>
      <sheetName val="BalsheetPension"/>
      <sheetName val="BalsheetPension (2)"/>
      <sheetName val="Costs"/>
      <sheetName val="ChangesInAOCI"/>
      <sheetName val=" Assumptions_A"/>
      <sheetName val="Assumptions_B"/>
      <sheetName val="TrendRates"/>
      <sheetName val="AssetMix"/>
      <sheetName val="Notes_2003"/>
      <sheetName val="NewInserts_2004"/>
      <sheetName val="NewPensionInserts_2003"/>
      <sheetName val="FV_Current Year"/>
      <sheetName val="FV_Prior Year"/>
      <sheetName val="Level 3 Changes"/>
      <sheetName val="Segments"/>
      <sheetName val="SelectedQtrFinData"/>
      <sheetName val="5YR Table"/>
      <sheetName val="Rollforwarddates "/>
      <sheetName val="Sheet1"/>
      <sheetName val="5YR Table draft test"/>
      <sheetName val="5YR Table-NOT U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vgEquity"/>
      <sheetName val="Sheet2"/>
      <sheetName val="Sheet3"/>
      <sheetName val="Sheet4"/>
      <sheetName val="Sheet5"/>
      <sheetName val="CAPX"/>
      <sheetName val="Dividend History"/>
      <sheetName val="2014"/>
      <sheetName val="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5YrFin&amp;OpStats"/>
      <sheetName val="Non-GAAP Rec (NI)"/>
      <sheetName val="Segments"/>
      <sheetName val="Non-GAAP DISCO"/>
      <sheetName val="Summary"/>
      <sheetName val="fourth quarter"/>
      <sheetName val="5 Yr CF_Div_CapEx_Acq"/>
      <sheetName val="NEW ContractualObligs"/>
      <sheetName val="market risk"/>
      <sheetName val="5YRPSCCAP"/>
      <sheetName val="contract obligations"/>
      <sheetName val="Parentincome"/>
      <sheetName val="Parentbalance"/>
      <sheetName val="ParentCon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Calc"/>
      <sheetName val="2010 Shares Budget"/>
      <sheetName val="Check 3-22-10"/>
      <sheetName val="2010_Shares_Budget"/>
      <sheetName val="Check_3-22-10"/>
    </sheetNames>
    <sheetDataSet>
      <sheetData sheetId="0"/>
      <sheetData sheetId="1"/>
      <sheetData sheetId="2"/>
      <sheetData sheetId="3">
        <row r="3">
          <cell r="D3" t="str">
            <v>Jan</v>
          </cell>
          <cell r="E3" t="str">
            <v>Feb</v>
          </cell>
          <cell r="F3" t="str">
            <v>Mar</v>
          </cell>
          <cell r="G3" t="str">
            <v>Q110</v>
          </cell>
          <cell r="H3" t="str">
            <v>Apr</v>
          </cell>
          <cell r="I3" t="str">
            <v>May</v>
          </cell>
          <cell r="J3" t="str">
            <v>Jun</v>
          </cell>
          <cell r="K3" t="str">
            <v>Q210</v>
          </cell>
          <cell r="L3" t="str">
            <v>Jul</v>
          </cell>
          <cell r="M3" t="str">
            <v>Aug</v>
          </cell>
          <cell r="N3" t="str">
            <v>Sep</v>
          </cell>
          <cell r="O3" t="str">
            <v>Q310</v>
          </cell>
          <cell r="P3" t="str">
            <v>Oct</v>
          </cell>
          <cell r="Q3" t="str">
            <v>Nov</v>
          </cell>
          <cell r="R3" t="str">
            <v>Dec</v>
          </cell>
          <cell r="S3" t="str">
            <v>Q410</v>
          </cell>
        </row>
        <row r="9">
          <cell r="D9">
            <v>17</v>
          </cell>
          <cell r="E9">
            <v>17</v>
          </cell>
          <cell r="F9">
            <v>17</v>
          </cell>
          <cell r="G9">
            <v>17</v>
          </cell>
          <cell r="H9">
            <v>17.100000000000001</v>
          </cell>
          <cell r="I9">
            <v>17.100000000000001</v>
          </cell>
          <cell r="J9">
            <v>17.100000000000001</v>
          </cell>
          <cell r="K9">
            <v>17.100000000000001</v>
          </cell>
          <cell r="L9">
            <v>17.2</v>
          </cell>
          <cell r="M9">
            <v>17.2</v>
          </cell>
          <cell r="N9">
            <v>17.2</v>
          </cell>
          <cell r="O9">
            <v>17.2</v>
          </cell>
          <cell r="P9">
            <v>17.3</v>
          </cell>
          <cell r="Q9">
            <v>17.3</v>
          </cell>
          <cell r="R9">
            <v>17.3</v>
          </cell>
          <cell r="S9">
            <v>17.3</v>
          </cell>
        </row>
        <row r="10"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0.57999999999999996</v>
          </cell>
          <cell r="H10">
            <v>0.57999999999999996</v>
          </cell>
          <cell r="I10">
            <v>0.57999999999999996</v>
          </cell>
          <cell r="J10">
            <v>0.57999999999999996</v>
          </cell>
          <cell r="K10">
            <v>0.57999999999999996</v>
          </cell>
          <cell r="L10">
            <v>0.57999999999999996</v>
          </cell>
          <cell r="M10">
            <v>0.57999999999999996</v>
          </cell>
          <cell r="N10">
            <v>0.57999999999999996</v>
          </cell>
          <cell r="O10">
            <v>0.57999999999999996</v>
          </cell>
          <cell r="P10">
            <v>0.62</v>
          </cell>
          <cell r="Q10">
            <v>0.62</v>
          </cell>
          <cell r="R10">
            <v>0.62</v>
          </cell>
          <cell r="S10">
            <v>0.62</v>
          </cell>
        </row>
        <row r="11">
          <cell r="D11">
            <v>3.411764705882353E-2</v>
          </cell>
          <cell r="E11">
            <v>3.411764705882353E-2</v>
          </cell>
          <cell r="F11">
            <v>3.411764705882353E-2</v>
          </cell>
          <cell r="G11">
            <v>3.411764705882353E-2</v>
          </cell>
          <cell r="H11">
            <v>3.3918128654970757E-2</v>
          </cell>
          <cell r="I11">
            <v>3.3918128654970757E-2</v>
          </cell>
          <cell r="J11">
            <v>3.3918128654970757E-2</v>
          </cell>
          <cell r="K11">
            <v>3.3918128654970757E-2</v>
          </cell>
          <cell r="L11">
            <v>3.3720930232558136E-2</v>
          </cell>
          <cell r="M11">
            <v>3.3720930232558136E-2</v>
          </cell>
          <cell r="N11">
            <v>3.3720930232558136E-2</v>
          </cell>
          <cell r="O11">
            <v>3.3720930232558136E-2</v>
          </cell>
          <cell r="P11">
            <v>3.5838150289017337E-2</v>
          </cell>
          <cell r="Q11">
            <v>3.5838150289017337E-2</v>
          </cell>
          <cell r="R11">
            <v>3.5838150289017337E-2</v>
          </cell>
          <cell r="S11">
            <v>3.5838150289017337E-2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1500000</v>
          </cell>
          <cell r="K12">
            <v>1500000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38500</v>
          </cell>
          <cell r="F13">
            <v>0</v>
          </cell>
          <cell r="G13">
            <v>38500</v>
          </cell>
          <cell r="H13">
            <v>0</v>
          </cell>
          <cell r="I13">
            <v>0</v>
          </cell>
          <cell r="J13">
            <v>16000</v>
          </cell>
          <cell r="K13">
            <v>16000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3.5000000000000003E-2</v>
          </cell>
          <cell r="E14">
            <v>3.5000000000000003E-2</v>
          </cell>
          <cell r="F14">
            <v>3.5000000000000003E-2</v>
          </cell>
          <cell r="G14">
            <v>3.5000000000000003E-2</v>
          </cell>
          <cell r="H14">
            <v>3.5000000000000003E-2</v>
          </cell>
          <cell r="I14">
            <v>3.5000000000000003E-2</v>
          </cell>
          <cell r="J14">
            <v>3.5000000000000003E-2</v>
          </cell>
          <cell r="K14">
            <v>3.5000000000000003E-2</v>
          </cell>
          <cell r="L14">
            <v>3.5000000000000003E-2</v>
          </cell>
          <cell r="M14">
            <v>3.5000000000000003E-2</v>
          </cell>
          <cell r="N14">
            <v>3.5000000000000003E-2</v>
          </cell>
          <cell r="O14">
            <v>3.5000000000000003E-2</v>
          </cell>
          <cell r="P14">
            <v>3.5000000000000003E-2</v>
          </cell>
          <cell r="Q14">
            <v>3.5000000000000003E-2</v>
          </cell>
          <cell r="R14">
            <v>3.5000000000000003E-2</v>
          </cell>
          <cell r="S14">
            <v>3.5000000000000003E-2</v>
          </cell>
        </row>
        <row r="15">
          <cell r="D15">
            <v>0.59500000000000008</v>
          </cell>
          <cell r="E15">
            <v>0.59500000000000008</v>
          </cell>
          <cell r="F15">
            <v>0.59500000000000008</v>
          </cell>
          <cell r="G15">
            <v>0.59500000000000008</v>
          </cell>
          <cell r="H15">
            <v>0.59850000000000014</v>
          </cell>
          <cell r="I15">
            <v>0.59850000000000014</v>
          </cell>
          <cell r="J15">
            <v>0.59850000000000014</v>
          </cell>
          <cell r="K15">
            <v>0.59850000000000014</v>
          </cell>
          <cell r="L15">
            <v>0.60199999999999998</v>
          </cell>
          <cell r="M15">
            <v>0.60199999999999998</v>
          </cell>
          <cell r="N15">
            <v>0.60199999999999998</v>
          </cell>
          <cell r="O15">
            <v>0.60199999999999998</v>
          </cell>
          <cell r="P15">
            <v>0.60550000000000004</v>
          </cell>
          <cell r="Q15">
            <v>0.60550000000000004</v>
          </cell>
          <cell r="R15">
            <v>0.60550000000000004</v>
          </cell>
          <cell r="S15">
            <v>0.60550000000000004</v>
          </cell>
        </row>
        <row r="16">
          <cell r="D16">
            <v>0.153</v>
          </cell>
          <cell r="E16">
            <v>0.153</v>
          </cell>
          <cell r="F16">
            <v>0.153</v>
          </cell>
          <cell r="G16">
            <v>0.153</v>
          </cell>
          <cell r="H16">
            <v>0.153</v>
          </cell>
          <cell r="I16">
            <v>0.153</v>
          </cell>
          <cell r="J16">
            <v>0.153</v>
          </cell>
          <cell r="K16">
            <v>0.153</v>
          </cell>
          <cell r="L16">
            <v>0.153</v>
          </cell>
          <cell r="M16">
            <v>0.153</v>
          </cell>
          <cell r="N16">
            <v>0.153</v>
          </cell>
          <cell r="O16">
            <v>0.153</v>
          </cell>
          <cell r="P16">
            <v>0.153</v>
          </cell>
          <cell r="Q16">
            <v>0.153</v>
          </cell>
          <cell r="R16">
            <v>0.153</v>
          </cell>
          <cell r="S16">
            <v>0.153</v>
          </cell>
        </row>
        <row r="17">
          <cell r="D17">
            <v>0.05</v>
          </cell>
          <cell r="E17">
            <v>0.05</v>
          </cell>
          <cell r="F17">
            <v>0.05</v>
          </cell>
          <cell r="G17">
            <v>0.05</v>
          </cell>
          <cell r="H17">
            <v>0.05</v>
          </cell>
          <cell r="I17">
            <v>0.05</v>
          </cell>
          <cell r="J17">
            <v>0.05</v>
          </cell>
          <cell r="K17">
            <v>0.05</v>
          </cell>
          <cell r="L17">
            <v>0.05</v>
          </cell>
          <cell r="M17">
            <v>0.05</v>
          </cell>
          <cell r="N17">
            <v>0.05</v>
          </cell>
          <cell r="O17">
            <v>0.05</v>
          </cell>
          <cell r="P17">
            <v>0.05</v>
          </cell>
          <cell r="Q17">
            <v>0.05</v>
          </cell>
          <cell r="R17">
            <v>0.05</v>
          </cell>
          <cell r="S17">
            <v>0.05</v>
          </cell>
        </row>
        <row r="18">
          <cell r="D18">
            <v>17</v>
          </cell>
          <cell r="E18">
            <v>17</v>
          </cell>
          <cell r="F18">
            <v>17</v>
          </cell>
          <cell r="G18">
            <v>17</v>
          </cell>
          <cell r="H18">
            <v>17.100000000000001</v>
          </cell>
          <cell r="I18">
            <v>17.100000000000001</v>
          </cell>
          <cell r="J18">
            <v>17.100000000000001</v>
          </cell>
          <cell r="K18">
            <v>17.100000000000001</v>
          </cell>
          <cell r="L18">
            <v>17.2</v>
          </cell>
          <cell r="M18">
            <v>17.2</v>
          </cell>
          <cell r="N18">
            <v>17.2</v>
          </cell>
          <cell r="O18">
            <v>17.2</v>
          </cell>
          <cell r="P18">
            <v>17.3</v>
          </cell>
          <cell r="Q18">
            <v>17.3</v>
          </cell>
          <cell r="R18">
            <v>17.3</v>
          </cell>
          <cell r="S18">
            <v>17.3</v>
          </cell>
        </row>
        <row r="19">
          <cell r="D19">
            <v>0.05</v>
          </cell>
          <cell r="E19">
            <v>0.05</v>
          </cell>
          <cell r="F19">
            <v>0.05</v>
          </cell>
          <cell r="G19">
            <v>0.05</v>
          </cell>
          <cell r="H19">
            <v>0.05</v>
          </cell>
          <cell r="I19">
            <v>0.05</v>
          </cell>
          <cell r="J19">
            <v>0.05</v>
          </cell>
          <cell r="K19">
            <v>0.05</v>
          </cell>
          <cell r="L19">
            <v>0.05</v>
          </cell>
          <cell r="M19">
            <v>0.05</v>
          </cell>
          <cell r="N19">
            <v>0.05</v>
          </cell>
          <cell r="O19">
            <v>0.05</v>
          </cell>
          <cell r="P19">
            <v>0.05</v>
          </cell>
          <cell r="Q19">
            <v>0.05</v>
          </cell>
          <cell r="R19">
            <v>0.05</v>
          </cell>
          <cell r="S19">
            <v>0.05</v>
          </cell>
        </row>
        <row r="20">
          <cell r="D20">
            <v>17</v>
          </cell>
          <cell r="E20">
            <v>17</v>
          </cell>
          <cell r="F20">
            <v>17</v>
          </cell>
          <cell r="G20">
            <v>17</v>
          </cell>
          <cell r="H20">
            <v>17.100000000000001</v>
          </cell>
          <cell r="I20">
            <v>17.100000000000001</v>
          </cell>
          <cell r="J20">
            <v>17.100000000000001</v>
          </cell>
          <cell r="K20">
            <v>17.100000000000001</v>
          </cell>
          <cell r="L20">
            <v>17.2</v>
          </cell>
          <cell r="M20">
            <v>17.2</v>
          </cell>
          <cell r="N20">
            <v>17.2</v>
          </cell>
          <cell r="O20">
            <v>17.2</v>
          </cell>
          <cell r="P20">
            <v>17.3</v>
          </cell>
          <cell r="Q20">
            <v>17.3</v>
          </cell>
          <cell r="R20">
            <v>17.3</v>
          </cell>
          <cell r="S20">
            <v>17.3</v>
          </cell>
        </row>
        <row r="21">
          <cell r="D21">
            <v>2900</v>
          </cell>
          <cell r="E21">
            <v>2900</v>
          </cell>
          <cell r="F21">
            <v>2900</v>
          </cell>
          <cell r="G21">
            <v>8700</v>
          </cell>
          <cell r="H21">
            <v>2900</v>
          </cell>
          <cell r="I21">
            <v>2900</v>
          </cell>
          <cell r="J21">
            <v>2900</v>
          </cell>
          <cell r="K21">
            <v>8700</v>
          </cell>
          <cell r="L21">
            <v>2900</v>
          </cell>
          <cell r="M21">
            <v>2900</v>
          </cell>
          <cell r="N21">
            <v>2900</v>
          </cell>
          <cell r="O21">
            <v>8700</v>
          </cell>
          <cell r="P21">
            <v>2900</v>
          </cell>
          <cell r="Q21">
            <v>2900</v>
          </cell>
          <cell r="R21">
            <v>2900</v>
          </cell>
          <cell r="S21">
            <v>8700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17.05</v>
          </cell>
          <cell r="E23">
            <v>17.05</v>
          </cell>
          <cell r="F23">
            <v>17.05</v>
          </cell>
          <cell r="G23">
            <v>17.05</v>
          </cell>
          <cell r="H23">
            <v>17.150000000000002</v>
          </cell>
          <cell r="I23">
            <v>17.150000000000002</v>
          </cell>
          <cell r="J23">
            <v>17.150000000000002</v>
          </cell>
          <cell r="K23">
            <v>17.150000000000002</v>
          </cell>
          <cell r="L23">
            <v>17.25</v>
          </cell>
          <cell r="M23">
            <v>17.25</v>
          </cell>
          <cell r="N23">
            <v>17.25</v>
          </cell>
          <cell r="O23">
            <v>17.25</v>
          </cell>
          <cell r="P23">
            <v>17.350000000000001</v>
          </cell>
          <cell r="Q23">
            <v>17.350000000000001</v>
          </cell>
          <cell r="R23">
            <v>17.350000000000001</v>
          </cell>
          <cell r="S23">
            <v>17.350000000000001</v>
          </cell>
        </row>
        <row r="24">
          <cell r="G24">
            <v>-100000</v>
          </cell>
          <cell r="K24">
            <v>-100000</v>
          </cell>
          <cell r="O24">
            <v>-100000</v>
          </cell>
          <cell r="S24">
            <v>-100000</v>
          </cell>
        </row>
        <row r="25">
          <cell r="G25">
            <v>0</v>
          </cell>
          <cell r="K25">
            <v>0</v>
          </cell>
          <cell r="O25">
            <v>0</v>
          </cell>
          <cell r="S25">
            <v>0</v>
          </cell>
        </row>
        <row r="26">
          <cell r="G26">
            <v>0</v>
          </cell>
          <cell r="K26">
            <v>0</v>
          </cell>
          <cell r="O26">
            <v>0</v>
          </cell>
          <cell r="S26">
            <v>0</v>
          </cell>
        </row>
        <row r="29">
          <cell r="F29" t="str">
            <v>FINAL PROJECTION OF OPENING EQUITY DOLLARS</v>
          </cell>
        </row>
        <row r="31">
          <cell r="F31">
            <v>1077357</v>
          </cell>
          <cell r="G31" t="str">
            <v>Common equity 9/30/09</v>
          </cell>
        </row>
        <row r="32">
          <cell r="F32">
            <v>3029.9895999999999</v>
          </cell>
          <cell r="G32" t="str">
            <v>DRP Q409</v>
          </cell>
        </row>
        <row r="33">
          <cell r="F33">
            <v>-19778</v>
          </cell>
          <cell r="G33" t="str">
            <v>Dividends Q409</v>
          </cell>
        </row>
        <row r="34">
          <cell r="F34">
            <v>0</v>
          </cell>
          <cell r="G34" t="str">
            <v xml:space="preserve">Forward Equity Contract </v>
          </cell>
        </row>
        <row r="35">
          <cell r="F35">
            <v>318</v>
          </cell>
          <cell r="G35" t="str">
            <v>Options  Q409</v>
          </cell>
        </row>
        <row r="36">
          <cell r="F36">
            <v>660</v>
          </cell>
          <cell r="G36" t="str">
            <v>Stock Based Compensation Q409</v>
          </cell>
        </row>
        <row r="37">
          <cell r="F37">
            <v>50</v>
          </cell>
          <cell r="G37" t="str">
            <v>Stock Plan Tax Benefit Q409</v>
          </cell>
        </row>
        <row r="38">
          <cell r="F38">
            <v>0</v>
          </cell>
          <cell r="G38" t="str">
            <v>Restricted Stock</v>
          </cell>
        </row>
        <row r="39">
          <cell r="F39">
            <v>26963</v>
          </cell>
          <cell r="G39" t="str">
            <v>Net income Q4 2009 Forecast</v>
          </cell>
        </row>
        <row r="40">
          <cell r="F40">
            <v>0</v>
          </cell>
          <cell r="G40" t="str">
            <v>Other Comprehensive Income</v>
          </cell>
        </row>
        <row r="41">
          <cell r="F41">
            <v>12500</v>
          </cell>
          <cell r="G41" t="str">
            <v>Add Back Treasury</v>
          </cell>
        </row>
        <row r="42">
          <cell r="F42">
            <v>1101099.9896</v>
          </cell>
          <cell r="G42" t="str">
            <v xml:space="preserve">projected 12/31/09 Common Equity </v>
          </cell>
        </row>
        <row r="48">
          <cell r="F48" t="str">
            <v>FINAL PROJECTION OF OPENING TREASURY DOLLARS</v>
          </cell>
        </row>
        <row r="50">
          <cell r="F50">
            <v>-12500</v>
          </cell>
          <cell r="G50" t="str">
            <v>9/30/09 Treasury Balance</v>
          </cell>
        </row>
        <row r="51">
          <cell r="F51">
            <v>165</v>
          </cell>
          <cell r="G51" t="str">
            <v xml:space="preserve">ESPP </v>
          </cell>
        </row>
        <row r="52">
          <cell r="F52">
            <v>0</v>
          </cell>
          <cell r="G52" t="str">
            <v xml:space="preserve">Options </v>
          </cell>
        </row>
        <row r="53">
          <cell r="F53">
            <v>-12335</v>
          </cell>
          <cell r="G53" t="str">
            <v>Projected 12/31/08 Treasury Shares (Dollars)</v>
          </cell>
        </row>
        <row r="66">
          <cell r="D66" t="str">
            <v>Jan</v>
          </cell>
          <cell r="E66" t="str">
            <v>Feb</v>
          </cell>
          <cell r="F66" t="str">
            <v>Mar</v>
          </cell>
          <cell r="G66" t="str">
            <v>Q110</v>
          </cell>
          <cell r="H66" t="str">
            <v>Apr</v>
          </cell>
          <cell r="I66" t="str">
            <v>May</v>
          </cell>
          <cell r="J66" t="str">
            <v>Jun</v>
          </cell>
          <cell r="K66" t="str">
            <v>Q210</v>
          </cell>
          <cell r="L66" t="str">
            <v>Jul</v>
          </cell>
          <cell r="M66" t="str">
            <v>Aug</v>
          </cell>
          <cell r="N66" t="str">
            <v>Sep</v>
          </cell>
          <cell r="O66" t="str">
            <v>Q310</v>
          </cell>
          <cell r="P66" t="str">
            <v>Oct</v>
          </cell>
          <cell r="Q66" t="str">
            <v>Nov</v>
          </cell>
          <cell r="R66" t="str">
            <v>Dec</v>
          </cell>
          <cell r="S66" t="str">
            <v>Q410</v>
          </cell>
        </row>
        <row r="70">
          <cell r="D70">
            <v>137127880</v>
          </cell>
          <cell r="E70">
            <v>137153880</v>
          </cell>
          <cell r="F70">
            <v>137217380</v>
          </cell>
          <cell r="G70">
            <v>137127880</v>
          </cell>
          <cell r="H70">
            <v>137429908.49707368</v>
          </cell>
          <cell r="I70">
            <v>137447908.49707368</v>
          </cell>
          <cell r="J70">
            <v>137465908.49707368</v>
          </cell>
          <cell r="K70">
            <v>137429908.49707368</v>
          </cell>
          <cell r="L70">
            <v>139185813.26389101</v>
          </cell>
          <cell r="M70">
            <v>139205813.26389101</v>
          </cell>
          <cell r="N70">
            <v>139225813.26389101</v>
          </cell>
          <cell r="O70">
            <v>139185813.26389101</v>
          </cell>
          <cell r="P70">
            <v>139436471.98412967</v>
          </cell>
          <cell r="Q70">
            <v>139456471.98412967</v>
          </cell>
          <cell r="R70">
            <v>139476471.98412967</v>
          </cell>
          <cell r="S70">
            <v>139436471.98412967</v>
          </cell>
        </row>
        <row r="72">
          <cell r="D72">
            <v>-663776</v>
          </cell>
          <cell r="E72">
            <v>-660876</v>
          </cell>
          <cell r="F72">
            <v>-657976</v>
          </cell>
          <cell r="G72">
            <v>-663776</v>
          </cell>
          <cell r="H72">
            <v>-655076</v>
          </cell>
          <cell r="I72">
            <v>-652176</v>
          </cell>
          <cell r="J72">
            <v>-649276</v>
          </cell>
          <cell r="K72">
            <v>-655076</v>
          </cell>
          <cell r="L72">
            <v>-646376</v>
          </cell>
          <cell r="M72">
            <v>-643476</v>
          </cell>
          <cell r="N72">
            <v>-640576</v>
          </cell>
          <cell r="O72">
            <v>-646376</v>
          </cell>
          <cell r="P72">
            <v>-637676</v>
          </cell>
          <cell r="Q72">
            <v>-634776</v>
          </cell>
          <cell r="R72">
            <v>-631876</v>
          </cell>
          <cell r="S72">
            <v>-637676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1500000</v>
          </cell>
          <cell r="K76">
            <v>1500000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>
            <v>0</v>
          </cell>
          <cell r="E77">
            <v>37500</v>
          </cell>
          <cell r="F77">
            <v>0</v>
          </cell>
          <cell r="G77">
            <v>37500</v>
          </cell>
          <cell r="J77">
            <v>16000</v>
          </cell>
          <cell r="K77">
            <v>16000</v>
          </cell>
          <cell r="O77">
            <v>0</v>
          </cell>
          <cell r="S77">
            <v>0</v>
          </cell>
        </row>
        <row r="78">
          <cell r="D78">
            <v>0</v>
          </cell>
          <cell r="E78">
            <v>0</v>
          </cell>
          <cell r="F78">
            <v>187589.49707368418</v>
          </cell>
          <cell r="G78">
            <v>187589.49707368418</v>
          </cell>
          <cell r="H78">
            <v>0</v>
          </cell>
          <cell r="I78">
            <v>0</v>
          </cell>
          <cell r="J78">
            <v>186843.76681733326</v>
          </cell>
          <cell r="K78">
            <v>186843.76681733326</v>
          </cell>
          <cell r="L78">
            <v>0</v>
          </cell>
          <cell r="M78">
            <v>0</v>
          </cell>
          <cell r="N78">
            <v>188158.72023864271</v>
          </cell>
          <cell r="O78">
            <v>188158.72023864271</v>
          </cell>
          <cell r="P78">
            <v>0</v>
          </cell>
          <cell r="Q78">
            <v>0</v>
          </cell>
          <cell r="R78">
            <v>200346.79609148978</v>
          </cell>
          <cell r="S78">
            <v>200346.79609148978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K79">
            <v>0</v>
          </cell>
          <cell r="O79">
            <v>0</v>
          </cell>
          <cell r="S79">
            <v>0</v>
          </cell>
        </row>
        <row r="82">
          <cell r="D82">
            <v>2900</v>
          </cell>
          <cell r="E82">
            <v>2900</v>
          </cell>
          <cell r="F82">
            <v>2900</v>
          </cell>
          <cell r="G82">
            <v>8700</v>
          </cell>
          <cell r="H82">
            <v>2900</v>
          </cell>
          <cell r="I82">
            <v>2900</v>
          </cell>
          <cell r="J82">
            <v>2900</v>
          </cell>
          <cell r="K82">
            <v>8700</v>
          </cell>
          <cell r="L82">
            <v>2900</v>
          </cell>
          <cell r="M82">
            <v>2900</v>
          </cell>
          <cell r="N82">
            <v>2900</v>
          </cell>
          <cell r="O82">
            <v>8700</v>
          </cell>
          <cell r="P82">
            <v>2900</v>
          </cell>
          <cell r="Q82">
            <v>2900</v>
          </cell>
          <cell r="R82">
            <v>2900</v>
          </cell>
          <cell r="S82">
            <v>8700</v>
          </cell>
        </row>
        <row r="84">
          <cell r="D84">
            <v>26000</v>
          </cell>
          <cell r="E84">
            <v>26000</v>
          </cell>
          <cell r="F84">
            <v>24939</v>
          </cell>
          <cell r="G84">
            <v>76939</v>
          </cell>
          <cell r="H84">
            <v>18000</v>
          </cell>
          <cell r="I84">
            <v>18000</v>
          </cell>
          <cell r="J84">
            <v>17061</v>
          </cell>
          <cell r="K84">
            <v>53061</v>
          </cell>
          <cell r="L84">
            <v>20000</v>
          </cell>
          <cell r="M84">
            <v>20000</v>
          </cell>
          <cell r="N84">
            <v>22500</v>
          </cell>
          <cell r="O84">
            <v>62500</v>
          </cell>
          <cell r="P84">
            <v>20000</v>
          </cell>
          <cell r="Q84">
            <v>20000</v>
          </cell>
          <cell r="R84">
            <v>22500</v>
          </cell>
          <cell r="S84">
            <v>62500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8">
          <cell r="D88">
            <v>136493004</v>
          </cell>
          <cell r="E88">
            <v>136559404</v>
          </cell>
          <cell r="F88">
            <v>136774832.49707368</v>
          </cell>
          <cell r="G88">
            <v>136774832.49707368</v>
          </cell>
          <cell r="H88">
            <v>136795732.49707368</v>
          </cell>
          <cell r="I88">
            <v>136816632.49707368</v>
          </cell>
          <cell r="J88">
            <v>138539437.26389101</v>
          </cell>
          <cell r="K88">
            <v>138539437.26389101</v>
          </cell>
          <cell r="L88">
            <v>138562337.26389101</v>
          </cell>
          <cell r="M88">
            <v>138585237.26389101</v>
          </cell>
          <cell r="N88">
            <v>138798795.98412967</v>
          </cell>
          <cell r="O88">
            <v>138798795.98412967</v>
          </cell>
          <cell r="P88">
            <v>138821695.98412967</v>
          </cell>
          <cell r="Q88">
            <v>138844595.98412967</v>
          </cell>
          <cell r="R88">
            <v>139070342.78022116</v>
          </cell>
          <cell r="S88">
            <v>139070342.78022116</v>
          </cell>
        </row>
        <row r="91">
          <cell r="F91">
            <v>19801113.579999998</v>
          </cell>
          <cell r="G91">
            <v>19801113.579999998</v>
          </cell>
          <cell r="J91">
            <v>19838411.71207568</v>
          </cell>
          <cell r="K91">
            <v>19838411.71207568</v>
          </cell>
          <cell r="N91">
            <v>20094859.403264195</v>
          </cell>
          <cell r="O91">
            <v>20094859.403264195</v>
          </cell>
          <cell r="R91">
            <v>21520912.377540097</v>
          </cell>
          <cell r="S91">
            <v>21520912.377540097</v>
          </cell>
        </row>
        <row r="94">
          <cell r="F94" t="str">
            <v>shares issued</v>
          </cell>
          <cell r="G94" t="str">
            <v>treasury shs</v>
          </cell>
          <cell r="H94" t="str">
            <v>treasury shs</v>
          </cell>
          <cell r="I94" t="str">
            <v>treasury shs</v>
          </cell>
          <cell r="J94" t="str">
            <v>treasury shs</v>
          </cell>
          <cell r="K94" t="str">
            <v>shs outstanding</v>
          </cell>
        </row>
        <row r="95">
          <cell r="F95">
            <v>136942380</v>
          </cell>
          <cell r="G95">
            <v>-674276</v>
          </cell>
        </row>
        <row r="97">
          <cell r="F97">
            <v>180500</v>
          </cell>
          <cell r="G97">
            <v>0</v>
          </cell>
        </row>
        <row r="98">
          <cell r="F98">
            <v>5000</v>
          </cell>
          <cell r="G98">
            <v>0</v>
          </cell>
        </row>
        <row r="99">
          <cell r="F99">
            <v>0</v>
          </cell>
          <cell r="G99">
            <v>0</v>
          </cell>
        </row>
        <row r="100">
          <cell r="F100">
            <v>0</v>
          </cell>
          <cell r="G100">
            <v>0</v>
          </cell>
        </row>
        <row r="101">
          <cell r="F101">
            <v>0</v>
          </cell>
          <cell r="G101">
            <v>10500</v>
          </cell>
        </row>
        <row r="102">
          <cell r="F102">
            <v>137127880</v>
          </cell>
          <cell r="G102">
            <v>-663776</v>
          </cell>
          <cell r="H102">
            <v>0</v>
          </cell>
          <cell r="I102">
            <v>0</v>
          </cell>
          <cell r="J102">
            <v>0</v>
          </cell>
          <cell r="K102">
            <v>136464104</v>
          </cell>
        </row>
        <row r="103">
          <cell r="D103">
            <v>0</v>
          </cell>
          <cell r="E103" t="str">
            <v xml:space="preserve"> </v>
          </cell>
          <cell r="F103" t="str">
            <v xml:space="preserve"> </v>
          </cell>
          <cell r="K103">
            <v>0</v>
          </cell>
        </row>
        <row r="104">
          <cell r="G104">
            <v>0</v>
          </cell>
          <cell r="K104">
            <v>0</v>
          </cell>
        </row>
        <row r="105">
          <cell r="E105" t="str">
            <v xml:space="preserve"> </v>
          </cell>
        </row>
        <row r="106">
          <cell r="F106" t="str">
            <v xml:space="preserve"> </v>
          </cell>
        </row>
        <row r="107">
          <cell r="F107">
            <v>0</v>
          </cell>
        </row>
        <row r="108">
          <cell r="D108" t="str">
            <v xml:space="preserve"> </v>
          </cell>
          <cell r="F108">
            <v>0</v>
          </cell>
        </row>
        <row r="109">
          <cell r="D109" t="str">
            <v xml:space="preserve"> </v>
          </cell>
          <cell r="F109">
            <v>0</v>
          </cell>
        </row>
        <row r="110">
          <cell r="F110">
            <v>137127880</v>
          </cell>
          <cell r="G110">
            <v>-663776</v>
          </cell>
          <cell r="H110">
            <v>0</v>
          </cell>
          <cell r="I110">
            <v>0</v>
          </cell>
          <cell r="J110">
            <v>0</v>
          </cell>
          <cell r="K110">
            <v>136464104</v>
          </cell>
        </row>
        <row r="113">
          <cell r="D113" t="str">
            <v>Jan</v>
          </cell>
          <cell r="E113" t="str">
            <v>Feb</v>
          </cell>
          <cell r="F113" t="str">
            <v>Mar</v>
          </cell>
          <cell r="G113" t="str">
            <v>Q110</v>
          </cell>
          <cell r="H113" t="str">
            <v>Apr</v>
          </cell>
          <cell r="I113" t="str">
            <v>May</v>
          </cell>
          <cell r="J113" t="str">
            <v>Jun</v>
          </cell>
          <cell r="K113" t="str">
            <v>Q210</v>
          </cell>
          <cell r="L113" t="str">
            <v>Jul</v>
          </cell>
          <cell r="M113" t="str">
            <v>Aug</v>
          </cell>
          <cell r="N113" t="str">
            <v>Sep</v>
          </cell>
          <cell r="O113" t="str">
            <v>Q310</v>
          </cell>
          <cell r="P113" t="str">
            <v>Oct</v>
          </cell>
          <cell r="Q113" t="str">
            <v>Nov</v>
          </cell>
          <cell r="R113" t="str">
            <v>Dec</v>
          </cell>
          <cell r="S113" t="str">
            <v>Q410</v>
          </cell>
        </row>
        <row r="115">
          <cell r="D115">
            <v>1101099989.5999999</v>
          </cell>
          <cell r="E115">
            <v>1109140732.5999999</v>
          </cell>
          <cell r="F115">
            <v>1116341739.5999999</v>
          </cell>
          <cell r="G115">
            <v>1101099989.5999999</v>
          </cell>
          <cell r="H115">
            <v>1107110325.3052399</v>
          </cell>
          <cell r="I115">
            <v>1114356605.8052399</v>
          </cell>
          <cell r="J115">
            <v>1124587735.3052399</v>
          </cell>
          <cell r="K115">
            <v>1107110325.3052399</v>
          </cell>
          <cell r="L115">
            <v>1143770453.5481119</v>
          </cell>
          <cell r="M115">
            <v>1156634325.0481119</v>
          </cell>
          <cell r="N115">
            <v>1171490660.5481119</v>
          </cell>
          <cell r="O115">
            <v>1143770453.5481119</v>
          </cell>
          <cell r="P115">
            <v>1166883091.3835471</v>
          </cell>
          <cell r="Q115">
            <v>1178801651.8835471</v>
          </cell>
          <cell r="R115">
            <v>1188700851.3835471</v>
          </cell>
          <cell r="S115">
            <v>1166883091.3835471</v>
          </cell>
        </row>
        <row r="117">
          <cell r="D117">
            <v>-12335000</v>
          </cell>
          <cell r="E117">
            <v>-12288165</v>
          </cell>
          <cell r="F117">
            <v>-12241330</v>
          </cell>
          <cell r="G117">
            <v>-12335000</v>
          </cell>
          <cell r="H117">
            <v>-12194495</v>
          </cell>
          <cell r="I117">
            <v>-12147384.5</v>
          </cell>
          <cell r="J117">
            <v>-12100274</v>
          </cell>
          <cell r="K117">
            <v>-12194495</v>
          </cell>
          <cell r="L117">
            <v>-12053163.5</v>
          </cell>
          <cell r="M117">
            <v>-12005777.5</v>
          </cell>
          <cell r="N117">
            <v>-11958391.5</v>
          </cell>
          <cell r="O117">
            <v>-12053163.5</v>
          </cell>
          <cell r="P117">
            <v>-11911005.5</v>
          </cell>
          <cell r="Q117">
            <v>-11863344</v>
          </cell>
          <cell r="R117">
            <v>-11815682.5</v>
          </cell>
          <cell r="S117">
            <v>-11911005.5</v>
          </cell>
        </row>
        <row r="119">
          <cell r="D119">
            <v>7621638</v>
          </cell>
          <cell r="E119">
            <v>6012152</v>
          </cell>
          <cell r="F119">
            <v>7127496</v>
          </cell>
          <cell r="G119">
            <v>20761286</v>
          </cell>
          <cell r="H119">
            <v>6795794</v>
          </cell>
          <cell r="I119">
            <v>9779643</v>
          </cell>
          <cell r="J119">
            <v>10520238</v>
          </cell>
          <cell r="K119">
            <v>27095675</v>
          </cell>
          <cell r="L119">
            <v>12388419</v>
          </cell>
          <cell r="M119">
            <v>14379883</v>
          </cell>
          <cell r="N119">
            <v>11905110</v>
          </cell>
          <cell r="O119">
            <v>38673412</v>
          </cell>
          <cell r="P119">
            <v>11443108</v>
          </cell>
          <cell r="Q119">
            <v>9422747</v>
          </cell>
          <cell r="R119">
            <v>8786482</v>
          </cell>
          <cell r="S119">
            <v>29652337</v>
          </cell>
        </row>
        <row r="121">
          <cell r="D121">
            <v>0</v>
          </cell>
          <cell r="E121">
            <v>0</v>
          </cell>
          <cell r="F121">
            <v>-19801113.579999998</v>
          </cell>
          <cell r="G121">
            <v>-19801113.579999998</v>
          </cell>
          <cell r="H121">
            <v>0</v>
          </cell>
          <cell r="I121">
            <v>0</v>
          </cell>
          <cell r="J121">
            <v>-19838411.71207568</v>
          </cell>
          <cell r="K121">
            <v>-19838411.71207568</v>
          </cell>
          <cell r="L121">
            <v>0</v>
          </cell>
          <cell r="M121">
            <v>0</v>
          </cell>
          <cell r="N121">
            <v>-20094859.403264195</v>
          </cell>
          <cell r="O121">
            <v>-20094859.403264195</v>
          </cell>
          <cell r="P121">
            <v>0</v>
          </cell>
          <cell r="Q121">
            <v>0</v>
          </cell>
          <cell r="R121">
            <v>-21520912.377540097</v>
          </cell>
          <cell r="S121">
            <v>-21520912.377540097</v>
          </cell>
        </row>
        <row r="123">
          <cell r="D123">
            <v>220000</v>
          </cell>
          <cell r="E123">
            <v>220000</v>
          </cell>
          <cell r="F123">
            <v>220000</v>
          </cell>
          <cell r="G123">
            <v>660000</v>
          </cell>
          <cell r="H123">
            <v>220000</v>
          </cell>
          <cell r="I123">
            <v>220000</v>
          </cell>
          <cell r="J123">
            <v>220000</v>
          </cell>
          <cell r="K123">
            <v>660000</v>
          </cell>
          <cell r="L123">
            <v>220000</v>
          </cell>
          <cell r="M123">
            <v>220000</v>
          </cell>
          <cell r="N123">
            <v>220000</v>
          </cell>
          <cell r="O123">
            <v>660000</v>
          </cell>
          <cell r="P123">
            <v>220000</v>
          </cell>
          <cell r="Q123">
            <v>220000</v>
          </cell>
          <cell r="R123">
            <v>220000</v>
          </cell>
          <cell r="S123">
            <v>660000</v>
          </cell>
        </row>
        <row r="125">
          <cell r="D125">
            <v>16000</v>
          </cell>
          <cell r="E125">
            <v>17000</v>
          </cell>
          <cell r="F125">
            <v>17000</v>
          </cell>
          <cell r="G125">
            <v>50000</v>
          </cell>
          <cell r="H125">
            <v>16000</v>
          </cell>
          <cell r="I125">
            <v>17000</v>
          </cell>
          <cell r="J125">
            <v>17000</v>
          </cell>
          <cell r="K125">
            <v>50000</v>
          </cell>
          <cell r="L125">
            <v>16000</v>
          </cell>
          <cell r="M125">
            <v>17000</v>
          </cell>
          <cell r="N125">
            <v>17000</v>
          </cell>
          <cell r="O125">
            <v>50000</v>
          </cell>
          <cell r="P125">
            <v>16000</v>
          </cell>
          <cell r="Q125">
            <v>17000</v>
          </cell>
          <cell r="R125">
            <v>17000</v>
          </cell>
          <cell r="S125">
            <v>50000</v>
          </cell>
        </row>
        <row r="126">
          <cell r="D126" t="str">
            <v xml:space="preserve"> </v>
          </cell>
        </row>
        <row r="127">
          <cell r="D127">
            <v>0</v>
          </cell>
          <cell r="E127">
            <v>768750</v>
          </cell>
          <cell r="F127">
            <v>0</v>
          </cell>
          <cell r="G127">
            <v>768750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K128" t="str">
            <v xml:space="preserve"> 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24752250</v>
          </cell>
          <cell r="K129">
            <v>24752250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273600</v>
          </cell>
          <cell r="K130">
            <v>273600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D131">
            <v>0</v>
          </cell>
          <cell r="E131">
            <v>0</v>
          </cell>
          <cell r="F131">
            <v>3029570.3777399994</v>
          </cell>
          <cell r="G131">
            <v>3029570.3777399994</v>
          </cell>
          <cell r="H131">
            <v>0</v>
          </cell>
          <cell r="I131">
            <v>0</v>
          </cell>
          <cell r="J131">
            <v>3035276.9919475792</v>
          </cell>
          <cell r="K131">
            <v>3035276.9919475792</v>
          </cell>
          <cell r="L131">
            <v>0</v>
          </cell>
          <cell r="M131">
            <v>0</v>
          </cell>
          <cell r="N131">
            <v>3074513.4886994218</v>
          </cell>
          <cell r="O131">
            <v>3074513.4886994218</v>
          </cell>
          <cell r="P131">
            <v>0</v>
          </cell>
          <cell r="Q131">
            <v>0</v>
          </cell>
          <cell r="R131">
            <v>3292699.5937636346</v>
          </cell>
          <cell r="S131">
            <v>3292699.5937636346</v>
          </cell>
        </row>
        <row r="132">
          <cell r="F132">
            <v>0</v>
          </cell>
        </row>
        <row r="135">
          <cell r="D135">
            <v>46834.999999999993</v>
          </cell>
          <cell r="E135">
            <v>46834.999999999993</v>
          </cell>
          <cell r="F135">
            <v>46834.999999999993</v>
          </cell>
          <cell r="G135">
            <v>140504.99999999997</v>
          </cell>
          <cell r="H135">
            <v>47110.5</v>
          </cell>
          <cell r="I135">
            <v>47110.5</v>
          </cell>
          <cell r="J135">
            <v>47110.5</v>
          </cell>
          <cell r="K135">
            <v>141331.5</v>
          </cell>
          <cell r="L135">
            <v>47386</v>
          </cell>
          <cell r="M135">
            <v>47386</v>
          </cell>
          <cell r="N135">
            <v>47386</v>
          </cell>
          <cell r="O135">
            <v>142158</v>
          </cell>
          <cell r="P135">
            <v>47661.499999999993</v>
          </cell>
          <cell r="Q135">
            <v>47661.499999999993</v>
          </cell>
          <cell r="R135">
            <v>47661.499999999993</v>
          </cell>
          <cell r="S135">
            <v>142984.49999999997</v>
          </cell>
        </row>
        <row r="137">
          <cell r="D137">
            <v>183105</v>
          </cell>
          <cell r="E137">
            <v>183105</v>
          </cell>
          <cell r="F137">
            <v>175632.9075</v>
          </cell>
          <cell r="G137">
            <v>541842.90749999997</v>
          </cell>
          <cell r="H137">
            <v>214486.5</v>
          </cell>
          <cell r="I137">
            <v>214486.5</v>
          </cell>
          <cell r="J137">
            <v>202764.96299999999</v>
          </cell>
          <cell r="K137">
            <v>631737.96299999999</v>
          </cell>
          <cell r="L137">
            <v>239452.5</v>
          </cell>
          <cell r="M137">
            <v>239452.5</v>
          </cell>
          <cell r="N137">
            <v>270666.75</v>
          </cell>
          <cell r="O137">
            <v>749571.75</v>
          </cell>
          <cell r="P137">
            <v>239452.5</v>
          </cell>
          <cell r="Q137">
            <v>239452.5</v>
          </cell>
          <cell r="R137">
            <v>270666.75</v>
          </cell>
          <cell r="S137">
            <v>749571.75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1">
          <cell r="D141">
            <v>1096852567.5999999</v>
          </cell>
          <cell r="E141">
            <v>1104100409.5999999</v>
          </cell>
          <cell r="F141">
            <v>1094915830.3052399</v>
          </cell>
          <cell r="G141">
            <v>1094915830.3052399</v>
          </cell>
          <cell r="H141">
            <v>1102209221.3052399</v>
          </cell>
          <cell r="I141">
            <v>1112487461.3052399</v>
          </cell>
          <cell r="J141">
            <v>1131717290.0481119</v>
          </cell>
          <cell r="K141">
            <v>1131717290.0481119</v>
          </cell>
          <cell r="L141">
            <v>1144628547.5481119</v>
          </cell>
          <cell r="M141">
            <v>1159532269.0481119</v>
          </cell>
          <cell r="N141">
            <v>1154972085.8835471</v>
          </cell>
          <cell r="O141">
            <v>1154972085.8835471</v>
          </cell>
          <cell r="P141">
            <v>1166938307.8835471</v>
          </cell>
          <cell r="Q141">
            <v>1176885168.8835471</v>
          </cell>
          <cell r="R141">
            <v>1167998766.3497705</v>
          </cell>
          <cell r="S141">
            <v>1167998766.3497705</v>
          </cell>
        </row>
        <row r="143">
          <cell r="D143">
            <v>8.0359618109071729</v>
          </cell>
          <cell r="E143">
            <v>8.0851290885833098</v>
          </cell>
          <cell r="F143">
            <v>8.0052434378135011</v>
          </cell>
          <cell r="G143">
            <v>8.0052434378135011</v>
          </cell>
          <cell r="H143">
            <v>8.0573363012535371</v>
          </cell>
          <cell r="I143">
            <v>8.131229668505652</v>
          </cell>
          <cell r="J143">
            <v>8.1689179081362067</v>
          </cell>
          <cell r="K143">
            <v>8.1689179081362067</v>
          </cell>
          <cell r="L143">
            <v>8.2607479792158447</v>
          </cell>
          <cell r="M143">
            <v>8.3669248755562293</v>
          </cell>
          <cell r="N143">
            <v>8.3211967200033001</v>
          </cell>
          <cell r="O143">
            <v>8.3211967200033001</v>
          </cell>
          <cell r="P143">
            <v>8.4060225572878284</v>
          </cell>
          <cell r="Q143">
            <v>8.4762763760576494</v>
          </cell>
          <cell r="R143">
            <v>8.3986185911370708</v>
          </cell>
          <cell r="S143">
            <v>8.3986185911370708</v>
          </cell>
        </row>
        <row r="148">
          <cell r="D148" t="str">
            <v>Jan</v>
          </cell>
          <cell r="E148" t="str">
            <v>Feb</v>
          </cell>
          <cell r="F148" t="str">
            <v>Mar</v>
          </cell>
          <cell r="G148" t="str">
            <v>Q110</v>
          </cell>
          <cell r="H148" t="str">
            <v>Apr</v>
          </cell>
          <cell r="I148" t="str">
            <v>May</v>
          </cell>
          <cell r="J148" t="str">
            <v>Jun</v>
          </cell>
          <cell r="K148" t="str">
            <v>Q210</v>
          </cell>
          <cell r="L148" t="str">
            <v>Jul</v>
          </cell>
          <cell r="M148" t="str">
            <v>Aug</v>
          </cell>
          <cell r="N148" t="str">
            <v>Sep</v>
          </cell>
          <cell r="O148" t="str">
            <v>Q310</v>
          </cell>
          <cell r="P148" t="str">
            <v>Oct</v>
          </cell>
          <cell r="Q148" t="str">
            <v>Nov</v>
          </cell>
          <cell r="R148" t="str">
            <v>Dec</v>
          </cell>
          <cell r="S148" t="str">
            <v>Q410</v>
          </cell>
        </row>
        <row r="152">
          <cell r="D152">
            <v>31</v>
          </cell>
          <cell r="E152">
            <v>28</v>
          </cell>
          <cell r="F152">
            <v>31</v>
          </cell>
          <cell r="G152">
            <v>90</v>
          </cell>
          <cell r="H152">
            <v>30</v>
          </cell>
          <cell r="I152">
            <v>31</v>
          </cell>
          <cell r="J152">
            <v>30</v>
          </cell>
          <cell r="K152">
            <v>91</v>
          </cell>
          <cell r="L152">
            <v>31</v>
          </cell>
          <cell r="M152">
            <v>31</v>
          </cell>
          <cell r="N152">
            <v>30</v>
          </cell>
          <cell r="O152">
            <v>92</v>
          </cell>
          <cell r="P152">
            <v>31</v>
          </cell>
          <cell r="Q152">
            <v>30</v>
          </cell>
          <cell r="R152">
            <v>31</v>
          </cell>
          <cell r="S152">
            <v>92</v>
          </cell>
        </row>
        <row r="153">
          <cell r="D153">
            <v>31</v>
          </cell>
          <cell r="E153">
            <v>28</v>
          </cell>
          <cell r="F153">
            <v>31</v>
          </cell>
          <cell r="G153">
            <v>90</v>
          </cell>
          <cell r="H153">
            <v>30</v>
          </cell>
          <cell r="I153">
            <v>31</v>
          </cell>
          <cell r="J153">
            <v>30</v>
          </cell>
          <cell r="K153">
            <v>91</v>
          </cell>
          <cell r="L153">
            <v>31</v>
          </cell>
          <cell r="M153">
            <v>31</v>
          </cell>
          <cell r="N153">
            <v>30</v>
          </cell>
          <cell r="O153">
            <v>92</v>
          </cell>
          <cell r="P153">
            <v>31</v>
          </cell>
          <cell r="Q153">
            <v>30</v>
          </cell>
          <cell r="R153">
            <v>31</v>
          </cell>
          <cell r="S153">
            <v>92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30</v>
          </cell>
          <cell r="K155">
            <v>30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31</v>
          </cell>
          <cell r="S155">
            <v>31</v>
          </cell>
        </row>
        <row r="156">
          <cell r="D156">
            <v>0</v>
          </cell>
          <cell r="E156">
            <v>0</v>
          </cell>
          <cell r="F156">
            <v>31</v>
          </cell>
          <cell r="G156">
            <v>31</v>
          </cell>
          <cell r="H156">
            <v>0</v>
          </cell>
          <cell r="I156">
            <v>0</v>
          </cell>
          <cell r="J156">
            <v>30</v>
          </cell>
          <cell r="K156">
            <v>30</v>
          </cell>
          <cell r="L156">
            <v>0</v>
          </cell>
          <cell r="M156">
            <v>0</v>
          </cell>
          <cell r="N156">
            <v>30</v>
          </cell>
          <cell r="O156">
            <v>30</v>
          </cell>
          <cell r="P156">
            <v>0</v>
          </cell>
          <cell r="Q156">
            <v>0</v>
          </cell>
          <cell r="R156">
            <v>31</v>
          </cell>
          <cell r="S156">
            <v>31</v>
          </cell>
        </row>
        <row r="157">
          <cell r="D157">
            <v>15</v>
          </cell>
          <cell r="E157">
            <v>15</v>
          </cell>
          <cell r="F157">
            <v>15</v>
          </cell>
          <cell r="G157">
            <v>45</v>
          </cell>
          <cell r="H157">
            <v>15</v>
          </cell>
          <cell r="I157">
            <v>15</v>
          </cell>
          <cell r="J157">
            <v>15</v>
          </cell>
          <cell r="K157">
            <v>45</v>
          </cell>
          <cell r="L157">
            <v>15</v>
          </cell>
          <cell r="M157">
            <v>15</v>
          </cell>
          <cell r="N157">
            <v>15</v>
          </cell>
          <cell r="O157">
            <v>45</v>
          </cell>
          <cell r="P157">
            <v>15</v>
          </cell>
          <cell r="Q157">
            <v>15</v>
          </cell>
          <cell r="R157">
            <v>15</v>
          </cell>
          <cell r="S157">
            <v>45</v>
          </cell>
        </row>
        <row r="158">
          <cell r="D158">
            <v>15</v>
          </cell>
          <cell r="E158">
            <v>15</v>
          </cell>
          <cell r="F158">
            <v>15</v>
          </cell>
          <cell r="G158">
            <v>45</v>
          </cell>
          <cell r="H158">
            <v>15</v>
          </cell>
          <cell r="I158">
            <v>15</v>
          </cell>
          <cell r="J158">
            <v>15</v>
          </cell>
          <cell r="K158">
            <v>45</v>
          </cell>
          <cell r="L158">
            <v>15</v>
          </cell>
          <cell r="M158">
            <v>15</v>
          </cell>
          <cell r="N158">
            <v>15</v>
          </cell>
          <cell r="O158">
            <v>45</v>
          </cell>
          <cell r="P158">
            <v>15</v>
          </cell>
          <cell r="Q158">
            <v>15</v>
          </cell>
          <cell r="R158">
            <v>15</v>
          </cell>
          <cell r="S158">
            <v>45</v>
          </cell>
        </row>
        <row r="159">
          <cell r="D159">
            <v>15</v>
          </cell>
          <cell r="E159">
            <v>15</v>
          </cell>
          <cell r="F159">
            <v>15</v>
          </cell>
          <cell r="G159">
            <v>45</v>
          </cell>
          <cell r="H159">
            <v>15</v>
          </cell>
          <cell r="I159">
            <v>15</v>
          </cell>
          <cell r="J159">
            <v>15</v>
          </cell>
          <cell r="K159">
            <v>45</v>
          </cell>
          <cell r="L159">
            <v>15</v>
          </cell>
          <cell r="M159">
            <v>15</v>
          </cell>
          <cell r="N159">
            <v>15</v>
          </cell>
          <cell r="O159">
            <v>45</v>
          </cell>
          <cell r="P159">
            <v>15</v>
          </cell>
          <cell r="Q159">
            <v>15</v>
          </cell>
          <cell r="R159">
            <v>15</v>
          </cell>
          <cell r="S159">
            <v>45</v>
          </cell>
        </row>
        <row r="160">
          <cell r="D160">
            <v>15</v>
          </cell>
          <cell r="E160">
            <v>15</v>
          </cell>
          <cell r="F160">
            <v>15</v>
          </cell>
          <cell r="G160">
            <v>45</v>
          </cell>
          <cell r="H160">
            <v>15</v>
          </cell>
          <cell r="I160">
            <v>15</v>
          </cell>
          <cell r="J160">
            <v>15</v>
          </cell>
          <cell r="K160">
            <v>45</v>
          </cell>
          <cell r="L160">
            <v>15</v>
          </cell>
          <cell r="M160">
            <v>15</v>
          </cell>
          <cell r="N160">
            <v>15</v>
          </cell>
          <cell r="O160">
            <v>45</v>
          </cell>
          <cell r="P160">
            <v>15</v>
          </cell>
          <cell r="Q160">
            <v>15</v>
          </cell>
          <cell r="R160">
            <v>15</v>
          </cell>
          <cell r="S160">
            <v>45</v>
          </cell>
        </row>
        <row r="162">
          <cell r="D162">
            <v>4250964280</v>
          </cell>
          <cell r="E162">
            <v>3840308640</v>
          </cell>
          <cell r="F162">
            <v>4253738780</v>
          </cell>
          <cell r="G162">
            <v>12341509200</v>
          </cell>
          <cell r="H162">
            <v>4122897254.9122105</v>
          </cell>
          <cell r="I162">
            <v>4260885163.4092841</v>
          </cell>
          <cell r="J162">
            <v>4123977254.9122105</v>
          </cell>
          <cell r="K162">
            <v>12506121673.233706</v>
          </cell>
          <cell r="L162">
            <v>4314760211.1806211</v>
          </cell>
          <cell r="M162">
            <v>4315380211.1806211</v>
          </cell>
          <cell r="N162">
            <v>4176774397.9167304</v>
          </cell>
          <cell r="O162">
            <v>12805094820.277973</v>
          </cell>
          <cell r="P162">
            <v>4322530631.5080194</v>
          </cell>
          <cell r="Q162">
            <v>4183694159.52389</v>
          </cell>
          <cell r="R162">
            <v>4323770631.5080194</v>
          </cell>
          <cell r="S162">
            <v>12828155422.539928</v>
          </cell>
        </row>
        <row r="164">
          <cell r="D164">
            <v>-20577056</v>
          </cell>
          <cell r="E164">
            <v>-18504528</v>
          </cell>
          <cell r="F164">
            <v>-20397256</v>
          </cell>
          <cell r="G164">
            <v>-59739840</v>
          </cell>
          <cell r="H164">
            <v>-19652280</v>
          </cell>
          <cell r="I164">
            <v>-20217456</v>
          </cell>
          <cell r="J164">
            <v>-19478280</v>
          </cell>
          <cell r="K164">
            <v>-59611916</v>
          </cell>
          <cell r="L164">
            <v>-20037656</v>
          </cell>
          <cell r="M164">
            <v>-19947756</v>
          </cell>
          <cell r="N164">
            <v>-19217280</v>
          </cell>
          <cell r="O164">
            <v>-59466592</v>
          </cell>
          <cell r="P164">
            <v>-19767956</v>
          </cell>
          <cell r="Q164">
            <v>-19043280</v>
          </cell>
          <cell r="R164">
            <v>-19588156</v>
          </cell>
          <cell r="S164">
            <v>-58666192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45000000</v>
          </cell>
          <cell r="K168">
            <v>45000000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70">
          <cell r="D170">
            <v>0</v>
          </cell>
          <cell r="E170">
            <v>0</v>
          </cell>
          <cell r="F170">
            <v>5815274.4092842098</v>
          </cell>
          <cell r="G170">
            <v>5815274.4092842098</v>
          </cell>
          <cell r="H170">
            <v>0</v>
          </cell>
          <cell r="I170">
            <v>0</v>
          </cell>
          <cell r="J170">
            <v>5605313.0045199981</v>
          </cell>
          <cell r="K170">
            <v>5605313.0045199981</v>
          </cell>
          <cell r="L170">
            <v>0</v>
          </cell>
          <cell r="M170">
            <v>0</v>
          </cell>
          <cell r="N170">
            <v>5644761.6071592811</v>
          </cell>
          <cell r="O170">
            <v>5644761.6071592811</v>
          </cell>
          <cell r="P170">
            <v>0</v>
          </cell>
          <cell r="Q170">
            <v>0</v>
          </cell>
          <cell r="R170">
            <v>6210750.6788361836</v>
          </cell>
          <cell r="S170">
            <v>6210750.6788361836</v>
          </cell>
        </row>
        <row r="172">
          <cell r="D172">
            <v>0</v>
          </cell>
          <cell r="E172">
            <v>562500</v>
          </cell>
          <cell r="F172">
            <v>0</v>
          </cell>
          <cell r="G172">
            <v>1687500</v>
          </cell>
          <cell r="H172">
            <v>0</v>
          </cell>
          <cell r="I172">
            <v>0</v>
          </cell>
          <cell r="J172">
            <v>240000</v>
          </cell>
          <cell r="K172">
            <v>720000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4">
          <cell r="D174">
            <v>43500</v>
          </cell>
          <cell r="E174">
            <v>43500</v>
          </cell>
          <cell r="F174">
            <v>43500</v>
          </cell>
          <cell r="G174">
            <v>391500</v>
          </cell>
          <cell r="H174">
            <v>43500</v>
          </cell>
          <cell r="I174">
            <v>43500</v>
          </cell>
          <cell r="J174">
            <v>43500</v>
          </cell>
          <cell r="K174">
            <v>391500</v>
          </cell>
          <cell r="L174">
            <v>43500</v>
          </cell>
          <cell r="M174">
            <v>43500</v>
          </cell>
          <cell r="N174">
            <v>43500</v>
          </cell>
          <cell r="O174">
            <v>391500</v>
          </cell>
          <cell r="P174">
            <v>43500</v>
          </cell>
          <cell r="Q174">
            <v>43500</v>
          </cell>
          <cell r="R174">
            <v>43500</v>
          </cell>
          <cell r="S174">
            <v>391500</v>
          </cell>
        </row>
        <row r="176">
          <cell r="D176">
            <v>390000</v>
          </cell>
          <cell r="E176">
            <v>390000</v>
          </cell>
          <cell r="F176">
            <v>374085</v>
          </cell>
          <cell r="G176">
            <v>3462255</v>
          </cell>
          <cell r="H176">
            <v>270000</v>
          </cell>
          <cell r="I176">
            <v>270000</v>
          </cell>
          <cell r="J176">
            <v>255915</v>
          </cell>
          <cell r="K176">
            <v>2387745</v>
          </cell>
          <cell r="L176">
            <v>300000</v>
          </cell>
          <cell r="M176">
            <v>300000</v>
          </cell>
          <cell r="N176">
            <v>337500</v>
          </cell>
          <cell r="O176">
            <v>2812500</v>
          </cell>
          <cell r="P176">
            <v>300000</v>
          </cell>
          <cell r="Q176">
            <v>300000</v>
          </cell>
          <cell r="R176">
            <v>337500</v>
          </cell>
          <cell r="S176">
            <v>2812500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80">
          <cell r="D180">
            <v>4230820724</v>
          </cell>
          <cell r="E180">
            <v>3822800112</v>
          </cell>
          <cell r="F180">
            <v>4239574383.4092841</v>
          </cell>
          <cell r="G180">
            <v>12293195219.409285</v>
          </cell>
          <cell r="H180">
            <v>4103558474.9122105</v>
          </cell>
          <cell r="I180">
            <v>4240981207.4092841</v>
          </cell>
          <cell r="J180">
            <v>4155643702.9167304</v>
          </cell>
          <cell r="K180">
            <v>12500183385.238226</v>
          </cell>
          <cell r="L180">
            <v>4295066055.1806211</v>
          </cell>
          <cell r="M180">
            <v>4295775955.1806211</v>
          </cell>
          <cell r="N180">
            <v>4163582879.5238895</v>
          </cell>
          <cell r="O180">
            <v>12754424889.885132</v>
          </cell>
          <cell r="P180">
            <v>4303106175.5080194</v>
          </cell>
          <cell r="Q180">
            <v>4164994379.52389</v>
          </cell>
          <cell r="R180">
            <v>4310774226.1868553</v>
          </cell>
          <cell r="S180">
            <v>12778874781.218765</v>
          </cell>
        </row>
        <row r="182">
          <cell r="D182">
            <v>31</v>
          </cell>
          <cell r="E182">
            <v>28</v>
          </cell>
          <cell r="F182">
            <v>31</v>
          </cell>
          <cell r="G182">
            <v>90</v>
          </cell>
          <cell r="H182">
            <v>30</v>
          </cell>
          <cell r="I182">
            <v>31</v>
          </cell>
          <cell r="J182">
            <v>30</v>
          </cell>
          <cell r="K182">
            <v>91</v>
          </cell>
          <cell r="L182">
            <v>31</v>
          </cell>
          <cell r="M182">
            <v>31</v>
          </cell>
          <cell r="N182">
            <v>30</v>
          </cell>
          <cell r="O182">
            <v>92</v>
          </cell>
          <cell r="P182">
            <v>31</v>
          </cell>
          <cell r="Q182">
            <v>30</v>
          </cell>
          <cell r="R182">
            <v>31</v>
          </cell>
          <cell r="S182">
            <v>92</v>
          </cell>
        </row>
        <row r="184">
          <cell r="D184">
            <v>136478087.87096775</v>
          </cell>
          <cell r="E184">
            <v>136528575.42857143</v>
          </cell>
          <cell r="F184">
            <v>136760463.98094466</v>
          </cell>
          <cell r="H184">
            <v>136785282.49707368</v>
          </cell>
          <cell r="I184">
            <v>136805845.40029949</v>
          </cell>
          <cell r="J184">
            <v>138521456.76389101</v>
          </cell>
          <cell r="L184">
            <v>138550517.90905228</v>
          </cell>
          <cell r="M184">
            <v>138573417.90905228</v>
          </cell>
          <cell r="N184">
            <v>138786095.98412964</v>
          </cell>
          <cell r="P184">
            <v>138809876.62929094</v>
          </cell>
          <cell r="Q184">
            <v>138833145.98412967</v>
          </cell>
          <cell r="R184">
            <v>139057233.10280177</v>
          </cell>
        </row>
        <row r="186">
          <cell r="F186">
            <v>136591057.99343649</v>
          </cell>
          <cell r="G186">
            <v>136591057.99343649</v>
          </cell>
          <cell r="J186">
            <v>137364652.58503544</v>
          </cell>
          <cell r="K186">
            <v>137364652.58503544</v>
          </cell>
          <cell r="N186">
            <v>138635053.15092534</v>
          </cell>
          <cell r="O186">
            <v>138635053.15092534</v>
          </cell>
          <cell r="R186">
            <v>138900812.8393344</v>
          </cell>
          <cell r="S186">
            <v>138900812.8393344</v>
          </cell>
        </row>
        <row r="188">
          <cell r="D188">
            <v>136478087.87096775</v>
          </cell>
          <cell r="E188">
            <v>136502048.06779662</v>
          </cell>
          <cell r="F188">
            <v>136591057.99343649</v>
          </cell>
          <cell r="G188">
            <v>136591057.99343649</v>
          </cell>
          <cell r="H188">
            <v>136639614.11934578</v>
          </cell>
          <cell r="I188">
            <v>136673741.07106474</v>
          </cell>
          <cell r="J188">
            <v>136979992.29087022</v>
          </cell>
          <cell r="K188">
            <v>136979992.29087022</v>
          </cell>
          <cell r="L188">
            <v>137209644.62183082</v>
          </cell>
          <cell r="M188">
            <v>137383623.93007717</v>
          </cell>
          <cell r="N188">
            <v>137537741.73821479</v>
          </cell>
          <cell r="O188">
            <v>137537741.73821482</v>
          </cell>
          <cell r="P188">
            <v>137667466.01987058</v>
          </cell>
          <cell r="Q188">
            <v>137772167.8130675</v>
          </cell>
          <cell r="R188">
            <v>137881310.34452438</v>
          </cell>
          <cell r="S188">
            <v>137881310.34452441</v>
          </cell>
        </row>
        <row r="190">
          <cell r="F190">
            <v>-81400</v>
          </cell>
          <cell r="G190">
            <v>-81400</v>
          </cell>
          <cell r="J190">
            <v>-92400</v>
          </cell>
          <cell r="K190">
            <v>-92400</v>
          </cell>
          <cell r="N190">
            <v>-94000</v>
          </cell>
          <cell r="O190">
            <v>-94000</v>
          </cell>
          <cell r="R190">
            <v>-94000</v>
          </cell>
          <cell r="S190">
            <v>-94000</v>
          </cell>
        </row>
        <row r="192">
          <cell r="F192">
            <v>-81400</v>
          </cell>
          <cell r="G192">
            <v>-81400</v>
          </cell>
          <cell r="J192">
            <v>-87000</v>
          </cell>
          <cell r="K192">
            <v>-87000</v>
          </cell>
          <cell r="N192">
            <v>-96000</v>
          </cell>
          <cell r="O192">
            <v>-96000</v>
          </cell>
          <cell r="R192">
            <v>-96000</v>
          </cell>
          <cell r="S192">
            <v>-96000</v>
          </cell>
        </row>
        <row r="194">
          <cell r="G194">
            <v>0</v>
          </cell>
          <cell r="K194">
            <v>0</v>
          </cell>
          <cell r="O194">
            <v>0</v>
          </cell>
          <cell r="S194">
            <v>0</v>
          </cell>
        </row>
        <row r="195">
          <cell r="S195" t="str">
            <v xml:space="preserve"> </v>
          </cell>
        </row>
        <row r="196">
          <cell r="G196">
            <v>0</v>
          </cell>
          <cell r="K196">
            <v>0</v>
          </cell>
          <cell r="O196">
            <v>0</v>
          </cell>
          <cell r="S196">
            <v>0</v>
          </cell>
        </row>
        <row r="198">
          <cell r="D198">
            <v>22947.388105881866</v>
          </cell>
          <cell r="E198">
            <v>7718.2704588230699</v>
          </cell>
          <cell r="F198">
            <v>-127732.02910000039</v>
          </cell>
          <cell r="G198">
            <v>-127732.02910000039</v>
          </cell>
          <cell r="H198">
            <v>-112368.09325730987</v>
          </cell>
          <cell r="I198">
            <v>-117825.02308187168</v>
          </cell>
          <cell r="J198">
            <v>-123028.4229064323</v>
          </cell>
          <cell r="K198">
            <v>-123028.4229064323</v>
          </cell>
          <cell r="L198">
            <v>-108742.79254069785</v>
          </cell>
          <cell r="M198">
            <v>-114821.13556395378</v>
          </cell>
          <cell r="N198">
            <v>-121584.69661046518</v>
          </cell>
          <cell r="O198">
            <v>-121584.69661046518</v>
          </cell>
          <cell r="P198">
            <v>-107866.86599421967</v>
          </cell>
          <cell r="Q198">
            <v>-114025.68102312135</v>
          </cell>
          <cell r="R198">
            <v>-120880.20414450858</v>
          </cell>
          <cell r="S198">
            <v>-120880.20414450858</v>
          </cell>
        </row>
        <row r="202">
          <cell r="D202">
            <v>136501035.25907362</v>
          </cell>
          <cell r="E202">
            <v>136536293.69903025</v>
          </cell>
          <cell r="F202">
            <v>136551331.95184466</v>
          </cell>
          <cell r="H202">
            <v>136672914.40381637</v>
          </cell>
          <cell r="I202">
            <v>136688020.37721762</v>
          </cell>
          <cell r="J202">
            <v>138306028.34098458</v>
          </cell>
          <cell r="L202">
            <v>138441775.11651158</v>
          </cell>
          <cell r="M202">
            <v>138458596.77348834</v>
          </cell>
          <cell r="N202">
            <v>138570511.28751919</v>
          </cell>
          <cell r="P202">
            <v>138702009.76329672</v>
          </cell>
          <cell r="Q202">
            <v>138719120.30310655</v>
          </cell>
          <cell r="R202">
            <v>138842352.89865726</v>
          </cell>
        </row>
        <row r="204">
          <cell r="F204">
            <v>136381925.96433648</v>
          </cell>
          <cell r="G204">
            <v>136381925.96433648</v>
          </cell>
          <cell r="J204">
            <v>137149224.16212901</v>
          </cell>
          <cell r="K204">
            <v>137149224.16212901</v>
          </cell>
          <cell r="N204">
            <v>138419468.45431489</v>
          </cell>
          <cell r="O204">
            <v>138419468.45431489</v>
          </cell>
          <cell r="R204">
            <v>138685932.63518989</v>
          </cell>
          <cell r="S204">
            <v>138685932.63518989</v>
          </cell>
        </row>
        <row r="206">
          <cell r="D206">
            <v>136501035.25907362</v>
          </cell>
          <cell r="E206">
            <v>136509766.33825544</v>
          </cell>
          <cell r="F206">
            <v>136381925.96433648</v>
          </cell>
          <cell r="G206">
            <v>136381925.96433648</v>
          </cell>
          <cell r="H206">
            <v>136527246.02608848</v>
          </cell>
          <cell r="I206">
            <v>136555916.04798287</v>
          </cell>
          <cell r="J206">
            <v>136769963.86796379</v>
          </cell>
          <cell r="K206">
            <v>136769963.86796379</v>
          </cell>
          <cell r="L206">
            <v>137100901.82929012</v>
          </cell>
          <cell r="M206">
            <v>137268802.79451323</v>
          </cell>
          <cell r="N206">
            <v>137320157.04160434</v>
          </cell>
          <cell r="O206">
            <v>137320157.04160437</v>
          </cell>
          <cell r="P206">
            <v>137559599.15387636</v>
          </cell>
          <cell r="Q206">
            <v>137658142.13204437</v>
          </cell>
          <cell r="R206">
            <v>137664430.14037988</v>
          </cell>
          <cell r="S206">
            <v>137664430.14037991</v>
          </cell>
        </row>
        <row r="208">
          <cell r="S208" t="str">
            <v xml:space="preserve"> </v>
          </cell>
        </row>
        <row r="210">
          <cell r="D210">
            <v>109200828.2072589</v>
          </cell>
          <cell r="E210">
            <v>109229034.95922419</v>
          </cell>
          <cell r="F210">
            <v>109241065.56147572</v>
          </cell>
          <cell r="H210">
            <v>109338331.52305309</v>
          </cell>
          <cell r="I210">
            <v>109350416.3017741</v>
          </cell>
          <cell r="J210">
            <v>110644822.67278767</v>
          </cell>
          <cell r="L210">
            <v>110753420.09320927</v>
          </cell>
          <cell r="M210">
            <v>110766877.41879067</v>
          </cell>
          <cell r="N210">
            <v>110856409.03001535</v>
          </cell>
          <cell r="P210">
            <v>110961607.81063738</v>
          </cell>
          <cell r="Q210">
            <v>110975296.24248524</v>
          </cell>
          <cell r="R210">
            <v>111073882.31892581</v>
          </cell>
        </row>
        <row r="212">
          <cell r="F212">
            <v>109105540.77146919</v>
          </cell>
          <cell r="G212">
            <v>109105540.77146919</v>
          </cell>
          <cell r="J212">
            <v>109719379.32970321</v>
          </cell>
          <cell r="K212">
            <v>109719379.32970321</v>
          </cell>
          <cell r="N212">
            <v>110735574.7634519</v>
          </cell>
          <cell r="O212">
            <v>110735574.7634519</v>
          </cell>
          <cell r="R212">
            <v>110948746.10815191</v>
          </cell>
          <cell r="S212">
            <v>110948746.10815191</v>
          </cell>
        </row>
        <row r="214">
          <cell r="D214">
            <v>109200828.2072589</v>
          </cell>
          <cell r="E214">
            <v>109207813.07060435</v>
          </cell>
          <cell r="F214">
            <v>109105540.77146919</v>
          </cell>
          <cell r="G214">
            <v>109105540.77146919</v>
          </cell>
          <cell r="H214">
            <v>109221796.82087079</v>
          </cell>
          <cell r="I214">
            <v>109244732.8383863</v>
          </cell>
          <cell r="J214">
            <v>109415971.09437104</v>
          </cell>
          <cell r="K214">
            <v>109415971.09437104</v>
          </cell>
          <cell r="L214">
            <v>109680721.4634321</v>
          </cell>
          <cell r="M214">
            <v>109815042.23561057</v>
          </cell>
          <cell r="N214">
            <v>109856125.63328347</v>
          </cell>
          <cell r="O214">
            <v>109856125.6332835</v>
          </cell>
          <cell r="P214">
            <v>110047679.32310109</v>
          </cell>
          <cell r="Q214">
            <v>110126513.7056355</v>
          </cell>
          <cell r="R214">
            <v>110131544.1123039</v>
          </cell>
          <cell r="S214">
            <v>110131544.11230393</v>
          </cell>
        </row>
        <row r="215">
          <cell r="S215" t="str">
            <v xml:space="preserve"> </v>
          </cell>
        </row>
        <row r="225">
          <cell r="D225" t="str">
            <v>est. exercised</v>
          </cell>
        </row>
        <row r="226">
          <cell r="D226" t="str">
            <v>in remaining</v>
          </cell>
          <cell r="E226" t="str">
            <v>Yr-end O/S</v>
          </cell>
          <cell r="F226" t="str">
            <v>Split: 4 for 3</v>
          </cell>
          <cell r="G226" t="str">
            <v>Projected</v>
          </cell>
        </row>
        <row r="227">
          <cell r="D227" t="str">
            <v>days of 2009</v>
          </cell>
          <cell r="E227" t="str">
            <v>Subtotal</v>
          </cell>
          <cell r="F227">
            <v>0</v>
          </cell>
          <cell r="G227" t="str">
            <v>Year-end O/S</v>
          </cell>
        </row>
        <row r="228">
          <cell r="D228">
            <v>-5000</v>
          </cell>
          <cell r="E228">
            <v>76939</v>
          </cell>
          <cell r="F228">
            <v>0</v>
          </cell>
          <cell r="G228">
            <v>76939</v>
          </cell>
        </row>
        <row r="229">
          <cell r="D229">
            <v>0</v>
          </cell>
          <cell r="E229">
            <v>166207</v>
          </cell>
          <cell r="F229">
            <v>0</v>
          </cell>
          <cell r="G229">
            <v>166207</v>
          </cell>
        </row>
        <row r="230">
          <cell r="D230">
            <v>0</v>
          </cell>
          <cell r="E230">
            <v>235730</v>
          </cell>
          <cell r="F230">
            <v>0</v>
          </cell>
          <cell r="G230">
            <v>235730</v>
          </cell>
        </row>
        <row r="231">
          <cell r="D231">
            <v>0</v>
          </cell>
          <cell r="E231">
            <v>230761</v>
          </cell>
          <cell r="F231">
            <v>0</v>
          </cell>
          <cell r="G231">
            <v>230761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D233">
            <v>0</v>
          </cell>
          <cell r="E233">
            <v>90779</v>
          </cell>
          <cell r="F233">
            <v>0</v>
          </cell>
          <cell r="G233">
            <v>90779</v>
          </cell>
        </row>
        <row r="234">
          <cell r="D234">
            <v>0</v>
          </cell>
          <cell r="E234">
            <v>408333</v>
          </cell>
          <cell r="F234">
            <v>0</v>
          </cell>
          <cell r="G234">
            <v>408333</v>
          </cell>
        </row>
        <row r="235">
          <cell r="D235">
            <v>0</v>
          </cell>
          <cell r="E235">
            <v>566459</v>
          </cell>
          <cell r="F235">
            <v>0</v>
          </cell>
          <cell r="G235">
            <v>566459</v>
          </cell>
        </row>
        <row r="236">
          <cell r="D236">
            <v>0</v>
          </cell>
          <cell r="E236">
            <v>469980</v>
          </cell>
          <cell r="F236">
            <v>0</v>
          </cell>
          <cell r="G236">
            <v>469980</v>
          </cell>
        </row>
        <row r="237">
          <cell r="D237">
            <v>0</v>
          </cell>
          <cell r="E237">
            <v>510981</v>
          </cell>
          <cell r="F237">
            <v>0</v>
          </cell>
          <cell r="G237">
            <v>510981</v>
          </cell>
        </row>
        <row r="238">
          <cell r="D238">
            <v>0</v>
          </cell>
          <cell r="E238">
            <v>564717</v>
          </cell>
          <cell r="F238">
            <v>0</v>
          </cell>
          <cell r="G238">
            <v>564717</v>
          </cell>
        </row>
        <row r="239">
          <cell r="D239">
            <v>0</v>
          </cell>
          <cell r="E239">
            <v>582700</v>
          </cell>
          <cell r="F239">
            <v>0</v>
          </cell>
          <cell r="G239">
            <v>582700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2">
          <cell r="D242">
            <v>-5000</v>
          </cell>
          <cell r="E242">
            <v>3903586</v>
          </cell>
          <cell r="F242">
            <v>0</v>
          </cell>
          <cell r="G242">
            <v>3903586</v>
          </cell>
        </row>
        <row r="243">
          <cell r="D243">
            <v>0</v>
          </cell>
        </row>
        <row r="251">
          <cell r="D251" t="str">
            <v>Jan</v>
          </cell>
          <cell r="E251" t="str">
            <v>Feb</v>
          </cell>
          <cell r="F251" t="str">
            <v>Mar</v>
          </cell>
          <cell r="G251" t="str">
            <v>Q110</v>
          </cell>
          <cell r="H251" t="str">
            <v>Apr</v>
          </cell>
          <cell r="I251" t="str">
            <v>May</v>
          </cell>
          <cell r="J251" t="str">
            <v>Jun</v>
          </cell>
          <cell r="K251" t="str">
            <v>Q210</v>
          </cell>
          <cell r="L251" t="str">
            <v>Jul</v>
          </cell>
          <cell r="M251" t="str">
            <v>Aug</v>
          </cell>
          <cell r="N251" t="str">
            <v>Sep</v>
          </cell>
          <cell r="O251" t="str">
            <v>Q310</v>
          </cell>
          <cell r="P251" t="str">
            <v>Oct</v>
          </cell>
          <cell r="Q251" t="str">
            <v>Nov</v>
          </cell>
          <cell r="R251" t="str">
            <v>Dec</v>
          </cell>
          <cell r="S251" t="str">
            <v>Q410</v>
          </cell>
        </row>
        <row r="253">
          <cell r="D253">
            <v>50939</v>
          </cell>
          <cell r="E253">
            <v>24939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D254">
            <v>166207</v>
          </cell>
          <cell r="E254">
            <v>166207</v>
          </cell>
          <cell r="F254">
            <v>166207</v>
          </cell>
          <cell r="G254">
            <v>166207</v>
          </cell>
          <cell r="H254">
            <v>156207</v>
          </cell>
          <cell r="I254">
            <v>146207</v>
          </cell>
          <cell r="J254">
            <v>136207</v>
          </cell>
          <cell r="K254">
            <v>136207</v>
          </cell>
          <cell r="L254">
            <v>126207</v>
          </cell>
          <cell r="M254">
            <v>116207</v>
          </cell>
          <cell r="N254">
            <v>106207</v>
          </cell>
          <cell r="O254">
            <v>106207</v>
          </cell>
          <cell r="P254">
            <v>96207</v>
          </cell>
          <cell r="Q254">
            <v>86207</v>
          </cell>
          <cell r="R254">
            <v>76207</v>
          </cell>
          <cell r="S254">
            <v>76207</v>
          </cell>
        </row>
        <row r="255">
          <cell r="D255">
            <v>235730</v>
          </cell>
          <cell r="E255">
            <v>235730</v>
          </cell>
          <cell r="F255">
            <v>235730</v>
          </cell>
          <cell r="G255">
            <v>235730</v>
          </cell>
          <cell r="H255">
            <v>230730</v>
          </cell>
          <cell r="I255">
            <v>225730</v>
          </cell>
          <cell r="J255">
            <v>220730</v>
          </cell>
          <cell r="K255">
            <v>220730</v>
          </cell>
          <cell r="L255">
            <v>215730</v>
          </cell>
          <cell r="M255">
            <v>210730</v>
          </cell>
          <cell r="N255">
            <v>204230</v>
          </cell>
          <cell r="O255">
            <v>204230</v>
          </cell>
          <cell r="P255">
            <v>199230</v>
          </cell>
          <cell r="Q255">
            <v>194230</v>
          </cell>
          <cell r="R255">
            <v>187730</v>
          </cell>
          <cell r="S255">
            <v>187730</v>
          </cell>
        </row>
        <row r="256">
          <cell r="D256">
            <v>230761</v>
          </cell>
          <cell r="E256">
            <v>230761</v>
          </cell>
          <cell r="F256">
            <v>230761</v>
          </cell>
          <cell r="G256">
            <v>230761</v>
          </cell>
          <cell r="H256">
            <v>227761</v>
          </cell>
          <cell r="I256">
            <v>224761</v>
          </cell>
          <cell r="J256">
            <v>222700</v>
          </cell>
          <cell r="K256">
            <v>222700</v>
          </cell>
          <cell r="L256">
            <v>217700</v>
          </cell>
          <cell r="M256">
            <v>212700</v>
          </cell>
          <cell r="N256">
            <v>206700</v>
          </cell>
          <cell r="O256">
            <v>206700</v>
          </cell>
          <cell r="P256">
            <v>201700</v>
          </cell>
          <cell r="Q256">
            <v>196700</v>
          </cell>
          <cell r="R256">
            <v>190700</v>
          </cell>
          <cell r="S256">
            <v>190700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D258">
            <v>90779</v>
          </cell>
          <cell r="E258">
            <v>90779</v>
          </cell>
          <cell r="F258">
            <v>90779</v>
          </cell>
          <cell r="G258">
            <v>90779</v>
          </cell>
          <cell r="H258">
            <v>90779</v>
          </cell>
          <cell r="I258">
            <v>90779</v>
          </cell>
          <cell r="J258">
            <v>90779</v>
          </cell>
          <cell r="K258">
            <v>90779</v>
          </cell>
          <cell r="L258">
            <v>90779</v>
          </cell>
          <cell r="M258">
            <v>90779</v>
          </cell>
          <cell r="N258">
            <v>90779</v>
          </cell>
          <cell r="O258">
            <v>90779</v>
          </cell>
          <cell r="P258">
            <v>90779</v>
          </cell>
          <cell r="Q258">
            <v>90779</v>
          </cell>
          <cell r="R258">
            <v>90779</v>
          </cell>
          <cell r="S258">
            <v>90779</v>
          </cell>
        </row>
        <row r="259">
          <cell r="D259">
            <v>408333</v>
          </cell>
          <cell r="E259">
            <v>408333</v>
          </cell>
          <cell r="F259">
            <v>408333</v>
          </cell>
          <cell r="G259">
            <v>408333</v>
          </cell>
          <cell r="H259">
            <v>408333</v>
          </cell>
          <cell r="I259">
            <v>408333</v>
          </cell>
          <cell r="J259">
            <v>408333</v>
          </cell>
          <cell r="K259">
            <v>408333</v>
          </cell>
          <cell r="L259">
            <v>408333</v>
          </cell>
          <cell r="M259">
            <v>408333</v>
          </cell>
          <cell r="N259">
            <v>408333</v>
          </cell>
          <cell r="O259">
            <v>408333</v>
          </cell>
          <cell r="P259">
            <v>408333</v>
          </cell>
          <cell r="Q259">
            <v>408333</v>
          </cell>
          <cell r="R259">
            <v>408333</v>
          </cell>
          <cell r="S259">
            <v>408333</v>
          </cell>
        </row>
        <row r="260">
          <cell r="D260">
            <v>566459</v>
          </cell>
          <cell r="E260">
            <v>566459</v>
          </cell>
          <cell r="F260">
            <v>566459</v>
          </cell>
          <cell r="G260">
            <v>566459</v>
          </cell>
          <cell r="H260">
            <v>566459</v>
          </cell>
          <cell r="I260">
            <v>566459</v>
          </cell>
          <cell r="J260">
            <v>566459</v>
          </cell>
          <cell r="K260">
            <v>566459</v>
          </cell>
          <cell r="L260">
            <v>566459</v>
          </cell>
          <cell r="M260">
            <v>566459</v>
          </cell>
          <cell r="N260">
            <v>566459</v>
          </cell>
          <cell r="O260">
            <v>566459</v>
          </cell>
          <cell r="P260">
            <v>566459</v>
          </cell>
          <cell r="Q260">
            <v>566459</v>
          </cell>
          <cell r="R260">
            <v>566459</v>
          </cell>
          <cell r="S260">
            <v>566459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D263">
            <v>564717</v>
          </cell>
          <cell r="E263">
            <v>564717</v>
          </cell>
          <cell r="F263">
            <v>564717</v>
          </cell>
          <cell r="G263">
            <v>564717</v>
          </cell>
          <cell r="H263">
            <v>564717</v>
          </cell>
          <cell r="I263">
            <v>564717</v>
          </cell>
          <cell r="J263">
            <v>564717</v>
          </cell>
          <cell r="K263">
            <v>564717</v>
          </cell>
          <cell r="L263">
            <v>564717</v>
          </cell>
          <cell r="M263">
            <v>564717</v>
          </cell>
          <cell r="N263">
            <v>564717</v>
          </cell>
          <cell r="O263">
            <v>564717</v>
          </cell>
          <cell r="P263">
            <v>564717</v>
          </cell>
          <cell r="Q263">
            <v>564717</v>
          </cell>
          <cell r="R263">
            <v>564717</v>
          </cell>
          <cell r="S263">
            <v>564717</v>
          </cell>
        </row>
        <row r="264">
          <cell r="D264">
            <v>582700</v>
          </cell>
          <cell r="E264">
            <v>582700</v>
          </cell>
          <cell r="F264">
            <v>582700</v>
          </cell>
          <cell r="G264">
            <v>582700</v>
          </cell>
          <cell r="H264">
            <v>582700</v>
          </cell>
          <cell r="I264">
            <v>582700</v>
          </cell>
          <cell r="J264">
            <v>582700</v>
          </cell>
          <cell r="K264">
            <v>582700</v>
          </cell>
          <cell r="L264">
            <v>582700</v>
          </cell>
          <cell r="M264">
            <v>582700</v>
          </cell>
          <cell r="N264">
            <v>582700</v>
          </cell>
          <cell r="O264">
            <v>582700</v>
          </cell>
          <cell r="P264">
            <v>582700</v>
          </cell>
          <cell r="Q264">
            <v>582700</v>
          </cell>
          <cell r="R264">
            <v>582700</v>
          </cell>
          <cell r="S264">
            <v>582700</v>
          </cell>
        </row>
        <row r="265">
          <cell r="D265">
            <v>0</v>
          </cell>
          <cell r="E265">
            <v>0</v>
          </cell>
          <cell r="F265">
            <v>586950</v>
          </cell>
          <cell r="G265">
            <v>586950</v>
          </cell>
          <cell r="H265">
            <v>586950</v>
          </cell>
          <cell r="I265">
            <v>586950</v>
          </cell>
          <cell r="J265">
            <v>586950</v>
          </cell>
          <cell r="K265">
            <v>586950</v>
          </cell>
          <cell r="L265">
            <v>586950</v>
          </cell>
          <cell r="M265">
            <v>586950</v>
          </cell>
          <cell r="N265">
            <v>586950</v>
          </cell>
          <cell r="O265">
            <v>586950</v>
          </cell>
          <cell r="P265">
            <v>586950</v>
          </cell>
          <cell r="Q265">
            <v>586950</v>
          </cell>
          <cell r="R265">
            <v>586950</v>
          </cell>
          <cell r="S265">
            <v>586950</v>
          </cell>
        </row>
        <row r="267">
          <cell r="D267">
            <v>2896625</v>
          </cell>
          <cell r="E267">
            <v>2870625</v>
          </cell>
          <cell r="F267">
            <v>3432636</v>
          </cell>
          <cell r="G267">
            <v>3432636</v>
          </cell>
          <cell r="H267">
            <v>3414636</v>
          </cell>
          <cell r="I267">
            <v>3396636</v>
          </cell>
          <cell r="J267">
            <v>3379575</v>
          </cell>
          <cell r="K267">
            <v>3379575</v>
          </cell>
          <cell r="L267">
            <v>3359575</v>
          </cell>
          <cell r="M267">
            <v>3339575</v>
          </cell>
          <cell r="N267">
            <v>3317075</v>
          </cell>
          <cell r="O267">
            <v>3317075</v>
          </cell>
          <cell r="P267">
            <v>3297075</v>
          </cell>
          <cell r="Q267">
            <v>3277075</v>
          </cell>
          <cell r="R267">
            <v>3254575</v>
          </cell>
          <cell r="S267">
            <v>3254575</v>
          </cell>
        </row>
        <row r="269">
          <cell r="D269" t="str">
            <v xml:space="preserve"> </v>
          </cell>
        </row>
        <row r="270">
          <cell r="E270" t="str">
            <v xml:space="preserve"> </v>
          </cell>
        </row>
        <row r="271">
          <cell r="E271" t="str">
            <v xml:space="preserve"> </v>
          </cell>
        </row>
        <row r="272">
          <cell r="D272" t="str">
            <v xml:space="preserve"> </v>
          </cell>
          <cell r="E272" t="str">
            <v xml:space="preserve"> </v>
          </cell>
        </row>
        <row r="273">
          <cell r="D273" t="str">
            <v xml:space="preserve"> </v>
          </cell>
          <cell r="E273" t="str">
            <v xml:space="preserve"> </v>
          </cell>
        </row>
        <row r="274">
          <cell r="D274" t="str">
            <v xml:space="preserve"> </v>
          </cell>
          <cell r="E274" t="str">
            <v xml:space="preserve"> </v>
          </cell>
          <cell r="G274" t="str">
            <v xml:space="preserve"> </v>
          </cell>
        </row>
        <row r="275">
          <cell r="E275" t="str">
            <v xml:space="preserve"> </v>
          </cell>
        </row>
        <row r="279">
          <cell r="D279" t="str">
            <v>Jan</v>
          </cell>
          <cell r="E279" t="str">
            <v>Feb</v>
          </cell>
          <cell r="F279" t="str">
            <v>Mar</v>
          </cell>
          <cell r="G279" t="str">
            <v>Q110</v>
          </cell>
          <cell r="H279" t="str">
            <v>Apr</v>
          </cell>
          <cell r="I279" t="str">
            <v>May</v>
          </cell>
          <cell r="J279" t="str">
            <v>Jun</v>
          </cell>
          <cell r="K279" t="str">
            <v>Q210</v>
          </cell>
          <cell r="L279" t="str">
            <v>Jul</v>
          </cell>
          <cell r="M279" t="str">
            <v>Aug</v>
          </cell>
          <cell r="N279" t="str">
            <v>Sep</v>
          </cell>
          <cell r="O279" t="str">
            <v>Q310</v>
          </cell>
          <cell r="P279" t="str">
            <v>Oct</v>
          </cell>
          <cell r="Q279" t="str">
            <v>Nov</v>
          </cell>
          <cell r="R279" t="str">
            <v>Dec</v>
          </cell>
          <cell r="S279" t="str">
            <v>Q410</v>
          </cell>
        </row>
        <row r="281">
          <cell r="D281">
            <v>26000</v>
          </cell>
          <cell r="E281">
            <v>26000</v>
          </cell>
          <cell r="F281">
            <v>24939</v>
          </cell>
          <cell r="G281">
            <v>76939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10000</v>
          </cell>
          <cell r="I282">
            <v>10000</v>
          </cell>
          <cell r="J282">
            <v>10000</v>
          </cell>
          <cell r="K282">
            <v>30000</v>
          </cell>
          <cell r="L282">
            <v>10000</v>
          </cell>
          <cell r="M282">
            <v>10000</v>
          </cell>
          <cell r="N282">
            <v>10000</v>
          </cell>
          <cell r="O282">
            <v>30000</v>
          </cell>
          <cell r="P282">
            <v>10000</v>
          </cell>
          <cell r="Q282">
            <v>10000</v>
          </cell>
          <cell r="R282">
            <v>10000</v>
          </cell>
          <cell r="S282">
            <v>30000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5000</v>
          </cell>
          <cell r="I283">
            <v>5000</v>
          </cell>
          <cell r="J283">
            <v>5000</v>
          </cell>
          <cell r="K283">
            <v>15000</v>
          </cell>
          <cell r="L283">
            <v>5000</v>
          </cell>
          <cell r="M283">
            <v>5000</v>
          </cell>
          <cell r="N283">
            <v>6500</v>
          </cell>
          <cell r="O283">
            <v>16500</v>
          </cell>
          <cell r="P283">
            <v>5000</v>
          </cell>
          <cell r="Q283">
            <v>5000</v>
          </cell>
          <cell r="R283">
            <v>6500</v>
          </cell>
          <cell r="S283">
            <v>16500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3000</v>
          </cell>
          <cell r="I284">
            <v>3000</v>
          </cell>
          <cell r="J284">
            <v>2061</v>
          </cell>
          <cell r="K284">
            <v>8061</v>
          </cell>
          <cell r="L284">
            <v>5000</v>
          </cell>
          <cell r="M284">
            <v>5000</v>
          </cell>
          <cell r="N284">
            <v>6000</v>
          </cell>
          <cell r="O284">
            <v>16000</v>
          </cell>
          <cell r="P284">
            <v>5000</v>
          </cell>
          <cell r="Q284">
            <v>5000</v>
          </cell>
          <cell r="R284">
            <v>6000</v>
          </cell>
          <cell r="S284">
            <v>16000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5">
          <cell r="D295">
            <v>26000</v>
          </cell>
          <cell r="E295">
            <v>26000</v>
          </cell>
          <cell r="F295">
            <v>24939</v>
          </cell>
          <cell r="G295">
            <v>76939</v>
          </cell>
          <cell r="H295">
            <v>18000</v>
          </cell>
          <cell r="I295">
            <v>18000</v>
          </cell>
          <cell r="J295">
            <v>17061</v>
          </cell>
          <cell r="K295">
            <v>53061</v>
          </cell>
          <cell r="L295">
            <v>20000</v>
          </cell>
          <cell r="M295">
            <v>20000</v>
          </cell>
          <cell r="N295">
            <v>22500</v>
          </cell>
          <cell r="O295">
            <v>62500</v>
          </cell>
          <cell r="P295">
            <v>20000</v>
          </cell>
          <cell r="Q295">
            <v>20000</v>
          </cell>
          <cell r="R295">
            <v>22500</v>
          </cell>
          <cell r="S295">
            <v>62500</v>
          </cell>
        </row>
        <row r="300">
          <cell r="D300" t="str">
            <v>Jan</v>
          </cell>
          <cell r="E300" t="str">
            <v>Feb</v>
          </cell>
          <cell r="F300" t="str">
            <v>Mar</v>
          </cell>
          <cell r="G300" t="str">
            <v>Q110</v>
          </cell>
          <cell r="H300" t="str">
            <v>Apr</v>
          </cell>
          <cell r="I300" t="str">
            <v>May</v>
          </cell>
          <cell r="J300" t="str">
            <v>Jun</v>
          </cell>
          <cell r="K300" t="str">
            <v>Q210</v>
          </cell>
          <cell r="L300" t="str">
            <v>Jul</v>
          </cell>
          <cell r="M300" t="str">
            <v>Aug</v>
          </cell>
          <cell r="N300" t="str">
            <v>Sep</v>
          </cell>
          <cell r="O300" t="str">
            <v>Q310</v>
          </cell>
          <cell r="P300" t="str">
            <v>Oct</v>
          </cell>
          <cell r="Q300" t="str">
            <v>Nov</v>
          </cell>
          <cell r="R300" t="str">
            <v>Dec</v>
          </cell>
          <cell r="S300" t="str">
            <v>Q410</v>
          </cell>
        </row>
        <row r="302">
          <cell r="D302">
            <v>183105</v>
          </cell>
          <cell r="E302">
            <v>183105</v>
          </cell>
          <cell r="F302">
            <v>175632.9075</v>
          </cell>
          <cell r="G302">
            <v>541842.90749999997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114600.00000000001</v>
          </cell>
          <cell r="I303">
            <v>114600.00000000001</v>
          </cell>
          <cell r="J303">
            <v>114600.00000000001</v>
          </cell>
          <cell r="K303">
            <v>343800.00000000006</v>
          </cell>
          <cell r="L303">
            <v>114600.00000000001</v>
          </cell>
          <cell r="M303">
            <v>114600.00000000001</v>
          </cell>
          <cell r="N303">
            <v>114600.00000000001</v>
          </cell>
          <cell r="O303">
            <v>343800.00000000006</v>
          </cell>
          <cell r="P303">
            <v>114600.00000000001</v>
          </cell>
          <cell r="Q303">
            <v>114600.00000000001</v>
          </cell>
          <cell r="R303">
            <v>114600.00000000001</v>
          </cell>
          <cell r="S303">
            <v>343800.00000000006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62437.5</v>
          </cell>
          <cell r="I304">
            <v>62437.5</v>
          </cell>
          <cell r="J304">
            <v>62437.5</v>
          </cell>
          <cell r="K304">
            <v>187312.5</v>
          </cell>
          <cell r="L304">
            <v>62437.5</v>
          </cell>
          <cell r="M304">
            <v>62437.5</v>
          </cell>
          <cell r="N304">
            <v>81168.75</v>
          </cell>
          <cell r="O304">
            <v>206043.75</v>
          </cell>
          <cell r="P304">
            <v>62437.5</v>
          </cell>
          <cell r="Q304">
            <v>62437.5</v>
          </cell>
          <cell r="R304">
            <v>81168.75</v>
          </cell>
          <cell r="S304">
            <v>206043.75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37449</v>
          </cell>
          <cell r="I305">
            <v>37449</v>
          </cell>
          <cell r="J305">
            <v>25727.463</v>
          </cell>
          <cell r="K305">
            <v>100625.463</v>
          </cell>
          <cell r="L305">
            <v>62415</v>
          </cell>
          <cell r="M305">
            <v>62415</v>
          </cell>
          <cell r="N305">
            <v>74898</v>
          </cell>
          <cell r="O305">
            <v>199728</v>
          </cell>
          <cell r="P305">
            <v>62415</v>
          </cell>
          <cell r="Q305">
            <v>62415</v>
          </cell>
          <cell r="R305">
            <v>74898</v>
          </cell>
          <cell r="S305">
            <v>199728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7">
          <cell r="D317">
            <v>183105</v>
          </cell>
          <cell r="E317">
            <v>183105</v>
          </cell>
          <cell r="F317">
            <v>175632.9075</v>
          </cell>
          <cell r="G317">
            <v>541842.90749999997</v>
          </cell>
          <cell r="H317">
            <v>214486.5</v>
          </cell>
          <cell r="I317">
            <v>214486.5</v>
          </cell>
          <cell r="J317">
            <v>202764.96299999999</v>
          </cell>
          <cell r="K317">
            <v>631737.96299999999</v>
          </cell>
          <cell r="L317">
            <v>239452.5</v>
          </cell>
          <cell r="M317">
            <v>239452.5</v>
          </cell>
          <cell r="N317">
            <v>270666.75</v>
          </cell>
          <cell r="O317">
            <v>749571.75</v>
          </cell>
          <cell r="P317">
            <v>239452.5</v>
          </cell>
          <cell r="Q317">
            <v>239452.5</v>
          </cell>
          <cell r="R317">
            <v>270666.75</v>
          </cell>
          <cell r="S317">
            <v>749571.75</v>
          </cell>
        </row>
        <row r="322">
          <cell r="D322" t="str">
            <v>Jan</v>
          </cell>
          <cell r="E322" t="str">
            <v>Feb</v>
          </cell>
          <cell r="F322" t="str">
            <v>Mar</v>
          </cell>
          <cell r="G322" t="str">
            <v>Q110</v>
          </cell>
          <cell r="H322" t="str">
            <v>Apr</v>
          </cell>
          <cell r="I322" t="str">
            <v>May</v>
          </cell>
          <cell r="J322" t="str">
            <v>Jun</v>
          </cell>
          <cell r="K322" t="str">
            <v>Q210</v>
          </cell>
          <cell r="L322" t="str">
            <v>Jul</v>
          </cell>
          <cell r="M322" t="str">
            <v>Aug</v>
          </cell>
          <cell r="N322" t="str">
            <v>Sep</v>
          </cell>
          <cell r="O322" t="str">
            <v>Q310</v>
          </cell>
          <cell r="P322" t="str">
            <v>Oct</v>
          </cell>
          <cell r="Q322" t="str">
            <v>Nov</v>
          </cell>
          <cell r="R322" t="str">
            <v>Dec</v>
          </cell>
          <cell r="S322" t="str">
            <v>Q410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D335">
            <v>0</v>
          </cell>
          <cell r="E335">
            <v>0</v>
          </cell>
          <cell r="F335">
            <v>586950</v>
          </cell>
          <cell r="G335">
            <v>586950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D336">
            <v>0</v>
          </cell>
          <cell r="E336">
            <v>0</v>
          </cell>
          <cell r="F336">
            <v>586950</v>
          </cell>
          <cell r="G336">
            <v>586950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40">
          <cell r="D340" t="str">
            <v>Jan</v>
          </cell>
          <cell r="E340" t="str">
            <v>Feb</v>
          </cell>
          <cell r="F340" t="str">
            <v>Mar</v>
          </cell>
          <cell r="G340" t="str">
            <v>Q110</v>
          </cell>
          <cell r="H340" t="str">
            <v>Apr</v>
          </cell>
          <cell r="I340" t="str">
            <v>May</v>
          </cell>
          <cell r="J340" t="str">
            <v>Jun</v>
          </cell>
          <cell r="K340" t="str">
            <v>Q210</v>
          </cell>
          <cell r="L340" t="str">
            <v>Jul</v>
          </cell>
          <cell r="M340" t="str">
            <v>Aug</v>
          </cell>
          <cell r="N340" t="str">
            <v>Sep</v>
          </cell>
          <cell r="O340" t="str">
            <v>Q310</v>
          </cell>
          <cell r="P340" t="str">
            <v>Oct</v>
          </cell>
          <cell r="Q340" t="str">
            <v>Nov</v>
          </cell>
          <cell r="R340" t="str">
            <v>Dec</v>
          </cell>
          <cell r="S340" t="str">
            <v>Q410</v>
          </cell>
        </row>
        <row r="344">
          <cell r="D344">
            <v>358737.90750000003</v>
          </cell>
          <cell r="E344">
            <v>175632.9075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D345">
            <v>1904732.2200000002</v>
          </cell>
          <cell r="E345">
            <v>1904732.2200000002</v>
          </cell>
          <cell r="F345">
            <v>1904732.2200000002</v>
          </cell>
          <cell r="G345">
            <v>1904732.2200000002</v>
          </cell>
          <cell r="H345">
            <v>1790132.2200000002</v>
          </cell>
          <cell r="I345">
            <v>1675532.2200000002</v>
          </cell>
          <cell r="J345">
            <v>1560932.2200000002</v>
          </cell>
          <cell r="K345">
            <v>1560932.2200000002</v>
          </cell>
          <cell r="L345">
            <v>1446332.2200000002</v>
          </cell>
          <cell r="M345">
            <v>1331732.2200000002</v>
          </cell>
          <cell r="N345">
            <v>1217132.2200000002</v>
          </cell>
          <cell r="O345">
            <v>1217132.2200000002</v>
          </cell>
          <cell r="P345">
            <v>1102532.22</v>
          </cell>
          <cell r="Q345">
            <v>987932.22000000009</v>
          </cell>
          <cell r="R345">
            <v>873332.22000000009</v>
          </cell>
          <cell r="S345">
            <v>873332.22000000009</v>
          </cell>
        </row>
        <row r="346">
          <cell r="D346">
            <v>2943678.375</v>
          </cell>
          <cell r="E346">
            <v>2943678.375</v>
          </cell>
          <cell r="F346">
            <v>2943678.375</v>
          </cell>
          <cell r="G346">
            <v>2943678.375</v>
          </cell>
          <cell r="H346">
            <v>2881240.875</v>
          </cell>
          <cell r="I346">
            <v>2818803.375</v>
          </cell>
          <cell r="J346">
            <v>2756365.875</v>
          </cell>
          <cell r="K346">
            <v>2756365.875</v>
          </cell>
          <cell r="L346">
            <v>2693928.375</v>
          </cell>
          <cell r="M346">
            <v>2631490.875</v>
          </cell>
          <cell r="N346">
            <v>2550322.125</v>
          </cell>
          <cell r="O346">
            <v>2550322.125</v>
          </cell>
          <cell r="P346">
            <v>2487884.625</v>
          </cell>
          <cell r="Q346">
            <v>2425447.125</v>
          </cell>
          <cell r="R346">
            <v>2344278.375</v>
          </cell>
          <cell r="S346">
            <v>2344278.375</v>
          </cell>
        </row>
        <row r="347">
          <cell r="D347">
            <v>2880589.5630000001</v>
          </cell>
          <cell r="E347">
            <v>2880589.5630000001</v>
          </cell>
          <cell r="F347">
            <v>2880589.5630000001</v>
          </cell>
          <cell r="G347">
            <v>2880589.5630000001</v>
          </cell>
          <cell r="H347">
            <v>2843140.5630000001</v>
          </cell>
          <cell r="I347">
            <v>2805691.5630000001</v>
          </cell>
          <cell r="J347">
            <v>2779964.1</v>
          </cell>
          <cell r="K347">
            <v>2779964.1</v>
          </cell>
          <cell r="L347">
            <v>2717549.1</v>
          </cell>
          <cell r="M347">
            <v>2655134.1</v>
          </cell>
          <cell r="N347">
            <v>2580236.1</v>
          </cell>
          <cell r="O347">
            <v>2580236.1</v>
          </cell>
          <cell r="P347">
            <v>2517821.1</v>
          </cell>
          <cell r="Q347">
            <v>2455406.1</v>
          </cell>
          <cell r="R347">
            <v>2380508.1</v>
          </cell>
          <cell r="S347">
            <v>2380508.1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D349">
            <v>1248665.145</v>
          </cell>
          <cell r="E349">
            <v>1248665.145</v>
          </cell>
          <cell r="F349">
            <v>1248665.145</v>
          </cell>
          <cell r="G349">
            <v>1248665.145</v>
          </cell>
          <cell r="H349">
            <v>1248665.145</v>
          </cell>
          <cell r="I349">
            <v>1248665.145</v>
          </cell>
          <cell r="J349">
            <v>1248665.145</v>
          </cell>
          <cell r="K349">
            <v>1248665.145</v>
          </cell>
          <cell r="L349">
            <v>1248665.145</v>
          </cell>
          <cell r="M349">
            <v>1248665.145</v>
          </cell>
          <cell r="N349">
            <v>1248665.145</v>
          </cell>
          <cell r="O349">
            <v>1248665.145</v>
          </cell>
          <cell r="P349">
            <v>1248665.145</v>
          </cell>
          <cell r="Q349">
            <v>1248665.145</v>
          </cell>
          <cell r="R349">
            <v>1248665.145</v>
          </cell>
          <cell r="S349">
            <v>1248665.145</v>
          </cell>
        </row>
        <row r="350">
          <cell r="D350">
            <v>6593557.1175000006</v>
          </cell>
          <cell r="E350">
            <v>6593557.1175000006</v>
          </cell>
          <cell r="F350">
            <v>6593557.1175000006</v>
          </cell>
          <cell r="G350">
            <v>6593557.1175000006</v>
          </cell>
          <cell r="H350">
            <v>6593557.1175000006</v>
          </cell>
          <cell r="I350">
            <v>6593557.1175000006</v>
          </cell>
          <cell r="J350">
            <v>6593557.1175000006</v>
          </cell>
          <cell r="K350">
            <v>6593557.1175000006</v>
          </cell>
          <cell r="L350">
            <v>6593557.1175000006</v>
          </cell>
          <cell r="M350">
            <v>6593557.1175000006</v>
          </cell>
          <cell r="N350">
            <v>6593557.1175000006</v>
          </cell>
          <cell r="O350">
            <v>6593557.1175000006</v>
          </cell>
          <cell r="P350">
            <v>6593557.1175000006</v>
          </cell>
          <cell r="Q350">
            <v>6593557.1175000006</v>
          </cell>
          <cell r="R350">
            <v>6593557.1175000006</v>
          </cell>
          <cell r="S350">
            <v>6593557.1175000006</v>
          </cell>
        </row>
        <row r="351">
          <cell r="D351">
            <v>10385346.0142</v>
          </cell>
          <cell r="E351">
            <v>10385346.0142</v>
          </cell>
          <cell r="F351">
            <v>10385346.0142</v>
          </cell>
          <cell r="G351">
            <v>10385346.0142</v>
          </cell>
          <cell r="H351">
            <v>10385346.0142</v>
          </cell>
          <cell r="I351">
            <v>10385346.0142</v>
          </cell>
          <cell r="J351">
            <v>10385346.0142</v>
          </cell>
          <cell r="K351">
            <v>10385346.0142</v>
          </cell>
          <cell r="L351">
            <v>10385346.0142</v>
          </cell>
          <cell r="M351">
            <v>10385346.0142</v>
          </cell>
          <cell r="N351">
            <v>10385346.0142</v>
          </cell>
          <cell r="O351">
            <v>10385346.0142</v>
          </cell>
          <cell r="P351">
            <v>10385346.0142</v>
          </cell>
          <cell r="Q351">
            <v>10385346.0142</v>
          </cell>
          <cell r="R351">
            <v>10385346.0142</v>
          </cell>
          <cell r="S351">
            <v>10385346.0142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D354">
            <v>11395989.060000001</v>
          </cell>
          <cell r="E354">
            <v>11395989.060000001</v>
          </cell>
          <cell r="F354">
            <v>11395989.060000001</v>
          </cell>
          <cell r="G354">
            <v>11395989.060000001</v>
          </cell>
          <cell r="H354">
            <v>11395989.060000001</v>
          </cell>
          <cell r="I354">
            <v>11395989.060000001</v>
          </cell>
          <cell r="J354">
            <v>11395989.060000001</v>
          </cell>
          <cell r="K354">
            <v>11395989.060000001</v>
          </cell>
          <cell r="L354">
            <v>11395989.060000001</v>
          </cell>
          <cell r="M354">
            <v>11395989.060000001</v>
          </cell>
          <cell r="N354">
            <v>11395989.060000001</v>
          </cell>
          <cell r="O354">
            <v>11395989.060000001</v>
          </cell>
          <cell r="P354">
            <v>11395989.060000001</v>
          </cell>
          <cell r="Q354">
            <v>11395989.060000001</v>
          </cell>
          <cell r="R354">
            <v>11395989.060000001</v>
          </cell>
          <cell r="S354">
            <v>11395989.060000001</v>
          </cell>
        </row>
        <row r="355">
          <cell r="D355">
            <v>11141224</v>
          </cell>
          <cell r="E355">
            <v>11141224</v>
          </cell>
          <cell r="F355">
            <v>11141224</v>
          </cell>
          <cell r="G355">
            <v>11141224</v>
          </cell>
          <cell r="H355">
            <v>11141224</v>
          </cell>
          <cell r="I355">
            <v>11141224</v>
          </cell>
          <cell r="J355">
            <v>11141224</v>
          </cell>
          <cell r="K355">
            <v>11141224</v>
          </cell>
          <cell r="L355">
            <v>11141224</v>
          </cell>
          <cell r="M355">
            <v>11141224</v>
          </cell>
          <cell r="N355">
            <v>11141224</v>
          </cell>
          <cell r="O355">
            <v>11141224</v>
          </cell>
          <cell r="P355">
            <v>11141224</v>
          </cell>
          <cell r="Q355">
            <v>11141224</v>
          </cell>
          <cell r="R355">
            <v>11141224</v>
          </cell>
          <cell r="S355">
            <v>11141224</v>
          </cell>
        </row>
        <row r="356">
          <cell r="D356">
            <v>0</v>
          </cell>
          <cell r="E356">
            <v>0</v>
          </cell>
          <cell r="F356">
            <v>12032475</v>
          </cell>
          <cell r="G356">
            <v>12032475</v>
          </cell>
          <cell r="H356">
            <v>12032475</v>
          </cell>
          <cell r="I356">
            <v>12032475</v>
          </cell>
          <cell r="J356">
            <v>12032475</v>
          </cell>
          <cell r="K356">
            <v>12032475</v>
          </cell>
          <cell r="L356">
            <v>12032475</v>
          </cell>
          <cell r="M356">
            <v>12032475</v>
          </cell>
          <cell r="N356">
            <v>12032475</v>
          </cell>
          <cell r="O356">
            <v>12032475</v>
          </cell>
          <cell r="P356">
            <v>12032475</v>
          </cell>
          <cell r="Q356">
            <v>12032475</v>
          </cell>
          <cell r="R356">
            <v>12032475</v>
          </cell>
          <cell r="S356">
            <v>12032475</v>
          </cell>
        </row>
        <row r="357">
          <cell r="D357">
            <v>48852519.402200006</v>
          </cell>
          <cell r="E357">
            <v>48669414.402200006</v>
          </cell>
          <cell r="F357">
            <v>60526256.494700007</v>
          </cell>
          <cell r="G357">
            <v>60526256.494700007</v>
          </cell>
          <cell r="H357">
            <v>60311769.994700007</v>
          </cell>
          <cell r="I357">
            <v>60097283.494700007</v>
          </cell>
          <cell r="J357">
            <v>59894518.5317</v>
          </cell>
          <cell r="K357">
            <v>59894518.5317</v>
          </cell>
          <cell r="L357">
            <v>59655066.0317</v>
          </cell>
          <cell r="M357">
            <v>59415613.5317</v>
          </cell>
          <cell r="N357">
            <v>59144946.7817</v>
          </cell>
          <cell r="O357">
            <v>59144946.7817</v>
          </cell>
          <cell r="P357">
            <v>58905494.2817</v>
          </cell>
          <cell r="Q357">
            <v>58666041.7817</v>
          </cell>
          <cell r="R357">
            <v>58395375.0317</v>
          </cell>
          <cell r="S357">
            <v>58395375.0317</v>
          </cell>
        </row>
        <row r="359">
          <cell r="D359">
            <v>17</v>
          </cell>
          <cell r="E359">
            <v>17</v>
          </cell>
          <cell r="F359">
            <v>17</v>
          </cell>
          <cell r="G359">
            <v>17</v>
          </cell>
          <cell r="H359">
            <v>17.100000000000001</v>
          </cell>
          <cell r="I359">
            <v>17.100000000000001</v>
          </cell>
          <cell r="J359">
            <v>17.100000000000001</v>
          </cell>
          <cell r="K359">
            <v>17.100000000000001</v>
          </cell>
          <cell r="L359">
            <v>17.2</v>
          </cell>
          <cell r="M359">
            <v>17.2</v>
          </cell>
          <cell r="N359">
            <v>17.2</v>
          </cell>
          <cell r="O359">
            <v>17.2</v>
          </cell>
          <cell r="P359">
            <v>17.3</v>
          </cell>
          <cell r="Q359">
            <v>17.3</v>
          </cell>
          <cell r="R359">
            <v>17.3</v>
          </cell>
          <cell r="S359">
            <v>17.3</v>
          </cell>
        </row>
        <row r="361">
          <cell r="D361">
            <v>2873677.6118941181</v>
          </cell>
          <cell r="E361">
            <v>2862906.7295411769</v>
          </cell>
          <cell r="F361">
            <v>3560368.0291000004</v>
          </cell>
          <cell r="G361">
            <v>3560368.0291000004</v>
          </cell>
          <cell r="H361">
            <v>3527004.0932573099</v>
          </cell>
          <cell r="I361">
            <v>3514461.0230818717</v>
          </cell>
          <cell r="J361">
            <v>3502603.4229064323</v>
          </cell>
          <cell r="K361">
            <v>3502603.4229064323</v>
          </cell>
          <cell r="L361">
            <v>3468317.7925406978</v>
          </cell>
          <cell r="M361">
            <v>3454396.1355639538</v>
          </cell>
          <cell r="N361">
            <v>3438659.6966104652</v>
          </cell>
          <cell r="O361">
            <v>3438659.6966104652</v>
          </cell>
          <cell r="P361">
            <v>3404941.8659942197</v>
          </cell>
          <cell r="Q361">
            <v>3391100.6810231213</v>
          </cell>
          <cell r="R361">
            <v>3375455.2041445086</v>
          </cell>
          <cell r="S361">
            <v>3375455.2041445086</v>
          </cell>
        </row>
        <row r="363">
          <cell r="D363">
            <v>2896625</v>
          </cell>
          <cell r="E363">
            <v>2870625</v>
          </cell>
          <cell r="F363">
            <v>3432636</v>
          </cell>
          <cell r="G363">
            <v>3432636</v>
          </cell>
          <cell r="H363">
            <v>3414636</v>
          </cell>
          <cell r="I363">
            <v>3396636</v>
          </cell>
          <cell r="J363">
            <v>3379575</v>
          </cell>
          <cell r="K363">
            <v>3379575</v>
          </cell>
          <cell r="L363">
            <v>3359575</v>
          </cell>
          <cell r="M363">
            <v>3339575</v>
          </cell>
          <cell r="N363">
            <v>3317075</v>
          </cell>
          <cell r="O363">
            <v>3317075</v>
          </cell>
          <cell r="P363">
            <v>3297075</v>
          </cell>
          <cell r="Q363">
            <v>3277075</v>
          </cell>
          <cell r="R363">
            <v>3254575</v>
          </cell>
          <cell r="S363">
            <v>3254575</v>
          </cell>
        </row>
        <row r="365">
          <cell r="D365">
            <v>22947.388105881866</v>
          </cell>
          <cell r="E365">
            <v>7718.2704588230699</v>
          </cell>
          <cell r="F365">
            <v>-127732.02910000039</v>
          </cell>
          <cell r="G365">
            <v>-127732.02910000039</v>
          </cell>
          <cell r="H365">
            <v>-112368.09325730987</v>
          </cell>
          <cell r="I365">
            <v>-117825.02308187168</v>
          </cell>
          <cell r="J365">
            <v>-123028.4229064323</v>
          </cell>
          <cell r="K365">
            <v>-123028.4229064323</v>
          </cell>
          <cell r="L365">
            <v>-108742.79254069785</v>
          </cell>
          <cell r="M365">
            <v>-114821.13556395378</v>
          </cell>
          <cell r="N365">
            <v>-121584.69661046518</v>
          </cell>
          <cell r="O365">
            <v>-121584.69661046518</v>
          </cell>
          <cell r="P365">
            <v>-107866.86599421967</v>
          </cell>
          <cell r="Q365">
            <v>-114025.68102312135</v>
          </cell>
          <cell r="R365">
            <v>-120880.20414450858</v>
          </cell>
          <cell r="S365">
            <v>-120880.20414450858</v>
          </cell>
        </row>
        <row r="370">
          <cell r="D370" t="str">
            <v>Jan</v>
          </cell>
          <cell r="E370" t="str">
            <v>Feb</v>
          </cell>
          <cell r="F370" t="str">
            <v>Mar</v>
          </cell>
          <cell r="G370" t="str">
            <v>Q110</v>
          </cell>
          <cell r="H370" t="str">
            <v>Apr</v>
          </cell>
          <cell r="I370" t="str">
            <v>May</v>
          </cell>
          <cell r="J370" t="str">
            <v>Jun</v>
          </cell>
          <cell r="K370" t="str">
            <v>Q210</v>
          </cell>
          <cell r="L370" t="str">
            <v>Jul</v>
          </cell>
          <cell r="M370" t="str">
            <v>Aug</v>
          </cell>
          <cell r="N370" t="str">
            <v>Sep</v>
          </cell>
          <cell r="O370" t="str">
            <v>Q310</v>
          </cell>
          <cell r="P370" t="str">
            <v>Oct</v>
          </cell>
          <cell r="Q370" t="str">
            <v>Nov</v>
          </cell>
          <cell r="R370" t="str">
            <v>Dec</v>
          </cell>
          <cell r="S370" t="str">
            <v>Q410</v>
          </cell>
        </row>
        <row r="372">
          <cell r="D372">
            <v>0</v>
          </cell>
          <cell r="E372">
            <v>0</v>
          </cell>
          <cell r="F372">
            <v>19801113.579999998</v>
          </cell>
          <cell r="G372">
            <v>19801113.579999998</v>
          </cell>
          <cell r="H372">
            <v>0</v>
          </cell>
          <cell r="I372">
            <v>0</v>
          </cell>
          <cell r="J372">
            <v>19838411.71207568</v>
          </cell>
          <cell r="K372">
            <v>19838411.71207568</v>
          </cell>
          <cell r="L372">
            <v>0</v>
          </cell>
          <cell r="M372">
            <v>0</v>
          </cell>
          <cell r="N372">
            <v>20094859.403264195</v>
          </cell>
          <cell r="O372">
            <v>20094859.403264195</v>
          </cell>
          <cell r="P372">
            <v>0</v>
          </cell>
          <cell r="Q372">
            <v>0</v>
          </cell>
          <cell r="R372">
            <v>21520912.377540097</v>
          </cell>
          <cell r="S372">
            <v>21520912.377540097</v>
          </cell>
        </row>
        <row r="374">
          <cell r="D374">
            <v>0.153</v>
          </cell>
          <cell r="E374">
            <v>0.153</v>
          </cell>
          <cell r="F374">
            <v>0.153</v>
          </cell>
          <cell r="G374">
            <v>0.153</v>
          </cell>
          <cell r="H374">
            <v>0.153</v>
          </cell>
          <cell r="I374">
            <v>0.153</v>
          </cell>
          <cell r="J374">
            <v>0.153</v>
          </cell>
          <cell r="K374">
            <v>0.153</v>
          </cell>
          <cell r="L374">
            <v>0.153</v>
          </cell>
          <cell r="M374">
            <v>0.153</v>
          </cell>
          <cell r="N374">
            <v>0.153</v>
          </cell>
          <cell r="O374">
            <v>0.153</v>
          </cell>
          <cell r="P374">
            <v>0.153</v>
          </cell>
          <cell r="Q374">
            <v>0.153</v>
          </cell>
          <cell r="R374">
            <v>0.153</v>
          </cell>
          <cell r="S374">
            <v>0.153</v>
          </cell>
        </row>
        <row r="376">
          <cell r="D376">
            <v>0</v>
          </cell>
          <cell r="E376">
            <v>0</v>
          </cell>
          <cell r="F376">
            <v>3029570.3777399994</v>
          </cell>
          <cell r="G376">
            <v>3029570.3777399994</v>
          </cell>
          <cell r="H376">
            <v>0</v>
          </cell>
          <cell r="I376">
            <v>0</v>
          </cell>
          <cell r="J376">
            <v>3035276.9919475792</v>
          </cell>
          <cell r="K376">
            <v>3035276.9919475792</v>
          </cell>
          <cell r="L376">
            <v>0</v>
          </cell>
          <cell r="M376">
            <v>0</v>
          </cell>
          <cell r="N376">
            <v>3074513.4886994218</v>
          </cell>
          <cell r="O376">
            <v>3074513.4886994218</v>
          </cell>
          <cell r="P376">
            <v>0</v>
          </cell>
          <cell r="Q376">
            <v>0</v>
          </cell>
          <cell r="R376">
            <v>3292699.5937636346</v>
          </cell>
          <cell r="S376">
            <v>3292699.5937636346</v>
          </cell>
        </row>
        <row r="379">
          <cell r="D379">
            <v>17</v>
          </cell>
          <cell r="E379">
            <v>17</v>
          </cell>
          <cell r="F379">
            <v>17</v>
          </cell>
          <cell r="G379">
            <v>17</v>
          </cell>
          <cell r="H379">
            <v>17.100000000000001</v>
          </cell>
          <cell r="I379">
            <v>17.100000000000001</v>
          </cell>
          <cell r="J379">
            <v>17.100000000000001</v>
          </cell>
          <cell r="K379">
            <v>17.100000000000001</v>
          </cell>
          <cell r="L379">
            <v>17.2</v>
          </cell>
          <cell r="M379">
            <v>17.2</v>
          </cell>
          <cell r="N379">
            <v>17.2</v>
          </cell>
          <cell r="O379">
            <v>17.2</v>
          </cell>
          <cell r="P379">
            <v>17.3</v>
          </cell>
          <cell r="Q379">
            <v>17.3</v>
          </cell>
          <cell r="R379">
            <v>17.3</v>
          </cell>
          <cell r="S379">
            <v>17.3</v>
          </cell>
        </row>
        <row r="381">
          <cell r="D381">
            <v>0.05</v>
          </cell>
          <cell r="E381">
            <v>0.05</v>
          </cell>
          <cell r="F381">
            <v>0.05</v>
          </cell>
          <cell r="G381">
            <v>0.05</v>
          </cell>
          <cell r="H381">
            <v>0.05</v>
          </cell>
          <cell r="I381">
            <v>0.05</v>
          </cell>
          <cell r="J381">
            <v>0.05</v>
          </cell>
          <cell r="K381">
            <v>0.05</v>
          </cell>
          <cell r="L381">
            <v>0.05</v>
          </cell>
          <cell r="M381">
            <v>0.05</v>
          </cell>
          <cell r="N381">
            <v>0.05</v>
          </cell>
          <cell r="O381">
            <v>0.05</v>
          </cell>
          <cell r="P381">
            <v>0.05</v>
          </cell>
          <cell r="Q381">
            <v>0.05</v>
          </cell>
          <cell r="R381">
            <v>0.05</v>
          </cell>
          <cell r="S381">
            <v>0.05</v>
          </cell>
        </row>
        <row r="383">
          <cell r="D383">
            <v>16.149999999999999</v>
          </cell>
          <cell r="E383">
            <v>16.149999999999999</v>
          </cell>
          <cell r="F383">
            <v>16.149999999999999</v>
          </cell>
          <cell r="G383">
            <v>16.149999999999999</v>
          </cell>
          <cell r="H383">
            <v>16.245000000000001</v>
          </cell>
          <cell r="I383">
            <v>16.245000000000001</v>
          </cell>
          <cell r="J383">
            <v>16.245000000000001</v>
          </cell>
          <cell r="K383">
            <v>16.245000000000001</v>
          </cell>
          <cell r="L383">
            <v>16.34</v>
          </cell>
          <cell r="M383">
            <v>16.34</v>
          </cell>
          <cell r="N383">
            <v>16.34</v>
          </cell>
          <cell r="O383">
            <v>16.34</v>
          </cell>
          <cell r="P383">
            <v>16.434999999999999</v>
          </cell>
          <cell r="Q383">
            <v>16.434999999999999</v>
          </cell>
          <cell r="R383">
            <v>16.434999999999999</v>
          </cell>
          <cell r="S383">
            <v>16.434999999999999</v>
          </cell>
        </row>
        <row r="386">
          <cell r="D386">
            <v>0</v>
          </cell>
          <cell r="E386">
            <v>0</v>
          </cell>
          <cell r="F386">
            <v>187589.49707368418</v>
          </cell>
          <cell r="G386">
            <v>187589.49707368418</v>
          </cell>
          <cell r="H386">
            <v>0</v>
          </cell>
          <cell r="I386">
            <v>0</v>
          </cell>
          <cell r="J386">
            <v>186843.76681733326</v>
          </cell>
          <cell r="K386">
            <v>186843.76681733326</v>
          </cell>
          <cell r="L386">
            <v>0</v>
          </cell>
          <cell r="M386">
            <v>0</v>
          </cell>
          <cell r="N386">
            <v>188158.72023864271</v>
          </cell>
          <cell r="O386">
            <v>188158.72023864271</v>
          </cell>
          <cell r="P386">
            <v>0</v>
          </cell>
          <cell r="Q386">
            <v>0</v>
          </cell>
          <cell r="R386">
            <v>200346.79609148978</v>
          </cell>
          <cell r="S386">
            <v>200346.79609148978</v>
          </cell>
        </row>
        <row r="390">
          <cell r="D390" t="str">
            <v>Jan</v>
          </cell>
          <cell r="E390" t="str">
            <v>Feb</v>
          </cell>
          <cell r="F390" t="str">
            <v>Mar</v>
          </cell>
          <cell r="G390" t="str">
            <v>Q110</v>
          </cell>
          <cell r="H390" t="str">
            <v>Apr</v>
          </cell>
          <cell r="I390" t="str">
            <v>May</v>
          </cell>
          <cell r="J390" t="str">
            <v>Jun</v>
          </cell>
          <cell r="K390" t="str">
            <v>Q210</v>
          </cell>
          <cell r="L390" t="str">
            <v>Jul</v>
          </cell>
          <cell r="M390" t="str">
            <v>Aug</v>
          </cell>
          <cell r="N390" t="str">
            <v>Sep</v>
          </cell>
          <cell r="O390" t="str">
            <v>Q310</v>
          </cell>
          <cell r="P390" t="str">
            <v>Oct</v>
          </cell>
          <cell r="Q390" t="str">
            <v>Nov</v>
          </cell>
          <cell r="R390" t="str">
            <v>Dec</v>
          </cell>
          <cell r="S390" t="str">
            <v>Q410</v>
          </cell>
        </row>
        <row r="392">
          <cell r="D392">
            <v>46834.999999999993</v>
          </cell>
          <cell r="E392">
            <v>46834.999999999993</v>
          </cell>
          <cell r="F392">
            <v>46834.999999999993</v>
          </cell>
          <cell r="G392">
            <v>140504.99999999997</v>
          </cell>
          <cell r="H392">
            <v>47110.5</v>
          </cell>
          <cell r="I392">
            <v>47110.5</v>
          </cell>
          <cell r="J392">
            <v>47110.5</v>
          </cell>
          <cell r="K392">
            <v>141331.5</v>
          </cell>
          <cell r="L392">
            <v>47386</v>
          </cell>
          <cell r="M392">
            <v>47386</v>
          </cell>
          <cell r="N392">
            <v>47386</v>
          </cell>
          <cell r="O392">
            <v>142158</v>
          </cell>
          <cell r="P392">
            <v>47661.499999999993</v>
          </cell>
          <cell r="Q392">
            <v>47661.499999999993</v>
          </cell>
          <cell r="R392">
            <v>47661.499999999993</v>
          </cell>
          <cell r="S392">
            <v>142984.49999999997</v>
          </cell>
        </row>
        <row r="395">
          <cell r="D395">
            <v>17</v>
          </cell>
          <cell r="E395">
            <v>17</v>
          </cell>
          <cell r="F395">
            <v>17</v>
          </cell>
          <cell r="G395">
            <v>17</v>
          </cell>
          <cell r="H395">
            <v>17.100000000000001</v>
          </cell>
          <cell r="I395">
            <v>17.100000000000001</v>
          </cell>
          <cell r="J395">
            <v>17.100000000000001</v>
          </cell>
          <cell r="K395">
            <v>17.100000000000001</v>
          </cell>
          <cell r="L395">
            <v>17.2</v>
          </cell>
          <cell r="M395">
            <v>17.2</v>
          </cell>
          <cell r="N395">
            <v>17.2</v>
          </cell>
          <cell r="O395">
            <v>17.2</v>
          </cell>
          <cell r="P395">
            <v>17.3</v>
          </cell>
          <cell r="Q395">
            <v>17.3</v>
          </cell>
          <cell r="R395">
            <v>17.3</v>
          </cell>
          <cell r="S395">
            <v>17.3</v>
          </cell>
        </row>
        <row r="397">
          <cell r="D397">
            <v>0.05</v>
          </cell>
          <cell r="E397">
            <v>0.05</v>
          </cell>
          <cell r="F397">
            <v>0.05</v>
          </cell>
          <cell r="G397">
            <v>0.05</v>
          </cell>
          <cell r="H397">
            <v>0.05</v>
          </cell>
          <cell r="I397">
            <v>0.05</v>
          </cell>
          <cell r="J397">
            <v>0.05</v>
          </cell>
          <cell r="K397">
            <v>0.05</v>
          </cell>
          <cell r="L397">
            <v>0.05</v>
          </cell>
          <cell r="M397">
            <v>0.05</v>
          </cell>
          <cell r="N397">
            <v>0.05</v>
          </cell>
          <cell r="O397">
            <v>0.05</v>
          </cell>
          <cell r="P397">
            <v>0.05</v>
          </cell>
          <cell r="Q397">
            <v>0.05</v>
          </cell>
          <cell r="R397">
            <v>0.05</v>
          </cell>
          <cell r="S397">
            <v>0.05</v>
          </cell>
        </row>
        <row r="399">
          <cell r="D399">
            <v>16.149999999999999</v>
          </cell>
          <cell r="E399">
            <v>16.149999999999999</v>
          </cell>
          <cell r="F399">
            <v>16.149999999999999</v>
          </cell>
          <cell r="G399">
            <v>16.149999999999999</v>
          </cell>
          <cell r="H399">
            <v>16.245000000000001</v>
          </cell>
          <cell r="I399">
            <v>16.245000000000001</v>
          </cell>
          <cell r="J399">
            <v>16.245000000000001</v>
          </cell>
          <cell r="K399">
            <v>16.245000000000001</v>
          </cell>
          <cell r="L399">
            <v>16.34</v>
          </cell>
          <cell r="M399">
            <v>16.34</v>
          </cell>
          <cell r="N399">
            <v>16.34</v>
          </cell>
          <cell r="O399">
            <v>16.34</v>
          </cell>
          <cell r="P399">
            <v>16.434999999999999</v>
          </cell>
          <cell r="Q399">
            <v>16.434999999999999</v>
          </cell>
          <cell r="R399">
            <v>16.434999999999999</v>
          </cell>
          <cell r="S399">
            <v>16.434999999999999</v>
          </cell>
        </row>
        <row r="402">
          <cell r="D402">
            <v>2900</v>
          </cell>
          <cell r="E402">
            <v>2900</v>
          </cell>
          <cell r="F402">
            <v>2900</v>
          </cell>
          <cell r="G402">
            <v>8700</v>
          </cell>
          <cell r="H402">
            <v>2900</v>
          </cell>
          <cell r="I402">
            <v>2900</v>
          </cell>
          <cell r="J402">
            <v>2900</v>
          </cell>
          <cell r="K402">
            <v>8700</v>
          </cell>
          <cell r="L402">
            <v>2900</v>
          </cell>
          <cell r="M402">
            <v>2900</v>
          </cell>
          <cell r="N402">
            <v>2900</v>
          </cell>
          <cell r="O402">
            <v>8700</v>
          </cell>
          <cell r="P402">
            <v>2900</v>
          </cell>
          <cell r="Q402">
            <v>2900</v>
          </cell>
          <cell r="R402">
            <v>2900</v>
          </cell>
          <cell r="S402">
            <v>8700</v>
          </cell>
        </row>
      </sheetData>
      <sheetData sheetId="4">
        <row r="3">
          <cell r="D3" t="str">
            <v>Jan</v>
          </cell>
        </row>
      </sheetData>
      <sheetData sheetId="5">
        <row r="3">
          <cell r="D3" t="str">
            <v>Jan</v>
          </cell>
        </row>
      </sheetData>
      <sheetData sheetId="6">
        <row r="3">
          <cell r="D3" t="str">
            <v>Jan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  <sheetName val="Old_Link_File"/>
      <sheetName val="Prior_Period"/>
      <sheetName val="CIAC_Detail_by_Month"/>
      <sheetName val="purch_software_&lt;25k"/>
      <sheetName val="summary_98_1"/>
      <sheetName val="purch_software_expensed"/>
      <sheetName val="Update_Dates"/>
      <sheetName val="PARTNERSHIP_RECAP"/>
      <sheetName val="Electric_-_FY1997"/>
      <sheetName val="Non-Statutory_Deferred_Taxes"/>
      <sheetName val="ADFIT_Activity___{A}"/>
      <sheetName val="Adj__2"/>
      <sheetName val="YE_DEF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10.1 Recommended Cap Structure"/>
      <sheetName val="10.2 Summary of CE Models"/>
      <sheetName val="10.3 DCF Summary"/>
      <sheetName val="10.11 RP Summary"/>
      <sheetName val="10.12 Ind. PRPM Results"/>
      <sheetName val="10.13 Risk Premium Summary"/>
      <sheetName val="10.14 Moody's Bond Yields"/>
      <sheetName val="10.15 Bond Ratings"/>
      <sheetName val="10.16 MOODY_S&amp;P numbericl"/>
      <sheetName val="10.17 ERP Determination"/>
      <sheetName val="10.18 Beta Adjusted ERP"/>
      <sheetName val="10.21 S&amp;P RPM Study Returns"/>
      <sheetName val="10.22 CAPM"/>
      <sheetName val="10.23 CAPM Notes"/>
      <sheetName val="10.25 Comp Earnings Criteria"/>
      <sheetName val="10.26 Proxy Group Equivalent"/>
      <sheetName val="10.27 CEM Summary"/>
      <sheetName val="10.28 CEM DCF"/>
      <sheetName val="10.29 CEM RPM Summary"/>
      <sheetName val="10.30 CEM RPM Bond Ratings"/>
      <sheetName val="10.31 CEM Beta Adjusted RP"/>
      <sheetName val="10.32 CEM CAPM Backup"/>
      <sheetName val="10.33 Risk Adjustment"/>
      <sheetName val="10.34 Market Cap"/>
      <sheetName val="11.1 Borough Capital Structure"/>
      <sheetName val="12.1 DCF Inad."/>
      <sheetName val="13.1 Lev. Adj - Keller"/>
      <sheetName val="14.1 Keller Corr. CAPM"/>
      <sheetName val="14.2 Keller Corr. CAPM"/>
      <sheetName val="14.3 Keller Corr CAPM"/>
      <sheetName val="14.4 Keller Corrected CAPM"/>
      <sheetName val="15.1 Kroll Size Study"/>
      <sheetName val="18.1 Aqua_Ambler Risk Adj"/>
      <sheetName val="18.2 Aqua_Ambler Market Cap"/>
      <sheetName val="19.1 Pre-Tax COC"/>
      <sheetName val="19.2 Hamada"/>
      <sheetName val="20.1 OCA Corr DCF"/>
      <sheetName val="Div. Yield"/>
      <sheetName val="Avg. Price"/>
      <sheetName val="Chart 1 Tax_Bond Spread"/>
      <sheetName val="Chart 2 MB Ratio"/>
      <sheetName val="Chart 3 Size Study"/>
      <sheetName val="Chart 4 Size Safety Chart"/>
      <sheetName val="Chart 5 Treasury Forecast Error"/>
      <sheetName val="Chart 6 Monthly US Beta"/>
      <sheetName val="Chart 7 Weekly US Beta"/>
      <sheetName val="Chart 8 CPI"/>
      <sheetName val="WP1 DWD-13 Embedded LTD"/>
      <sheetName val="WP2 DWD-13 AWR LTD"/>
      <sheetName val="WP3 DWD-13 AWK LTD"/>
      <sheetName val="WP4 DWD-13 CWT LTD"/>
      <sheetName val="WP5 DWD-13 WTRG LTD"/>
      <sheetName val="WP6 DWD-13 MSEX LTD"/>
      <sheetName val="WP7 DWD-13 SJW LTD"/>
      <sheetName val="WP8 DWD-13 YORW LTD"/>
      <sheetName val="WP9 DWD-13 Pref Equity Cost"/>
      <sheetName val="Input"/>
      <sheetName val="Market Data"/>
      <sheetName val="Proxy Data Lookup"/>
      <sheetName val="Proxy Price Data"/>
      <sheetName val="Proxy Prices"/>
      <sheetName val="CEM Data Lookup"/>
      <sheetName val="CEM Price Data"/>
      <sheetName val="CEM PricesDivs"/>
      <sheetName val="MRP WP1"/>
      <sheetName val="MRP WP2"/>
      <sheetName val="MRP WP3"/>
      <sheetName val="ERP WP1"/>
      <sheetName val="ERP WP 2"/>
      <sheetName val="MRP ERP WP"/>
      <sheetName val="PRPM WP1"/>
      <sheetName val="PRPM WP2"/>
      <sheetName val="PRPM WP3"/>
      <sheetName val="PRPM WP4"/>
      <sheetName val="PRPM WP5"/>
      <sheetName val="PRPM WP6"/>
      <sheetName val="PRPM WP7"/>
      <sheetName val="PRPM WP8"/>
      <sheetName val="PRPM WP9"/>
      <sheetName val="PRPM WP10"/>
      <sheetName val="PRPM WP11"/>
      <sheetName val="PRPM WP12"/>
      <sheetName val="3. AWR"/>
      <sheetName val="3. AWK"/>
      <sheetName val="3. CWT"/>
      <sheetName val="3. WTRG"/>
      <sheetName val="3. MSEX"/>
      <sheetName val="3. SJW"/>
      <sheetName val="3. YOR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25">
          <cell r="B25">
            <v>5202969</v>
          </cell>
        </row>
      </sheetData>
      <sheetData sheetId="26">
        <row r="15">
          <cell r="F15">
            <v>8.5199999999999998E-2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1.1R Recommended Capital Str."/>
      <sheetName val="1.2R Summary of CE Models"/>
      <sheetName val="1.3R DCF Summary"/>
      <sheetName val="1.18R RP Summary"/>
      <sheetName val="1.19R Ind. PRPM Results"/>
      <sheetName val="1.20R Risk Premium Summary"/>
      <sheetName val="1.21R Moody's Bond Yields"/>
      <sheetName val="1.22R Bond Ratings"/>
      <sheetName val="1.23R MOODY_S&amp;P numbericl"/>
      <sheetName val="1.24R ERP Determination"/>
      <sheetName val="1.25-1.26R Beta Adjusted ERP"/>
      <sheetName val="1.29R S&amp;P RPM Study Returns"/>
      <sheetName val="1.30R Past Rate Cases Elec"/>
      <sheetName val="1.31R CAPM"/>
      <sheetName val="1.32R CAPM Notes"/>
      <sheetName val="1.34R Comp Earnings Criteria"/>
      <sheetName val="1.35-1.36R Proxy Group Equiv."/>
      <sheetName val="1.37 CEM Summary"/>
      <sheetName val="1.38-1.39 CEM DCF"/>
      <sheetName val="1.40R CEM RPM Summary"/>
      <sheetName val="1.41-1.42R CEM RPM Bond Ratings"/>
      <sheetName val="1.43R CEM Beta Adjusted RP"/>
      <sheetName val="1.44-1.45R CEM CAPM Backup"/>
      <sheetName val="1.46R Risk Adjustment"/>
      <sheetName val="1.47R Market Cap"/>
      <sheetName val="2R Annualized Volatility Proxy"/>
      <sheetName val="3.1-2R, 5.1-2R Freq Dists"/>
      <sheetName val="4.1-2R Corrected CAPM (DCP)"/>
      <sheetName val="4R.3 MRP Regression (DCP)"/>
      <sheetName val="6R MB Schedule"/>
      <sheetName val="7.1-2R DCP CEM Selection"/>
      <sheetName val="7.3-4R DCP CEM DCF"/>
      <sheetName val="7.5-6R DCP CEM CAPM"/>
      <sheetName val="8.1R Reg Mechanisms"/>
      <sheetName val="8.2R Reg Mechanisms"/>
      <sheetName val="9.1R Parcell Proxy Risk Adjust"/>
      <sheetName val="9.2R Parcell Proxy Market Cap"/>
      <sheetName val="9.3R D&amp;P Size Study - APC"/>
      <sheetName val="9.4R D&amp;P Size Study - GLH"/>
      <sheetName val="9.5R D&amp;P Size Study - BBL"/>
      <sheetName val="Chart 1 TIPS Spreads"/>
      <sheetName val="Chart 4 Size Study"/>
      <sheetName val="WP DCF Prices HighLow"/>
      <sheetName val="WP MKTRP PRPM 04-2021"/>
      <sheetName val="WP1 MB"/>
      <sheetName val="WP2 MB"/>
      <sheetName val="WP3 MB"/>
      <sheetName val="WP1 CPI, ROE, Gvt Bond Cor"/>
      <sheetName val="WP2 CPI, ROE, Gvt Bond Cor"/>
      <sheetName val="WP3 CPI, ROE, Gvt Bond Cor"/>
      <sheetName val="Input"/>
      <sheetName val="Market Data"/>
      <sheetName val="Proxy Data Lookup"/>
      <sheetName val="Proxy Price Data"/>
      <sheetName val="Proxy Prices"/>
      <sheetName val="CEM Data Lookup"/>
      <sheetName val="CEM Price Data"/>
      <sheetName val="CEM PricesDivs"/>
      <sheetName val="MRP WP1"/>
      <sheetName val="MRP WP2"/>
      <sheetName val="MRP WP3"/>
      <sheetName val="ERP WP1"/>
      <sheetName val="ERP WP 2"/>
      <sheetName val="MRP ERP WP"/>
      <sheetName val="PRPM WP1"/>
      <sheetName val="3. LNT"/>
      <sheetName val="3. AEE"/>
      <sheetName val="3. DUK"/>
      <sheetName val="3. EIX"/>
      <sheetName val="3. ETR"/>
      <sheetName val="3. EVRG"/>
      <sheetName val="3. ES"/>
      <sheetName val="3. IDA"/>
      <sheetName val="3. NWE"/>
      <sheetName val="3. OGE"/>
      <sheetName val="3. OTTR"/>
      <sheetName val="3. PNW"/>
      <sheetName val="3. POR"/>
      <sheetName val="3. X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4">
          <cell r="T4">
            <v>32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4"/>
      <sheetName val="Summary 3"/>
      <sheetName val="Summary 2"/>
      <sheetName val="Summary 1"/>
      <sheetName val="2 $750"/>
      <sheetName val="Contributions"/>
      <sheetName val="Assumptions"/>
      <sheetName val="Active_COBRA Template"/>
      <sheetName val="COBRA"/>
      <sheetName val="Headcounts"/>
      <sheetName val="2006 Fees"/>
      <sheetName val="06 Counts"/>
      <sheetName val="05 Counts"/>
      <sheetName val="06 Runouts"/>
      <sheetName val="06 HRA II"/>
      <sheetName val="06 OAP"/>
      <sheetName val="06 HRA I"/>
      <sheetName val="06 HSA"/>
      <sheetName val="06 PPO"/>
      <sheetName val="06 Ind"/>
      <sheetName val="05 Network"/>
      <sheetName val="05 POS"/>
      <sheetName val="05 PPO"/>
      <sheetName val="05 IND"/>
      <sheetName val="05 OAP"/>
      <sheetName val="05 HRA"/>
      <sheetName val="05 HSA"/>
      <sheetName val="05 AZ HRA"/>
      <sheetName val="06 HP Detail"/>
      <sheetName val="05 HP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 Sensitivity"/>
      <sheetName val="Cust Sensitivity"/>
      <sheetName val="Inflation Sensitivity"/>
      <sheetName val="IS-SUM"/>
      <sheetName val="BS-SUM"/>
      <sheetName val="CF-SUM"/>
      <sheetName val="IS-SUM CO -slide"/>
      <sheetName val="IS-SUM CO"/>
      <sheetName val="BS-SUM CO"/>
      <sheetName val="CF-SUM CO"/>
      <sheetName val="IS-SUM-NR"/>
      <sheetName val="BS-SUM-NR"/>
      <sheetName val="CF-SUM -NR"/>
      <sheetName val="IS-SUM CO NR"/>
      <sheetName val="BS-SUM CO NR"/>
      <sheetName val="NY ADJ"/>
      <sheetName val="Plan Comparison"/>
      <sheetName val="Charts"/>
      <sheetName val="Plan Summary"/>
      <sheetName val="Summary Assumptions"/>
      <sheetName val="Plan Summary1"/>
      <sheetName val="Ratios and Benchmarks-REPAIR"/>
      <sheetName val="Ratios and Benchmarks-NO RPR"/>
      <sheetName val="Capital Structure"/>
      <sheetName val="Capital Structure NO REPAIR"/>
      <sheetName val="Dividend History"/>
      <sheetName val="Payout Ratio Analysis"/>
      <sheetName val="Dividend Rec"/>
      <sheetName val="Cap Ex"/>
      <sheetName val="Consol Repairs Tax Impact"/>
      <sheetName val="Hist and Future EPS"/>
      <sheetName val="Summary Cash Flow"/>
      <sheetName val="State Cash Flow REPAIR"/>
      <sheetName val="State Cash Flow NO REPAIR"/>
      <sheetName val="Rate Base"/>
      <sheetName val="PA vs Other Operations"/>
      <sheetName val="PA Repair Election Impact"/>
      <sheetName val="FL removed"/>
      <sheetName val="2011 Plan input"/>
      <sheetName val="GAP Analysis-Repair"/>
      <sheetName val="GAP Analysis-No repair"/>
      <sheetName val="IS"/>
      <sheetName val="BS"/>
      <sheetName val="CF"/>
      <sheetName val="Ratios"/>
      <sheetName val="Equity Roll"/>
      <sheetName val="FL-IS"/>
      <sheetName val="PA-IS"/>
      <sheetName val="FL-CF"/>
      <sheetName val="PA-BS"/>
      <sheetName val="FL-BS"/>
      <sheetName val="PA-CF"/>
      <sheetName val="2012"/>
      <sheetName val="2013"/>
      <sheetName val="2014"/>
      <sheetName val="2015"/>
      <sheetName val="2016"/>
      <sheetName val="IS-NR"/>
      <sheetName val="BS-NR"/>
      <sheetName val="CF-NR"/>
      <sheetName val="Ratios-NR"/>
      <sheetName val="Equity Roll-NR"/>
      <sheetName val="FL-IS-NR"/>
      <sheetName val="PA-IS-NR"/>
      <sheetName val="FL-CF-NR"/>
      <sheetName val="PA-BS-NR"/>
      <sheetName val="FL-BS-NR"/>
      <sheetName val="PA-CF-NR"/>
      <sheetName val="Shares 5 Year Plan"/>
      <sheetName val="2012Base"/>
      <sheetName val="2012NoRepair"/>
      <sheetName val="2012 Diff"/>
      <sheetName val="2013Base"/>
      <sheetName val="2013NoRepair"/>
      <sheetName val="2013 Diff"/>
      <sheetName val="2014Base"/>
      <sheetName val="2014NoRepair"/>
      <sheetName val="2014 Diff"/>
      <sheetName val="2015Base"/>
      <sheetName val="2015NoRepair"/>
      <sheetName val="2015 Diff"/>
      <sheetName val="2016Base"/>
      <sheetName val="2016NoRepair"/>
      <sheetName val="2016 Di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7">
          <cell r="D7" t="str">
            <v>Q113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Summary of WACC"/>
      <sheetName val="1.2 Summary of ROE"/>
      <sheetName val="2.1 Selection Criteria"/>
      <sheetName val="3.1 Capital Structure"/>
      <sheetName val="4.1 Debt Cost Rate"/>
      <sheetName val="5.1 DCF"/>
      <sheetName val="6.1 Regression Analysis"/>
      <sheetName val="7.1 Risk Adjustment"/>
      <sheetName val="7.2 Market Cap"/>
      <sheetName val="6.27.22"/>
      <sheetName val="12.27.21"/>
      <sheetName val="12.20.21"/>
      <sheetName val="12.13.21"/>
      <sheetName val="12.6.21"/>
      <sheetName val="11.29.21"/>
      <sheetName val="11.22.21"/>
      <sheetName val="11.15.21"/>
      <sheetName val="11.8.21"/>
      <sheetName val="11.1.21"/>
      <sheetName val="10.25.21"/>
      <sheetName val="10.18.21"/>
      <sheetName val="10.8.21"/>
      <sheetName val="10.4.21"/>
      <sheetName val="Regress Data"/>
      <sheetName val="LIMDEP Output"/>
      <sheetName val="A-rated Utility Bond Yield"/>
      <sheetName val="Past Rate Cases"/>
      <sheetName val="DCF WP"/>
      <sheetName val="EPS Median LTG"/>
      <sheetName val="3. AWR"/>
      <sheetName val="3. AWK"/>
      <sheetName val="3. ATO"/>
      <sheetName val="3. WTRG"/>
      <sheetName val="3. NI"/>
      <sheetName val="3. NWN"/>
      <sheetName val="3. OGS"/>
      <sheetName val="3. SJI"/>
      <sheetName val="3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iler diagram"/>
      <sheetName val="Turbine Cycle"/>
      <sheetName val="Unit Performance"/>
      <sheetName val="Steam Turbine"/>
      <sheetName val="N2calcs"/>
      <sheetName val="Condensate"/>
      <sheetName val="Feedwater"/>
      <sheetName val="Condenser"/>
      <sheetName val="Boiler"/>
      <sheetName val="Pulverizers"/>
      <sheetName val="Input Template"/>
      <sheetName val="DCS Input Data"/>
      <sheetName val="Other Input Data"/>
      <sheetName val="Flow Calcs"/>
      <sheetName val="Derived &amp; Overwrite Data"/>
      <sheetName val="Macros"/>
      <sheetName val="Boiler_diagram"/>
      <sheetName val="Turbine_Cycle"/>
      <sheetName val="Unit_Performance"/>
      <sheetName val="Steam_Turbine"/>
      <sheetName val="Input_Template"/>
      <sheetName val="DCS_Input_Data"/>
      <sheetName val="Other_Input_Data"/>
      <sheetName val="Flow_Calcs"/>
      <sheetName val="Derived_&amp;_Overwrit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  <cell r="H4" t="str">
            <v>INWG</v>
          </cell>
          <cell r="I4" t="str">
            <v>WEST WALL FURNACE PRESS</v>
          </cell>
          <cell r="J4" t="str">
            <v>Average</v>
          </cell>
          <cell r="K4">
            <v>38906.708333333336</v>
          </cell>
          <cell r="L4">
            <v>-0.99725507570637595</v>
          </cell>
          <cell r="M4">
            <v>100</v>
          </cell>
        </row>
        <row r="5">
          <cell r="G5" t="str">
            <v>=PHDGetData("192.168.32.16", C5, 'DCS Input Data'!$E$1, 'DCS Input Data'!$E$2, "", "Average", "OVERALL REDUCTION", 0, "Before", UNI_RET_TAG+UNI_RET_DESC+UNI_RET_UNIT+UNI_RET_TIME+UNI_RET_VALUE+UNI_RET_CONF, UNI_NOTHING)</v>
          </cell>
          <cell r="H5" t="str">
            <v>INWG</v>
          </cell>
          <cell r="I5" t="str">
            <v>NORTH WALL FURNACE PRESS</v>
          </cell>
          <cell r="J5" t="str">
            <v>Average</v>
          </cell>
          <cell r="K5">
            <v>38906.708333333336</v>
          </cell>
          <cell r="L5">
            <v>-1.02364278766844</v>
          </cell>
          <cell r="M5">
            <v>100</v>
          </cell>
        </row>
        <row r="6">
          <cell r="G6" t="str">
            <v>=PHDGetData("192.168.32.16", C6, 'DCS Input Data'!$E$1, 'DCS Input Data'!$E$2, "", "Average", "OVERALL REDUCTION", 0, "Before", UNI_RET_TAG+UNI_RET_DESC+UNI_RET_UNIT+UNI_RET_TIME+UNI_RET_VALUE+UNI_RET_CONF, UNI_NOTHING)</v>
          </cell>
          <cell r="H6" t="str">
            <v>INWG</v>
          </cell>
          <cell r="I6" t="str">
            <v>EAST WALL FURNACE PRESS</v>
          </cell>
          <cell r="J6" t="str">
            <v>Average</v>
          </cell>
          <cell r="K6">
            <v>38906.708333333336</v>
          </cell>
          <cell r="L6">
            <v>-0.96745171141293318</v>
          </cell>
          <cell r="M6">
            <v>100</v>
          </cell>
        </row>
        <row r="7">
          <cell r="G7" t="str">
            <v>=PHDGetData("192.168.32.16", C7, 'DCS Input Data'!$E$1, 'DCS Input Data'!$E$2, "", "Average", "OVERALL REDUCTION", 0, "Before", UNI_RET_TAG+UNI_RET_DESC+UNI_RET_UNIT+UNI_RET_TIME+UNI_RET_VALUE+UNI_RET_CONF, UNI_NOTHING)</v>
          </cell>
          <cell r="H7" t="str">
            <v>DEGF</v>
          </cell>
          <cell r="I7" t="str">
            <v>OUTSIDE AIR TEMPERATURE</v>
          </cell>
          <cell r="J7" t="str">
            <v>Average</v>
          </cell>
          <cell r="K7">
            <v>38906.708333333336</v>
          </cell>
          <cell r="L7">
            <v>83.403022766113281</v>
          </cell>
          <cell r="M7">
            <v>100</v>
          </cell>
        </row>
        <row r="8">
          <cell r="G8" t="str">
            <v>=PHDGetData("192.168.32.16", C8, 'DCS Input Data'!$E$1, 'DCS Input Data'!$E$2, "", "Average", "OVERALL REDUCTION", 0, "Before", UNI_RET_TAG+UNI_RET_DESC+UNI_RET_UNIT+UNI_RET_TIME+UNI_RET_VALUE+UNI_RET_CONF, UNI_NOTHING)</v>
          </cell>
          <cell r="H8" t="str">
            <v>INHG</v>
          </cell>
          <cell r="I8" t="str">
            <v>BAROMETRIC PRESSURE</v>
          </cell>
          <cell r="J8" t="str">
            <v>Average</v>
          </cell>
          <cell r="K8">
            <v>38906.708333333336</v>
          </cell>
          <cell r="L8">
            <v>29.748920440673828</v>
          </cell>
          <cell r="M8">
            <v>0</v>
          </cell>
        </row>
        <row r="9">
          <cell r="G9" t="str">
            <v>=PHDGetData("192.168.32.16", C9, 'DCS Input Data'!$E$1, 'DCS Input Data'!$E$2, "", "Average", "OVERALL REDUCTION", 0, "Before", UNI_RET_TAG+UNI_RET_DESC+UNI_RET_UNIT+UNI_RET_TIME+UNI_RET_VALUE+UNI_RET_CONF, UNI_NOTHING)</v>
          </cell>
          <cell r="H9" t="str">
            <v>INWG</v>
          </cell>
          <cell r="I9" t="str">
            <v>FDF3A DISCHARGE AIR PRES</v>
          </cell>
          <cell r="J9" t="str">
            <v>Average</v>
          </cell>
          <cell r="K9">
            <v>38906.708333333336</v>
          </cell>
          <cell r="L9">
            <v>14.806483777364095</v>
          </cell>
          <cell r="M9">
            <v>100</v>
          </cell>
        </row>
        <row r="10">
          <cell r="G10" t="str">
            <v>=PHDGetData("192.168.32.16", C10, 'DCS Input Data'!$E$1, 'DCS Input Data'!$E$2, "", "Average", "OVERALL REDUCTION", 0, "Before", UNI_RET_TAG+UNI_RET_DESC+UNI_RET_UNIT+UNI_RET_TIME+UNI_RET_VALUE+UNI_RET_CONF, UNI_NOTHING)</v>
          </cell>
          <cell r="H10" t="str">
            <v>INWG</v>
          </cell>
          <cell r="I10" t="str">
            <v>FDF3B DISCHARGE AIR PRES</v>
          </cell>
          <cell r="J10" t="str">
            <v>Average</v>
          </cell>
          <cell r="K10">
            <v>38906.708333333336</v>
          </cell>
          <cell r="L10">
            <v>16.163140646616618</v>
          </cell>
          <cell r="M10">
            <v>100</v>
          </cell>
        </row>
        <row r="11">
          <cell r="G11" t="str">
            <v>=PHDGetData("192.168.32.16", C11, 'DCS Input Data'!$E$1, 'DCS Input Data'!$E$2, "", "Average", "OVERALL REDUCTION", 0, "Before", UNI_RET_TAG+UNI_RET_DESC+UNI_RET_UNIT+UNI_RET_TIME+UNI_RET_VALUE+UNI_RET_CONF, UNI_NOTHING)</v>
          </cell>
          <cell r="H11" t="str">
            <v>DEGF</v>
          </cell>
          <cell r="I11" t="str">
            <v>AIRHTR 3A IN AIR TEMP</v>
          </cell>
          <cell r="J11" t="str">
            <v>Average</v>
          </cell>
          <cell r="K11">
            <v>38906.708333333336</v>
          </cell>
          <cell r="L11">
            <v>153.42111358642578</v>
          </cell>
          <cell r="M11">
            <v>100</v>
          </cell>
        </row>
        <row r="12">
          <cell r="G12" t="str">
            <v>=PHDGetData("192.168.32.16", C12, 'DCS Input Data'!$E$1, 'DCS Input Data'!$E$2, "", "Average", "OVERALL REDUCTION", 0, "Before", UNI_RET_TAG+UNI_RET_DESC+UNI_RET_UNIT+UNI_RET_TIME+UNI_RET_VALUE+UNI_RET_CONF, UNI_NOTHING)</v>
          </cell>
          <cell r="H12" t="str">
            <v>DEGF</v>
          </cell>
          <cell r="I12" t="str">
            <v>AIRHTR 3B IN AIR TEMP</v>
          </cell>
          <cell r="J12" t="str">
            <v>Average</v>
          </cell>
          <cell r="K12">
            <v>38906.708333333336</v>
          </cell>
          <cell r="L12">
            <v>135.09381052652995</v>
          </cell>
          <cell r="M12">
            <v>100</v>
          </cell>
        </row>
        <row r="13">
          <cell r="G13" t="str">
            <v>=PHDGetData("192.168.32.16", C13, 'DCS Input Data'!$E$1, 'DCS Input Data'!$E$2, "", "Average", "OVERALL REDUCTION", 0, "Before", UNI_RET_TAG+UNI_RET_DESC+UNI_RET_UNIT+UNI_RET_TIME+UNI_RET_VALUE+UNI_RET_CONF, UNI_NOTHING)</v>
          </cell>
          <cell r="H13" t="str">
            <v>INWG</v>
          </cell>
          <cell r="I13" t="str">
            <v>AIR PRHTR 3A INL AIR PRS</v>
          </cell>
          <cell r="J13" t="str">
            <v>Average</v>
          </cell>
          <cell r="K13">
            <v>38906.708333333336</v>
          </cell>
          <cell r="L13">
            <v>12.675439929962158</v>
          </cell>
          <cell r="M13">
            <v>100</v>
          </cell>
        </row>
        <row r="14">
          <cell r="G14" t="str">
            <v>=PHDGetData("192.168.32.16", C14, 'DCS Input Data'!$E$1, 'DCS Input Data'!$E$2, "", "Average", "OVERALL REDUCTION", 0, "Before", UNI_RET_TAG+UNI_RET_DESC+UNI_RET_UNIT+UNI_RET_TIME+UNI_RET_VALUE+UNI_RET_CONF, UNI_NOTHING)</v>
          </cell>
          <cell r="H14" t="str">
            <v>INWG</v>
          </cell>
          <cell r="I14" t="str">
            <v>AIR PRHTR 3B INL AIR PRS</v>
          </cell>
          <cell r="J14" t="str">
            <v>Average</v>
          </cell>
          <cell r="K14">
            <v>38906.708333333336</v>
          </cell>
          <cell r="L14">
            <v>11.591273260116576</v>
          </cell>
          <cell r="M14">
            <v>100</v>
          </cell>
        </row>
        <row r="15">
          <cell r="G15" t="str">
            <v>=PHDGetData("192.168.32.16", C15, 'DCS Input Data'!$E$1, 'DCS Input Data'!$E$2, "", "Average", "OVERALL REDUCTION", 0, "Before", UNI_RET_TAG+UNI_RET_DESC+UNI_RET_UNIT+UNI_RET_TIME+UNI_RET_VALUE+UNI_RET_CONF, UNI_NOTHING)</v>
          </cell>
          <cell r="H15" t="str">
            <v>DEGF</v>
          </cell>
          <cell r="I15" t="str">
            <v>WINDBOX AIR TEMPERATURE</v>
          </cell>
          <cell r="J15" t="str">
            <v>Average</v>
          </cell>
          <cell r="K15">
            <v>38906.708333333336</v>
          </cell>
          <cell r="L15">
            <v>553.41475423177087</v>
          </cell>
          <cell r="M15">
            <v>100</v>
          </cell>
        </row>
        <row r="16">
          <cell r="G16" t="str">
            <v>=PHDGetData("192.168.32.16", C16, 'DCS Input Data'!$E$1, 'DCS Input Data'!$E$2, "", "Average", "OVERALL REDUCTION", 0, "Before", UNI_RET_TAG+UNI_RET_DESC+UNI_RET_UNIT+UNI_RET_TIME+UNI_RET_VALUE+UNI_RET_CONF, UNI_NOTHING)</v>
          </cell>
          <cell r="H16" t="str">
            <v>DEGF</v>
          </cell>
          <cell r="I16" t="str">
            <v>WINDBOX AIR TEMPERATURE</v>
          </cell>
          <cell r="J16" t="str">
            <v>Average</v>
          </cell>
          <cell r="K16">
            <v>38906.708333333336</v>
          </cell>
          <cell r="L16">
            <v>553.41475423177087</v>
          </cell>
          <cell r="M16">
            <v>100</v>
          </cell>
        </row>
        <row r="17">
          <cell r="G17" t="str">
            <v>=PHDGetData("192.168.32.16", C17, 'DCS Input Data'!$E$1, 'DCS Input Data'!$E$2, "", "Average", "OVERALL REDUCTION", 0, "Before", UNI_RET_TAG+UNI_RET_DESC+UNI_RET_UNIT+UNI_RET_TIME+UNI_RET_VALUE+UNI_RET_CONF, UNI_NOTHING)</v>
          </cell>
          <cell r="H17" t="str">
            <v>INWG</v>
          </cell>
          <cell r="I17" t="str">
            <v>WINDBOX AIR PRESSURE</v>
          </cell>
          <cell r="J17" t="str">
            <v>Average</v>
          </cell>
          <cell r="K17">
            <v>38906.708333333336</v>
          </cell>
          <cell r="L17">
            <v>4.7926596959431969</v>
          </cell>
          <cell r="M17">
            <v>100</v>
          </cell>
        </row>
        <row r="18">
          <cell r="G18" t="str">
            <v>=PHDGetData("192.168.32.16", C18, 'DCS Input Data'!$E$1, 'DCS Input Data'!$E$2, "", "Average", "OVERALL REDUCTION", 0, "Before", UNI_RET_TAG+UNI_RET_DESC+UNI_RET_UNIT+UNI_RET_TIME+UNI_RET_VALUE+UNI_RET_CONF, UNI_NOTHING)</v>
          </cell>
          <cell r="H18" t="str">
            <v>INWG</v>
          </cell>
          <cell r="I18" t="str">
            <v>WINDBOX AIR PRESSURE</v>
          </cell>
          <cell r="J18" t="str">
            <v>Average</v>
          </cell>
          <cell r="K18">
            <v>38906.708333333336</v>
          </cell>
          <cell r="L18">
            <v>4.7926596959431969</v>
          </cell>
          <cell r="M18">
            <v>100</v>
          </cell>
        </row>
        <row r="19">
          <cell r="G19" t="str">
            <v>=PHDGetData("192.168.32.16", C19, 'DCS Input Data'!$E$1, 'DCS Input Data'!$E$2, "", "Average", "OVERALL REDUCTION", 0, "Before", UNI_RET_TAG+UNI_RET_DESC+UNI_RET_UNIT+UNI_RET_TIME+UNI_RET_VALUE+UNI_RET_CONF, UNI_NOTHING)</v>
          </cell>
          <cell r="H19" t="str">
            <v>INWG</v>
          </cell>
          <cell r="I19" t="str">
            <v>REHEATER OUT FLUGAS PRES</v>
          </cell>
          <cell r="J19" t="str">
            <v>Average</v>
          </cell>
          <cell r="K19">
            <v>38906.708333333336</v>
          </cell>
          <cell r="L19">
            <v>-2.6296175161997479</v>
          </cell>
          <cell r="M19">
            <v>100</v>
          </cell>
        </row>
        <row r="20">
          <cell r="G20" t="str">
            <v>=PHDGetData("192.168.32.16", C20, 'DCS Input Data'!$E$1, 'DCS Input Data'!$E$2, "", "Average", "OVERALL REDUCTION", 0, "Before", UNI_RET_TAG+UNI_RET_DESC+UNI_RET_UNIT+UNI_RET_TIME+UNI_RET_VALUE+UNI_RET_CONF, UNI_NOTHING)</v>
          </cell>
          <cell r="H20" t="str">
            <v>INWG</v>
          </cell>
          <cell r="I20" t="str">
            <v>PSH OUTLET FLUGAS PRESS</v>
          </cell>
          <cell r="J20" t="str">
            <v>Average</v>
          </cell>
          <cell r="K20">
            <v>38906.708333333336</v>
          </cell>
          <cell r="L20">
            <v>-5.0025520801544188</v>
          </cell>
          <cell r="M20">
            <v>100</v>
          </cell>
        </row>
        <row r="21">
          <cell r="G21" t="str">
            <v>=PHDGetData("192.168.32.16", C21, 'DCS Input Data'!$E$1, 'DCS Input Data'!$E$2, "", "Average", "OVERALL REDUCTION", 0, "Before", UNI_RET_TAG+UNI_RET_DESC+UNI_RET_UNIT+UNI_RET_TIME+UNI_RET_VALUE+UNI_RET_CONF, UNI_NOTHING)</v>
          </cell>
          <cell r="H21" t="str">
            <v>DEGF</v>
          </cell>
          <cell r="I21" t="str">
            <v>GAS TEMP TO HEATER 3A</v>
          </cell>
          <cell r="J21" t="str">
            <v>Average</v>
          </cell>
          <cell r="K21">
            <v>38906.708333333336</v>
          </cell>
          <cell r="L21">
            <v>493.22729226006402</v>
          </cell>
          <cell r="M21">
            <v>100</v>
          </cell>
        </row>
        <row r="22">
          <cell r="G22" t="str">
            <v>=PHDGetData("192.168.32.16", C22, 'DCS Input Data'!$E$1, 'DCS Input Data'!$E$2, "", "Average", "OVERALL REDUCTION", 0, "Before", UNI_RET_TAG+UNI_RET_DESC+UNI_RET_UNIT+UNI_RET_TIME+UNI_RET_VALUE+UNI_RET_CONF, UNI_NOTHING)</v>
          </cell>
          <cell r="H22" t="str">
            <v>DEGF</v>
          </cell>
          <cell r="I22" t="str">
            <v>GAS TEMP TO HEATER 3A</v>
          </cell>
          <cell r="J22" t="str">
            <v>Average</v>
          </cell>
          <cell r="K22">
            <v>38906.708333333336</v>
          </cell>
          <cell r="L22">
            <v>634.86115188598637</v>
          </cell>
          <cell r="M22">
            <v>100</v>
          </cell>
        </row>
        <row r="23">
          <cell r="G23" t="str">
            <v>=PHDGetData("192.168.32.16", C23, 'DCS Input Data'!$E$1, 'DCS Input Data'!$E$2, "", "Average", "OVERALL REDUCTION", 0, "Before", UNI_RET_TAG+UNI_RET_DESC+UNI_RET_UNIT+UNI_RET_TIME+UNI_RET_VALUE+UNI_RET_CONF, UNI_NOTHING)</v>
          </cell>
          <cell r="H23" t="str">
            <v>DEGF</v>
          </cell>
          <cell r="I23" t="str">
            <v>GAS TEMP TO HEATER 3A</v>
          </cell>
          <cell r="J23" t="str">
            <v>Average</v>
          </cell>
          <cell r="K23">
            <v>38906.708333333336</v>
          </cell>
          <cell r="L23">
            <v>631.56646728515625</v>
          </cell>
          <cell r="M23">
            <v>0</v>
          </cell>
        </row>
        <row r="24">
          <cell r="G24" t="str">
            <v>=PHDGetData("192.168.32.16", C24, 'DCS Input Data'!$E$1, 'DCS Input Data'!$E$2, "", "Average", "OVERALL REDUCTION", 0, "Before", UNI_RET_TAG+UNI_RET_DESC+UNI_RET_UNIT+UNI_RET_TIME+UNI_RET_VALUE+UNI_RET_CONF, UNI_NOTHING)</v>
          </cell>
          <cell r="H24" t="str">
            <v>DEGF</v>
          </cell>
          <cell r="I24" t="str">
            <v>GAS TEMP TO HEATER 3B</v>
          </cell>
          <cell r="J24" t="str">
            <v>Average</v>
          </cell>
          <cell r="K24">
            <v>38906.708333333336</v>
          </cell>
          <cell r="L24">
            <v>630.2879638671875</v>
          </cell>
          <cell r="M24">
            <v>0</v>
          </cell>
        </row>
        <row r="25">
          <cell r="G25" t="str">
            <v>=PHDGetData("192.168.32.16", C25, 'DCS Input Data'!$E$1, 'DCS Input Data'!$E$2, "", "Average", "OVERALL REDUCTION", 0, "Before", UNI_RET_TAG+UNI_RET_DESC+UNI_RET_UNIT+UNI_RET_TIME+UNI_RET_VALUE+UNI_RET_CONF, UNI_NOTHING)</v>
          </cell>
          <cell r="H25" t="str">
            <v>DEGF</v>
          </cell>
          <cell r="I25" t="str">
            <v>GAS TEMP TO HEATER 3B</v>
          </cell>
          <cell r="J25" t="str">
            <v>Average</v>
          </cell>
          <cell r="K25">
            <v>38906.708333333336</v>
          </cell>
          <cell r="L25">
            <v>626.08676147460938</v>
          </cell>
          <cell r="M25">
            <v>0</v>
          </cell>
        </row>
        <row r="26">
          <cell r="G26" t="str">
            <v>=PHDGetData("192.168.32.16", C26, 'DCS Input Data'!$E$1, 'DCS Input Data'!$E$2, "", "Average", "OVERALL REDUCTION", 0, "Before", UNI_RET_TAG+UNI_RET_DESC+UNI_RET_UNIT+UNI_RET_TIME+UNI_RET_VALUE+UNI_RET_CONF, UNI_NOTHING)</v>
          </cell>
          <cell r="H26" t="str">
            <v>DEGF</v>
          </cell>
          <cell r="I26" t="str">
            <v>GAS TEMP TO HEATER 3B</v>
          </cell>
          <cell r="J26" t="str">
            <v>Average</v>
          </cell>
          <cell r="K26">
            <v>38906.708333333336</v>
          </cell>
          <cell r="L26">
            <v>630.99860790676541</v>
          </cell>
          <cell r="M26">
            <v>100</v>
          </cell>
        </row>
        <row r="27">
          <cell r="G27" t="str">
            <v>=PHDGetData("192.168.32.16", C27, 'DCS Input Data'!$E$1, 'DCS Input Data'!$E$2, "", "Average", "OVERALL REDUCTION", 0, "Before", UNI_RET_TAG+UNI_RET_DESC+UNI_RET_UNIT+UNI_RET_TIME+UNI_RET_VALUE+UNI_RET_CONF, UNI_NOTHING)</v>
          </cell>
          <cell r="H27" t="str">
            <v>DEGF</v>
          </cell>
          <cell r="I27" t="str">
            <v>GAS TEMP TO HEATER 3B</v>
          </cell>
          <cell r="J27" t="str">
            <v>Average</v>
          </cell>
          <cell r="K27">
            <v>38906.708333333336</v>
          </cell>
          <cell r="L27">
            <v>634.14891815185547</v>
          </cell>
          <cell r="M27">
            <v>100</v>
          </cell>
        </row>
        <row r="28">
          <cell r="G28" t="str">
            <v>=PHDGetData("192.168.32.16", C28, 'DCS Input Data'!$E$1, 'DCS Input Data'!$E$2, "", "Average", "OVERALL REDUCTION", 0, "Before", UNI_RET_TAG+UNI_RET_DESC+UNI_RET_UNIT+UNI_RET_TIME+UNI_RET_VALUE+UNI_RET_CONF, UNI_NOTHING)</v>
          </cell>
          <cell r="H28" t="str">
            <v>DEGF</v>
          </cell>
          <cell r="I28" t="str">
            <v>GAS TEMP TO HEATER 3B</v>
          </cell>
          <cell r="J28" t="str">
            <v>Average</v>
          </cell>
          <cell r="K28">
            <v>38906.708333333336</v>
          </cell>
          <cell r="L28">
            <v>630.61977767944336</v>
          </cell>
          <cell r="M28">
            <v>100</v>
          </cell>
        </row>
        <row r="29">
          <cell r="G29" t="str">
            <v>=PHDGetData("192.168.32.16", C29, 'DCS Input Data'!$E$1, 'DCS Input Data'!$E$2, "", "Average", "OVERALL REDUCTION", 0, "Before", UNI_RET_TAG+UNI_RET_DESC+UNI_RET_UNIT+UNI_RET_TIME+UNI_RET_VALUE+UNI_RET_CONF, UNI_NOTHING)</v>
          </cell>
          <cell r="H29" t="str">
            <v>INWG</v>
          </cell>
          <cell r="I29" t="str">
            <v>AIR PRHT 3B IN FLUGAS PR</v>
          </cell>
          <cell r="J29" t="str">
            <v>Average</v>
          </cell>
          <cell r="K29">
            <v>38906.708333333336</v>
          </cell>
          <cell r="L29">
            <v>17.935299587249755</v>
          </cell>
          <cell r="M29">
            <v>100</v>
          </cell>
        </row>
        <row r="30">
          <cell r="G30" t="str">
            <v>=PHDGetData("192.168.32.16", C30, 'DCS Input Data'!$E$1, 'DCS Input Data'!$E$2, "", "Average", "OVERALL REDUCTION", 0, "Before", UNI_RET_TAG+UNI_RET_DESC+UNI_RET_UNIT+UNI_RET_TIME+UNI_RET_VALUE+UNI_RET_CONF, UNI_NOTHING)</v>
          </cell>
          <cell r="H30" t="str">
            <v>INWG</v>
          </cell>
          <cell r="I30" t="str">
            <v>AIR PRHT 3B IN FLUGAS PR</v>
          </cell>
          <cell r="J30" t="str">
            <v>Average</v>
          </cell>
          <cell r="K30">
            <v>38906.708333333336</v>
          </cell>
          <cell r="L30">
            <v>18.165007527669271</v>
          </cell>
          <cell r="M30">
            <v>100</v>
          </cell>
        </row>
        <row r="31">
          <cell r="G31" t="str">
            <v>=PHDGetData("192.168.32.16", C31, 'DCS Input Data'!$E$1, 'DCS Input Data'!$E$2, "", "Average", "OVERALL REDUCTION", 0, "Before", UNI_RET_TAG+UNI_RET_DESC+UNI_RET_UNIT+UNI_RET_TIME+UNI_RET_VALUE+UNI_RET_CONF, UNI_NOTHING)</v>
          </cell>
          <cell r="H31" t="str">
            <v>DEGF</v>
          </cell>
          <cell r="I31" t="str">
            <v>AIRHTR 3A OT FLUGAS TEMP</v>
          </cell>
          <cell r="J31" t="str">
            <v>Average</v>
          </cell>
          <cell r="K31">
            <v>38906.708333333336</v>
          </cell>
          <cell r="L31">
            <v>306.41910807291669</v>
          </cell>
          <cell r="M31">
            <v>100</v>
          </cell>
        </row>
        <row r="32">
          <cell r="G32" t="str">
            <v>=PHDGetData("192.168.32.16", C32, 'DCS Input Data'!$E$1, 'DCS Input Data'!$E$2, "", "Average", "OVERALL REDUCTION", 0, "Before", UNI_RET_TAG+UNI_RET_DESC+UNI_RET_UNIT+UNI_RET_TIME+UNI_RET_VALUE+UNI_RET_CONF, UNI_NOTHING)</v>
          </cell>
          <cell r="H32" t="str">
            <v>DEGF</v>
          </cell>
          <cell r="I32" t="str">
            <v>AIRHTR 3B OT FLUGAS TEMP</v>
          </cell>
          <cell r="J32" t="str">
            <v>Average</v>
          </cell>
          <cell r="K32">
            <v>38906.708333333336</v>
          </cell>
          <cell r="L32">
            <v>324.7740427652995</v>
          </cell>
          <cell r="M32">
            <v>100</v>
          </cell>
        </row>
        <row r="33">
          <cell r="G33" t="str">
            <v>=PHDGetData("192.168.32.16", C33, 'DCS Input Data'!$E$1, 'DCS Input Data'!$E$2, "", "Average", "OVERALL REDUCTION", 0, "Before", UNI_RET_TAG+UNI_RET_DESC+UNI_RET_UNIT+UNI_RET_TIME+UNI_RET_VALUE+UNI_RET_CONF, UNI_NOTHING)</v>
          </cell>
          <cell r="H33" t="str">
            <v>INWG</v>
          </cell>
          <cell r="I33" t="str">
            <v>AIR PRHT 3A OT FLUGAS PR</v>
          </cell>
          <cell r="J33" t="str">
            <v>Average</v>
          </cell>
          <cell r="K33">
            <v>38906.708333333336</v>
          </cell>
          <cell r="L33">
            <v>26.869386831919353</v>
          </cell>
          <cell r="M33">
            <v>100</v>
          </cell>
        </row>
        <row r="34">
          <cell r="G34" t="str">
            <v>=PHDGetData("192.168.32.16", C34, 'DCS Input Data'!$E$1, 'DCS Input Data'!$E$2, "", "Average", "OVERALL REDUCTION", 0, "Before", UNI_RET_TAG+UNI_RET_DESC+UNI_RET_UNIT+UNI_RET_TIME+UNI_RET_VALUE+UNI_RET_CONF, UNI_NOTHING)</v>
          </cell>
          <cell r="H34" t="str">
            <v>INWG</v>
          </cell>
          <cell r="I34" t="str">
            <v>AIR HTR 3B OUT FLUE GAS</v>
          </cell>
          <cell r="J34" t="str">
            <v>Average</v>
          </cell>
          <cell r="K34">
            <v>38906.708333333336</v>
          </cell>
          <cell r="L34">
            <v>28.401844120025636</v>
          </cell>
          <cell r="M34">
            <v>100</v>
          </cell>
        </row>
        <row r="35">
          <cell r="G35" t="str">
            <v>=PHDGetData("192.168.32.16", C35, 'DCS Input Data'!$E$1, 'DCS Input Data'!$E$2, "", "Average", "OVERALL REDUCTION", 0, "Before", UNI_RET_TAG+UNI_RET_DESC+UNI_RET_UNIT+UNI_RET_TIME+UNI_RET_VALUE+UNI_RET_CONF, UNI_NOTHING)</v>
          </cell>
          <cell r="H35" t="str">
            <v>DEGF</v>
          </cell>
          <cell r="I35" t="str">
            <v>COND PUMP 3A SUCT TEMP</v>
          </cell>
          <cell r="J35" t="str">
            <v>Average</v>
          </cell>
          <cell r="K35">
            <v>38906.708333333336</v>
          </cell>
          <cell r="L35">
            <v>122.45210647583008</v>
          </cell>
          <cell r="M35">
            <v>100</v>
          </cell>
        </row>
        <row r="36">
          <cell r="G36" t="str">
            <v>=PHDGetData("192.168.32.16", C36, 'DCS Input Data'!$E$1, 'DCS Input Data'!$E$2, "", "Average", "OVERALL REDUCTION", 0, "Before", UNI_RET_TAG+UNI_RET_DESC+UNI_RET_UNIT+UNI_RET_TIME+UNI_RET_VALUE+UNI_RET_CONF, UNI_NOTHING)</v>
          </cell>
          <cell r="H36" t="str">
            <v>DEGF</v>
          </cell>
          <cell r="I36" t="str">
            <v>COND PUMP 3B SUCT TEMP</v>
          </cell>
          <cell r="J36" t="str">
            <v>Average</v>
          </cell>
          <cell r="K36">
            <v>38906.708333333336</v>
          </cell>
          <cell r="L36">
            <v>122.33963012695313</v>
          </cell>
          <cell r="M36">
            <v>100</v>
          </cell>
        </row>
        <row r="37">
          <cell r="G37" t="str">
            <v>=PHDGetData("192.168.32.16", C37, 'DCS Input Data'!$E$1, 'DCS Input Data'!$E$2, "", "Average", "OVERALL REDUCTION", 0, "Before", UNI_RET_TAG+UNI_RET_DESC+UNI_RET_UNIT+UNI_RET_TIME+UNI_RET_VALUE+UNI_RET_CONF, UNI_NOTHING)</v>
          </cell>
          <cell r="H37" t="str">
            <v>PSIG</v>
          </cell>
          <cell r="I37" t="str">
            <v>CONDENSATE HEADER PRESS</v>
          </cell>
          <cell r="J37" t="str">
            <v>Average</v>
          </cell>
          <cell r="K37">
            <v>38906.708333333336</v>
          </cell>
          <cell r="L37">
            <v>355.62936808268228</v>
          </cell>
          <cell r="M37">
            <v>100</v>
          </cell>
        </row>
        <row r="38">
          <cell r="G38" t="str">
            <v>=PHDGetData("192.168.32.16", C38, 'DCS Input Data'!$E$1, 'DCS Input Data'!$E$2, "", "Average", "OVERALL REDUCTION", 0, "Before", UNI_RET_TAG+UNI_RET_DESC+UNI_RET_UNIT+UNI_RET_TIME+UNI_RET_VALUE+UNI_RET_CONF, UNI_NOTHING)</v>
          </cell>
          <cell r="H38" t="str">
            <v>DEGF</v>
          </cell>
          <cell r="I38" t="str">
            <v>FWHTR 36 COND IN TEMP</v>
          </cell>
          <cell r="J38" t="str">
            <v>Average</v>
          </cell>
          <cell r="K38">
            <v>38906.708333333336</v>
          </cell>
          <cell r="L38">
            <v>124.36077880859375</v>
          </cell>
          <cell r="M38">
            <v>100</v>
          </cell>
        </row>
        <row r="39">
          <cell r="G39" t="str">
            <v>=PHDGetData("192.168.32.16", C39, 'DCS Input Data'!$E$1, 'DCS Input Data'!$E$2, "", "Average", "OVERALL REDUCTION", 0, "Before", UNI_RET_TAG+UNI_RET_DESC+UNI_RET_UNIT+UNI_RET_TIME+UNI_RET_VALUE+UNI_RET_CONF, UNI_NOTHING)</v>
          </cell>
          <cell r="H39" t="str">
            <v>DEGF</v>
          </cell>
          <cell r="I39" t="str">
            <v>FWHTR 35 COND IN TEMP</v>
          </cell>
          <cell r="J39" t="str">
            <v>Average</v>
          </cell>
          <cell r="K39">
            <v>38906.708333333336</v>
          </cell>
          <cell r="L39">
            <v>177.51473185221354</v>
          </cell>
          <cell r="M39">
            <v>100</v>
          </cell>
        </row>
        <row r="40">
          <cell r="G40" t="str">
            <v>=PHDGetData("192.168.32.16", C40, 'DCS Input Data'!$E$1, 'DCS Input Data'!$E$2, "", "Average", "OVERALL REDUCTION", 0, "Before", UNI_RET_TAG+UNI_RET_DESC+UNI_RET_UNIT+UNI_RET_TIME+UNI_RET_VALUE+UNI_RET_CONF, UNI_NOTHING)</v>
          </cell>
          <cell r="H40" t="str">
            <v>DEGF</v>
          </cell>
          <cell r="I40" t="str">
            <v>FWHTR 34 COND IN TEMP</v>
          </cell>
          <cell r="J40" t="str">
            <v>Average</v>
          </cell>
          <cell r="K40">
            <v>38906.708333333336</v>
          </cell>
          <cell r="L40">
            <v>242.40965627034504</v>
          </cell>
          <cell r="M40">
            <v>100</v>
          </cell>
        </row>
        <row r="41">
          <cell r="G41" t="str">
            <v>=PHDGetData("192.168.32.16", C41, 'DCS Input Data'!$E$1, 'DCS Input Data'!$E$2, "", "Average", "OVERALL REDUCTION", 0, "Before", UNI_RET_TAG+UNI_RET_DESC+UNI_RET_UNIT+UNI_RET_TIME+UNI_RET_VALUE+UNI_RET_CONF, UNI_NOTHING)</v>
          </cell>
          <cell r="H41" t="str">
            <v>DEGF</v>
          </cell>
          <cell r="I41" t="str">
            <v>DEAREATOR COND IN TEMP</v>
          </cell>
          <cell r="J41" t="str">
            <v>Average</v>
          </cell>
          <cell r="K41">
            <v>38906.708333333336</v>
          </cell>
          <cell r="L41">
            <v>299.61233673095705</v>
          </cell>
          <cell r="M41">
            <v>100</v>
          </cell>
        </row>
        <row r="42">
          <cell r="G42" t="str">
            <v>=PHDGetData("192.168.32.16", C42, 'DCS Input Data'!$E$1, 'DCS Input Data'!$E$2, "", "Average", "OVERALL REDUCTION", 0, "Before", UNI_RET_TAG+UNI_RET_DESC+UNI_RET_UNIT+UNI_RET_TIME+UNI_RET_VALUE+UNI_RET_CONF, UNI_NOTHING)</v>
          </cell>
          <cell r="H42" t="str">
            <v>DEGF</v>
          </cell>
          <cell r="I42" t="str">
            <v>DEA OUTLET WATER TEMP</v>
          </cell>
          <cell r="J42" t="str">
            <v>Average</v>
          </cell>
          <cell r="K42">
            <v>38906.708333333336</v>
          </cell>
          <cell r="L42">
            <v>376.0406463623047</v>
          </cell>
          <cell r="M42">
            <v>100</v>
          </cell>
        </row>
        <row r="43">
          <cell r="G43" t="str">
            <v>=PHDGetData("192.168.32.16", C43, 'DCS Input Data'!$E$1, 'DCS Input Data'!$E$2, "", "Average", "OVERALL REDUCTION", 0, "Before", UNI_RET_TAG+UNI_RET_DESC+UNI_RET_UNIT+UNI_RET_TIME+UNI_RET_VALUE+UNI_RET_CONF, UNI_NOTHING)</v>
          </cell>
          <cell r="H43" t="str">
            <v>KPPH</v>
          </cell>
          <cell r="I43" t="str">
            <v>WATER TO DEAREATOR FLOW</v>
          </cell>
          <cell r="J43" t="str">
            <v>Average</v>
          </cell>
          <cell r="K43">
            <v>38906.708333333336</v>
          </cell>
          <cell r="L43">
            <v>1738.2004007975261</v>
          </cell>
          <cell r="M43">
            <v>100</v>
          </cell>
        </row>
        <row r="45">
          <cell r="G45" t="str">
            <v>=PHDGetData("192.168.32.16", C45, 'DCS Input Data'!$E$1, 'DCS Input Data'!$E$2, "", "Average", "OVERALL REDUCTION", 0, "Before", UNI_RET_TAG+UNI_RET_DESC+UNI_RET_UNIT+UNI_RET_TIME+UNI_RET_VALUE+UNI_RET_CONF, UNI_NOTHING)</v>
          </cell>
          <cell r="H45" t="str">
            <v>DEGF</v>
          </cell>
          <cell r="I45" t="str">
            <v>BFP3 DISCHARGE FW TEMP</v>
          </cell>
          <cell r="J45" t="str">
            <v>Average</v>
          </cell>
          <cell r="K45">
            <v>38906.708333333336</v>
          </cell>
          <cell r="L45">
            <v>383.11655324300131</v>
          </cell>
          <cell r="M45">
            <v>100</v>
          </cell>
        </row>
        <row r="46">
          <cell r="G46" t="str">
            <v>=PHDGetData("192.168.32.16", C46, 'DCS Input Data'!$E$1, 'DCS Input Data'!$E$2, "", "Average", "OVERALL REDUCTION", 0, "Before", UNI_RET_TAG+UNI_RET_DESC+UNI_RET_UNIT+UNI_RET_TIME+UNI_RET_VALUE+UNI_RET_CONF, UNI_NOTHING)</v>
          </cell>
          <cell r="H46" t="str">
            <v>DEGF</v>
          </cell>
          <cell r="I46" t="str">
            <v>FWHTR 32 FEEDWTR IN TEMP</v>
          </cell>
          <cell r="J46" t="str">
            <v>Average</v>
          </cell>
          <cell r="K46">
            <v>38906.708333333336</v>
          </cell>
          <cell r="L46">
            <v>383.65053812662762</v>
          </cell>
          <cell r="M46">
            <v>100</v>
          </cell>
        </row>
        <row r="47">
          <cell r="G47" t="str">
            <v>=PHDGetData("192.168.32.16", C47, 'DCS Input Data'!$E$1, 'DCS Input Data'!$E$2, "", "Average", "OVERALL REDUCTION", 0, "Before", UNI_RET_TAG+UNI_RET_DESC+UNI_RET_UNIT+UNI_RET_TIME+UNI_RET_VALUE+UNI_RET_CONF, UNI_NOTHING)</v>
          </cell>
          <cell r="H47" t="str">
            <v>DEGF</v>
          </cell>
          <cell r="I47" t="str">
            <v>FWHTR 31 FEEDWTR IN TEMP</v>
          </cell>
          <cell r="J47" t="str">
            <v>Average</v>
          </cell>
          <cell r="K47">
            <v>38906.708333333336</v>
          </cell>
          <cell r="L47">
            <v>408.49393717447919</v>
          </cell>
          <cell r="M47">
            <v>100</v>
          </cell>
        </row>
        <row r="48">
          <cell r="G48" t="str">
            <v>=PHDGetData("192.168.32.16", C48, 'DCS Input Data'!$E$1, 'DCS Input Data'!$E$2, "", "Average", "OVERALL REDUCTION", 0, "Before", UNI_RET_TAG+UNI_RET_DESC+UNI_RET_UNIT+UNI_RET_TIME+UNI_RET_VALUE+UNI_RET_CONF, UNI_NOTHING)</v>
          </cell>
          <cell r="H48" t="str">
            <v>DEGF</v>
          </cell>
          <cell r="I48" t="str">
            <v>FWHTR 31 OUTLET FW TEMP</v>
          </cell>
          <cell r="J48" t="str">
            <v>Average</v>
          </cell>
          <cell r="K48">
            <v>38906.708333333336</v>
          </cell>
          <cell r="L48">
            <v>467.27963155110677</v>
          </cell>
          <cell r="M48">
            <v>100</v>
          </cell>
        </row>
        <row r="49">
          <cell r="G49" t="str">
            <v>=PHDGetData("192.168.32.16", C49, 'DCS Input Data'!$E$1, 'DCS Input Data'!$E$2, "", "Average", "OVERALL REDUCTION", 0, "Before", UNI_RET_TAG+UNI_RET_DESC+UNI_RET_UNIT+UNI_RET_TIME+UNI_RET_VALUE+UNI_RET_CONF, UNI_NOTHING)</v>
          </cell>
          <cell r="H49" t="str">
            <v>DEGF</v>
          </cell>
          <cell r="I49" t="str">
            <v>ECON FEEDWATER IN TEMP</v>
          </cell>
          <cell r="J49" t="str">
            <v>Average</v>
          </cell>
          <cell r="K49">
            <v>38906.708333333336</v>
          </cell>
          <cell r="L49">
            <v>460.05247141520181</v>
          </cell>
          <cell r="M49">
            <v>100</v>
          </cell>
        </row>
        <row r="50">
          <cell r="G50" t="str">
            <v>=PHDGetData("192.168.32.16", C50, 'DCS Input Data'!$E$1, 'DCS Input Data'!$E$2, "", "Average", "OVERALL REDUCTION", 0, "Before", UNI_RET_TAG+UNI_RET_DESC+UNI_RET_UNIT+UNI_RET_TIME+UNI_RET_VALUE+UNI_RET_CONF, UNI_NOTHING)</v>
          </cell>
          <cell r="H50" t="str">
            <v>DEGF</v>
          </cell>
          <cell r="I50" t="str">
            <v>ECON FW EAST OUT TEMP</v>
          </cell>
          <cell r="J50" t="str">
            <v>Average</v>
          </cell>
          <cell r="K50">
            <v>38906.708333333336</v>
          </cell>
          <cell r="L50">
            <v>527.09891866048179</v>
          </cell>
          <cell r="M50">
            <v>100</v>
          </cell>
        </row>
        <row r="51">
          <cell r="G51" t="str">
            <v>=PHDGetData("192.168.32.16", C51, 'DCS Input Data'!$E$1, 'DCS Input Data'!$E$2, "", "Average", "OVERALL REDUCTION", 0, "Before", UNI_RET_TAG+UNI_RET_DESC+UNI_RET_UNIT+UNI_RET_TIME+UNI_RET_VALUE+UNI_RET_CONF, UNI_NOTHING)</v>
          </cell>
          <cell r="H51" t="str">
            <v>DEGF</v>
          </cell>
          <cell r="I51" t="str">
            <v>ECON FW WEST OUT TEMP</v>
          </cell>
          <cell r="J51" t="str">
            <v>Average</v>
          </cell>
          <cell r="K51">
            <v>38906.708333333336</v>
          </cell>
          <cell r="L51">
            <v>512.24968109130862</v>
          </cell>
          <cell r="M51">
            <v>100</v>
          </cell>
        </row>
        <row r="52">
          <cell r="G52" t="str">
            <v>=PHDGetData("192.168.32.16", C52, 'DCS Input Data'!$E$1, 'DCS Input Data'!$E$2, "", "Average", "OVERALL REDUCTION", 0, "Before", UNI_RET_TAG+UNI_RET_DESC+UNI_RET_UNIT+UNI_RET_TIME+UNI_RET_VALUE+UNI_RET_CONF, UNI_NOTHING)</v>
          </cell>
          <cell r="H52" t="str">
            <v>PSIG</v>
          </cell>
          <cell r="I52" t="str">
            <v>BFP DISCHARGE PRESSURE</v>
          </cell>
          <cell r="J52" t="str">
            <v>Average</v>
          </cell>
          <cell r="K52">
            <v>38906.708333333336</v>
          </cell>
          <cell r="L52">
            <v>2291.588651529948</v>
          </cell>
          <cell r="M52">
            <v>100</v>
          </cell>
        </row>
        <row r="53">
          <cell r="G53" t="str">
            <v>=PHDGetData("192.168.32.16", C53, 'DCS Input Data'!$E$1, 'DCS Input Data'!$E$2, "", "Average", "OVERALL REDUCTION", 0, "Before", UNI_RET_TAG+UNI_RET_DESC+UNI_RET_UNIT+UNI_RET_TIME+UNI_RET_VALUE+UNI_RET_CONF, UNI_NOTHING)</v>
          </cell>
          <cell r="H53" t="str">
            <v>PSIG</v>
          </cell>
          <cell r="I53" t="str">
            <v>ECON INLET FW PRESSURE</v>
          </cell>
          <cell r="J53" t="str">
            <v>Average</v>
          </cell>
          <cell r="K53">
            <v>38906.708333333336</v>
          </cell>
          <cell r="L53">
            <v>2212.6755696614582</v>
          </cell>
          <cell r="M53">
            <v>100</v>
          </cell>
        </row>
        <row r="54">
          <cell r="G54" t="str">
            <v>=PHDGetData("192.168.32.16", C54, 'DCS Input Data'!$E$1, 'DCS Input Data'!$E$2, "", "Average", "OVERALL REDUCTION", 0, "Before", UNI_RET_TAG+UNI_RET_DESC+UNI_RET_UNIT+UNI_RET_TIME+UNI_RET_VALUE+UNI_RET_CONF, UNI_NOTHING)</v>
          </cell>
          <cell r="H54" t="str">
            <v>KPPH</v>
          </cell>
          <cell r="I54" t="str">
            <v>FEEDWATER FLOW XMTR B</v>
          </cell>
          <cell r="J54" t="str">
            <v>Average</v>
          </cell>
          <cell r="K54">
            <v>38906.708333333336</v>
          </cell>
          <cell r="L54">
            <v>1965.1762430826823</v>
          </cell>
          <cell r="M54">
            <v>100</v>
          </cell>
        </row>
        <row r="55">
          <cell r="G55" t="str">
            <v>=PHDGetData("192.168.32.16", C55, 'DCS Input Data'!$E$1, 'DCS Input Data'!$E$2, "", "Average", "OVERALL REDUCTION", 0, "Before", UNI_RET_TAG+UNI_RET_DESC+UNI_RET_UNIT+UNI_RET_TIME+UNI_RET_VALUE+UNI_RET_CONF, UNI_NOTHING)</v>
          </cell>
          <cell r="H55" t="str">
            <v>INHG</v>
          </cell>
          <cell r="I55" t="str">
            <v>CONDENSER BACKPRESSURE</v>
          </cell>
          <cell r="J55" t="str">
            <v>Average</v>
          </cell>
          <cell r="K55">
            <v>38906.708333333336</v>
          </cell>
          <cell r="L55">
            <v>3.3569846153259277</v>
          </cell>
          <cell r="M55">
            <v>100</v>
          </cell>
        </row>
        <row r="56">
          <cell r="G56" t="str">
            <v>=PHDGetData("192.168.32.16", C56, 'DCS Input Data'!$E$1, 'DCS Input Data'!$E$2, "", "Average", "OVERALL REDUCTION", 0, "Before", UNI_RET_TAG+UNI_RET_DESC+UNI_RET_UNIT+UNI_RET_TIME+UNI_RET_VALUE+UNI_RET_CONF, UNI_NOTHING)</v>
          </cell>
          <cell r="H56" t="str">
            <v>MW</v>
          </cell>
          <cell r="I56" t="str">
            <v>GEN GROSS MW</v>
          </cell>
          <cell r="J56" t="str">
            <v>Average</v>
          </cell>
          <cell r="K56">
            <v>38906.708333333336</v>
          </cell>
          <cell r="L56">
            <v>284.99747645060222</v>
          </cell>
          <cell r="M56">
            <v>100</v>
          </cell>
        </row>
        <row r="57">
          <cell r="G57" t="str">
            <v>=PHDGetData("192.168.32.16", C57, 'DCS Input Data'!$E$1, 'DCS Input Data'!$E$2, "", "Average", "OVERALL REDUCTION", 0, "Before", UNI_RET_TAG+UNI_RET_DESC+UNI_RET_UNIT+UNI_RET_TIME+UNI_RET_VALUE+UNI_RET_CONF, UNI_NOTHING)</v>
          </cell>
          <cell r="H57" t="str">
            <v>MVAR</v>
          </cell>
          <cell r="I57" t="str">
            <v>GENERATOR MEGAVARS</v>
          </cell>
          <cell r="J57" t="str">
            <v>Average</v>
          </cell>
          <cell r="K57">
            <v>38906.708333333336</v>
          </cell>
          <cell r="L57">
            <v>86.843930816650385</v>
          </cell>
          <cell r="M57">
            <v>100</v>
          </cell>
        </row>
        <row r="58">
          <cell r="G58" t="str">
            <v>=PHDGetData("192.168.32.16", C58, 'DCS Input Data'!$E$1, 'DCS Input Data'!$E$2, "", "Average", "OVERALL REDUCTION", 0, "Before", UNI_RET_TAG+UNI_RET_DESC+UNI_RET_UNIT+UNI_RET_TIME+UNI_RET_VALUE+UNI_RET_CONF, UNI_NOTHING)</v>
          </cell>
          <cell r="H58" t="str">
            <v>MW</v>
          </cell>
          <cell r="I58" t="str">
            <v>UNIT AUX. XFMR MEGAWATTS</v>
          </cell>
          <cell r="J58" t="str">
            <v>Average</v>
          </cell>
          <cell r="K58">
            <v>38906.708333333336</v>
          </cell>
          <cell r="L58">
            <v>9.6129369735717773</v>
          </cell>
          <cell r="M58">
            <v>100</v>
          </cell>
        </row>
        <row r="59">
          <cell r="G59" t="str">
            <v>=PHDGetData("192.168.32.16", C59, 'DCS Input Data'!$E$1, 'DCS Input Data'!$E$2, "", "Average", "OVERALL REDUCTION", 0, "Before", UNI_RET_TAG+UNI_RET_DESC+UNI_RET_UNIT+UNI_RET_TIME+UNI_RET_VALUE+UNI_RET_CONF, UNI_NOTHING)</v>
          </cell>
          <cell r="H59" t="str">
            <v>MW</v>
          </cell>
          <cell r="I59" t="str">
            <v>R.S. XFMR MEGAWATTS</v>
          </cell>
          <cell r="J59" t="str">
            <v>Average</v>
          </cell>
          <cell r="K59">
            <v>38906.708333333336</v>
          </cell>
          <cell r="L59">
            <v>0.15234375</v>
          </cell>
          <cell r="M59">
            <v>100</v>
          </cell>
        </row>
        <row r="60">
          <cell r="G60" t="str">
            <v>=PHDGetData("192.168.32.16", C60, 'DCS Input Data'!$E$1, 'DCS Input Data'!$E$2, "", "Average", "OVERALL REDUCTION", 0, "Before", UNI_RET_TAG+UNI_RET_DESC+UNI_RET_UNIT+UNI_RET_TIME+UNI_RET_VALUE+UNI_RET_CONF, UNI_NOTHING)</v>
          </cell>
          <cell r="H60" t="str">
            <v>DEGF</v>
          </cell>
          <cell r="I60" t="str">
            <v>PULV 3A COAL-AIR TEMP</v>
          </cell>
          <cell r="J60" t="str">
            <v>Average</v>
          </cell>
          <cell r="K60">
            <v>38906.708333333336</v>
          </cell>
          <cell r="L60">
            <v>144.98988444010416</v>
          </cell>
          <cell r="M60">
            <v>100</v>
          </cell>
        </row>
        <row r="61">
          <cell r="G61" t="str">
            <v>=PHDGetData("192.168.32.16", C61, 'DCS Input Data'!$E$1, 'DCS Input Data'!$E$2, "", "Average", "OVERALL REDUCTION", 0, "Before", UNI_RET_TAG+UNI_RET_DESC+UNI_RET_UNIT+UNI_RET_TIME+UNI_RET_VALUE+UNI_RET_CONF, UNI_NOTHING)</v>
          </cell>
          <cell r="H61" t="str">
            <v>DEGF</v>
          </cell>
          <cell r="I61" t="str">
            <v>PULV 3B COAL-AIR TEMP</v>
          </cell>
          <cell r="J61" t="str">
            <v>Average</v>
          </cell>
          <cell r="K61">
            <v>38906.708333333336</v>
          </cell>
          <cell r="L61">
            <v>145.00868326822916</v>
          </cell>
          <cell r="M61">
            <v>100</v>
          </cell>
        </row>
        <row r="62">
          <cell r="G62" t="str">
            <v>=PHDGetData("192.168.32.16", C62, 'DCS Input Data'!$E$1, 'DCS Input Data'!$E$2, "", "Average", "OVERALL REDUCTION", 0, "Before", UNI_RET_TAG+UNI_RET_DESC+UNI_RET_UNIT+UNI_RET_TIME+UNI_RET_VALUE+UNI_RET_CONF, UNI_NOTHING)</v>
          </cell>
          <cell r="H62" t="str">
            <v>DEGF</v>
          </cell>
          <cell r="I62" t="str">
            <v>PULV 3C COAL-AIR TEMP</v>
          </cell>
          <cell r="J62" t="str">
            <v>Average</v>
          </cell>
          <cell r="K62">
            <v>38906.708333333336</v>
          </cell>
          <cell r="L62">
            <v>144.98954925537109</v>
          </cell>
          <cell r="M62">
            <v>100</v>
          </cell>
        </row>
        <row r="63">
          <cell r="G63" t="str">
            <v>=PHDGetData("192.168.32.16", C63, 'DCS Input Data'!$E$1, 'DCS Input Data'!$E$2, "", "Average", "OVERALL REDUCTION", 0, "Before", UNI_RET_TAG+UNI_RET_DESC+UNI_RET_UNIT+UNI_RET_TIME+UNI_RET_VALUE+UNI_RET_CONF, UNI_NOTHING)</v>
          </cell>
          <cell r="H63" t="str">
            <v>DEGF</v>
          </cell>
          <cell r="I63" t="str">
            <v>PULV 3D COAL-AIR TEMP</v>
          </cell>
          <cell r="J63" t="str">
            <v>Average</v>
          </cell>
          <cell r="K63">
            <v>38906.708333333336</v>
          </cell>
          <cell r="L63">
            <v>144.95888773600259</v>
          </cell>
          <cell r="M63">
            <v>100</v>
          </cell>
        </row>
        <row r="64">
          <cell r="G64" t="str">
            <v>=PHDGetData("192.168.32.16", C64, 'DCS Input Data'!$E$1, 'DCS Input Data'!$E$2, "", "Average", "OVERALL REDUCTION", 0, "Before", UNI_RET_TAG+UNI_RET_DESC+UNI_RET_UNIT+UNI_RET_TIME+UNI_RET_VALUE+UNI_RET_CONF, UNI_NOTHING)</v>
          </cell>
          <cell r="H64" t="str">
            <v>DEGF</v>
          </cell>
          <cell r="I64" t="str">
            <v>PULV 3E COAL-AIR TEMP</v>
          </cell>
          <cell r="J64" t="str">
            <v>Average</v>
          </cell>
          <cell r="K64">
            <v>38906.708333333336</v>
          </cell>
          <cell r="L64">
            <v>144.93505401611327</v>
          </cell>
          <cell r="M64">
            <v>100</v>
          </cell>
        </row>
        <row r="65">
          <cell r="G65" t="str">
            <v>=PHDGetData("192.168.32.16", C65, 'DCS Input Data'!$E$1, 'DCS Input Data'!$E$2, "", "Average", "OVERALL REDUCTION", 0, "Before", UNI_RET_TAG+UNI_RET_DESC+UNI_RET_UNIT+UNI_RET_TIME+UNI_RET_VALUE+UNI_RET_CONF, UNI_NOTHING)</v>
          </cell>
          <cell r="H65" t="str">
            <v>DEGF</v>
          </cell>
          <cell r="I65" t="str">
            <v>PULV 3F COAL-AIR TEMP</v>
          </cell>
          <cell r="J65" t="str">
            <v>Average</v>
          </cell>
          <cell r="K65">
            <v>38906.708333333336</v>
          </cell>
          <cell r="L65">
            <v>145.03139979044596</v>
          </cell>
          <cell r="M65">
            <v>100</v>
          </cell>
        </row>
        <row r="66">
          <cell r="G66" t="str">
            <v>=PHDGetData("192.168.32.16", C66, 'DCS Input Data'!$E$1, 'DCS Input Data'!$E$2, "", "Average", "OVERALL REDUCTION", 0, "Before", UNI_RET_TAG+UNI_RET_DESC+UNI_RET_UNIT+UNI_RET_TIME+UNI_RET_VALUE+UNI_RET_CONF, UNI_NOTHING)</v>
          </cell>
          <cell r="H66" t="str">
            <v>INWG</v>
          </cell>
          <cell r="I66" t="str">
            <v>PA 3A DIFFERENTIAL PRESS</v>
          </cell>
          <cell r="J66" t="str">
            <v>Average</v>
          </cell>
          <cell r="K66">
            <v>38906.708333333336</v>
          </cell>
          <cell r="L66">
            <v>3.3180253065956964</v>
          </cell>
          <cell r="M66">
            <v>100</v>
          </cell>
        </row>
        <row r="67">
          <cell r="G67" t="str">
            <v>=PHDGetData("192.168.32.16", C67, 'DCS Input Data'!$E$1, 'DCS Input Data'!$E$2, "", "Average", "OVERALL REDUCTION", 0, "Before", UNI_RET_TAG+UNI_RET_DESC+UNI_RET_UNIT+UNI_RET_TIME+UNI_RET_VALUE+UNI_RET_CONF, UNI_NOTHING)</v>
          </cell>
          <cell r="H67" t="str">
            <v>INWG</v>
          </cell>
          <cell r="I67" t="str">
            <v>PA 3B DIFFERENTIAL PRESS</v>
          </cell>
          <cell r="J67" t="str">
            <v>Average</v>
          </cell>
          <cell r="K67">
            <v>38906.708333333336</v>
          </cell>
          <cell r="L67">
            <v>3.8710552112923726</v>
          </cell>
          <cell r="M67">
            <v>100</v>
          </cell>
        </row>
        <row r="68">
          <cell r="G68" t="str">
            <v>=PHDGetData("192.168.32.16", C68, 'DCS Input Data'!$E$1, 'DCS Input Data'!$E$2, "", "Average", "OVERALL REDUCTION", 0, "Before", UNI_RET_TAG+UNI_RET_DESC+UNI_RET_UNIT+UNI_RET_TIME+UNI_RET_VALUE+UNI_RET_CONF, UNI_NOTHING)</v>
          </cell>
          <cell r="H68" t="str">
            <v>INWG</v>
          </cell>
          <cell r="I68" t="str">
            <v>PA 3C DIFFERENTIAL PRESS</v>
          </cell>
          <cell r="J68" t="str">
            <v>Average</v>
          </cell>
          <cell r="K68">
            <v>38906.708333333336</v>
          </cell>
          <cell r="L68">
            <v>3.4785076389047833</v>
          </cell>
          <cell r="M68">
            <v>100</v>
          </cell>
        </row>
        <row r="69">
          <cell r="G69" t="str">
            <v>=PHDGetData("192.168.32.16", C69, 'DCS Input Data'!$E$1, 'DCS Input Data'!$E$2, "", "Average", "OVERALL REDUCTION", 0, "Before", UNI_RET_TAG+UNI_RET_DESC+UNI_RET_UNIT+UNI_RET_TIME+UNI_RET_VALUE+UNI_RET_CONF, UNI_NOTHING)</v>
          </cell>
          <cell r="H69" t="str">
            <v>INWG</v>
          </cell>
          <cell r="I69" t="str">
            <v>PA 3D DIFFERENTIAL PRESS</v>
          </cell>
          <cell r="J69" t="str">
            <v>Average</v>
          </cell>
          <cell r="K69">
            <v>38906.708333333336</v>
          </cell>
          <cell r="L69">
            <v>3.3232305966483224</v>
          </cell>
          <cell r="M69">
            <v>100</v>
          </cell>
        </row>
        <row r="70">
          <cell r="G70" t="str">
            <v>=PHDGetData("192.168.32.16", C70, 'DCS Input Data'!$E$1, 'DCS Input Data'!$E$2, "", "Average", "OVERALL REDUCTION", 0, "Before", UNI_RET_TAG+UNI_RET_DESC+UNI_RET_UNIT+UNI_RET_TIME+UNI_RET_VALUE+UNI_RET_CONF, UNI_NOTHING)</v>
          </cell>
          <cell r="H70" t="str">
            <v>INWG</v>
          </cell>
          <cell r="I70" t="str">
            <v>PA 3E DIFFERENTIAL PRESS</v>
          </cell>
          <cell r="J70" t="str">
            <v>Average</v>
          </cell>
          <cell r="K70">
            <v>38906.708333333336</v>
          </cell>
          <cell r="L70">
            <v>3.4321974341736898</v>
          </cell>
          <cell r="M70">
            <v>100</v>
          </cell>
        </row>
        <row r="71">
          <cell r="G71" t="str">
            <v>=PHDGetData("192.168.32.16", C71, 'DCS Input Data'!$E$1, 'DCS Input Data'!$E$2, "", "Average", "OVERALL REDUCTION", 0, "Before", UNI_RET_TAG+UNI_RET_DESC+UNI_RET_UNIT+UNI_RET_TIME+UNI_RET_VALUE+UNI_RET_CONF, UNI_NOTHING)</v>
          </cell>
          <cell r="H71" t="str">
            <v>INWG</v>
          </cell>
          <cell r="I71" t="str">
            <v>PA 3F DIFFERENTIAL PRESS</v>
          </cell>
          <cell r="J71" t="str">
            <v>Average</v>
          </cell>
          <cell r="K71">
            <v>38906.708333333336</v>
          </cell>
          <cell r="L71">
            <v>2.9299862276845507</v>
          </cell>
          <cell r="M71">
            <v>100</v>
          </cell>
        </row>
        <row r="72">
          <cell r="G72" t="str">
            <v>=PHDGetData("192.168.32.16", C72, 'DCS Input Data'!$E$1, 'DCS Input Data'!$E$2, "", "Average", "OVERALL REDUCTION", 0, "Before", UNI_RET_TAG+UNI_RET_DESC+UNI_RET_UNIT+UNI_RET_TIME+UNI_RET_VALUE+UNI_RET_CONF, UNI_NOTHING)</v>
          </cell>
          <cell r="H72" t="str">
            <v>INWG</v>
          </cell>
          <cell r="I72" t="str">
            <v>PULV3A DIFFERENTIAL PRES</v>
          </cell>
          <cell r="J72" t="str">
            <v>Average</v>
          </cell>
          <cell r="K72">
            <v>38906.708333333336</v>
          </cell>
          <cell r="L72">
            <v>16.416795333226521</v>
          </cell>
          <cell r="M72">
            <v>100</v>
          </cell>
        </row>
        <row r="73">
          <cell r="G73" t="str">
            <v>=PHDGetData("192.168.32.16", C73, 'DCS Input Data'!$E$1, 'DCS Input Data'!$E$2, "", "Average", "OVERALL REDUCTION", 0, "Before", UNI_RET_TAG+UNI_RET_DESC+UNI_RET_UNIT+UNI_RET_TIME+UNI_RET_VALUE+UNI_RET_CONF, UNI_NOTHING)</v>
          </cell>
          <cell r="H73" t="str">
            <v>INWG</v>
          </cell>
          <cell r="I73" t="str">
            <v>PULV3B DIFFERENTIAL PRES</v>
          </cell>
          <cell r="J73" t="str">
            <v>Average</v>
          </cell>
          <cell r="K73">
            <v>38906.708333333336</v>
          </cell>
          <cell r="L73">
            <v>14.571684659851922</v>
          </cell>
          <cell r="M73">
            <v>100</v>
          </cell>
        </row>
        <row r="74">
          <cell r="G74" t="str">
            <v>=PHDGetData("192.168.32.16", C74, 'DCS Input Data'!$E$1, 'DCS Input Data'!$E$2, "", "Average", "OVERALL REDUCTION", 0, "Before", UNI_RET_TAG+UNI_RET_DESC+UNI_RET_UNIT+UNI_RET_TIME+UNI_RET_VALUE+UNI_RET_CONF, UNI_NOTHING)</v>
          </cell>
          <cell r="H74" t="str">
            <v>INWG</v>
          </cell>
          <cell r="I74" t="str">
            <v>PULV3C DIFFERENTIAL PRES</v>
          </cell>
          <cell r="J74" t="str">
            <v>Average</v>
          </cell>
          <cell r="K74">
            <v>38906.708333333336</v>
          </cell>
          <cell r="L74">
            <v>16.595012377103171</v>
          </cell>
          <cell r="M74">
            <v>100</v>
          </cell>
        </row>
        <row r="75">
          <cell r="G75" t="str">
            <v>=PHDGetData("192.168.32.16", C75, 'DCS Input Data'!$E$1, 'DCS Input Data'!$E$2, "", "Average", "OVERALL REDUCTION", 0, "Before", UNI_RET_TAG+UNI_RET_DESC+UNI_RET_UNIT+UNI_RET_TIME+UNI_RET_VALUE+UNI_RET_CONF, UNI_NOTHING)</v>
          </cell>
          <cell r="H75" t="str">
            <v>INWG</v>
          </cell>
          <cell r="I75" t="str">
            <v>PULV3D DIFFERENTIAL PRES</v>
          </cell>
          <cell r="J75" t="str">
            <v>Average</v>
          </cell>
          <cell r="K75">
            <v>38906.708333333336</v>
          </cell>
          <cell r="L75">
            <v>18.168851028548346</v>
          </cell>
          <cell r="M75">
            <v>100</v>
          </cell>
        </row>
        <row r="76">
          <cell r="G76" t="str">
            <v>=PHDGetData("192.168.32.16", C76, 'DCS Input Data'!$E$1, 'DCS Input Data'!$E$2, "", "Average", "OVERALL REDUCTION", 0, "Before", UNI_RET_TAG+UNI_RET_DESC+UNI_RET_UNIT+UNI_RET_TIME+UNI_RET_VALUE+UNI_RET_CONF, UNI_NOTHING)</v>
          </cell>
          <cell r="H76" t="str">
            <v>INWG</v>
          </cell>
          <cell r="I76" t="str">
            <v>PULV3E DIFFERENTIAL PRES</v>
          </cell>
          <cell r="J76" t="str">
            <v>Average</v>
          </cell>
          <cell r="K76">
            <v>38906.708333333336</v>
          </cell>
          <cell r="L76">
            <v>16.136294860310024</v>
          </cell>
          <cell r="M76">
            <v>100</v>
          </cell>
        </row>
        <row r="77">
          <cell r="G77" t="str">
            <v>=PHDGetData("192.168.32.16", C77, 'DCS Input Data'!$E$1, 'DCS Input Data'!$E$2, "", "Average", "OVERALL REDUCTION", 0, "Before", UNI_RET_TAG+UNI_RET_DESC+UNI_RET_UNIT+UNI_RET_TIME+UNI_RET_VALUE+UNI_RET_CONF, UNI_NOTHING)</v>
          </cell>
          <cell r="H77" t="str">
            <v>INWG</v>
          </cell>
          <cell r="I77" t="str">
            <v>PULV3F DIFFERENTIAL PRES</v>
          </cell>
          <cell r="J77" t="str">
            <v>Average</v>
          </cell>
          <cell r="K77">
            <v>38906.708333333336</v>
          </cell>
          <cell r="L77">
            <v>15.985525180763668</v>
          </cell>
          <cell r="M77">
            <v>100</v>
          </cell>
        </row>
        <row r="78">
          <cell r="G78" t="str">
            <v>=PHDGetData("192.168.32.16", C78, 'DCS Input Data'!$E$1, 'DCS Input Data'!$E$2, "", "Average", "OVERALL REDUCTION", 0, "Before", UNI_RET_TAG+UNI_RET_DESC+UNI_RET_UNIT+UNI_RET_TIME+UNI_RET_VALUE+UNI_RET_CONF, UNI_NOTHING)</v>
          </cell>
          <cell r="H78" t="str">
            <v>INWG</v>
          </cell>
          <cell r="I78" t="str">
            <v>PULV 3A DISCHARGE PRESS</v>
          </cell>
          <cell r="J78" t="str">
            <v>Average</v>
          </cell>
          <cell r="K78">
            <v>38906.708333333336</v>
          </cell>
          <cell r="L78">
            <v>19.128575715488857</v>
          </cell>
          <cell r="M78">
            <v>100</v>
          </cell>
        </row>
        <row r="79">
          <cell r="G79" t="str">
            <v>=PHDGetData("192.168.32.16", C79, 'DCS Input Data'!$E$1, 'DCS Input Data'!$E$2, "", "Average", "OVERALL REDUCTION", 0, "Before", UNI_RET_TAG+UNI_RET_DESC+UNI_RET_UNIT+UNI_RET_TIME+UNI_RET_VALUE+UNI_RET_CONF, UNI_NOTHING)</v>
          </cell>
          <cell r="H79" t="str">
            <v>INWG</v>
          </cell>
          <cell r="I79" t="str">
            <v>PULV 3B DISCHARGE PRESS</v>
          </cell>
          <cell r="J79" t="str">
            <v>Average</v>
          </cell>
          <cell r="K79">
            <v>38906.708333333336</v>
          </cell>
          <cell r="L79">
            <v>15.970614976618025</v>
          </cell>
          <cell r="M79">
            <v>100</v>
          </cell>
        </row>
        <row r="80">
          <cell r="G80" t="str">
            <v>=PHDGetData("192.168.32.16", C80, 'DCS Input Data'!$E$1, 'DCS Input Data'!$E$2, "", "Average", "OVERALL REDUCTION", 0, "Before", UNI_RET_TAG+UNI_RET_DESC+UNI_RET_UNIT+UNI_RET_TIME+UNI_RET_VALUE+UNI_RET_CONF, UNI_NOTHING)</v>
          </cell>
          <cell r="H80" t="str">
            <v>INWG</v>
          </cell>
          <cell r="I80" t="str">
            <v>PULV 3C DISCHARGE PRESS</v>
          </cell>
          <cell r="J80" t="str">
            <v>Average</v>
          </cell>
          <cell r="K80">
            <v>38906.708333333336</v>
          </cell>
          <cell r="L80">
            <v>12.355793483257294</v>
          </cell>
          <cell r="M80">
            <v>100</v>
          </cell>
        </row>
        <row r="81">
          <cell r="G81" t="str">
            <v>=PHDGetData("192.168.32.16", C81, 'DCS Input Data'!$E$1, 'DCS Input Data'!$E$2, "", "Average", "OVERALL REDUCTION", 0, "Before", UNI_RET_TAG+UNI_RET_DESC+UNI_RET_UNIT+UNI_RET_TIME+UNI_RET_VALUE+UNI_RET_CONF, UNI_NOTHING)</v>
          </cell>
          <cell r="H81" t="str">
            <v>INWG</v>
          </cell>
          <cell r="I81" t="str">
            <v>PULV 3D DISCHARGE PRESS</v>
          </cell>
          <cell r="J81" t="str">
            <v>Average</v>
          </cell>
          <cell r="K81">
            <v>38906.708333333336</v>
          </cell>
          <cell r="L81">
            <v>12.397278325557709</v>
          </cell>
          <cell r="M81">
            <v>100</v>
          </cell>
        </row>
        <row r="82">
          <cell r="G82" t="str">
            <v>=PHDGetData("192.168.32.16", C82, 'DCS Input Data'!$E$1, 'DCS Input Data'!$E$2, "", "Average", "OVERALL REDUCTION", 0, "Before", UNI_RET_TAG+UNI_RET_DESC+UNI_RET_UNIT+UNI_RET_TIME+UNI_RET_VALUE+UNI_RET_CONF, UNI_NOTHING)</v>
          </cell>
          <cell r="H82" t="str">
            <v>INWG</v>
          </cell>
          <cell r="I82" t="str">
            <v>PULV 3E DISCHARGE PRESS</v>
          </cell>
          <cell r="J82" t="str">
            <v>Average</v>
          </cell>
          <cell r="K82">
            <v>38906.708333333336</v>
          </cell>
          <cell r="L82">
            <v>15.110181508594088</v>
          </cell>
          <cell r="M82">
            <v>100</v>
          </cell>
        </row>
        <row r="83">
          <cell r="G83" t="str">
            <v>=PHDGetData("192.168.32.16", C83, 'DCS Input Data'!$E$1, 'DCS Input Data'!$E$2, "", "Average", "OVERALL REDUCTION", 0, "Before", UNI_RET_TAG+UNI_RET_DESC+UNI_RET_UNIT+UNI_RET_TIME+UNI_RET_VALUE+UNI_RET_CONF, UNI_NOTHING)</v>
          </cell>
          <cell r="H83" t="str">
            <v>INWG</v>
          </cell>
          <cell r="I83" t="str">
            <v>PULV 3F DISCHARGE PRESS</v>
          </cell>
          <cell r="J83" t="str">
            <v>Average</v>
          </cell>
          <cell r="K83">
            <v>38906.708333333336</v>
          </cell>
          <cell r="L83">
            <v>16.062703793048858</v>
          </cell>
          <cell r="M83">
            <v>100</v>
          </cell>
        </row>
        <row r="84">
          <cell r="G84" t="str">
            <v>=PHDGetData("192.168.32.16", C84, 'DCS Input Data'!$E$1, 'DCS Input Data'!$E$2, "", "Average", "OVERALL REDUCTION", 0, "Before", UNI_RET_TAG+UNI_RET_DESC+UNI_RET_UNIT+UNI_RET_TIME+UNI_RET_VALUE+UNI_RET_CONF, UNI_NOTHING)</v>
          </cell>
          <cell r="H84" t="str">
            <v>DEGF</v>
          </cell>
          <cell r="I84" t="str">
            <v>PULV 3A INLET AIR TEMP</v>
          </cell>
          <cell r="J84" t="str">
            <v>Average</v>
          </cell>
          <cell r="K84">
            <v>38906.708333333336</v>
          </cell>
          <cell r="L84">
            <v>370.68718450758195</v>
          </cell>
          <cell r="M84">
            <v>100</v>
          </cell>
        </row>
        <row r="85">
          <cell r="G85" t="str">
            <v>=PHDGetData("192.168.32.16", C85, 'DCS Input Data'!$E$1, 'DCS Input Data'!$E$2, "", "Average", "OVERALL REDUCTION", 0, "Before", UNI_RET_TAG+UNI_RET_DESC+UNI_RET_UNIT+UNI_RET_TIME+UNI_RET_VALUE+UNI_RET_CONF, UNI_NOTHING)</v>
          </cell>
          <cell r="H85" t="str">
            <v>DEGF</v>
          </cell>
          <cell r="I85" t="str">
            <v>PULV 3B INLET AIR TEMP</v>
          </cell>
          <cell r="J85" t="str">
            <v>Average</v>
          </cell>
          <cell r="K85">
            <v>38906.708333333336</v>
          </cell>
          <cell r="L85">
            <v>384.75917995876733</v>
          </cell>
          <cell r="M85">
            <v>100</v>
          </cell>
        </row>
        <row r="86">
          <cell r="G86" t="str">
            <v>=PHDGetData("192.168.32.16", C86, 'DCS Input Data'!$E$1, 'DCS Input Data'!$E$2, "", "Average", "OVERALL REDUCTION", 0, "Before", UNI_RET_TAG+UNI_RET_DESC+UNI_RET_UNIT+UNI_RET_TIME+UNI_RET_VALUE+UNI_RET_CONF, UNI_NOTHING)</v>
          </cell>
          <cell r="H86" t="str">
            <v>DEGF</v>
          </cell>
          <cell r="I86" t="str">
            <v>PULV 3C INLET AIR TEMP</v>
          </cell>
          <cell r="J86" t="str">
            <v>Average</v>
          </cell>
          <cell r="K86">
            <v>38906.708333333336</v>
          </cell>
          <cell r="L86">
            <v>362.7864525095622</v>
          </cell>
          <cell r="M86">
            <v>100</v>
          </cell>
        </row>
        <row r="87">
          <cell r="G87" t="str">
            <v>=PHDGetData("192.168.32.16", C87, 'DCS Input Data'!$E$1, 'DCS Input Data'!$E$2, "", "Average", "OVERALL REDUCTION", 0, "Before", UNI_RET_TAG+UNI_RET_DESC+UNI_RET_UNIT+UNI_RET_TIME+UNI_RET_VALUE+UNI_RET_CONF, UNI_NOTHING)</v>
          </cell>
          <cell r="H87" t="str">
            <v>DEGF</v>
          </cell>
          <cell r="I87" t="str">
            <v>PULV 3D INLET AIR TEMP</v>
          </cell>
          <cell r="J87" t="str">
            <v>Average</v>
          </cell>
          <cell r="K87">
            <v>38906.708333333336</v>
          </cell>
          <cell r="L87">
            <v>347.67297812567818</v>
          </cell>
          <cell r="M87">
            <v>100</v>
          </cell>
        </row>
        <row r="88">
          <cell r="G88" t="str">
            <v>=PHDGetData("192.168.32.16", C88, 'DCS Input Data'!$E$1, 'DCS Input Data'!$E$2, "", "Average", "OVERALL REDUCTION", 0, "Before", UNI_RET_TAG+UNI_RET_DESC+UNI_RET_UNIT+UNI_RET_TIME+UNI_RET_VALUE+UNI_RET_CONF, UNI_NOTHING)</v>
          </cell>
          <cell r="H88" t="str">
            <v>DEGF</v>
          </cell>
          <cell r="I88" t="str">
            <v>PULV 3E INLET AIR TEMP</v>
          </cell>
          <cell r="J88" t="str">
            <v>Average</v>
          </cell>
          <cell r="K88">
            <v>38906.708333333336</v>
          </cell>
          <cell r="L88">
            <v>379.98283512539336</v>
          </cell>
          <cell r="M88">
            <v>100</v>
          </cell>
        </row>
        <row r="89">
          <cell r="G89" t="str">
            <v>=PHDGetData("192.168.32.16", C89, 'DCS Input Data'!$E$1, 'DCS Input Data'!$E$2, "", "Average", "OVERALL REDUCTION", 0, "Before", UNI_RET_TAG+UNI_RET_DESC+UNI_RET_UNIT+UNI_RET_TIME+UNI_RET_VALUE+UNI_RET_CONF, UNI_NOTHING)</v>
          </cell>
          <cell r="H89" t="str">
            <v>DEGF</v>
          </cell>
          <cell r="I89" t="str">
            <v>PULV 3F INLET AIR TEMP</v>
          </cell>
          <cell r="J89" t="str">
            <v>Average</v>
          </cell>
          <cell r="K89">
            <v>38906.708333333336</v>
          </cell>
          <cell r="L89">
            <v>344.53559794108071</v>
          </cell>
          <cell r="M89">
            <v>100</v>
          </cell>
        </row>
        <row r="91">
          <cell r="G91" t="str">
            <v>=PHDGetData("192.168.32.16", C91, 'DCS Input Data'!$E$1, 'DCS Input Data'!$E$2, "", "Average", "OVERALL REDUCTION", 0, "Before", UNI_RET_TAG+UNI_RET_DESC+UNI_RET_UNIT+UNI_RET_TIME+UNI_RET_VALUE+UNI_RET_CONF, UNI_NOTHING)</v>
          </cell>
          <cell r="I91" t="str">
            <v>EAST O2 PROBES AVERAGE</v>
          </cell>
          <cell r="J91" t="str">
            <v>Average</v>
          </cell>
          <cell r="K91">
            <v>38906.708333333336</v>
          </cell>
          <cell r="L91">
            <v>3.8464500029881794</v>
          </cell>
          <cell r="M91">
            <v>100</v>
          </cell>
        </row>
        <row r="92">
          <cell r="G92" t="str">
            <v>=PHDGetData("192.168.32.16", C92, 'DCS Input Data'!$E$1, 'DCS Input Data'!$E$2, "", "Average", "OVERALL REDUCTION", 0, "Before", UNI_RET_TAG+UNI_RET_DESC+UNI_RET_UNIT+UNI_RET_TIME+UNI_RET_VALUE+UNI_RET_CONF, UNI_NOTHING)</v>
          </cell>
          <cell r="I92" t="str">
            <v>WEST O2 PROBES AVERAGE</v>
          </cell>
          <cell r="J92" t="str">
            <v>Average</v>
          </cell>
          <cell r="K92">
            <v>38906.708333333336</v>
          </cell>
          <cell r="L92">
            <v>3.0162073612213134</v>
          </cell>
          <cell r="M92">
            <v>100</v>
          </cell>
        </row>
        <row r="93">
          <cell r="G93" t="str">
            <v>=PHDGetData("192.168.32.16", C93, 'DCS Input Data'!$E$1, 'DCS Input Data'!$E$2, "", "Average", "OVERALL REDUCTION", 0, "Before", UNI_RET_TAG+UNI_RET_DESC+UNI_RET_UNIT+UNI_RET_TIME+UNI_RET_VALUE+UNI_RET_CONF, UNI_NOTHING)</v>
          </cell>
          <cell r="H93" t="str">
            <v>%</v>
          </cell>
          <cell r="I93" t="str">
            <v>T/G CTL VALVE POSITION</v>
          </cell>
          <cell r="J93" t="str">
            <v>Average</v>
          </cell>
          <cell r="K93">
            <v>38906.708333333336</v>
          </cell>
          <cell r="L93">
            <v>27.008220672607422</v>
          </cell>
          <cell r="M93">
            <v>100</v>
          </cell>
        </row>
        <row r="94">
          <cell r="G94" t="str">
            <v>=PHDGetData("192.168.32.16", C94, 'DCS Input Data'!$E$1, 'DCS Input Data'!$E$2, "", "Average", "OVERALL REDUCTION", 0, "Before", UNI_RET_TAG+UNI_RET_DESC+UNI_RET_UNIT+UNI_RET_TIME+UNI_RET_VALUE+UNI_RET_CONF, UNI_NOTHING)</v>
          </cell>
          <cell r="H94" t="str">
            <v>DEGF</v>
          </cell>
          <cell r="I94" t="str">
            <v>T/G CROSSOVER STEAM TEMP</v>
          </cell>
          <cell r="J94" t="str">
            <v>Average</v>
          </cell>
          <cell r="K94">
            <v>38906.708333333336</v>
          </cell>
          <cell r="L94">
            <v>750.55668538411453</v>
          </cell>
          <cell r="M94">
            <v>100</v>
          </cell>
        </row>
        <row r="95">
          <cell r="G95" t="str">
            <v>=PHDGetData("192.168.32.16", C95, 'DCS Input Data'!$E$1, 'DCS Input Data'!$E$2, "", "Average", "OVERALL REDUCTION", 0, "Before", UNI_RET_TAG+UNI_RET_DESC+UNI_RET_UNIT+UNI_RET_TIME+UNI_RET_VALUE+UNI_RET_CONF, UNI_NOTHING)</v>
          </cell>
          <cell r="H95" t="str">
            <v>PSIG</v>
          </cell>
          <cell r="I95" t="str">
            <v>TG CROSSOVER STEAM PRESS</v>
          </cell>
          <cell r="J95" t="str">
            <v>Average</v>
          </cell>
          <cell r="K95">
            <v>38906.708333333336</v>
          </cell>
          <cell r="L95">
            <v>176.78438262939454</v>
          </cell>
          <cell r="M95">
            <v>100</v>
          </cell>
        </row>
        <row r="98">
          <cell r="G98" t="str">
            <v>=PHDGetData("192.168.32.16", C98, 'DCS Input Data'!$E$1, 'DCS Input Data'!$E$2, "", "Average", "OVERALL REDUCTION", 0, "Before", UNI_RET_TAG+UNI_RET_DESC+UNI_RET_UNIT+UNI_RET_TIME+UNI_RET_VALUE+UNI_RET_CONF, UNI_NOTHING)</v>
          </cell>
          <cell r="H98" t="str">
            <v>PSIG</v>
          </cell>
          <cell r="I98" t="str">
            <v>AIRHTR COIL STM HDR PRES</v>
          </cell>
          <cell r="J98" t="str">
            <v>Average</v>
          </cell>
          <cell r="K98">
            <v>38906.708333333336</v>
          </cell>
          <cell r="L98">
            <v>171.28646825154621</v>
          </cell>
          <cell r="M98">
            <v>100</v>
          </cell>
        </row>
        <row r="99">
          <cell r="G99" t="str">
            <v>=PHDGetData("192.168.32.16", C99, 'DCS Input Data'!$E$1, 'DCS Input Data'!$E$2, "", "Average", "OVERALL REDUCTION", 0, "Before", UNI_RET_TAG+UNI_RET_DESC+UNI_RET_UNIT+UNI_RET_TIME+UNI_RET_VALUE+UNI_RET_CONF, UNI_NOTHING)</v>
          </cell>
          <cell r="H99" t="str">
            <v>DEGF</v>
          </cell>
          <cell r="I99" t="str">
            <v>EAST SSH OUTLET STM TEMP</v>
          </cell>
          <cell r="J99" t="str">
            <v>Average</v>
          </cell>
          <cell r="K99">
            <v>38906.708333333336</v>
          </cell>
          <cell r="L99">
            <v>999.94743245442703</v>
          </cell>
          <cell r="M99">
            <v>100</v>
          </cell>
        </row>
        <row r="100">
          <cell r="G100" t="str">
            <v>=PHDGetData("192.168.32.16", C100, 'DCS Input Data'!$E$1, 'DCS Input Data'!$E$2, "", "Average", "OVERALL REDUCTION", 0, "Before", UNI_RET_TAG+UNI_RET_DESC+UNI_RET_UNIT+UNI_RET_TIME+UNI_RET_VALUE+UNI_RET_CONF, UNI_NOTHING)</v>
          </cell>
          <cell r="H100" t="str">
            <v>DEGF</v>
          </cell>
          <cell r="I100" t="str">
            <v>WEST SSH OUTLET STM TEMP</v>
          </cell>
          <cell r="J100" t="str">
            <v>Average</v>
          </cell>
          <cell r="K100">
            <v>38906.708333333336</v>
          </cell>
          <cell r="L100">
            <v>1014.6622914632161</v>
          </cell>
          <cell r="M100">
            <v>100</v>
          </cell>
        </row>
        <row r="101">
          <cell r="G101" t="str">
            <v>=PHDGetData("192.168.32.16", C101, 'DCS Input Data'!$E$1, 'DCS Input Data'!$E$2, "", "Average", "OVERALL REDUCTION", 0, "Before", UNI_RET_TAG+UNI_RET_DESC+UNI_RET_UNIT+UNI_RET_TIME+UNI_RET_VALUE+UNI_RET_CONF, UNI_NOTHING)</v>
          </cell>
          <cell r="H101" t="str">
            <v>DEGF</v>
          </cell>
          <cell r="I101" t="str">
            <v>CIRC WTR INLET EAST TEMP</v>
          </cell>
          <cell r="J101" t="str">
            <v>Average</v>
          </cell>
          <cell r="K101">
            <v>38906.708333333336</v>
          </cell>
          <cell r="L101">
            <v>74.921546936035156</v>
          </cell>
          <cell r="M101">
            <v>100</v>
          </cell>
        </row>
        <row r="102">
          <cell r="G102" t="str">
            <v>=PHDGetData("192.168.32.16", C102, 'DCS Input Data'!$E$1, 'DCS Input Data'!$E$2, "", "Average", "OVERALL REDUCTION", 0, "Before", UNI_RET_TAG+UNI_RET_DESC+UNI_RET_UNIT+UNI_RET_TIME+UNI_RET_VALUE+UNI_RET_CONF, UNI_NOTHING)</v>
          </cell>
          <cell r="H102" t="str">
            <v>DEGF</v>
          </cell>
          <cell r="I102" t="str">
            <v>CIRC WTR INLET WEST TEMP</v>
          </cell>
          <cell r="J102" t="str">
            <v>Average</v>
          </cell>
          <cell r="K102">
            <v>38906.708333333336</v>
          </cell>
          <cell r="L102">
            <v>73.593116760253906</v>
          </cell>
          <cell r="M102">
            <v>100</v>
          </cell>
        </row>
        <row r="103">
          <cell r="G103" t="str">
            <v>=PHDGetData("192.168.32.16", C103, 'DCS Input Data'!$E$1, 'DCS Input Data'!$E$2, "", "Average", "OVERALL REDUCTION", 0, "Before", UNI_RET_TAG+UNI_RET_DESC+UNI_RET_UNIT+UNI_RET_TIME+UNI_RET_VALUE+UNI_RET_CONF, UNI_NOTHING)</v>
          </cell>
          <cell r="H103" t="str">
            <v>DEGF</v>
          </cell>
          <cell r="I103" t="str">
            <v>CIRC WTR OTLET EAST TEMP</v>
          </cell>
          <cell r="J103" t="str">
            <v>Average</v>
          </cell>
          <cell r="K103">
            <v>38906.708333333336</v>
          </cell>
          <cell r="L103">
            <v>100.86188507080078</v>
          </cell>
          <cell r="M103">
            <v>100</v>
          </cell>
        </row>
        <row r="104">
          <cell r="G104" t="str">
            <v>=PHDGetData("192.168.32.16", C104, 'DCS Input Data'!$E$1, 'DCS Input Data'!$E$2, "", "Average", "OVERALL REDUCTION", 0, "Before", UNI_RET_TAG+UNI_RET_DESC+UNI_RET_UNIT+UNI_RET_TIME+UNI_RET_VALUE+UNI_RET_CONF, UNI_NOTHING)</v>
          </cell>
          <cell r="H104" t="str">
            <v>DEGF</v>
          </cell>
          <cell r="I104" t="str">
            <v>CIRC WTR OTLET WEST TEMP</v>
          </cell>
          <cell r="J104" t="str">
            <v>Average</v>
          </cell>
          <cell r="K104">
            <v>38906.708333333336</v>
          </cell>
          <cell r="L104">
            <v>119.06674677530924</v>
          </cell>
          <cell r="M104">
            <v>100</v>
          </cell>
        </row>
        <row r="105">
          <cell r="G105" t="str">
            <v>=PHDGetData("192.168.32.16", C105, 'DCS Input Data'!$E$1, 'DCS Input Data'!$E$2, "", "Average", "OVERALL REDUCTION", 0, "Before", UNI_RET_TAG+UNI_RET_DESC+UNI_RET_UNIT+UNI_RET_TIME+UNI_RET_VALUE+UNI_RET_CONF, UNI_NOTHING)</v>
          </cell>
          <cell r="H105" t="str">
            <v>DEGF</v>
          </cell>
          <cell r="I105" t="str">
            <v>FWHTR 31 SHEL DRAIN TEMP</v>
          </cell>
          <cell r="J105" t="str">
            <v>Average</v>
          </cell>
          <cell r="K105">
            <v>38906.708333333336</v>
          </cell>
          <cell r="L105">
            <v>416.87876434326171</v>
          </cell>
          <cell r="M105">
            <v>100</v>
          </cell>
        </row>
        <row r="106">
          <cell r="G106" t="str">
            <v>=PHDGetData("192.168.32.16", C106, 'DCS Input Data'!$E$1, 'DCS Input Data'!$E$2, "", "Average", "OVERALL REDUCTION", 0, "Before", UNI_RET_TAG+UNI_RET_DESC+UNI_RET_UNIT+UNI_RET_TIME+UNI_RET_VALUE+UNI_RET_CONF, UNI_NOTHING)</v>
          </cell>
          <cell r="H106" t="str">
            <v>DEGF</v>
          </cell>
          <cell r="I106" t="str">
            <v>FWHTR 32 SHEL DRAIN TEMP</v>
          </cell>
          <cell r="J106" t="str">
            <v>Average</v>
          </cell>
          <cell r="K106">
            <v>38906.708333333336</v>
          </cell>
          <cell r="L106">
            <v>391.81073557535808</v>
          </cell>
          <cell r="M106">
            <v>100</v>
          </cell>
        </row>
        <row r="107">
          <cell r="G107" t="str">
            <v>=PHDGetData("192.168.32.16", C107, 'DCS Input Data'!$E$1, 'DCS Input Data'!$E$2, "", "Average", "OVERALL REDUCTION", 0, "Before", UNI_RET_TAG+UNI_RET_DESC+UNI_RET_UNIT+UNI_RET_TIME+UNI_RET_VALUE+UNI_RET_CONF, UNI_NOTHING)</v>
          </cell>
          <cell r="H107" t="str">
            <v>DEGF</v>
          </cell>
          <cell r="I107" t="str">
            <v>FWHTR 34 SHEL DRAIN TEMP</v>
          </cell>
          <cell r="J107" t="str">
            <v>Average</v>
          </cell>
          <cell r="K107">
            <v>38906.708333333336</v>
          </cell>
          <cell r="L107">
            <v>253.11979395548502</v>
          </cell>
          <cell r="M107">
            <v>100</v>
          </cell>
        </row>
        <row r="108">
          <cell r="G108" t="str">
            <v>=PHDGetData("192.168.32.16", C108, 'DCS Input Data'!$E$1, 'DCS Input Data'!$E$2, "", "Average", "OVERALL REDUCTION", 0, "Before", UNI_RET_TAG+UNI_RET_DESC+UNI_RET_UNIT+UNI_RET_TIME+UNI_RET_VALUE+UNI_RET_CONF, UNI_NOTHING)</v>
          </cell>
          <cell r="H108" t="str">
            <v>DEGF</v>
          </cell>
          <cell r="I108" t="str">
            <v>FWHTR 35 SHEL DRAIN TEMP</v>
          </cell>
          <cell r="J108" t="str">
            <v>Average</v>
          </cell>
          <cell r="K108">
            <v>38906.708333333336</v>
          </cell>
          <cell r="L108">
            <v>197.5989959716797</v>
          </cell>
          <cell r="M108">
            <v>100</v>
          </cell>
        </row>
        <row r="109">
          <cell r="G109" t="str">
            <v>=PHDGetData("192.168.32.16", C109, 'DCS Input Data'!$E$1, 'DCS Input Data'!$E$2, "", "Average", "OVERALL REDUCTION", 0, "Before", UNI_RET_TAG+UNI_RET_DESC+UNI_RET_UNIT+UNI_RET_TIME+UNI_RET_VALUE+UNI_RET_CONF, UNI_NOTHING)</v>
          </cell>
          <cell r="H109" t="str">
            <v>DEGF</v>
          </cell>
          <cell r="I109" t="str">
            <v>FWHTR 36 SHEL DRAIN TEMP</v>
          </cell>
          <cell r="J109" t="str">
            <v>Average</v>
          </cell>
          <cell r="K109">
            <v>38906.708333333336</v>
          </cell>
          <cell r="L109">
            <v>141.56617075602213</v>
          </cell>
          <cell r="M109">
            <v>100</v>
          </cell>
        </row>
        <row r="110">
          <cell r="G110" t="str">
            <v>=PHDGetData("192.168.32.16", C110, 'DCS Input Data'!$E$1, 'DCS Input Data'!$E$2, "", "Average", "OVERALL REDUCTION", 0, "Before", UNI_RET_TAG+UNI_RET_DESC+UNI_RET_UNIT+UNI_RET_TIME+UNI_RET_VALUE+UNI_RET_CONF, UNI_NOTHING)</v>
          </cell>
          <cell r="H110" t="str">
            <v>PSIG</v>
          </cell>
          <cell r="I110" t="str">
            <v>FWHTR 31 SHELL PRESSURE</v>
          </cell>
          <cell r="J110" t="str">
            <v>Average</v>
          </cell>
          <cell r="K110">
            <v>38906.708333333336</v>
          </cell>
          <cell r="L110">
            <v>517.74528503417969</v>
          </cell>
          <cell r="M110">
            <v>100</v>
          </cell>
        </row>
        <row r="111">
          <cell r="G111" t="str">
            <v>=PHDGetData("192.168.32.16", C111, 'DCS Input Data'!$E$1, 'DCS Input Data'!$E$2, "", "Average", "OVERALL REDUCTION", 0, "Before", UNI_RET_TAG+UNI_RET_DESC+UNI_RET_UNIT+UNI_RET_TIME+UNI_RET_VALUE+UNI_RET_CONF, UNI_NOTHING)</v>
          </cell>
          <cell r="H111" t="str">
            <v>PSIG</v>
          </cell>
          <cell r="I111" t="str">
            <v>FWHTR 32 SHELL PRESSURE</v>
          </cell>
          <cell r="J111" t="str">
            <v>Average</v>
          </cell>
          <cell r="K111">
            <v>38906.708333333336</v>
          </cell>
          <cell r="L111">
            <v>204.53239440917969</v>
          </cell>
          <cell r="M111">
            <v>50</v>
          </cell>
        </row>
        <row r="112">
          <cell r="G112" t="str">
            <v>=PHDGetData("192.168.32.16", C112, 'DCS Input Data'!$E$1, 'DCS Input Data'!$E$2, "", "Average", "OVERALL REDUCTION", 0, "Before", UNI_RET_TAG+UNI_RET_DESC+UNI_RET_UNIT+UNI_RET_TIME+UNI_RET_VALUE+UNI_RET_CONF, UNI_NOTHING)</v>
          </cell>
          <cell r="H112" t="str">
            <v>PSIG</v>
          </cell>
          <cell r="I112" t="str">
            <v>FWHTR 34 SHELL PRESSURE</v>
          </cell>
          <cell r="J112" t="str">
            <v>Average</v>
          </cell>
          <cell r="K112">
            <v>38906.708333333336</v>
          </cell>
          <cell r="L112">
            <v>57.130633672078453</v>
          </cell>
          <cell r="M112">
            <v>100</v>
          </cell>
        </row>
        <row r="113">
          <cell r="G113" t="str">
            <v>=PHDGetData("192.168.32.16", C113, 'DCS Input Data'!$E$1, 'DCS Input Data'!$E$2, "", "Average", "OVERALL REDUCTION", 0, "Before", UNI_RET_TAG+UNI_RET_DESC+UNI_RET_UNIT+UNI_RET_TIME+UNI_RET_VALUE+UNI_RET_CONF, UNI_NOTHING)</v>
          </cell>
          <cell r="H113" t="str">
            <v>PSIG</v>
          </cell>
          <cell r="I113" t="str">
            <v>FWHTR 35 SHELL PRESSURE</v>
          </cell>
          <cell r="J113" t="str">
            <v>Average</v>
          </cell>
          <cell r="K113">
            <v>38906.708333333336</v>
          </cell>
          <cell r="L113">
            <v>14.204614909489949</v>
          </cell>
          <cell r="M113">
            <v>100</v>
          </cell>
        </row>
        <row r="114">
          <cell r="G114" t="str">
            <v>=PHDGetData("192.168.32.16", C114, 'DCS Input Data'!$E$1, 'DCS Input Data'!$E$2, "", "Average", "OVERALL REDUCTION", 0, "Before", UNI_RET_TAG+UNI_RET_DESC+UNI_RET_UNIT+UNI_RET_TIME+UNI_RET_VALUE+UNI_RET_CONF, UNI_NOTHING)</v>
          </cell>
          <cell r="H114" t="str">
            <v>PSIG</v>
          </cell>
          <cell r="I114" t="str">
            <v>FWHTR 36 SHELL PRESSURE</v>
          </cell>
          <cell r="J114" t="str">
            <v>Average</v>
          </cell>
          <cell r="K114">
            <v>38906.708333333336</v>
          </cell>
          <cell r="L114">
            <v>-5.6392261187235517</v>
          </cell>
          <cell r="M114">
            <v>100</v>
          </cell>
        </row>
        <row r="115">
          <cell r="G115" t="str">
            <v>=PHDGetData("192.168.32.16", C115, 'DCS Input Data'!$E$1, 'DCS Input Data'!$E$2, "", "Average", "OVERALL REDUCTION", 0, "Before", UNI_RET_TAG+UNI_RET_DESC+UNI_RET_UNIT+UNI_RET_TIME+UNI_RET_VALUE+UNI_RET_CONF, UNI_NOTHING)</v>
          </cell>
          <cell r="H115" t="str">
            <v>PSIG</v>
          </cell>
          <cell r="I115" t="str">
            <v>DEAERATOR PRESSURE</v>
          </cell>
          <cell r="J115" t="str">
            <v>Average</v>
          </cell>
          <cell r="K115">
            <v>38906.708333333336</v>
          </cell>
          <cell r="L115">
            <v>176.31618169148763</v>
          </cell>
          <cell r="M115">
            <v>100</v>
          </cell>
        </row>
        <row r="116">
          <cell r="G116" t="str">
            <v>=PHDGetData("192.168.32.16", C116, 'DCS Input Data'!$E$1, 'DCS Input Data'!$E$2, "", "Average", "OVERALL REDUCTION", 0, "Before", UNI_RET_TAG+UNI_RET_DESC+UNI_RET_UNIT+UNI_RET_TIME+UNI_RET_VALUE+UNI_RET_CONF, UNI_NOTHING)</v>
          </cell>
          <cell r="H116" t="str">
            <v>DEGF</v>
          </cell>
          <cell r="I116" t="str">
            <v>PSH EAST OUTLET STM TEMP</v>
          </cell>
          <cell r="J116" t="str">
            <v>Average</v>
          </cell>
          <cell r="K116">
            <v>38906.708333333336</v>
          </cell>
          <cell r="L116">
            <v>795.27960815429685</v>
          </cell>
          <cell r="M116">
            <v>100</v>
          </cell>
        </row>
        <row r="117">
          <cell r="G117" t="str">
            <v>=PHDGetData("192.168.32.16", C117, 'DCS Input Data'!$E$1, 'DCS Input Data'!$E$2, "", "Average", "OVERALL REDUCTION", 0, "Before", UNI_RET_TAG+UNI_RET_DESC+UNI_RET_UNIT+UNI_RET_TIME+UNI_RET_VALUE+UNI_RET_CONF, UNI_NOTHING)</v>
          </cell>
          <cell r="H117" t="str">
            <v>DEGF</v>
          </cell>
          <cell r="I117" t="str">
            <v>PSH WEST OUTLET STM TEMP</v>
          </cell>
          <cell r="J117" t="str">
            <v>Average</v>
          </cell>
          <cell r="K117">
            <v>38906.708333333336</v>
          </cell>
          <cell r="L117">
            <v>793.41291402180991</v>
          </cell>
          <cell r="M117">
            <v>100</v>
          </cell>
        </row>
        <row r="118">
          <cell r="G118" t="str">
            <v>=PHDGetData("192.168.32.16", C118, 'DCS Input Data'!$E$1, 'DCS Input Data'!$E$2, "", "Average", "OVERALL REDUCTION", 0, "Before", UNI_RET_TAG+UNI_RET_DESC+UNI_RET_UNIT+UNI_RET_TIME+UNI_RET_VALUE+UNI_RET_CONF, UNI_NOTHING)</v>
          </cell>
          <cell r="H118" t="str">
            <v>DEGF</v>
          </cell>
          <cell r="I118" t="str">
            <v>REHEATER INLET STM TEMP</v>
          </cell>
          <cell r="J118" t="str">
            <v>Average</v>
          </cell>
          <cell r="K118">
            <v>38906.708333333336</v>
          </cell>
          <cell r="L118">
            <v>660.42949625651045</v>
          </cell>
          <cell r="M118">
            <v>100</v>
          </cell>
        </row>
        <row r="119">
          <cell r="G119" t="str">
            <v>=PHDGetData("192.168.32.16", C119, 'DCS Input Data'!$E$1, 'DCS Input Data'!$E$2, "", "Average", "OVERALL REDUCTION", 0, "Before", UNI_RET_TAG+UNI_RET_DESC+UNI_RET_UNIT+UNI_RET_TIME+UNI_RET_VALUE+UNI_RET_CONF, UNI_NOTHING)</v>
          </cell>
          <cell r="H119" t="str">
            <v>DEGF</v>
          </cell>
          <cell r="I119" t="str">
            <v>#1 EXTRACTION STEAM TEMP</v>
          </cell>
          <cell r="J119" t="str">
            <v>Average</v>
          </cell>
          <cell r="K119">
            <v>38906.708333333336</v>
          </cell>
          <cell r="L119">
            <v>696.42658487955725</v>
          </cell>
          <cell r="M119">
            <v>100</v>
          </cell>
        </row>
        <row r="120">
          <cell r="G120" t="str">
            <v>=PHDGetData("192.168.32.16", C120, 'DCS Input Data'!$E$1, 'DCS Input Data'!$E$2, "", "Average", "OVERALL REDUCTION", 0, "Before", UNI_RET_TAG+UNI_RET_DESC+UNI_RET_UNIT+UNI_RET_TIME+UNI_RET_VALUE+UNI_RET_CONF, UNI_NOTHING)</v>
          </cell>
          <cell r="H120" t="str">
            <v>DEGF</v>
          </cell>
          <cell r="I120" t="str">
            <v>#2 EXTRACTION STEAM TEMP</v>
          </cell>
          <cell r="J120" t="str">
            <v>Average</v>
          </cell>
          <cell r="K120">
            <v>38906.708333333336</v>
          </cell>
          <cell r="L120">
            <v>917.67985127766929</v>
          </cell>
          <cell r="M120">
            <v>100</v>
          </cell>
        </row>
        <row r="121">
          <cell r="G121" t="str">
            <v>=PHDGetData("192.168.32.16", C121, 'DCS Input Data'!$E$1, 'DCS Input Data'!$E$2, "", "Average", "OVERALL REDUCTION", 0, "Before", UNI_RET_TAG+UNI_RET_DESC+UNI_RET_UNIT+UNI_RET_TIME+UNI_RET_VALUE+UNI_RET_CONF, UNI_NOTHING)</v>
          </cell>
          <cell r="H121" t="str">
            <v>DEGF</v>
          </cell>
          <cell r="I121" t="str">
            <v>#2 EXTRACTION STEAM TEMP</v>
          </cell>
          <cell r="J121" t="str">
            <v>Average</v>
          </cell>
          <cell r="K121">
            <v>38906.708333333336</v>
          </cell>
          <cell r="L121">
            <v>721.77181091308591</v>
          </cell>
          <cell r="M121">
            <v>100</v>
          </cell>
        </row>
        <row r="122">
          <cell r="G122" t="str">
            <v>=PHDGetData("192.168.32.16", C122, 'DCS Input Data'!$E$1, 'DCS Input Data'!$E$2, "", "Average", "OVERALL REDUCTION", 0, "Before", UNI_RET_TAG+UNI_RET_DESC+UNI_RET_UNIT+UNI_RET_TIME+UNI_RET_VALUE+UNI_RET_CONF, UNI_NOTHING)</v>
          </cell>
          <cell r="H122" t="str">
            <v>DEGF</v>
          </cell>
          <cell r="I122" t="str">
            <v>#4 EXTRACTION STEAM TEMP</v>
          </cell>
          <cell r="J122" t="str">
            <v>Average</v>
          </cell>
          <cell r="K122">
            <v>38906.708333333336</v>
          </cell>
          <cell r="L122">
            <v>600.72200520833337</v>
          </cell>
          <cell r="M122">
            <v>100</v>
          </cell>
        </row>
        <row r="123">
          <cell r="G123" t="str">
            <v>=PHDGetData("192.168.32.16", C123, 'DCS Input Data'!$E$1, 'DCS Input Data'!$E$2, "", "Average", "OVERALL REDUCTION", 0, "Before", UNI_RET_TAG+UNI_RET_DESC+UNI_RET_UNIT+UNI_RET_TIME+UNI_RET_VALUE+UNI_RET_CONF, UNI_NOTHING)</v>
          </cell>
          <cell r="H123" t="str">
            <v>DEGF</v>
          </cell>
          <cell r="I123" t="str">
            <v>#5 NORTH EXT STEAM TEMP</v>
          </cell>
          <cell r="J123" t="str">
            <v>Average</v>
          </cell>
          <cell r="K123">
            <v>38906.708333333336</v>
          </cell>
          <cell r="L123">
            <v>390.57306009928385</v>
          </cell>
          <cell r="M123">
            <v>100</v>
          </cell>
        </row>
        <row r="124">
          <cell r="G124" t="str">
            <v>=PHDGetData("192.168.32.16", C124, 'DCS Input Data'!$E$1, 'DCS Input Data'!$E$2, "", "Average", "OVERALL REDUCTION", 0, "Before", UNI_RET_TAG+UNI_RET_DESC+UNI_RET_UNIT+UNI_RET_TIME+UNI_RET_VALUE+UNI_RET_CONF, UNI_NOTHING)</v>
          </cell>
          <cell r="H124" t="str">
            <v>DEGF</v>
          </cell>
          <cell r="I124" t="str">
            <v>#5 SOUTH EXT STEAM TEMP</v>
          </cell>
          <cell r="J124" t="str">
            <v>Average</v>
          </cell>
          <cell r="K124">
            <v>38906.708333333336</v>
          </cell>
          <cell r="L124">
            <v>128.35981648763021</v>
          </cell>
          <cell r="M124">
            <v>100</v>
          </cell>
        </row>
        <row r="125">
          <cell r="G125" t="str">
            <v>=PHDGetData("192.168.32.16", C125, 'DCS Input Data'!$E$1, 'DCS Input Data'!$E$2, "", "Average", "OVERALL REDUCTION", 0, "Before", UNI_RET_TAG+UNI_RET_DESC+UNI_RET_UNIT+UNI_RET_TIME+UNI_RET_VALUE+UNI_RET_CONF, UNI_NOTHING)</v>
          </cell>
          <cell r="H125" t="str">
            <v>DEGF</v>
          </cell>
          <cell r="I125" t="str">
            <v>#6 NORTH EXT STEAM TEMP</v>
          </cell>
          <cell r="J125" t="str">
            <v>Average</v>
          </cell>
          <cell r="K125">
            <v>38906.708333333336</v>
          </cell>
          <cell r="L125">
            <v>511.35676574707031</v>
          </cell>
          <cell r="M125">
            <v>0</v>
          </cell>
        </row>
        <row r="126">
          <cell r="G126" t="str">
            <v>=PHDGetData("192.168.32.16", C126, 'DCS Input Data'!$E$1, 'DCS Input Data'!$E$2, "", "Average", "OVERALL REDUCTION", 0, "Before", UNI_RET_TAG+UNI_RET_DESC+UNI_RET_UNIT+UNI_RET_TIME+UNI_RET_VALUE+UNI_RET_CONF, UNI_NOTHING)</v>
          </cell>
          <cell r="H126" t="str">
            <v>DEGF</v>
          </cell>
          <cell r="I126" t="str">
            <v>#6 SOUTH EXT STEAM TEMP</v>
          </cell>
          <cell r="J126" t="str">
            <v>Average</v>
          </cell>
          <cell r="K126">
            <v>38906.708333333336</v>
          </cell>
          <cell r="L126">
            <v>182.15686721801757</v>
          </cell>
          <cell r="M126">
            <v>100</v>
          </cell>
        </row>
        <row r="127">
          <cell r="G127" t="str">
            <v>=PHDGetData("192.168.32.16", C127, 'DCS Input Data'!$E$1, 'DCS Input Data'!$E$2, "", "Average", "OVERALL REDUCTION", 0, "Before", UNI_RET_TAG+UNI_RET_DESC+UNI_RET_UNIT+UNI_RET_TIME+UNI_RET_VALUE+UNI_RET_CONF, UNI_NOTHING)</v>
          </cell>
          <cell r="H127" t="str">
            <v>DEGF</v>
          </cell>
          <cell r="I127" t="str">
            <v>BFPT EXHAUST STEAM TEMP</v>
          </cell>
          <cell r="J127" t="str">
            <v>Average</v>
          </cell>
          <cell r="K127">
            <v>38906.708333333336</v>
          </cell>
          <cell r="L127">
            <v>88.0443115234375</v>
          </cell>
          <cell r="M127">
            <v>0</v>
          </cell>
        </row>
        <row r="128">
          <cell r="G128" t="str">
            <v>=PHDGetData("192.168.32.16", C128, 'DCS Input Data'!$E$1, 'DCS Input Data'!$E$2, "", "Average", "OVERALL REDUCTION", 0, "Before", UNI_RET_TAG+UNI_RET_DESC+UNI_RET_UNIT+UNI_RET_TIME+UNI_RET_VALUE+UNI_RET_CONF, UNI_NOTHING)</v>
          </cell>
          <cell r="H128" t="str">
            <v>PSIG</v>
          </cell>
          <cell r="I128" t="str">
            <v>MAIN/THROTTLE STM PRESS</v>
          </cell>
          <cell r="J128" t="str">
            <v>Average</v>
          </cell>
          <cell r="K128">
            <v>38906.708333333336</v>
          </cell>
          <cell r="L128">
            <v>1859.3792683919271</v>
          </cell>
          <cell r="M128">
            <v>100</v>
          </cell>
        </row>
        <row r="129">
          <cell r="G129" t="str">
            <v>=PHDGetData("192.168.32.16", C129, 'DCS Input Data'!$E$1, 'DCS Input Data'!$E$2, "", "Average", "OVERALL REDUCTION", 0, "Before", UNI_RET_TAG+UNI_RET_DESC+UNI_RET_UNIT+UNI_RET_TIME+UNI_RET_VALUE+UNI_RET_CONF, UNI_NOTHING)</v>
          </cell>
          <cell r="H129" t="str">
            <v>PSIG</v>
          </cell>
          <cell r="I129" t="str">
            <v>MAIN/THROTTLE STM PRESS</v>
          </cell>
          <cell r="J129" t="str">
            <v>Average</v>
          </cell>
          <cell r="K129">
            <v>38906.708333333336</v>
          </cell>
          <cell r="L129">
            <v>1859.3792683919271</v>
          </cell>
          <cell r="M129">
            <v>100</v>
          </cell>
        </row>
        <row r="130">
          <cell r="G130" t="str">
            <v>=PHDGetData("192.168.32.16", C130, 'DCS Input Data'!$E$1, 'DCS Input Data'!$E$2, "", "Average", "OVERALL REDUCTION", 0, "Before", UNI_RET_TAG+UNI_RET_DESC+UNI_RET_UNIT+UNI_RET_TIME+UNI_RET_VALUE+UNI_RET_CONF, UNI_NOTHING)</v>
          </cell>
          <cell r="H130" t="str">
            <v>PSIG</v>
          </cell>
          <cell r="I130" t="str">
            <v>TG STEAM CHEST PRESSURE</v>
          </cell>
          <cell r="J130" t="str">
            <v>Average</v>
          </cell>
          <cell r="K130">
            <v>38906.708333333336</v>
          </cell>
          <cell r="L130">
            <v>1817.1361043294271</v>
          </cell>
          <cell r="M130">
            <v>100</v>
          </cell>
        </row>
        <row r="132">
          <cell r="G132" t="str">
            <v>=PHDGetData("192.168.32.16", C132, 'DCS Input Data'!$E$1, 'DCS Input Data'!$E$2, "", "Average", "OVERALL REDUCTION", 0, "Before", UNI_RET_TAG+UNI_RET_DESC+UNI_RET_UNIT+UNI_RET_TIME+UNI_RET_VALUE+UNI_RET_CONF, UNI_NOTHING)</v>
          </cell>
          <cell r="H132" t="str">
            <v>PSIG</v>
          </cell>
          <cell r="I132" t="str">
            <v>COLD REHEAT STEAM PRESS</v>
          </cell>
          <cell r="J132" t="str">
            <v>Average</v>
          </cell>
          <cell r="K132">
            <v>38906.708333333336</v>
          </cell>
          <cell r="L132">
            <v>464.42897796630859</v>
          </cell>
          <cell r="M132">
            <v>100</v>
          </cell>
        </row>
        <row r="133">
          <cell r="G133" t="str">
            <v>=PHDGetData("192.168.32.16", C133, 'DCS Input Data'!$E$1, 'DCS Input Data'!$E$2, "", "Average", "OVERALL REDUCTION", 0, "Before", UNI_RET_TAG+UNI_RET_DESC+UNI_RET_UNIT+UNI_RET_TIME+UNI_RET_VALUE+UNI_RET_CONF, UNI_NOTHING)</v>
          </cell>
          <cell r="H133" t="str">
            <v>PSIG</v>
          </cell>
          <cell r="I133" t="str">
            <v>HOT REHEAT STEAM PRESS</v>
          </cell>
          <cell r="J133" t="str">
            <v>Average</v>
          </cell>
          <cell r="K133">
            <v>38906.708333333336</v>
          </cell>
          <cell r="L133">
            <v>384.33855895996095</v>
          </cell>
          <cell r="M133">
            <v>100</v>
          </cell>
        </row>
        <row r="134">
          <cell r="G134" t="str">
            <v>=PHDGetData("192.168.32.16", C134, 'DCS Input Data'!$E$1, 'DCS Input Data'!$E$2, "", "Average", "OVERALL REDUCTION", 0, "Before", UNI_RET_TAG+UNI_RET_DESC+UNI_RET_UNIT+UNI_RET_TIME+UNI_RET_VALUE+UNI_RET_CONF, UNI_NOTHING)</v>
          </cell>
          <cell r="H134" t="str">
            <v>PSIG</v>
          </cell>
          <cell r="I134" t="str">
            <v>TG REHEAT BOWL STM PRESS</v>
          </cell>
          <cell r="J134" t="str">
            <v>Average</v>
          </cell>
          <cell r="K134">
            <v>38906.708333333336</v>
          </cell>
          <cell r="L134">
            <v>494.93151499430337</v>
          </cell>
          <cell r="M134">
            <v>100</v>
          </cell>
        </row>
        <row r="135">
          <cell r="G135" t="str">
            <v>=PHDGetData("192.168.32.16", C135, 'DCS Input Data'!$E$1, 'DCS Input Data'!$E$2, "", "Average", "OVERALL REDUCTION", 0, "Before", UNI_RET_TAG+UNI_RET_DESC+UNI_RET_UNIT+UNI_RET_TIME+UNI_RET_VALUE+UNI_RET_CONF, UNI_NOTHING)</v>
          </cell>
          <cell r="H135" t="str">
            <v>DEGF</v>
          </cell>
          <cell r="I135" t="str">
            <v>T/G TURB EXH HOOD TEMP</v>
          </cell>
          <cell r="J135" t="str">
            <v>Average</v>
          </cell>
          <cell r="K135">
            <v>38906.708333333336</v>
          </cell>
          <cell r="L135">
            <v>116.58630765279135</v>
          </cell>
          <cell r="M135">
            <v>100</v>
          </cell>
        </row>
        <row r="136">
          <cell r="G136" t="str">
            <v>=PHDGetData("192.168.32.16", C136, 'DCS Input Data'!$E$1, 'DCS Input Data'!$E$2, "", "Average", "OVERALL REDUCTION", 0, "Before", UNI_RET_TAG+UNI_RET_DESC+UNI_RET_UNIT+UNI_RET_TIME+UNI_RET_VALUE+UNI_RET_CONF, UNI_NOTHING)</v>
          </cell>
          <cell r="H136" t="str">
            <v>KPPH</v>
          </cell>
          <cell r="I136" t="str">
            <v>AH 3A COILS STM FLOW RTE</v>
          </cell>
          <cell r="J136" t="str">
            <v>Average</v>
          </cell>
          <cell r="K136">
            <v>38906.708333333336</v>
          </cell>
          <cell r="L136">
            <v>25.944014517466226</v>
          </cell>
          <cell r="M136">
            <v>100</v>
          </cell>
        </row>
        <row r="137">
          <cell r="G137" t="str">
            <v>=PHDGetData("192.168.32.16", C137, 'DCS Input Data'!$E$1, 'DCS Input Data'!$E$2, "", "Average", "OVERALL REDUCTION", 0, "Before", UNI_RET_TAG+UNI_RET_DESC+UNI_RET_UNIT+UNI_RET_TIME+UNI_RET_VALUE+UNI_RET_CONF, UNI_NOTHING)</v>
          </cell>
          <cell r="H137" t="str">
            <v>DEGF</v>
          </cell>
          <cell r="I137" t="str">
            <v>AH 3A COILS SUP STM TEMP</v>
          </cell>
          <cell r="J137" t="str">
            <v>Average</v>
          </cell>
          <cell r="K137">
            <v>38906.708333333336</v>
          </cell>
          <cell r="L137">
            <v>711.72681376139326</v>
          </cell>
          <cell r="M137">
            <v>100</v>
          </cell>
        </row>
        <row r="138">
          <cell r="G138" t="str">
            <v>=PHDGetData("192.168.32.16", C138, 'DCS Input Data'!$E$1, 'DCS Input Data'!$E$2, "", "Average", "OVERALL REDUCTION", 0, "Before", UNI_RET_TAG+UNI_RET_DESC+UNI_RET_UNIT+UNI_RET_TIME+UNI_RET_VALUE+UNI_RET_CONF, UNI_NOTHING)</v>
          </cell>
          <cell r="H138" t="str">
            <v>DEGF</v>
          </cell>
          <cell r="I138" t="str">
            <v>SH STM SPRAY WATER TEMP</v>
          </cell>
          <cell r="J138" t="str">
            <v>Average</v>
          </cell>
          <cell r="K138">
            <v>38906.708333333336</v>
          </cell>
          <cell r="L138">
            <v>384.67290598551432</v>
          </cell>
          <cell r="M138">
            <v>100</v>
          </cell>
        </row>
        <row r="139">
          <cell r="G139" t="str">
            <v>=PHDGetData("192.168.32.16", C139, 'DCS Input Data'!$E$1, 'DCS Input Data'!$E$2, "", "Average", "OVERALL REDUCTION", 0, "Before", UNI_RET_TAG+UNI_RET_DESC+UNI_RET_UNIT+UNI_RET_TIME+UNI_RET_VALUE+UNI_RET_CONF, UNI_NOTHING)</v>
          </cell>
          <cell r="H139" t="str">
            <v>PSIG</v>
          </cell>
          <cell r="I139" t="str">
            <v>SUPRHT SPRAY WATER PRESS</v>
          </cell>
          <cell r="J139" t="str">
            <v>Average</v>
          </cell>
          <cell r="K139">
            <v>38906.708333333336</v>
          </cell>
          <cell r="L139">
            <v>2434.70947265625</v>
          </cell>
          <cell r="M139">
            <v>100</v>
          </cell>
        </row>
        <row r="140">
          <cell r="G140" t="str">
            <v>=PHDGetData("192.168.32.16", C140, 'DCS Input Data'!$E$1, 'DCS Input Data'!$E$2, "", "Average", "OVERALL REDUCTION", 0, "Before", UNI_RET_TAG+UNI_RET_DESC+UNI_RET_UNIT+UNI_RET_TIME+UNI_RET_VALUE+UNI_RET_CONF, UNI_NOTHING)</v>
          </cell>
          <cell r="H140" t="str">
            <v>KPPH</v>
          </cell>
          <cell r="I140" t="str">
            <v>SUPERHEAT SPRAY WTR FLOW</v>
          </cell>
          <cell r="J140" t="str">
            <v>Average</v>
          </cell>
          <cell r="K140">
            <v>38906.708333333336</v>
          </cell>
          <cell r="L140">
            <v>74.52121276855469</v>
          </cell>
          <cell r="M140">
            <v>100</v>
          </cell>
        </row>
        <row r="141">
          <cell r="G141" t="str">
            <v>=PHDGetData("192.168.32.16", C141, 'DCS Input Data'!$E$1, 'DCS Input Data'!$E$2, "", "Average", "OVERALL REDUCTION", 0, "Before", UNI_RET_TAG+UNI_RET_DESC+UNI_RET_UNIT+UNI_RET_TIME+UNI_RET_VALUE+UNI_RET_CONF, UNI_NOTHING)</v>
          </cell>
          <cell r="H141" t="str">
            <v>DEGF</v>
          </cell>
          <cell r="I141" t="str">
            <v>RH STM SPRAY WATER TEMP</v>
          </cell>
          <cell r="J141" t="str">
            <v>Average</v>
          </cell>
          <cell r="K141">
            <v>38906.708333333336</v>
          </cell>
          <cell r="L141">
            <v>379.7891805013021</v>
          </cell>
          <cell r="M141">
            <v>100</v>
          </cell>
        </row>
        <row r="142">
          <cell r="G142" t="str">
            <v>=PHDGetData("192.168.32.16", C142, 'DCS Input Data'!$E$1, 'DCS Input Data'!$E$2, "", "Average", "OVERALL REDUCTION", 0, "Before", UNI_RET_TAG+UNI_RET_DESC+UNI_RET_UNIT+UNI_RET_TIME+UNI_RET_VALUE+UNI_RET_CONF, UNI_NOTHING)</v>
          </cell>
          <cell r="H142" t="str">
            <v>PSIG</v>
          </cell>
          <cell r="I142" t="str">
            <v>REHEAT SPRAY WATER PRESS</v>
          </cell>
          <cell r="J142" t="str">
            <v>Average</v>
          </cell>
          <cell r="K142">
            <v>38906.708333333336</v>
          </cell>
          <cell r="L142">
            <v>1002.2320058186849</v>
          </cell>
          <cell r="M142">
            <v>100</v>
          </cell>
        </row>
        <row r="143">
          <cell r="G143" t="str">
            <v>=PHDGetData("192.168.32.16", C143, 'DCS Input Data'!$E$1, 'DCS Input Data'!$E$2, "", "Average", "OVERALL REDUCTION", 0, "Before", UNI_RET_TAG+UNI_RET_DESC+UNI_RET_UNIT+UNI_RET_TIME+UNI_RET_VALUE+UNI_RET_CONF, UNI_NOTHING)</v>
          </cell>
          <cell r="H143" t="str">
            <v>KPPH</v>
          </cell>
          <cell r="I143" t="str">
            <v>REHEAT SPRAY WATER FLOW</v>
          </cell>
          <cell r="J143" t="str">
            <v>Average</v>
          </cell>
          <cell r="K143">
            <v>38906.708333333336</v>
          </cell>
          <cell r="L143">
            <v>36.328792126973468</v>
          </cell>
          <cell r="M143">
            <v>100</v>
          </cell>
        </row>
        <row r="144">
          <cell r="G144" t="str">
            <v>=PHDGetData("192.168.32.16", C144, 'DCS Input Data'!$E$1, 'DCS Input Data'!$E$2, "", "Average", "OVERALL REDUCTION", 0, "Before", UNI_RET_TAG+UNI_RET_DESC+UNI_RET_UNIT+UNI_RET_TIME+UNI_RET_VALUE+UNI_RET_CONF, UNI_NOTHING)</v>
          </cell>
          <cell r="H144" t="str">
            <v>DEGF</v>
          </cell>
          <cell r="I144" t="str">
            <v>MAIN/THROTTLE STEAM TEMP</v>
          </cell>
          <cell r="J144" t="str">
            <v>Average</v>
          </cell>
          <cell r="K144">
            <v>38906.708333333336</v>
          </cell>
          <cell r="L144">
            <v>996.37730407714844</v>
          </cell>
          <cell r="M144">
            <v>100</v>
          </cell>
        </row>
        <row r="145">
          <cell r="G145" t="str">
            <v>=PHDGetData("192.168.32.16", C145, 'DCS Input Data'!$E$1, 'DCS Input Data'!$E$2, "", "Average", "OVERALL REDUCTION", 0, "Before", UNI_RET_TAG+UNI_RET_DESC+UNI_RET_UNIT+UNI_RET_TIME+UNI_RET_VALUE+UNI_RET_CONF, UNI_NOTHING)</v>
          </cell>
          <cell r="H145" t="str">
            <v>DEGF</v>
          </cell>
          <cell r="I145" t="str">
            <v>COLD RH STM AT TURB TEMP</v>
          </cell>
          <cell r="J145" t="str">
            <v>Average</v>
          </cell>
          <cell r="K145">
            <v>38906.708333333336</v>
          </cell>
          <cell r="L145">
            <v>697.18106689453123</v>
          </cell>
          <cell r="M145">
            <v>100</v>
          </cell>
        </row>
        <row r="146">
          <cell r="G146" t="str">
            <v>=PHDGetData("192.168.32.16", C146, 'DCS Input Data'!$E$1, 'DCS Input Data'!$E$2, "", "Average", "OVERALL REDUCTION", 0, "Before", UNI_RET_TAG+UNI_RET_DESC+UNI_RET_UNIT+UNI_RET_TIME+UNI_RET_VALUE+UNI_RET_CONF, UNI_NOTHING)</v>
          </cell>
          <cell r="H146" t="str">
            <v>DEGF</v>
          </cell>
          <cell r="I146" t="str">
            <v>RH STM TEMP</v>
          </cell>
          <cell r="J146" t="str">
            <v>Average</v>
          </cell>
          <cell r="K146">
            <v>38906.708333333336</v>
          </cell>
          <cell r="L146">
            <v>1002.6955362955729</v>
          </cell>
          <cell r="M146">
            <v>100</v>
          </cell>
        </row>
        <row r="147">
          <cell r="G147" t="str">
            <v>=PHDGetData("192.168.32.16", C147, 'DCS Input Data'!$E$1, 'DCS Input Data'!$E$2, "", "Average", "OVERALL REDUCTION", 0, "Before", UNI_RET_TAG+UNI_RET_DESC+UNI_RET_UNIT+UNI_RET_TIME+UNI_RET_VALUE+UNI_RET_CONF, UNI_NOTHING)</v>
          </cell>
          <cell r="H147" t="str">
            <v>PSIG</v>
          </cell>
          <cell r="I147" t="str">
            <v>BOILER STM DRUM PRESS B</v>
          </cell>
          <cell r="J147" t="str">
            <v>Average</v>
          </cell>
          <cell r="K147">
            <v>38906.708333333336</v>
          </cell>
          <cell r="L147">
            <v>2100.8529907226562</v>
          </cell>
          <cell r="M147">
            <v>100</v>
          </cell>
        </row>
        <row r="148">
          <cell r="G148" t="str">
            <v>=PHDGetData("192.168.32.16", C148, 'DCS Input Data'!$E$1, 'DCS Input Data'!$E$2, "", "Average", "OVERALL REDUCTION", 0, "Before", UNI_RET_TAG+UNI_RET_DESC+UNI_RET_UNIT+UNI_RET_TIME+UNI_RET_VALUE+UNI_RET_CONF, UNI_NOTHING)</v>
          </cell>
          <cell r="H148" t="str">
            <v>PSIG</v>
          </cell>
          <cell r="I148" t="str">
            <v>BOILER STM DRUM PRESS C</v>
          </cell>
          <cell r="J148" t="str">
            <v>Average</v>
          </cell>
          <cell r="K148">
            <v>38906.708333333336</v>
          </cell>
          <cell r="L148">
            <v>2104.613496907552</v>
          </cell>
          <cell r="M148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5589-B0BB-4195-BAF8-A885001BE42C}">
  <dimension ref="A1:Z62"/>
  <sheetViews>
    <sheetView tabSelected="1" view="pageBreakPreview" zoomScale="85" zoomScaleNormal="100" zoomScaleSheetLayoutView="85" workbookViewId="0"/>
  </sheetViews>
  <sheetFormatPr defaultColWidth="8.5703125" defaultRowHeight="15.75" x14ac:dyDescent="0.25"/>
  <cols>
    <col min="1" max="1" width="8.5703125" style="1"/>
    <col min="2" max="2" width="49.140625" style="1" customWidth="1"/>
    <col min="3" max="3" width="1.28515625" style="1" customWidth="1"/>
    <col min="4" max="4" width="9.140625" style="1" customWidth="1"/>
    <col min="5" max="5" width="3.5703125" style="1" customWidth="1"/>
    <col min="6" max="6" width="9.42578125" style="1" customWidth="1"/>
    <col min="7" max="7" width="3.5703125" style="1" customWidth="1"/>
    <col min="8" max="8" width="9.5703125" style="1" customWidth="1"/>
    <col min="9" max="9" width="3.5703125" style="1" customWidth="1"/>
    <col min="10" max="10" width="9.85546875" style="1" customWidth="1"/>
    <col min="11" max="11" width="3.5703125" style="1" customWidth="1"/>
    <col min="12" max="12" width="9.42578125" style="1" customWidth="1"/>
    <col min="13" max="13" width="3.5703125" style="1" customWidth="1"/>
    <col min="14" max="14" width="9.140625" style="1" customWidth="1"/>
    <col min="15" max="15" width="3.5703125" style="1" customWidth="1"/>
    <col min="16" max="17" width="8.5703125" style="1"/>
    <col min="18" max="18" width="10.140625" style="1" bestFit="1" customWidth="1"/>
    <col min="19" max="16384" width="8.5703125" style="1"/>
  </cols>
  <sheetData>
    <row r="1" spans="1:2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6" s="4" customFormat="1" x14ac:dyDescent="0.25">
      <c r="B2" s="181" t="s">
        <v>242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6" x14ac:dyDescent="0.25">
      <c r="B3" s="184" t="s">
        <v>225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26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6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 t="s">
        <v>1</v>
      </c>
      <c r="O5" s="2"/>
    </row>
    <row r="6" spans="1:26" x14ac:dyDescent="0.25">
      <c r="D6" s="4">
        <v>2024</v>
      </c>
      <c r="F6" s="4">
        <f>D6-1</f>
        <v>2023</v>
      </c>
      <c r="H6" s="4">
        <f>F6-1</f>
        <v>2022</v>
      </c>
      <c r="J6" s="4">
        <f>H6-1</f>
        <v>2021</v>
      </c>
      <c r="L6" s="4">
        <f>J6-1</f>
        <v>2020</v>
      </c>
      <c r="N6" s="3" t="s">
        <v>2</v>
      </c>
    </row>
    <row r="8" spans="1:26" x14ac:dyDescent="0.25">
      <c r="A8" s="1" t="s">
        <v>16</v>
      </c>
      <c r="B8" s="5" t="s">
        <v>15</v>
      </c>
    </row>
    <row r="9" spans="1:26" x14ac:dyDescent="0.25">
      <c r="B9" s="1" t="s">
        <v>3</v>
      </c>
      <c r="D9" s="6" cm="1">
        <f t="array" aca="1" ref="D9" ca="1">ROUND(((INDIRECT("'3. "&amp;$A8&amp;"'!C12"))/INDIRECT("'3. "&amp;$A8&amp;"'!C50"))*100,2)</f>
        <v>39.04</v>
      </c>
      <c r="E9" s="7" t="s">
        <v>4</v>
      </c>
      <c r="F9" s="6" cm="1">
        <f t="array" aca="1" ref="F9" ca="1">ROUND(((INDIRECT("'3. "&amp;$A8&amp;"'!E12"))/INDIRECT("'3. "&amp;$A8&amp;"'!E50"))*100,2)</f>
        <v>37.619999999999997</v>
      </c>
      <c r="G9" s="7" t="s">
        <v>4</v>
      </c>
      <c r="H9" s="6" cm="1">
        <f t="array" aca="1" ref="H9" ca="1">ROUND(((INDIRECT("'3. "&amp;$A8&amp;"'!G12"))/INDIRECT("'3. "&amp;$A8&amp;"'!G50"))*100,2)</f>
        <v>45.81</v>
      </c>
      <c r="I9" s="7" t="s">
        <v>4</v>
      </c>
      <c r="J9" s="6" cm="1">
        <f t="array" aca="1" ref="J9" ca="1">ROUND(((INDIRECT("'3. "&amp;$A8&amp;"'!I12"))/INDIRECT("'3. "&amp;$A8&amp;"'!i50"))*100,2)</f>
        <v>39.35</v>
      </c>
      <c r="K9" s="7" t="s">
        <v>4</v>
      </c>
      <c r="L9" s="6" cm="1">
        <f t="array" aca="1" ref="L9" ca="1">ROUND(((INDIRECT("'3. "&amp;$A8&amp;"'!K12"))/INDIRECT("'3. "&amp;$A8&amp;"'!K50"))*100,2)</f>
        <v>40.020000000000003</v>
      </c>
      <c r="M9" s="7" t="s">
        <v>4</v>
      </c>
      <c r="N9" s="6">
        <f ca="1">ROUND(AVERAGE(D9,F9,H9,J9,L9),2)</f>
        <v>40.369999999999997</v>
      </c>
      <c r="O9" s="8" t="s">
        <v>4</v>
      </c>
      <c r="R9" s="9"/>
      <c r="T9" s="9"/>
      <c r="V9" s="9"/>
      <c r="X9" s="9"/>
      <c r="Z9" s="9"/>
    </row>
    <row r="10" spans="1:26" x14ac:dyDescent="0.25">
      <c r="B10" s="1" t="s">
        <v>5</v>
      </c>
      <c r="D10" s="6" cm="1">
        <f t="array" aca="1" ref="D10" ca="1">ROUND((INDIRECT("'3. "&amp;$A8&amp;"'!C13")/INDIRECT("'3. "&amp;$A8&amp;"'!C50"))*100,2)</f>
        <v>0</v>
      </c>
      <c r="E10" s="10"/>
      <c r="F10" s="6" cm="1">
        <f t="array" aca="1" ref="F10" ca="1">ROUND((INDIRECT("'3. "&amp;$A8&amp;"'!E13")/INDIRECT("'3. "&amp;$A8&amp;"'!E50"))*100,2)</f>
        <v>0</v>
      </c>
      <c r="G10" s="10"/>
      <c r="H10" s="6" cm="1">
        <f t="array" aca="1" ref="H10" ca="1">ROUND((INDIRECT("'3. "&amp;$A8&amp;"'!G13")/INDIRECT("'3. "&amp;$A8&amp;"'!G50"))*100,2)</f>
        <v>0</v>
      </c>
      <c r="I10" s="10"/>
      <c r="J10" s="6" cm="1">
        <f t="array" aca="1" ref="J10" ca="1">ROUND((INDIRECT("'3. "&amp;$A8&amp;"'!I13")/INDIRECT("'3. "&amp;$A8&amp;"'!i50"))*100,2)</f>
        <v>0</v>
      </c>
      <c r="K10" s="10"/>
      <c r="L10" s="6" cm="1">
        <f t="array" aca="1" ref="L10" ca="1">ROUND((INDIRECT("'3. "&amp;$A8&amp;"'!K13")/INDIRECT("'3. "&amp;$A8&amp;"'!K50"))*100,2)</f>
        <v>0</v>
      </c>
      <c r="M10" s="10"/>
      <c r="N10" s="6">
        <f ca="1">ROUND(AVERAGE(D10,F10,H10,J10,L10),2)</f>
        <v>0</v>
      </c>
      <c r="O10" s="11"/>
      <c r="Q10" s="9"/>
      <c r="R10" s="9"/>
      <c r="T10" s="9"/>
      <c r="V10" s="9"/>
      <c r="X10" s="9"/>
      <c r="Z10" s="9"/>
    </row>
    <row r="11" spans="1:26" x14ac:dyDescent="0.25">
      <c r="B11" s="1" t="s">
        <v>6</v>
      </c>
      <c r="D11" s="12" cm="1">
        <f t="array" aca="1" ref="D11" ca="1">ROUND((INDIRECT("'3. "&amp;$A8&amp;"'!C16")/INDIRECT("'3. "&amp;$A8&amp;"'!C50"))*100,2)</f>
        <v>60.96</v>
      </c>
      <c r="E11" s="10"/>
      <c r="F11" s="12" cm="1">
        <f t="array" aca="1" ref="F11" ca="1">ROUND((INDIRECT("'3. "&amp;$A8&amp;"'!E16")/INDIRECT("'3. "&amp;$A8&amp;"'!E50"))*100,2)</f>
        <v>62.38</v>
      </c>
      <c r="G11" s="10"/>
      <c r="H11" s="12" cm="1">
        <f t="array" aca="1" ref="H11" ca="1">ROUND((INDIRECT("'3. "&amp;$A8&amp;"'!G16")/INDIRECT("'3. "&amp;$A8&amp;"'!G50"))*100,2)</f>
        <v>54.19</v>
      </c>
      <c r="I11" s="10"/>
      <c r="J11" s="12" cm="1">
        <f t="array" aca="1" ref="J11" ca="1">ROUND((INDIRECT("'3. "&amp;$A8&amp;"'!I16")/INDIRECT("'3. "&amp;$A8&amp;"'!i50"))*100,2)</f>
        <v>60.65</v>
      </c>
      <c r="K11" s="10"/>
      <c r="L11" s="12" cm="1">
        <f t="array" aca="1" ref="L11" ca="1">ROUND((INDIRECT("'3. "&amp;$A8&amp;"'!K16")/INDIRECT("'3. "&amp;$A8&amp;"'!K50"))*100,2)</f>
        <v>59.98</v>
      </c>
      <c r="M11" s="10"/>
      <c r="N11" s="6">
        <f ca="1">ROUND(AVERAGE(D11,F11,H11,J11,L11),2)</f>
        <v>59.63</v>
      </c>
      <c r="O11" s="11"/>
      <c r="R11" s="9"/>
      <c r="T11" s="9"/>
      <c r="V11" s="9"/>
      <c r="X11" s="9"/>
      <c r="Z11" s="9"/>
    </row>
    <row r="12" spans="1:26" ht="16.5" thickBot="1" x14ac:dyDescent="0.3">
      <c r="B12" s="1" t="s">
        <v>7</v>
      </c>
      <c r="D12" s="13">
        <f ca="1">SUM(D9:D11)</f>
        <v>100</v>
      </c>
      <c r="E12" s="7" t="s">
        <v>4</v>
      </c>
      <c r="F12" s="13">
        <f ca="1">SUM(F9:F11)</f>
        <v>100</v>
      </c>
      <c r="G12" s="7" t="s">
        <v>4</v>
      </c>
      <c r="H12" s="13">
        <f ca="1">SUM(H9:H11)</f>
        <v>100</v>
      </c>
      <c r="I12" s="7" t="s">
        <v>4</v>
      </c>
      <c r="J12" s="13">
        <f ca="1">SUM(J9:J11)</f>
        <v>100</v>
      </c>
      <c r="K12" s="7" t="s">
        <v>4</v>
      </c>
      <c r="L12" s="13">
        <f ca="1">SUM(L9:L11)</f>
        <v>100</v>
      </c>
      <c r="M12" s="7" t="s">
        <v>4</v>
      </c>
      <c r="N12" s="13">
        <f ca="1">SUM(N9:N11)</f>
        <v>100</v>
      </c>
      <c r="O12" s="8" t="s">
        <v>4</v>
      </c>
      <c r="Q12" s="9"/>
      <c r="R12" s="9"/>
    </row>
    <row r="13" spans="1:26" ht="16.5" thickTop="1" x14ac:dyDescent="0.25">
      <c r="D13" s="9"/>
      <c r="E13" s="14"/>
      <c r="F13" s="9"/>
      <c r="G13" s="14"/>
      <c r="H13" s="9"/>
      <c r="I13" s="14"/>
      <c r="J13" s="9"/>
      <c r="K13" s="14"/>
      <c r="L13" s="9"/>
      <c r="M13" s="14"/>
      <c r="N13" s="9"/>
      <c r="O13" s="15"/>
    </row>
    <row r="14" spans="1:26" x14ac:dyDescent="0.25">
      <c r="A14" s="1" t="s">
        <v>19</v>
      </c>
      <c r="B14" s="5" t="s">
        <v>226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26" x14ac:dyDescent="0.25">
      <c r="B15" s="1" t="s">
        <v>3</v>
      </c>
      <c r="D15" s="6" cm="1">
        <f t="array" aca="1" ref="D15" ca="1">ROUND(((INDIRECT("'3. "&amp;$A14&amp;"'!C12"))/INDIRECT("'3. "&amp;$A14&amp;"'!C50"))*100,2)</f>
        <v>58.24</v>
      </c>
      <c r="E15" s="7" t="s">
        <v>4</v>
      </c>
      <c r="F15" s="6" cm="1">
        <f t="array" aca="1" ref="F15" ca="1">ROUND(((INDIRECT("'3. "&amp;$A14&amp;"'!E12"))/INDIRECT("'3. "&amp;$A14&amp;"'!E50"))*100,2)</f>
        <v>59.16</v>
      </c>
      <c r="G15" s="7" t="s">
        <v>4</v>
      </c>
      <c r="H15" s="6" cm="1">
        <f t="array" aca="1" ref="H15" ca="1">ROUND(((INDIRECT("'3. "&amp;$A14&amp;"'!G12"))/INDIRECT("'3. "&amp;$A14&amp;"'!G50"))*100,2)</f>
        <v>58.49</v>
      </c>
      <c r="I15" s="7" t="s">
        <v>4</v>
      </c>
      <c r="J15" s="6" cm="1">
        <f t="array" aca="1" ref="J15" ca="1">ROUND(((INDIRECT("'3. "&amp;$A14&amp;"'!I12"))/INDIRECT("'3. "&amp;$A14&amp;"'!i50"))*100,2)</f>
        <v>57.81</v>
      </c>
      <c r="K15" s="7" t="s">
        <v>4</v>
      </c>
      <c r="L15" s="6" cm="1">
        <f t="array" aca="1" ref="L15" ca="1">ROUND(((INDIRECT("'3. "&amp;$A14&amp;"'!K12"))/INDIRECT("'3. "&amp;$A14&amp;"'!K50"))*100,4)</f>
        <v>55.349400000000003</v>
      </c>
      <c r="M15" s="7" t="s">
        <v>4</v>
      </c>
      <c r="N15" s="6">
        <f ca="1">ROUND(AVERAGE(D15,F15,H15,J15,L15),2)</f>
        <v>57.81</v>
      </c>
      <c r="O15" s="15" t="s">
        <v>4</v>
      </c>
      <c r="R15" s="9"/>
      <c r="T15" s="9"/>
      <c r="V15" s="9"/>
      <c r="X15" s="9"/>
      <c r="Z15" s="9"/>
    </row>
    <row r="16" spans="1:26" x14ac:dyDescent="0.25">
      <c r="B16" s="1" t="s">
        <v>5</v>
      </c>
      <c r="D16" s="6" cm="1">
        <f t="array" aca="1" ref="D16" ca="1">ROUND((INDIRECT("'3. "&amp;$A14&amp;"'!C13")/INDIRECT("'3. "&amp;$A14&amp;"'!C50"))*100,2)</f>
        <v>0</v>
      </c>
      <c r="E16" s="10"/>
      <c r="F16" s="6" cm="1">
        <f t="array" aca="1" ref="F16" ca="1">ROUND((INDIRECT("'3. "&amp;$A14&amp;"'!E13")/INDIRECT("'3. "&amp;$A14&amp;"'!E50"))*100,2)</f>
        <v>0</v>
      </c>
      <c r="G16" s="10"/>
      <c r="H16" s="6" cm="1">
        <f t="array" aca="1" ref="H16" ca="1">ROUND((INDIRECT("'3. "&amp;$A14&amp;"'!G13")/INDIRECT("'3. "&amp;$A14&amp;"'!G50"))*100,2)</f>
        <v>0</v>
      </c>
      <c r="I16" s="10"/>
      <c r="J16" s="6" cm="1">
        <f t="array" aca="1" ref="J16" ca="1">ROUND((INDIRECT("'3. "&amp;$A14&amp;"'!I13")/INDIRECT("'3. "&amp;$A14&amp;"'!i50"))*100,2)</f>
        <v>0</v>
      </c>
      <c r="K16" s="10"/>
      <c r="L16" s="6" cm="1">
        <f t="array" aca="1" ref="L16" ca="1">ROUND((INDIRECT("'3. "&amp;$A14&amp;"'!K13")/INDIRECT("'3. "&amp;$A14&amp;"'!K50"))*100,2)</f>
        <v>0</v>
      </c>
      <c r="M16" s="10"/>
      <c r="N16" s="6">
        <f ca="1">ROUND(AVERAGE(D16,F16,H16,J16,L16),2)</f>
        <v>0</v>
      </c>
      <c r="R16" s="9"/>
      <c r="T16" s="9"/>
      <c r="V16" s="9"/>
      <c r="X16" s="9"/>
      <c r="Z16" s="9"/>
    </row>
    <row r="17" spans="1:26" x14ac:dyDescent="0.25">
      <c r="B17" s="1" t="s">
        <v>6</v>
      </c>
      <c r="D17" s="12" cm="1">
        <f t="array" aca="1" ref="D17" ca="1">ROUND((INDIRECT("'3. "&amp;$A14&amp;"'!C16")/INDIRECT("'3. "&amp;$A14&amp;"'!C50"))*100,2)</f>
        <v>41.76</v>
      </c>
      <c r="E17" s="10"/>
      <c r="F17" s="12" cm="1">
        <f t="array" aca="1" ref="F17" ca="1">ROUND((INDIRECT("'3. "&amp;$A14&amp;"'!E16")/INDIRECT("'3. "&amp;$A14&amp;"'!E50"))*100,2)</f>
        <v>40.840000000000003</v>
      </c>
      <c r="G17" s="10"/>
      <c r="H17" s="12" cm="1">
        <f t="array" aca="1" ref="H17" ca="1">ROUND((INDIRECT("'3. "&amp;$A14&amp;"'!G16")/INDIRECT("'3. "&amp;$A14&amp;"'!G50"))*100,2)</f>
        <v>41.51</v>
      </c>
      <c r="I17" s="10"/>
      <c r="J17" s="12" cm="1">
        <f t="array" aca="1" ref="J17" ca="1">ROUND((INDIRECT("'3. "&amp;$A14&amp;"'!I16")/INDIRECT("'3. "&amp;$A14&amp;"'!i50"))*100,2)</f>
        <v>42.19</v>
      </c>
      <c r="K17" s="10"/>
      <c r="L17" s="12" cm="1">
        <f t="array" aca="1" ref="L17" ca="1">ROUND((INDIRECT("'3. "&amp;$A14&amp;"'!K16")/INDIRECT("'3. "&amp;$A14&amp;"'!K50"))*100,4)</f>
        <v>44.650599999999997</v>
      </c>
      <c r="M17" s="10"/>
      <c r="N17" s="6">
        <f ca="1">ROUND(AVERAGE(D17,F17,H17,J17,L17),2)</f>
        <v>42.19</v>
      </c>
      <c r="R17" s="9"/>
      <c r="T17" s="9"/>
      <c r="V17" s="9"/>
      <c r="X17" s="9"/>
      <c r="Z17" s="9"/>
    </row>
    <row r="18" spans="1:26" ht="16.5" thickBot="1" x14ac:dyDescent="0.3">
      <c r="B18" s="1" t="s">
        <v>7</v>
      </c>
      <c r="D18" s="16">
        <f ca="1">SUM(D15:D17)</f>
        <v>100</v>
      </c>
      <c r="E18" s="14" t="s">
        <v>4</v>
      </c>
      <c r="F18" s="16">
        <f ca="1">SUM(F15:F17)</f>
        <v>100</v>
      </c>
      <c r="G18" s="14" t="s">
        <v>4</v>
      </c>
      <c r="H18" s="16">
        <f ca="1">SUM(H15:H17)</f>
        <v>100</v>
      </c>
      <c r="I18" s="14" t="s">
        <v>4</v>
      </c>
      <c r="J18" s="16">
        <f ca="1">SUM(J15:J17)</f>
        <v>100</v>
      </c>
      <c r="K18" s="14" t="s">
        <v>4</v>
      </c>
      <c r="L18" s="16">
        <f ca="1">SUM(L15:L17)</f>
        <v>100</v>
      </c>
      <c r="M18" s="14" t="s">
        <v>4</v>
      </c>
      <c r="N18" s="16">
        <f ca="1">SUM(N15:N17)</f>
        <v>100</v>
      </c>
      <c r="O18" s="15" t="s">
        <v>4</v>
      </c>
    </row>
    <row r="19" spans="1:26" ht="16.5" thickTop="1" x14ac:dyDescent="0.25">
      <c r="D19" s="9"/>
      <c r="E19" s="14"/>
      <c r="F19" s="9"/>
      <c r="G19" s="14"/>
      <c r="H19" s="9"/>
      <c r="I19" s="14"/>
      <c r="J19" s="9"/>
      <c r="K19" s="14"/>
      <c r="L19" s="9"/>
      <c r="M19" s="14"/>
      <c r="N19" s="9"/>
      <c r="O19" s="15"/>
    </row>
    <row r="20" spans="1:26" x14ac:dyDescent="0.25">
      <c r="A20" s="1" t="s">
        <v>21</v>
      </c>
      <c r="B20" s="5" t="s">
        <v>140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26" x14ac:dyDescent="0.25">
      <c r="B21" s="1" t="s">
        <v>3</v>
      </c>
      <c r="D21" s="6" cm="1">
        <f t="array" aca="1" ref="D21" ca="1">ROUND(((INDIRECT("'3. "&amp;$A20&amp;"'!C12"))/INDIRECT("'3. "&amp;$A20&amp;"'!C50"))*100,2)</f>
        <v>60.6</v>
      </c>
      <c r="E21" s="7" t="s">
        <v>4</v>
      </c>
      <c r="F21" s="6" cm="1">
        <f t="array" aca="1" ref="F21" ca="1">ROUND(((INDIRECT("'3. "&amp;$A20&amp;"'!E12"))/INDIRECT("'3. "&amp;$A20&amp;"'!E50"))*100,2)</f>
        <v>57.26</v>
      </c>
      <c r="G21" s="7" t="s">
        <v>4</v>
      </c>
      <c r="H21" s="6" cm="1">
        <f t="array" aca="1" ref="H21" ca="1">ROUND(((INDIRECT("'3. "&amp;$A20&amp;"'!G12"))/INDIRECT("'3. "&amp;$A20&amp;"'!G50"))*100,2)</f>
        <v>55.77</v>
      </c>
      <c r="I21" s="7" t="s">
        <v>4</v>
      </c>
      <c r="J21" s="6" cm="1">
        <f t="array" aca="1" ref="J21" ca="1">ROUND(((INDIRECT("'3. "&amp;$A20&amp;"'!I12"))/INDIRECT("'3. "&amp;$A20&amp;"'!i50"))*100,2)</f>
        <v>57.09</v>
      </c>
      <c r="K21" s="7" t="s">
        <v>4</v>
      </c>
      <c r="L21" s="6" cm="1">
        <f t="array" aca="1" ref="L21" ca="1">ROUND(((INDIRECT("'3. "&amp;$A20&amp;"'!K12"))/INDIRECT("'3. "&amp;$A20&amp;"'!K50"))*100,2)</f>
        <v>61.64</v>
      </c>
      <c r="M21" s="7" t="s">
        <v>4</v>
      </c>
      <c r="N21" s="6">
        <f ca="1">ROUND(AVERAGE(D21,F21,H21,J21,L21),2)</f>
        <v>58.47</v>
      </c>
      <c r="O21" s="15" t="s">
        <v>4</v>
      </c>
      <c r="R21" s="9"/>
      <c r="T21" s="9"/>
      <c r="V21" s="9"/>
      <c r="X21" s="9"/>
      <c r="Z21" s="9"/>
    </row>
    <row r="22" spans="1:26" x14ac:dyDescent="0.25">
      <c r="B22" s="1" t="s">
        <v>5</v>
      </c>
      <c r="D22" s="6" cm="1">
        <f t="array" aca="1" ref="D22" ca="1">ROUND((INDIRECT("'3. "&amp;$A20&amp;"'!C13")/INDIRECT("'3. "&amp;$A20&amp;"'!C50"))*100,2)</f>
        <v>0</v>
      </c>
      <c r="E22" s="10"/>
      <c r="F22" s="6" cm="1">
        <f t="array" aca="1" ref="F22" ca="1">ROUND((INDIRECT("'3. "&amp;$A20&amp;"'!E13")/INDIRECT("'3. "&amp;$A20&amp;"'!E50"))*100,2)</f>
        <v>2.5099999999999998</v>
      </c>
      <c r="G22" s="10"/>
      <c r="H22" s="6" cm="1">
        <f t="array" aca="1" ref="H22" ca="1">ROUND((INDIRECT("'3. "&amp;$A20&amp;"'!G13")/INDIRECT("'3. "&amp;$A20&amp;"'!G50"))*100,2)</f>
        <v>9.0299999999999994</v>
      </c>
      <c r="I22" s="10"/>
      <c r="J22" s="6" cm="1">
        <f t="array" aca="1" ref="J22" ca="1">ROUND((INDIRECT("'3. "&amp;$A20&amp;"'!I13")/INDIRECT("'3. "&amp;$A20&amp;"'!i50"))*100,2)</f>
        <v>9.5500000000000007</v>
      </c>
      <c r="K22" s="10"/>
      <c r="L22" s="6" cm="1">
        <f t="array" aca="1" ref="L22" ca="1">ROUND((INDIRECT("'3. "&amp;$A20&amp;"'!K13")/INDIRECT("'3. "&amp;$A20&amp;"'!K50"))*100,2)</f>
        <v>5.87</v>
      </c>
      <c r="M22" s="10"/>
      <c r="N22" s="6">
        <f ca="1">ROUND(AVERAGE(D22,F22,H22,J22,L22),2)</f>
        <v>5.39</v>
      </c>
      <c r="R22" s="9"/>
      <c r="T22" s="9"/>
      <c r="V22" s="9"/>
      <c r="X22" s="9"/>
      <c r="Z22" s="9"/>
    </row>
    <row r="23" spans="1:26" x14ac:dyDescent="0.25">
      <c r="B23" s="1" t="s">
        <v>6</v>
      </c>
      <c r="D23" s="12" cm="1">
        <f t="array" aca="1" ref="D23" ca="1">ROUND((INDIRECT("'3. "&amp;$A20&amp;"'!C16")/INDIRECT("'3. "&amp;$A20&amp;"'!C50"))*100,2)</f>
        <v>39.4</v>
      </c>
      <c r="E23" s="10"/>
      <c r="F23" s="12" cm="1">
        <f t="array" aca="1" ref="F23" ca="1">ROUND((INDIRECT("'3. "&amp;$A20&amp;"'!E16")/INDIRECT("'3. "&amp;$A20&amp;"'!E50"))*100,2)</f>
        <v>40.229999999999997</v>
      </c>
      <c r="G23" s="10"/>
      <c r="H23" s="12" cm="1">
        <f t="array" aca="1" ref="H23" ca="1">ROUND((INDIRECT("'3. "&amp;$A20&amp;"'!G16")/INDIRECT("'3. "&amp;$A20&amp;"'!G50"))*100,2)</f>
        <v>35.200000000000003</v>
      </c>
      <c r="I23" s="10"/>
      <c r="J23" s="12" cm="1">
        <f t="array" aca="1" ref="J23" ca="1">ROUND((INDIRECT("'3. "&amp;$A20&amp;"'!I16")/INDIRECT("'3. "&amp;$A20&amp;"'!i50"))*100,2)</f>
        <v>33.36</v>
      </c>
      <c r="K23" s="10"/>
      <c r="L23" s="12" cm="1">
        <f t="array" aca="1" ref="L23" ca="1">ROUND((INDIRECT("'3. "&amp;$A20&amp;"'!K16")/INDIRECT("'3. "&amp;$A20&amp;"'!K50"))*100,2)</f>
        <v>32.49</v>
      </c>
      <c r="M23" s="10"/>
      <c r="N23" s="6">
        <f ca="1">ROUND(AVERAGE(D23,F23,H23,J23,L23),2)</f>
        <v>36.14</v>
      </c>
      <c r="R23" s="9"/>
      <c r="T23" s="9"/>
      <c r="V23" s="9"/>
      <c r="X23" s="9"/>
      <c r="Z23" s="9"/>
    </row>
    <row r="24" spans="1:26" ht="16.5" thickBot="1" x14ac:dyDescent="0.3">
      <c r="B24" s="1" t="s">
        <v>7</v>
      </c>
      <c r="D24" s="16">
        <f ca="1">SUM(D21:D23)</f>
        <v>100</v>
      </c>
      <c r="E24" s="14" t="s">
        <v>4</v>
      </c>
      <c r="F24" s="16">
        <f ca="1">SUM(F21:F23)</f>
        <v>100</v>
      </c>
      <c r="G24" s="14" t="s">
        <v>4</v>
      </c>
      <c r="H24" s="16">
        <f ca="1">SUM(H21:H23)</f>
        <v>100</v>
      </c>
      <c r="I24" s="14" t="s">
        <v>4</v>
      </c>
      <c r="J24" s="16">
        <f ca="1">SUM(J21:J23)</f>
        <v>100</v>
      </c>
      <c r="K24" s="14" t="s">
        <v>4</v>
      </c>
      <c r="L24" s="16">
        <f ca="1">SUM(L21:L23)</f>
        <v>100</v>
      </c>
      <c r="M24" s="14" t="s">
        <v>4</v>
      </c>
      <c r="N24" s="16">
        <f ca="1">SUM(N21:N23)</f>
        <v>100</v>
      </c>
      <c r="O24" s="15" t="s">
        <v>4</v>
      </c>
    </row>
    <row r="25" spans="1:26" ht="16.5" thickTop="1" x14ac:dyDescent="0.25">
      <c r="D25" s="9"/>
      <c r="E25" s="14"/>
      <c r="F25" s="9"/>
      <c r="G25" s="14"/>
      <c r="H25" s="9"/>
      <c r="I25" s="14"/>
      <c r="J25" s="9"/>
      <c r="K25" s="14"/>
      <c r="L25" s="9"/>
      <c r="M25" s="14"/>
      <c r="N25" s="9"/>
      <c r="O25" s="15"/>
    </row>
    <row r="26" spans="1:26" x14ac:dyDescent="0.25">
      <c r="A26" s="1" t="s">
        <v>23</v>
      </c>
      <c r="B26" s="5" t="s">
        <v>227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26" x14ac:dyDescent="0.25">
      <c r="B27" s="1" t="s">
        <v>3</v>
      </c>
      <c r="D27" s="6" cm="1">
        <f t="array" aca="1" ref="D27" ca="1">ROUND(((INDIRECT("'3. "&amp;$A26&amp;"'!C12"))/INDIRECT("'3. "&amp;$A26&amp;"'!C50"))*100,2)</f>
        <v>55.25</v>
      </c>
      <c r="E27" s="7" t="s">
        <v>4</v>
      </c>
      <c r="F27" s="6" cm="1">
        <f t="array" aca="1" ref="F27" ca="1">ROUND(((INDIRECT("'3. "&amp;$A26&amp;"'!E12"))/INDIRECT("'3. "&amp;$A26&amp;"'!E50"))*100,2)</f>
        <v>55.11</v>
      </c>
      <c r="G27" s="7" t="s">
        <v>4</v>
      </c>
      <c r="H27" s="6" cm="1">
        <f t="array" aca="1" ref="H27" ca="1">ROUND(((INDIRECT("'3. "&amp;$A26&amp;"'!G12"))/INDIRECT("'3. "&amp;$A26&amp;"'!G50"))*100,2)</f>
        <v>53.21</v>
      </c>
      <c r="I27" s="7" t="s">
        <v>4</v>
      </c>
      <c r="J27" s="6" cm="1">
        <f t="array" aca="1" ref="J27" ca="1">ROUND(((INDIRECT("'3. "&amp;$A26&amp;"'!I12"))/INDIRECT("'3. "&amp;$A26&amp;"'!i50"))*100,2)</f>
        <v>52.12</v>
      </c>
      <c r="K27" s="7" t="s">
        <v>4</v>
      </c>
      <c r="L27" s="6" cm="1">
        <f t="array" aca="1" ref="L27" ca="1">ROUND(((INDIRECT("'3. "&amp;$A26&amp;"'!K12"))/INDIRECT("'3. "&amp;$A26&amp;"'!K50"))*100,2)</f>
        <v>51.81</v>
      </c>
      <c r="M27" s="7" t="s">
        <v>4</v>
      </c>
      <c r="N27" s="6">
        <f ca="1">ROUND(AVERAGE(D27,F27,H27,J27,L27),2)</f>
        <v>53.5</v>
      </c>
      <c r="O27" s="15" t="s">
        <v>4</v>
      </c>
    </row>
    <row r="28" spans="1:26" x14ac:dyDescent="0.25">
      <c r="B28" s="1" t="s">
        <v>5</v>
      </c>
      <c r="D28" s="6" cm="1">
        <f t="array" aca="1" ref="D28" ca="1">ROUND((INDIRECT("'3. "&amp;$A26&amp;"'!C13")/INDIRECT("'3. "&amp;$A26&amp;"'!C50"))*100,2)</f>
        <v>0</v>
      </c>
      <c r="E28" s="10"/>
      <c r="F28" s="6" cm="1">
        <f t="array" aca="1" ref="F28" ca="1">ROUND((INDIRECT("'3. "&amp;$A26&amp;"'!E13")/INDIRECT("'3. "&amp;$A26&amp;"'!E50"))*100,2)</f>
        <v>0</v>
      </c>
      <c r="G28" s="10"/>
      <c r="H28" s="6" cm="1">
        <f t="array" aca="1" ref="H28" ca="1">ROUND((INDIRECT("'3. "&amp;$A26&amp;"'!G13")/INDIRECT("'3. "&amp;$A26&amp;"'!G50"))*100,2)</f>
        <v>0</v>
      </c>
      <c r="I28" s="10"/>
      <c r="J28" s="6" cm="1">
        <f t="array" aca="1" ref="J28" ca="1">ROUND((INDIRECT("'3. "&amp;$A26&amp;"'!I13")/INDIRECT("'3. "&amp;$A26&amp;"'!i50"))*100,2)</f>
        <v>0</v>
      </c>
      <c r="K28" s="10"/>
      <c r="L28" s="6" cm="1">
        <f t="array" aca="1" ref="L28" ca="1">ROUND((INDIRECT("'3. "&amp;$A26&amp;"'!K13")/INDIRECT("'3. "&amp;$A26&amp;"'!K50"))*100,2)</f>
        <v>0</v>
      </c>
      <c r="M28" s="10"/>
      <c r="N28" s="6">
        <f ca="1">ROUND(AVERAGE(D28,F28,H28,J28,L28),2)</f>
        <v>0</v>
      </c>
    </row>
    <row r="29" spans="1:26" x14ac:dyDescent="0.25">
      <c r="B29" s="1" t="s">
        <v>6</v>
      </c>
      <c r="D29" s="12" cm="1">
        <f t="array" aca="1" ref="D29" ca="1">ROUND((INDIRECT("'3. "&amp;$A26&amp;"'!C16")/INDIRECT("'3. "&amp;$A26&amp;"'!C50"))*100,2)</f>
        <v>44.75</v>
      </c>
      <c r="E29" s="10"/>
      <c r="F29" s="12" cm="1">
        <f t="array" aca="1" ref="F29" ca="1">ROUND((INDIRECT("'3. "&amp;$A26&amp;"'!E16")/INDIRECT("'3. "&amp;$A26&amp;"'!E50"))*100,2)</f>
        <v>44.89</v>
      </c>
      <c r="G29" s="10"/>
      <c r="H29" s="12" cm="1">
        <f t="array" aca="1" ref="H29" ca="1">ROUND((INDIRECT("'3. "&amp;$A26&amp;"'!G16")/INDIRECT("'3. "&amp;$A26&amp;"'!G50"))*100,2)</f>
        <v>46.79</v>
      </c>
      <c r="I29" s="10"/>
      <c r="J29" s="12" cm="1">
        <f t="array" aca="1" ref="J29" ca="1">ROUND((INDIRECT("'3. "&amp;$A26&amp;"'!I16")/INDIRECT("'3. "&amp;$A26&amp;"'!i50"))*100,2)</f>
        <v>47.88</v>
      </c>
      <c r="K29" s="10"/>
      <c r="L29" s="12" cm="1">
        <f t="array" aca="1" ref="L29" ca="1">ROUND((INDIRECT("'3. "&amp;$A26&amp;"'!K16")/INDIRECT("'3. "&amp;$A26&amp;"'!K50"))*100,2)</f>
        <v>48.19</v>
      </c>
      <c r="M29" s="10"/>
      <c r="N29" s="6">
        <f ca="1">ROUND(AVERAGE(D29,F29,H29,J29,L29),2)</f>
        <v>46.5</v>
      </c>
    </row>
    <row r="30" spans="1:26" ht="16.5" thickBot="1" x14ac:dyDescent="0.3">
      <c r="B30" s="1" t="s">
        <v>7</v>
      </c>
      <c r="D30" s="16">
        <f ca="1">SUM(D27:D29)</f>
        <v>100</v>
      </c>
      <c r="E30" s="14" t="s">
        <v>4</v>
      </c>
      <c r="F30" s="16">
        <f ca="1">SUM(F27:F29)</f>
        <v>100</v>
      </c>
      <c r="G30" s="14" t="s">
        <v>4</v>
      </c>
      <c r="H30" s="16">
        <f ca="1">SUM(H27:H29)</f>
        <v>100</v>
      </c>
      <c r="I30" s="14" t="s">
        <v>4</v>
      </c>
      <c r="J30" s="16">
        <f ca="1">SUM(J27:J29)</f>
        <v>100</v>
      </c>
      <c r="K30" s="14" t="s">
        <v>4</v>
      </c>
      <c r="L30" s="16">
        <f ca="1">SUM(L27:L29)</f>
        <v>100</v>
      </c>
      <c r="M30" s="14" t="s">
        <v>4</v>
      </c>
      <c r="N30" s="16">
        <f ca="1">SUM(N27:N29)</f>
        <v>100</v>
      </c>
      <c r="O30" s="15" t="s">
        <v>4</v>
      </c>
    </row>
    <row r="31" spans="1:26" ht="16.5" thickTop="1" x14ac:dyDescent="0.25">
      <c r="D31" s="9"/>
      <c r="E31" s="14"/>
      <c r="F31" s="9"/>
      <c r="G31" s="14"/>
      <c r="H31" s="9"/>
      <c r="I31" s="14"/>
      <c r="J31" s="9"/>
      <c r="K31" s="14"/>
      <c r="L31" s="9"/>
      <c r="M31" s="14"/>
      <c r="N31" s="9"/>
      <c r="O31" s="15"/>
    </row>
    <row r="32" spans="1:26" x14ac:dyDescent="0.25">
      <c r="A32" s="1" t="s">
        <v>25</v>
      </c>
      <c r="B32" s="4" t="s">
        <v>24</v>
      </c>
      <c r="D32" s="9"/>
      <c r="E32" s="14"/>
      <c r="F32" s="9"/>
      <c r="G32" s="14"/>
      <c r="H32" s="9"/>
      <c r="I32" s="14"/>
      <c r="J32" s="9"/>
      <c r="K32" s="14"/>
      <c r="L32" s="9"/>
      <c r="M32" s="14"/>
      <c r="N32" s="9"/>
      <c r="O32" s="15"/>
    </row>
    <row r="33" spans="1:26" x14ac:dyDescent="0.25">
      <c r="B33" s="1" t="s">
        <v>3</v>
      </c>
      <c r="D33" s="6" cm="1">
        <f t="array" aca="1" ref="D33" ca="1">ROUND(((INDIRECT("'3. "&amp;$A32&amp;"'!C12"))/INDIRECT("'3. "&amp;$A32&amp;"'!C50"))*100,2)</f>
        <v>40.71</v>
      </c>
      <c r="E33" s="7" t="s">
        <v>4</v>
      </c>
      <c r="F33" s="6" cm="1">
        <f t="array" aca="1" ref="F33" ca="1">ROUND(((INDIRECT("'3. "&amp;$A32&amp;"'!E12"))/INDIRECT("'3. "&amp;$A32&amp;"'!E50"))*100,2)</f>
        <v>44.05</v>
      </c>
      <c r="G33" s="7" t="s">
        <v>4</v>
      </c>
      <c r="H33" s="6" cm="1">
        <f t="array" aca="1" ref="H33" ca="1">ROUND(((INDIRECT("'3. "&amp;$A32&amp;"'!G12"))/INDIRECT("'3. "&amp;$A32&amp;"'!G50"))*100,2)</f>
        <v>42.1</v>
      </c>
      <c r="I33" s="7" t="s">
        <v>4</v>
      </c>
      <c r="J33" s="6" cm="1">
        <f t="array" aca="1" ref="J33" ca="1">ROUND(((INDIRECT("'3. "&amp;$A32&amp;"'!I12"))/INDIRECT("'3. "&amp;$A32&amp;"'!i50"))*100,2)</f>
        <v>41.74</v>
      </c>
      <c r="K33" s="7" t="s">
        <v>4</v>
      </c>
      <c r="L33" s="6" cm="1">
        <f t="array" aca="1" ref="L33" ca="1">ROUND(((INDIRECT("'3. "&amp;$A32&amp;"'!K12"))/INDIRECT("'3. "&amp;$A32&amp;"'!K50"))*100,2)</f>
        <v>41.76</v>
      </c>
      <c r="M33" s="7" t="s">
        <v>4</v>
      </c>
      <c r="N33" s="6">
        <f ca="1">ROUND(AVERAGE(D33,F33,H33,J33,L33),2)</f>
        <v>42.07</v>
      </c>
      <c r="O33" s="15" t="s">
        <v>4</v>
      </c>
    </row>
    <row r="34" spans="1:26" x14ac:dyDescent="0.25">
      <c r="B34" s="1" t="s">
        <v>5</v>
      </c>
      <c r="D34" s="6" cm="1">
        <f t="array" aca="1" ref="D34" ca="1">ROUND((INDIRECT("'3. "&amp;$A32&amp;"'!C13")/INDIRECT("'3. "&amp;$A32&amp;"'!C50"))*100,2)</f>
        <v>0</v>
      </c>
      <c r="E34" s="10"/>
      <c r="F34" s="6" cm="1">
        <f t="array" aca="1" ref="F34" ca="1">ROUND((INDIRECT("'3. "&amp;$A32&amp;"'!E13")/INDIRECT("'3. "&amp;$A32&amp;"'!E50"))*100,2)</f>
        <v>0</v>
      </c>
      <c r="G34" s="10"/>
      <c r="H34" s="6" cm="1">
        <f t="array" aca="1" ref="H34" ca="1">ROUND((INDIRECT("'3. "&amp;$A32&amp;"'!G13")/INDIRECT("'3. "&amp;$A32&amp;"'!G50"))*100,2)</f>
        <v>0</v>
      </c>
      <c r="I34" s="10"/>
      <c r="J34" s="6" cm="1">
        <f t="array" aca="1" ref="J34" ca="1">ROUND((INDIRECT("'3. "&amp;$A32&amp;"'!I13")/INDIRECT("'3. "&amp;$A32&amp;"'!i50"))*100,2)</f>
        <v>0</v>
      </c>
      <c r="K34" s="10"/>
      <c r="L34" s="6" cm="1">
        <f t="array" aca="1" ref="L34" ca="1">ROUND((INDIRECT("'3. "&amp;$A32&amp;"'!K13")/INDIRECT("'3. "&amp;$A32&amp;"'!K50"))*100,2)</f>
        <v>0</v>
      </c>
      <c r="M34" s="10"/>
      <c r="N34" s="6">
        <f ca="1">ROUND(AVERAGE(D34,F34,H34,J34,L34),2)</f>
        <v>0</v>
      </c>
    </row>
    <row r="35" spans="1:26" x14ac:dyDescent="0.25">
      <c r="B35" s="1" t="s">
        <v>6</v>
      </c>
      <c r="D35" s="12" cm="1">
        <f t="array" aca="1" ref="D35" ca="1">ROUND((INDIRECT("'3. "&amp;$A32&amp;"'!C16")/INDIRECT("'3. "&amp;$A32&amp;"'!C50"))*100,2)</f>
        <v>59.29</v>
      </c>
      <c r="E35" s="10"/>
      <c r="F35" s="12" cm="1">
        <f t="array" aca="1" ref="F35" ca="1">ROUND((INDIRECT("'3. "&amp;$A32&amp;"'!E16")/INDIRECT("'3. "&amp;$A32&amp;"'!E50"))*100,2)</f>
        <v>55.95</v>
      </c>
      <c r="G35" s="10"/>
      <c r="H35" s="12" cm="1">
        <f t="array" aca="1" ref="H35" ca="1">ROUND((INDIRECT("'3. "&amp;$A32&amp;"'!G16")/INDIRECT("'3. "&amp;$A32&amp;"'!G50"))*100,2)</f>
        <v>57.9</v>
      </c>
      <c r="I35" s="10"/>
      <c r="J35" s="12" cm="1">
        <f t="array" aca="1" ref="J35" ca="1">ROUND((INDIRECT("'3. "&amp;$A32&amp;"'!I16")/INDIRECT("'3. "&amp;$A32&amp;"'!i50"))*100,2)</f>
        <v>58.26</v>
      </c>
      <c r="K35" s="10"/>
      <c r="L35" s="12" cm="1">
        <f t="array" aca="1" ref="L35" ca="1">ROUND((INDIRECT("'3. "&amp;$A32&amp;"'!K16")/INDIRECT("'3. "&amp;$A32&amp;"'!K50"))*100,2)</f>
        <v>58.24</v>
      </c>
      <c r="M35" s="10"/>
      <c r="N35" s="6">
        <f ca="1">ROUND(AVERAGE(D35,F35,H35,J35,L35),2)</f>
        <v>57.93</v>
      </c>
    </row>
    <row r="36" spans="1:26" ht="16.5" thickBot="1" x14ac:dyDescent="0.3">
      <c r="B36" s="1" t="s">
        <v>7</v>
      </c>
      <c r="D36" s="16">
        <f ca="1">SUM(D33:D35)</f>
        <v>100</v>
      </c>
      <c r="E36" s="14" t="s">
        <v>4</v>
      </c>
      <c r="F36" s="16">
        <f ca="1">SUM(F33:F35)</f>
        <v>100</v>
      </c>
      <c r="G36" s="14" t="s">
        <v>4</v>
      </c>
      <c r="H36" s="16">
        <f ca="1">SUM(H33:H35)</f>
        <v>100</v>
      </c>
      <c r="I36" s="14" t="s">
        <v>4</v>
      </c>
      <c r="J36" s="16">
        <f ca="1">SUM(J33:J35)</f>
        <v>100</v>
      </c>
      <c r="K36" s="14" t="s">
        <v>4</v>
      </c>
      <c r="L36" s="16">
        <f ca="1">SUM(L33:L35)</f>
        <v>100</v>
      </c>
      <c r="M36" s="14" t="s">
        <v>4</v>
      </c>
      <c r="N36" s="16">
        <f ca="1">SUM(N33:N35)</f>
        <v>100</v>
      </c>
      <c r="O36" s="15" t="s">
        <v>4</v>
      </c>
    </row>
    <row r="37" spans="1:26" ht="16.5" thickTop="1" x14ac:dyDescent="0.25">
      <c r="D37" s="9"/>
      <c r="E37" s="14"/>
      <c r="F37" s="9"/>
      <c r="G37" s="14"/>
      <c r="H37" s="9"/>
      <c r="I37" s="14"/>
      <c r="J37" s="9"/>
      <c r="K37" s="14"/>
      <c r="L37" s="9"/>
      <c r="M37" s="14"/>
      <c r="N37" s="9"/>
      <c r="O37" s="15"/>
    </row>
    <row r="38" spans="1:26" x14ac:dyDescent="0.25">
      <c r="A38" s="1" t="s">
        <v>27</v>
      </c>
      <c r="B38" s="4" t="s">
        <v>228</v>
      </c>
      <c r="D38" s="9"/>
      <c r="E38" s="14"/>
      <c r="F38" s="9"/>
      <c r="G38" s="14"/>
      <c r="H38" s="9"/>
      <c r="I38" s="14"/>
      <c r="J38" s="9"/>
      <c r="K38" s="14"/>
      <c r="L38" s="9"/>
      <c r="M38" s="14"/>
      <c r="N38" s="9"/>
      <c r="O38" s="15"/>
    </row>
    <row r="39" spans="1:26" x14ac:dyDescent="0.25">
      <c r="B39" s="1" t="s">
        <v>3</v>
      </c>
      <c r="D39" s="6" cm="1">
        <f t="array" aca="1" ref="D39" ca="1">ROUND(((INDIRECT("'3. "&amp;$A38&amp;"'!C12"))/INDIRECT("'3. "&amp;$A38&amp;"'!C50"))*100,2)</f>
        <v>55.54</v>
      </c>
      <c r="E39" s="7" t="s">
        <v>4</v>
      </c>
      <c r="F39" s="6" cm="1">
        <f t="array" aca="1" ref="F39" ca="1">ROUND(((INDIRECT("'3. "&amp;$A38&amp;"'!E12"))/INDIRECT("'3. "&amp;$A38&amp;"'!E50"))*100,2)</f>
        <v>58.43</v>
      </c>
      <c r="G39" s="7" t="s">
        <v>4</v>
      </c>
      <c r="H39" s="6" cm="1">
        <f t="array" aca="1" ref="H39" ca="1">ROUND(((INDIRECT("'3. "&amp;$A38&amp;"'!G12"))/INDIRECT("'3. "&amp;$A38&amp;"'!G50"))*100,2)</f>
        <v>59.25</v>
      </c>
      <c r="I39" s="7" t="s">
        <v>4</v>
      </c>
      <c r="J39" s="6" cm="1">
        <f t="array" aca="1" ref="J39" ca="1">ROUND(((INDIRECT("'3. "&amp;$A38&amp;"'!I12"))/INDIRECT("'3. "&amp;$A38&amp;"'!i50"))*100,2)</f>
        <v>59.9</v>
      </c>
      <c r="K39" s="7" t="s">
        <v>4</v>
      </c>
      <c r="L39" s="6" cm="1">
        <f t="array" aca="1" ref="L39" ca="1">ROUND(((INDIRECT("'3. "&amp;$A38&amp;"'!K12"))/INDIRECT("'3. "&amp;$A38&amp;"'!K50"))*100,2)</f>
        <v>50.9</v>
      </c>
      <c r="M39" s="7" t="s">
        <v>4</v>
      </c>
      <c r="N39" s="6">
        <f ca="1">ROUND(AVERAGE(D39,F39,H39,J39,L39),2)</f>
        <v>56.8</v>
      </c>
      <c r="O39" s="15" t="s">
        <v>4</v>
      </c>
    </row>
    <row r="40" spans="1:26" x14ac:dyDescent="0.25">
      <c r="B40" s="1" t="s">
        <v>5</v>
      </c>
      <c r="D40" s="6" cm="1">
        <f t="array" aca="1" ref="D40" ca="1">ROUND((INDIRECT("'3. "&amp;$A38&amp;"'!C13")/INDIRECT("'3. "&amp;$A38&amp;"'!C50"))*100,2)</f>
        <v>0</v>
      </c>
      <c r="E40" s="10"/>
      <c r="F40" s="6" cm="1">
        <f t="array" aca="1" ref="F40" ca="1">ROUND((INDIRECT("'3. "&amp;$A38&amp;"'!E13")/INDIRECT("'3. "&amp;$A38&amp;"'!E50"))*100,2)</f>
        <v>0</v>
      </c>
      <c r="G40" s="10"/>
      <c r="H40" s="6" cm="1">
        <f t="array" aca="1" ref="H40" ca="1">ROUND((INDIRECT("'3. "&amp;$A38&amp;"'!G13")/INDIRECT("'3. "&amp;$A38&amp;"'!G50"))*100,2)</f>
        <v>0</v>
      </c>
      <c r="I40" s="10"/>
      <c r="J40" s="6" cm="1">
        <f t="array" aca="1" ref="J40" ca="1">ROUND((INDIRECT("'3. "&amp;$A38&amp;"'!I13")/INDIRECT("'3. "&amp;$A38&amp;"'!i50"))*100,2)</f>
        <v>0</v>
      </c>
      <c r="K40" s="10"/>
      <c r="L40" s="6" cm="1">
        <f t="array" aca="1" ref="L40" ca="1">ROUND((INDIRECT("'3. "&amp;$A38&amp;"'!K13")/INDIRECT("'3. "&amp;$A38&amp;"'!K50"))*100,2)</f>
        <v>0</v>
      </c>
      <c r="M40" s="10"/>
      <c r="N40" s="6">
        <f ca="1">ROUND(AVERAGE(D40,F40,H40,J40,L40),2)</f>
        <v>0</v>
      </c>
    </row>
    <row r="41" spans="1:26" x14ac:dyDescent="0.25">
      <c r="B41" s="1" t="s">
        <v>6</v>
      </c>
      <c r="D41" s="12" cm="1">
        <f t="array" aca="1" ref="D41" ca="1">ROUND((INDIRECT("'3. "&amp;$A38&amp;"'!C16")/INDIRECT("'3. "&amp;$A38&amp;"'!C50"))*100,2)</f>
        <v>44.46</v>
      </c>
      <c r="E41" s="10"/>
      <c r="F41" s="12" cm="1">
        <f t="array" aca="1" ref="F41" ca="1">ROUND((INDIRECT("'3. "&amp;$A38&amp;"'!E16")/INDIRECT("'3. "&amp;$A38&amp;"'!E50"))*100,2)</f>
        <v>41.57</v>
      </c>
      <c r="G41" s="10"/>
      <c r="H41" s="12" cm="1">
        <f t="array" aca="1" ref="H41" ca="1">ROUND((INDIRECT("'3. "&amp;$A38&amp;"'!G16")/INDIRECT("'3. "&amp;$A38&amp;"'!G50"))*100,2)</f>
        <v>40.75</v>
      </c>
      <c r="I41" s="10"/>
      <c r="J41" s="12" cm="1">
        <f t="array" aca="1" ref="J41" ca="1">ROUND((INDIRECT("'3. "&amp;$A38&amp;"'!I16")/INDIRECT("'3. "&amp;$A38&amp;"'!i50"))*100,2)</f>
        <v>40.1</v>
      </c>
      <c r="K41" s="10"/>
      <c r="L41" s="12" cm="1">
        <f t="array" aca="1" ref="L41" ca="1">ROUND((INDIRECT("'3. "&amp;$A38&amp;"'!K16")/INDIRECT("'3. "&amp;$A38&amp;"'!K50"))*100,2)</f>
        <v>49.1</v>
      </c>
      <c r="M41" s="10"/>
      <c r="N41" s="6">
        <f ca="1">ROUND(AVERAGE(D41,F41,H41,J41,L41),2)</f>
        <v>43.2</v>
      </c>
    </row>
    <row r="42" spans="1:26" ht="16.5" thickBot="1" x14ac:dyDescent="0.3">
      <c r="B42" s="1" t="s">
        <v>7</v>
      </c>
      <c r="D42" s="16">
        <f ca="1">SUM(D39:D41)</f>
        <v>100</v>
      </c>
      <c r="E42" s="14" t="s">
        <v>4</v>
      </c>
      <c r="F42" s="16">
        <f ca="1">SUM(F39:F41)</f>
        <v>100</v>
      </c>
      <c r="G42" s="14" t="s">
        <v>4</v>
      </c>
      <c r="H42" s="16">
        <f ca="1">SUM(H39:H41)</f>
        <v>100</v>
      </c>
      <c r="I42" s="14" t="s">
        <v>4</v>
      </c>
      <c r="J42" s="16">
        <f ca="1">SUM(J39:J41)</f>
        <v>100</v>
      </c>
      <c r="K42" s="14" t="s">
        <v>4</v>
      </c>
      <c r="L42" s="16">
        <f ca="1">SUM(L39:L41)</f>
        <v>100</v>
      </c>
      <c r="M42" s="14" t="s">
        <v>4</v>
      </c>
      <c r="N42" s="16">
        <f ca="1">SUM(N39:N41)</f>
        <v>100</v>
      </c>
      <c r="O42" s="15" t="s">
        <v>4</v>
      </c>
    </row>
    <row r="43" spans="1:26" ht="16.5" thickTop="1" x14ac:dyDescent="0.25">
      <c r="D43" s="9"/>
      <c r="E43" s="14"/>
      <c r="F43" s="9"/>
      <c r="G43" s="14"/>
      <c r="H43" s="9"/>
      <c r="I43" s="14"/>
      <c r="J43" s="9"/>
      <c r="K43" s="14"/>
      <c r="L43" s="9"/>
      <c r="M43" s="14"/>
      <c r="N43" s="9"/>
      <c r="O43" s="15"/>
    </row>
    <row r="44" spans="1:26" x14ac:dyDescent="0.25">
      <c r="A44" s="1" t="s">
        <v>29</v>
      </c>
      <c r="B44" s="5" t="s">
        <v>146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26" x14ac:dyDescent="0.25">
      <c r="B45" s="1" t="s">
        <v>3</v>
      </c>
      <c r="D45" s="6" cm="1">
        <f t="array" aca="1" ref="D45" ca="1">ROUND(((INDIRECT("'3. "&amp;$A44&amp;"'!C12"))/INDIRECT("'3. "&amp;$A44&amp;"'!C50"))*100,4)</f>
        <v>51.881300000000003</v>
      </c>
      <c r="E45" s="7" t="s">
        <v>4</v>
      </c>
      <c r="F45" s="6" cm="1">
        <f t="array" aca="1" ref="F45" ca="1">ROUND(((INDIRECT("'3. "&amp;$A44&amp;"'!E12"))/INDIRECT("'3. "&amp;$A44&amp;"'!E50"))*100,2)</f>
        <v>54.01</v>
      </c>
      <c r="G45" s="7" t="s">
        <v>4</v>
      </c>
      <c r="H45" s="6" cm="1">
        <f t="array" aca="1" ref="H45" ca="1">ROUND(((INDIRECT("'3. "&amp;$A44&amp;"'!G12"))/INDIRECT("'3. "&amp;$A44&amp;"'!G50"))*100,2)</f>
        <v>51.42</v>
      </c>
      <c r="I45" s="7" t="s">
        <v>4</v>
      </c>
      <c r="J45" s="6" cm="1">
        <f t="array" aca="1" ref="J45" ca="1">ROUND(((INDIRECT("'3. "&amp;$A44&amp;"'!I12"))/INDIRECT("'3. "&amp;$A44&amp;"'!i50"))*100,2)</f>
        <v>52.98</v>
      </c>
      <c r="K45" s="7" t="s">
        <v>4</v>
      </c>
      <c r="L45" s="6" cm="1">
        <f t="array" aca="1" ref="L45" ca="1">ROUND(((INDIRECT("'3. "&amp;$A44&amp;"'!K12"))/INDIRECT("'3. "&amp;$A44&amp;"'!K50"))*100,2)</f>
        <v>49.62</v>
      </c>
      <c r="M45" s="7" t="s">
        <v>4</v>
      </c>
      <c r="N45" s="6">
        <f ca="1">ROUND(AVERAGE(D45,F45,H45,J45,L45),4)</f>
        <v>51.982300000000002</v>
      </c>
      <c r="O45" s="15" t="s">
        <v>4</v>
      </c>
      <c r="R45" s="9"/>
      <c r="T45" s="9"/>
      <c r="V45" s="9"/>
      <c r="X45" s="9"/>
      <c r="Z45" s="9"/>
    </row>
    <row r="46" spans="1:26" x14ac:dyDescent="0.25">
      <c r="B46" s="1" t="s">
        <v>5</v>
      </c>
      <c r="D46" s="6" cm="1">
        <f t="array" aca="1" ref="D46" ca="1">ROUND((INDIRECT("'3. "&amp;$A44&amp;"'!C13")/INDIRECT("'3. "&amp;$A44&amp;"'!C50"))*100,4)</f>
        <v>3.3513000000000002</v>
      </c>
      <c r="E46" s="10"/>
      <c r="F46" s="6" cm="1">
        <f t="array" aca="1" ref="F46" ca="1">ROUND((INDIRECT("'3. "&amp;$A44&amp;"'!E13")/INDIRECT("'3. "&amp;$A44&amp;"'!E50"))*100,2)</f>
        <v>3.52</v>
      </c>
      <c r="G46" s="10"/>
      <c r="H46" s="6" cm="1">
        <f t="array" aca="1" ref="H46" ca="1">ROUND((INDIRECT("'3. "&amp;$A44&amp;"'!G13")/INDIRECT("'3. "&amp;$A44&amp;"'!G50"))*100,2)</f>
        <v>3.84</v>
      </c>
      <c r="I46" s="10"/>
      <c r="J46" s="6" cm="1">
        <f t="array" aca="1" ref="J46" ca="1">ROUND((INDIRECT("'3. "&amp;$A44&amp;"'!I13")/INDIRECT("'3. "&amp;$A44&amp;"'!i50"))*100,2)</f>
        <v>4.28</v>
      </c>
      <c r="K46" s="10"/>
      <c r="L46" s="6" cm="1">
        <f t="array" aca="1" ref="L46" ca="1">ROUND((INDIRECT("'3. "&amp;$A44&amp;"'!K13")/INDIRECT("'3. "&amp;$A44&amp;"'!K50"))*100,2)</f>
        <v>4.83</v>
      </c>
      <c r="M46" s="10"/>
      <c r="N46" s="6">
        <f ca="1">ROUND(AVERAGE(D46,F46,H46,J46,L46),4)</f>
        <v>3.9643000000000002</v>
      </c>
      <c r="R46" s="9"/>
      <c r="T46" s="9"/>
      <c r="V46" s="9"/>
      <c r="X46" s="9"/>
      <c r="Z46" s="9"/>
    </row>
    <row r="47" spans="1:26" x14ac:dyDescent="0.25">
      <c r="B47" s="1" t="s">
        <v>6</v>
      </c>
      <c r="D47" s="12" cm="1">
        <f t="array" aca="1" ref="D47" ca="1">ROUND((INDIRECT("'3. "&amp;$A44&amp;"'!C16")/INDIRECT("'3. "&amp;$A44&amp;"'!C50"))*100,2)</f>
        <v>44.77</v>
      </c>
      <c r="E47" s="10"/>
      <c r="F47" s="12" cm="1">
        <f t="array" aca="1" ref="F47" ca="1">ROUND((INDIRECT("'3. "&amp;$A44&amp;"'!E16")/INDIRECT("'3. "&amp;$A44&amp;"'!E50"))*100,2)</f>
        <v>42.46</v>
      </c>
      <c r="G47" s="10"/>
      <c r="H47" s="12" cm="1">
        <f t="array" aca="1" ref="H47" ca="1">ROUND((INDIRECT("'3. "&amp;$A44&amp;"'!G16")/INDIRECT("'3. "&amp;$A44&amp;"'!G50"))*100,2)</f>
        <v>44.74</v>
      </c>
      <c r="I47" s="10"/>
      <c r="J47" s="12" cm="1">
        <f t="array" aca="1" ref="J47" ca="1">ROUND((INDIRECT("'3. "&amp;$A44&amp;"'!I16")/INDIRECT("'3. "&amp;$A44&amp;"'!i50"))*100,2)</f>
        <v>42.74</v>
      </c>
      <c r="K47" s="10"/>
      <c r="L47" s="12" cm="1">
        <f t="array" aca="1" ref="L47" ca="1">ROUND((INDIRECT("'3. "&amp;$A44&amp;"'!K16")/INDIRECT("'3. "&amp;$A44&amp;"'!K50"))*100,2)</f>
        <v>45.55</v>
      </c>
      <c r="M47" s="10"/>
      <c r="N47" s="6">
        <f ca="1">ROUND(AVERAGE(D47,F47,H47,J47,L47),4)</f>
        <v>44.052</v>
      </c>
      <c r="R47" s="9"/>
      <c r="T47" s="9"/>
      <c r="V47" s="9"/>
      <c r="X47" s="9"/>
      <c r="Z47" s="9"/>
    </row>
    <row r="48" spans="1:26" ht="16.5" thickBot="1" x14ac:dyDescent="0.3">
      <c r="B48" s="1" t="s">
        <v>7</v>
      </c>
      <c r="D48" s="16">
        <f ca="1">SUM(D45:D47)</f>
        <v>100.0026</v>
      </c>
      <c r="E48" s="14" t="s">
        <v>4</v>
      </c>
      <c r="F48" s="16">
        <f ca="1">SUM(F45:F47)</f>
        <v>99.990000000000009</v>
      </c>
      <c r="G48" s="14" t="s">
        <v>4</v>
      </c>
      <c r="H48" s="16">
        <f ca="1">SUM(H45:H47)</f>
        <v>100</v>
      </c>
      <c r="I48" s="14" t="s">
        <v>4</v>
      </c>
      <c r="J48" s="16">
        <f ca="1">SUM(J45:J47)</f>
        <v>100</v>
      </c>
      <c r="K48" s="14" t="s">
        <v>4</v>
      </c>
      <c r="L48" s="16">
        <f ca="1">SUM(L45:L47)</f>
        <v>100</v>
      </c>
      <c r="M48" s="14" t="s">
        <v>4</v>
      </c>
      <c r="N48" s="16">
        <f ca="1">SUM(N45:N47)</f>
        <v>99.99860000000001</v>
      </c>
      <c r="O48" s="15" t="s">
        <v>4</v>
      </c>
    </row>
    <row r="49" spans="2:18" ht="16.5" thickTop="1" x14ac:dyDescent="0.25">
      <c r="D49" s="9"/>
      <c r="E49" s="14"/>
      <c r="F49" s="9"/>
      <c r="G49" s="14"/>
      <c r="H49" s="9"/>
      <c r="I49" s="14"/>
      <c r="J49" s="9"/>
      <c r="K49" s="14"/>
      <c r="L49" s="9"/>
      <c r="M49" s="14"/>
      <c r="N49" s="9"/>
      <c r="O49" s="15"/>
    </row>
    <row r="50" spans="2:18" ht="24" customHeight="1" x14ac:dyDescent="0.25">
      <c r="B50" s="5" t="str">
        <f>B2</f>
        <v>Proxy Group of Seven Natural Gas Companies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8" x14ac:dyDescent="0.25">
      <c r="B51" s="1" t="s">
        <v>3</v>
      </c>
      <c r="D51" s="9">
        <f ca="1">ROUND(AVERAGEIF($B$7:$B$49,$B51,D$7:D$49),4)</f>
        <v>51.608800000000002</v>
      </c>
      <c r="E51" s="14" t="s">
        <v>4</v>
      </c>
      <c r="F51" s="9">
        <f ca="1">ROUND(AVERAGEIF($B$7:$B$49,$B51,F$7:F$49),4)</f>
        <v>52.234299999999998</v>
      </c>
      <c r="G51" s="14" t="s">
        <v>4</v>
      </c>
      <c r="H51" s="9">
        <f ca="1">ROUND(AVERAGEIF($B$7:$B$49,$B51,H$7:H$49),2)</f>
        <v>52.29</v>
      </c>
      <c r="I51" s="14" t="s">
        <v>4</v>
      </c>
      <c r="J51" s="9">
        <f ca="1">ROUND(AVERAGEIF($B$7:$B$49,$B51,J$7:J$49),4)</f>
        <v>51.57</v>
      </c>
      <c r="K51" s="14" t="s">
        <v>4</v>
      </c>
      <c r="L51" s="9">
        <f ca="1">ROUND(AVERAGEIF($B$7:$B$49,$B51,L$7:L$49),2)</f>
        <v>50.16</v>
      </c>
      <c r="M51" s="14" t="s">
        <v>4</v>
      </c>
      <c r="N51" s="9">
        <f ca="1">ROUND(AVERAGEIF($B$7:$B$49,$B51,N$7:N$49),2)</f>
        <v>51.57</v>
      </c>
      <c r="O51" s="15" t="s">
        <v>4</v>
      </c>
      <c r="P51" s="9"/>
      <c r="R51" s="17"/>
    </row>
    <row r="52" spans="2:18" x14ac:dyDescent="0.25">
      <c r="B52" s="1" t="s">
        <v>5</v>
      </c>
      <c r="D52" s="9">
        <f ca="1">ROUND(AVERAGEIF($B$7:$B$49,$B52,D$7:D$49),4)</f>
        <v>0.4788</v>
      </c>
      <c r="E52" s="9"/>
      <c r="F52" s="9">
        <f ca="1">ROUND(AVERAGEIF($B$7:$B$49,$B52,F$7:F$49),4)</f>
        <v>0.86140000000000005</v>
      </c>
      <c r="G52" s="9"/>
      <c r="H52" s="9">
        <f ca="1">ROUND(AVERAGEIF($B$7:$B$49,$B52,H$7:H$49),2)</f>
        <v>1.84</v>
      </c>
      <c r="I52" s="9"/>
      <c r="J52" s="9">
        <f ca="1">ROUND(AVERAGEIF($B$7:$B$49,$B52,J$7:J$49),4)</f>
        <v>1.9757</v>
      </c>
      <c r="K52" s="9"/>
      <c r="L52" s="9">
        <f ca="1">ROUND(AVERAGEIF($B$7:$B$49,$B52,L$7:L$49),2)</f>
        <v>1.53</v>
      </c>
      <c r="M52" s="9"/>
      <c r="N52" s="9">
        <f ca="1">ROUND(AVERAGEIF($B$7:$B$49,$B52,N$7:N$49),2)</f>
        <v>1.34</v>
      </c>
      <c r="R52" s="17"/>
    </row>
    <row r="53" spans="2:18" x14ac:dyDescent="0.25">
      <c r="B53" s="1" t="s">
        <v>6</v>
      </c>
      <c r="D53" s="18">
        <f ca="1">ROUND(AVERAGEIF($B$7:$B$49,$B53,D$7:D$49),4)</f>
        <v>47.9129</v>
      </c>
      <c r="E53" s="9"/>
      <c r="F53" s="18">
        <f ca="1">ROUND(AVERAGEIF($B$7:$B$49,$B53,F$7:F$49),4)</f>
        <v>46.902900000000002</v>
      </c>
      <c r="G53" s="9"/>
      <c r="H53" s="18">
        <f ca="1">ROUND(AVERAGEIF($B$7:$B$49,$B53,H$7:H$49),2)</f>
        <v>45.87</v>
      </c>
      <c r="I53" s="9"/>
      <c r="J53" s="18">
        <f ca="1">ROUND(AVERAGEIF($B$7:$B$49,$B53,J$7:J$49),2)</f>
        <v>46.45</v>
      </c>
      <c r="K53" s="9"/>
      <c r="L53" s="18">
        <f ca="1">ROUND(AVERAGEIF($B$7:$B$49,$B53,L$7:L$49),2)</f>
        <v>48.31</v>
      </c>
      <c r="M53" s="9"/>
      <c r="N53" s="18">
        <f ca="1">ROUND(AVERAGEIF($B$7:$B$49,$B53,N$7:N$49),2)</f>
        <v>47.09</v>
      </c>
      <c r="Q53" s="9"/>
      <c r="R53" s="9"/>
    </row>
    <row r="54" spans="2:18" ht="16.5" thickBot="1" x14ac:dyDescent="0.3">
      <c r="B54" s="1" t="s">
        <v>7</v>
      </c>
      <c r="D54" s="16">
        <f ca="1">SUM(D51:D53)</f>
        <v>100.0005</v>
      </c>
      <c r="E54" s="14" t="s">
        <v>4</v>
      </c>
      <c r="F54" s="16">
        <f ca="1">SUM(F51:F53)</f>
        <v>99.99860000000001</v>
      </c>
      <c r="G54" s="14" t="s">
        <v>4</v>
      </c>
      <c r="H54" s="16">
        <f ca="1">SUM(H51:H53)</f>
        <v>100</v>
      </c>
      <c r="I54" s="14" t="s">
        <v>4</v>
      </c>
      <c r="J54" s="16">
        <f ca="1">SUM(J51:J53)</f>
        <v>99.995699999999999</v>
      </c>
      <c r="K54" s="14" t="s">
        <v>4</v>
      </c>
      <c r="L54" s="16">
        <f ca="1">SUM(L51:L53)</f>
        <v>100</v>
      </c>
      <c r="M54" s="14" t="s">
        <v>4</v>
      </c>
      <c r="N54" s="16">
        <f ca="1">SUM(N51:N53)</f>
        <v>100</v>
      </c>
      <c r="O54" s="15" t="s">
        <v>4</v>
      </c>
    </row>
    <row r="55" spans="2:18" ht="16.5" thickTop="1" x14ac:dyDescent="0.25">
      <c r="O55" s="15"/>
    </row>
    <row r="56" spans="2:18" x14ac:dyDescent="0.25">
      <c r="B56" s="1" t="s">
        <v>8</v>
      </c>
    </row>
    <row r="57" spans="2:18" x14ac:dyDescent="0.25">
      <c r="B57" s="1" t="s">
        <v>9</v>
      </c>
    </row>
    <row r="60" spans="2:18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8" x14ac:dyDescent="0.25"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8" x14ac:dyDescent="0.25"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</sheetData>
  <mergeCells count="1">
    <mergeCell ref="B3:O3"/>
  </mergeCells>
  <printOptions horizontalCentered="1"/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E1FB-933D-4805-B0A3-DB1FB9AE7378}">
  <dimension ref="A1:P23"/>
  <sheetViews>
    <sheetView showOutlineSymbols="0" view="pageBreakPreview" zoomScale="80" zoomScaleNormal="100" zoomScaleSheetLayoutView="80" workbookViewId="0">
      <selection activeCell="A4" sqref="A4"/>
    </sheetView>
  </sheetViews>
  <sheetFormatPr defaultColWidth="9" defaultRowHeight="15.75" x14ac:dyDescent="0.25"/>
  <cols>
    <col min="1" max="1" width="56.7109375" style="20" customWidth="1"/>
    <col min="2" max="2" width="2.7109375" style="20" customWidth="1"/>
    <col min="3" max="3" width="15.140625" style="21" customWidth="1"/>
    <col min="4" max="4" width="2.7109375" style="20" customWidth="1"/>
    <col min="5" max="5" width="13.7109375" style="21" customWidth="1"/>
    <col min="6" max="6" width="2.7109375" style="21" customWidth="1"/>
    <col min="7" max="7" width="15.7109375" style="21" customWidth="1"/>
    <col min="8" max="8" width="2.7109375" style="21" customWidth="1"/>
    <col min="9" max="9" width="13.42578125" style="21" bestFit="1" customWidth="1"/>
    <col min="10" max="10" width="9" style="20"/>
    <col min="11" max="11" width="49.5703125" style="20" bestFit="1" customWidth="1"/>
    <col min="12" max="12" width="15.5703125" style="20" bestFit="1" customWidth="1"/>
    <col min="13" max="13" width="25" style="20" bestFit="1" customWidth="1"/>
    <col min="14" max="14" width="28" style="20" bestFit="1" customWidth="1"/>
    <col min="15" max="15" width="42.5703125" style="20" bestFit="1" customWidth="1"/>
    <col min="16" max="16" width="14.28515625" style="20" bestFit="1" customWidth="1"/>
    <col min="17" max="16384" width="9" style="20"/>
  </cols>
  <sheetData>
    <row r="1" spans="1:16" x14ac:dyDescent="0.25">
      <c r="A1" s="19" t="s">
        <v>243</v>
      </c>
      <c r="B1" s="19"/>
      <c r="C1" s="19"/>
      <c r="D1" s="19"/>
      <c r="E1" s="19"/>
      <c r="F1" s="19"/>
      <c r="G1" s="19"/>
      <c r="H1" s="19"/>
      <c r="I1" s="19"/>
    </row>
    <row r="2" spans="1:16" x14ac:dyDescent="0.25">
      <c r="A2" s="185" t="s">
        <v>10</v>
      </c>
      <c r="B2" s="185"/>
      <c r="C2" s="185"/>
      <c r="D2" s="185"/>
      <c r="E2" s="185"/>
      <c r="F2" s="185"/>
      <c r="G2" s="185"/>
      <c r="H2" s="185"/>
      <c r="I2" s="185"/>
    </row>
    <row r="3" spans="1:16" x14ac:dyDescent="0.25">
      <c r="A3" s="186" t="s">
        <v>242</v>
      </c>
      <c r="B3" s="186"/>
      <c r="C3" s="186"/>
      <c r="D3" s="186"/>
      <c r="E3" s="186"/>
      <c r="F3" s="186"/>
      <c r="G3" s="186"/>
      <c r="H3" s="186"/>
      <c r="I3" s="186"/>
    </row>
    <row r="5" spans="1:16" x14ac:dyDescent="0.25">
      <c r="E5" s="187">
        <v>2024</v>
      </c>
      <c r="F5" s="187"/>
      <c r="G5" s="187"/>
      <c r="H5" s="187"/>
      <c r="I5" s="187"/>
      <c r="M5" s="22"/>
      <c r="N5" s="22"/>
      <c r="O5" s="22"/>
      <c r="P5" s="22"/>
    </row>
    <row r="6" spans="1:16" ht="47.25" x14ac:dyDescent="0.25">
      <c r="A6" s="23" t="s">
        <v>11</v>
      </c>
      <c r="C6" s="24" t="s">
        <v>12</v>
      </c>
      <c r="E6" s="24" t="s">
        <v>6</v>
      </c>
      <c r="F6" s="25"/>
      <c r="G6" s="24" t="s">
        <v>13</v>
      </c>
      <c r="H6" s="25"/>
      <c r="I6" s="24" t="s">
        <v>14</v>
      </c>
      <c r="M6" s="26"/>
    </row>
    <row r="7" spans="1:16" x14ac:dyDescent="0.25">
      <c r="A7" s="27" t="s">
        <v>15</v>
      </c>
      <c r="C7" s="28" t="s">
        <v>16</v>
      </c>
      <c r="E7" s="29">
        <f>INDEX('WP GasOpCo Cap Str'!I$5:I$18,MATCH('24.1, p4 OpCo Gas Proxy Cap Str'!$A7,'WP GasOpCo Cap Str'!$B$5:$B$18,0))</f>
        <v>0.5992872142697927</v>
      </c>
      <c r="F7" s="29"/>
      <c r="G7" s="29">
        <f>INDEX('WP GasOpCo Cap Str'!K$5:K$18,MATCH('24.1, p4 OpCo Gas Proxy Cap Str'!$A7,'WP GasOpCo Cap Str'!$B$5:$B$18,0))</f>
        <v>0.40071278573020735</v>
      </c>
      <c r="H7" s="29"/>
      <c r="I7" s="30">
        <f>IFERROR(E7+G7,"NA")</f>
        <v>1</v>
      </c>
      <c r="M7" s="26"/>
      <c r="N7" s="26"/>
      <c r="O7" s="26"/>
      <c r="P7" s="26"/>
    </row>
    <row r="8" spans="1:16" x14ac:dyDescent="0.25">
      <c r="A8" s="27" t="s">
        <v>18</v>
      </c>
      <c r="C8" s="28" t="s">
        <v>19</v>
      </c>
      <c r="E8" s="29">
        <f>INDEX('WP GasOpCo Cap Str'!I$5:I$18,MATCH('24.1, p4 OpCo Gas Proxy Cap Str'!$A8,'WP GasOpCo Cap Str'!$B$5:$B$18,0))</f>
        <v>0.53374989518330074</v>
      </c>
      <c r="F8" s="29"/>
      <c r="G8" s="29">
        <f>INDEX('WP GasOpCo Cap Str'!K$5:K$18,MATCH('24.1, p4 OpCo Gas Proxy Cap Str'!$A8,'WP GasOpCo Cap Str'!$B$5:$B$18,0))</f>
        <v>0.46625010481669926</v>
      </c>
      <c r="H8" s="29"/>
      <c r="I8" s="30">
        <f t="shared" ref="I8:I14" si="0">IFERROR(E8+G8,"NA")</f>
        <v>1</v>
      </c>
      <c r="L8" s="22"/>
      <c r="M8" s="26"/>
      <c r="N8" s="26"/>
      <c r="O8" s="26"/>
      <c r="P8" s="26"/>
    </row>
    <row r="9" spans="1:16" x14ac:dyDescent="0.25">
      <c r="A9" s="27" t="s">
        <v>20</v>
      </c>
      <c r="C9" s="28" t="s">
        <v>21</v>
      </c>
      <c r="E9" s="29">
        <f>INDEX('WP GasOpCo Cap Str'!I$5:I$18,MATCH('24.1, p4 OpCo Gas Proxy Cap Str'!$A9,'WP GasOpCo Cap Str'!$B$5:$B$18,0))</f>
        <v>0.58235827586522171</v>
      </c>
      <c r="F9" s="29"/>
      <c r="G9" s="29">
        <f>INDEX('WP GasOpCo Cap Str'!K$5:K$18,MATCH('24.1, p4 OpCo Gas Proxy Cap Str'!$A9,'WP GasOpCo Cap Str'!$B$5:$B$18,0))</f>
        <v>0.41764172413477824</v>
      </c>
      <c r="H9" s="29"/>
      <c r="I9" s="30">
        <f t="shared" si="0"/>
        <v>1</v>
      </c>
      <c r="M9" s="26"/>
      <c r="N9" s="26"/>
      <c r="O9" s="26"/>
      <c r="P9" s="26"/>
    </row>
    <row r="10" spans="1:16" x14ac:dyDescent="0.25">
      <c r="A10" s="27" t="s">
        <v>22</v>
      </c>
      <c r="C10" s="28" t="s">
        <v>23</v>
      </c>
      <c r="E10" s="29">
        <f>INDEX('WP GasOpCo Cap Str'!I$5:I$18,MATCH('24.1, p4 OpCo Gas Proxy Cap Str'!$A10,'WP GasOpCo Cap Str'!$B$5:$B$18,0))</f>
        <v>0.45606524931256959</v>
      </c>
      <c r="F10" s="29"/>
      <c r="G10" s="29">
        <f>INDEX('WP GasOpCo Cap Str'!K$5:K$18,MATCH('24.1, p4 OpCo Gas Proxy Cap Str'!$A10,'WP GasOpCo Cap Str'!$B$5:$B$18,0))</f>
        <v>0.54393475068743036</v>
      </c>
      <c r="H10" s="29"/>
      <c r="I10" s="30">
        <f t="shared" si="0"/>
        <v>1</v>
      </c>
      <c r="M10" s="26"/>
      <c r="N10" s="26"/>
      <c r="O10" s="26"/>
      <c r="P10" s="26"/>
    </row>
    <row r="11" spans="1:16" x14ac:dyDescent="0.25">
      <c r="A11" s="27" t="s">
        <v>24</v>
      </c>
      <c r="C11" s="28" t="s">
        <v>25</v>
      </c>
      <c r="E11" s="29">
        <f>INDEX('WP GasOpCo Cap Str'!I$5:I$18,MATCH('24.1, p4 OpCo Gas Proxy Cap Str'!$A11,'WP GasOpCo Cap Str'!$B$5:$B$18,0))</f>
        <v>0.48132497282172226</v>
      </c>
      <c r="F11" s="29"/>
      <c r="G11" s="29">
        <f>INDEX('WP GasOpCo Cap Str'!K$5:K$18,MATCH('24.1, p4 OpCo Gas Proxy Cap Str'!$A11,'WP GasOpCo Cap Str'!$B$5:$B$18,0))</f>
        <v>0.51867502717827774</v>
      </c>
      <c r="H11" s="29"/>
      <c r="I11" s="30">
        <f t="shared" si="0"/>
        <v>1</v>
      </c>
      <c r="M11" s="26"/>
      <c r="N11" s="26"/>
      <c r="O11" s="26"/>
      <c r="P11" s="26"/>
    </row>
    <row r="12" spans="1:16" x14ac:dyDescent="0.25">
      <c r="A12" s="27" t="s">
        <v>26</v>
      </c>
      <c r="C12" s="28" t="s">
        <v>27</v>
      </c>
      <c r="E12" s="29">
        <f>INDEX('WP GasOpCo Cap Str'!I$5:I$18,MATCH('24.1, p4 OpCo Gas Proxy Cap Str'!$A12,'WP GasOpCo Cap Str'!$B$5:$B$18,0))</f>
        <v>0.48283623354734762</v>
      </c>
      <c r="F12" s="29"/>
      <c r="G12" s="29">
        <f>INDEX('WP GasOpCo Cap Str'!K$5:K$18,MATCH('24.1, p4 OpCo Gas Proxy Cap Str'!$A12,'WP GasOpCo Cap Str'!$B$5:$B$18,0))</f>
        <v>0.51716376645265238</v>
      </c>
      <c r="H12" s="29"/>
      <c r="I12" s="30">
        <f t="shared" si="0"/>
        <v>1</v>
      </c>
      <c r="M12" s="26"/>
      <c r="N12" s="26"/>
      <c r="O12" s="26"/>
      <c r="P12" s="26"/>
    </row>
    <row r="13" spans="1:16" x14ac:dyDescent="0.25">
      <c r="A13" s="27" t="s">
        <v>28</v>
      </c>
      <c r="C13" s="28" t="s">
        <v>29</v>
      </c>
      <c r="E13" s="29">
        <f>INDEX('WP GasOpCo Cap Str'!I$5:I$18,MATCH('24.1, p4 OpCo Gas Proxy Cap Str'!$A13,'WP GasOpCo Cap Str'!$B$5:$B$18,0))</f>
        <v>0.53661158895427796</v>
      </c>
      <c r="F13" s="29"/>
      <c r="G13" s="29">
        <f>INDEX('WP GasOpCo Cap Str'!K$5:K$18,MATCH('24.1, p4 OpCo Gas Proxy Cap Str'!$A13,'WP GasOpCo Cap Str'!$B$5:$B$18,0))</f>
        <v>0.46338841104572204</v>
      </c>
      <c r="H13" s="29"/>
      <c r="I13" s="30">
        <f t="shared" si="0"/>
        <v>1</v>
      </c>
      <c r="M13" s="26"/>
      <c r="N13" s="26"/>
      <c r="O13" s="26"/>
      <c r="P13" s="26"/>
    </row>
    <row r="14" spans="1:16" x14ac:dyDescent="0.25">
      <c r="A14" s="27" t="s">
        <v>30</v>
      </c>
      <c r="C14" s="28" t="s">
        <v>29</v>
      </c>
      <c r="E14" s="29">
        <f>INDEX('WP GasOpCo Cap Str'!I$5:I$18,MATCH('24.1, p4 OpCo Gas Proxy Cap Str'!$A14,'WP GasOpCo Cap Str'!$B$5:$B$18,0))</f>
        <v>0.46050841892969374</v>
      </c>
      <c r="F14" s="29"/>
      <c r="G14" s="29">
        <f>INDEX('WP GasOpCo Cap Str'!K$5:K$18,MATCH('24.1, p4 OpCo Gas Proxy Cap Str'!$A14,'WP GasOpCo Cap Str'!$B$5:$B$18,0))</f>
        <v>0.53949158107030626</v>
      </c>
      <c r="H14" s="29"/>
      <c r="I14" s="30">
        <f t="shared" si="0"/>
        <v>1</v>
      </c>
      <c r="M14" s="26"/>
      <c r="N14" s="26"/>
      <c r="O14" s="26"/>
      <c r="P14" s="26"/>
    </row>
    <row r="15" spans="1:16" x14ac:dyDescent="0.25">
      <c r="A15" s="27"/>
      <c r="C15" s="28"/>
      <c r="E15" s="31"/>
      <c r="F15" s="29"/>
      <c r="G15" s="31"/>
      <c r="H15" s="29"/>
      <c r="I15" s="30"/>
      <c r="M15" s="26"/>
      <c r="N15" s="26"/>
      <c r="O15" s="26"/>
      <c r="P15" s="26"/>
    </row>
    <row r="16" spans="1:16" ht="16.5" thickBot="1" x14ac:dyDescent="0.3">
      <c r="A16" s="27"/>
      <c r="C16" s="32" t="s">
        <v>31</v>
      </c>
      <c r="E16" s="33">
        <f>AVERAGE(E7:E14)</f>
        <v>0.51659273111049075</v>
      </c>
      <c r="F16" s="30"/>
      <c r="G16" s="33">
        <f>AVERAGE(G7:G14)</f>
        <v>0.48340726888950925</v>
      </c>
      <c r="H16" s="29"/>
      <c r="I16" s="30"/>
      <c r="N16" s="26"/>
      <c r="O16" s="26"/>
      <c r="P16" s="26"/>
    </row>
    <row r="17" spans="1:9" ht="16.5" thickTop="1" x14ac:dyDescent="0.25">
      <c r="A17" s="27"/>
      <c r="B17" s="27"/>
      <c r="E17" s="29"/>
      <c r="F17" s="29"/>
      <c r="G17" s="29"/>
      <c r="H17" s="29"/>
      <c r="I17" s="30"/>
    </row>
    <row r="18" spans="1:9" ht="16.5" thickBot="1" x14ac:dyDescent="0.3">
      <c r="A18" s="27"/>
      <c r="B18" s="27"/>
      <c r="C18" s="32" t="s">
        <v>32</v>
      </c>
      <c r="E18" s="33">
        <f>MAX(E7:E14)</f>
        <v>0.5992872142697927</v>
      </c>
      <c r="F18" s="30"/>
      <c r="G18" s="33">
        <f>MAX(G7:G14)</f>
        <v>0.54393475068743036</v>
      </c>
      <c r="H18" s="30"/>
      <c r="I18" s="30"/>
    </row>
    <row r="19" spans="1:9" ht="16.5" thickTop="1" x14ac:dyDescent="0.25">
      <c r="A19" s="27"/>
      <c r="B19" s="27"/>
      <c r="C19" s="20"/>
      <c r="E19" s="30"/>
      <c r="F19" s="30"/>
      <c r="G19" s="30"/>
      <c r="H19" s="30"/>
      <c r="I19" s="30"/>
    </row>
    <row r="20" spans="1:9" ht="16.5" thickBot="1" x14ac:dyDescent="0.3">
      <c r="A20" s="27"/>
      <c r="B20" s="27"/>
      <c r="C20" s="32" t="s">
        <v>33</v>
      </c>
      <c r="E20" s="33">
        <f>MIN(E7:E14)</f>
        <v>0.45606524931256959</v>
      </c>
      <c r="F20" s="30"/>
      <c r="G20" s="33">
        <f>MIN(G7:G14)</f>
        <v>0.40071278573020735</v>
      </c>
      <c r="H20" s="30"/>
      <c r="I20" s="30"/>
    </row>
    <row r="21" spans="1:9" ht="16.5" thickTop="1" x14ac:dyDescent="0.25">
      <c r="A21" s="20" t="s">
        <v>34</v>
      </c>
      <c r="B21" s="27"/>
      <c r="C21" s="32"/>
      <c r="E21" s="30"/>
      <c r="F21" s="30"/>
      <c r="G21" s="30"/>
      <c r="H21" s="30"/>
      <c r="I21" s="30"/>
    </row>
    <row r="22" spans="1:9" x14ac:dyDescent="0.25">
      <c r="A22" s="34" t="s">
        <v>35</v>
      </c>
    </row>
    <row r="23" spans="1:9" x14ac:dyDescent="0.25">
      <c r="A23" s="34" t="s">
        <v>36</v>
      </c>
      <c r="E23" s="30"/>
      <c r="G23" s="30"/>
      <c r="I23" s="30"/>
    </row>
  </sheetData>
  <mergeCells count="3">
    <mergeCell ref="A2:I2"/>
    <mergeCell ref="A3:I3"/>
    <mergeCell ref="E5:I5"/>
  </mergeCells>
  <printOptions horizontalCentered="1"/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5A64-CDC5-4E0F-B1C1-54A7CB510B64}">
  <dimension ref="A1:AB105"/>
  <sheetViews>
    <sheetView view="pageBreakPreview" topLeftCell="A60" zoomScale="80" zoomScaleNormal="70" zoomScaleSheetLayoutView="80" workbookViewId="0"/>
  </sheetViews>
  <sheetFormatPr defaultColWidth="8.5703125" defaultRowHeight="15.75" x14ac:dyDescent="0.25"/>
  <cols>
    <col min="1" max="1" width="8.5703125" style="1"/>
    <col min="2" max="2" width="38.5703125" style="1" customWidth="1"/>
    <col min="3" max="3" width="1.28515625" style="1" customWidth="1"/>
    <col min="4" max="4" width="9" style="9" customWidth="1"/>
    <col min="5" max="5" width="3.5703125" style="9" customWidth="1"/>
    <col min="6" max="6" width="9.28515625" style="9" customWidth="1"/>
    <col min="7" max="7" width="3.5703125" style="9" customWidth="1"/>
    <col min="8" max="8" width="10.28515625" style="9" customWidth="1"/>
    <col min="9" max="9" width="3.5703125" style="9" customWidth="1"/>
    <col min="10" max="10" width="9.85546875" style="9" customWidth="1"/>
    <col min="11" max="11" width="3.5703125" style="9" customWidth="1"/>
    <col min="12" max="12" width="9.28515625" style="9" customWidth="1"/>
    <col min="13" max="13" width="3.5703125" style="9" customWidth="1"/>
    <col min="14" max="14" width="9" style="9" customWidth="1"/>
    <col min="15" max="15" width="3.5703125" style="1" customWidth="1"/>
    <col min="16" max="16" width="8.5703125" style="1"/>
    <col min="17" max="17" width="9" style="1" bestFit="1" customWidth="1"/>
    <col min="18" max="16384" width="8.5703125" style="1"/>
  </cols>
  <sheetData>
    <row r="1" spans="1:28" x14ac:dyDescent="0.25">
      <c r="A1" s="2"/>
      <c r="B1" s="2" t="s">
        <v>0</v>
      </c>
      <c r="C1" s="2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2"/>
    </row>
    <row r="2" spans="1:28" x14ac:dyDescent="0.25">
      <c r="A2" s="2"/>
      <c r="B2" s="181" t="s">
        <v>241</v>
      </c>
      <c r="C2" s="2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2"/>
    </row>
    <row r="3" spans="1:28" x14ac:dyDescent="0.25">
      <c r="B3" s="184" t="s">
        <v>225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28" x14ac:dyDescent="0.25">
      <c r="B4" s="2"/>
      <c r="C4" s="2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2"/>
    </row>
    <row r="5" spans="1:28" x14ac:dyDescent="0.25">
      <c r="B5" s="2"/>
      <c r="C5" s="2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 t="s">
        <v>1</v>
      </c>
      <c r="O5" s="2"/>
    </row>
    <row r="6" spans="1:28" x14ac:dyDescent="0.25">
      <c r="D6" s="4">
        <v>2024</v>
      </c>
      <c r="E6" s="1"/>
      <c r="F6" s="4">
        <f>D6-1</f>
        <v>2023</v>
      </c>
      <c r="G6" s="1"/>
      <c r="H6" s="4">
        <f>F6-1</f>
        <v>2022</v>
      </c>
      <c r="I6" s="1"/>
      <c r="J6" s="4">
        <f>H6-1</f>
        <v>2021</v>
      </c>
      <c r="K6" s="1"/>
      <c r="L6" s="4">
        <f>J6-1</f>
        <v>2020</v>
      </c>
      <c r="N6" s="111" t="s">
        <v>2</v>
      </c>
    </row>
    <row r="8" spans="1:28" x14ac:dyDescent="0.25">
      <c r="A8" s="1" t="s">
        <v>193</v>
      </c>
      <c r="B8" s="5" t="s">
        <v>229</v>
      </c>
    </row>
    <row r="9" spans="1:28" x14ac:dyDescent="0.25">
      <c r="B9" s="1" t="s">
        <v>3</v>
      </c>
      <c r="D9" s="6" cm="1">
        <f t="array" aca="1" ref="D9" ca="1">ROUND(((INDIRECT("'3. "&amp;$A8&amp;"'!C12"))/INDIRECT("'3. "&amp;$A8&amp;"'!C50"))*100,2)</f>
        <v>58.44</v>
      </c>
      <c r="E9" s="7" t="s">
        <v>4</v>
      </c>
      <c r="F9" s="6" cm="1">
        <f t="array" aca="1" ref="F9" ca="1">ROUND(((INDIRECT("'3. "&amp;$A8&amp;"'!E12"))/INDIRECT("'3. "&amp;$A8&amp;"'!E50"))*100,2)</f>
        <v>57.14</v>
      </c>
      <c r="G9" s="7" t="s">
        <v>4</v>
      </c>
      <c r="H9" s="6" cm="1">
        <f t="array" aca="1" ref="H9" ca="1">ROUND(((INDIRECT("'3. "&amp;$A8&amp;"'!G12"))/INDIRECT("'3. "&amp;$A8&amp;"'!G50"))*100,2)</f>
        <v>56.27</v>
      </c>
      <c r="I9" s="7" t="s">
        <v>4</v>
      </c>
      <c r="J9" s="6" cm="1">
        <f t="array" aca="1" ref="J9" ca="1">ROUND(((INDIRECT("'3. "&amp;$A8&amp;"'!I12"))/INDIRECT("'3. "&amp;$A8&amp;"'!I50"))*100,2)</f>
        <v>55.16</v>
      </c>
      <c r="K9" s="7" t="s">
        <v>4</v>
      </c>
      <c r="L9" s="6" cm="1">
        <f t="array" aca="1" ref="L9" ca="1">ROUND(((INDIRECT("'3. "&amp;$A8&amp;"'!K12"))/INDIRECT("'3. "&amp;$A8&amp;"'!K50"))*100,2)</f>
        <v>53.51</v>
      </c>
      <c r="M9" s="7" t="s">
        <v>4</v>
      </c>
      <c r="N9" s="6">
        <f ca="1">ROUND(AVERAGE(D9,F9,H9,J9,L9),2)</f>
        <v>56.1</v>
      </c>
      <c r="O9" s="15" t="s">
        <v>4</v>
      </c>
      <c r="Q9" s="9"/>
      <c r="R9" s="9"/>
      <c r="S9" s="9"/>
      <c r="U9" s="9"/>
      <c r="W9" s="9"/>
      <c r="Y9" s="9"/>
      <c r="AA9" s="9"/>
    </row>
    <row r="10" spans="1:28" x14ac:dyDescent="0.25">
      <c r="B10" s="1" t="s">
        <v>5</v>
      </c>
      <c r="D10" s="6" cm="1">
        <f t="array" aca="1" ref="D10" ca="1">ROUND((INDIRECT("'3. "&amp;$A8&amp;"'!C13")/INDIRECT("'3. "&amp;$A8&amp;"'!C50"))*100,2)</f>
        <v>0</v>
      </c>
      <c r="E10" s="10"/>
      <c r="F10" s="6" cm="1">
        <f t="array" aca="1" ref="F10" ca="1">ROUND((INDIRECT("'3. "&amp;$A8&amp;"'!E13")/INDIRECT("'3. "&amp;$A8&amp;"'!E50"))*100,2)</f>
        <v>0</v>
      </c>
      <c r="G10" s="10"/>
      <c r="H10" s="6" cm="1">
        <f t="array" aca="1" ref="H10" ca="1">ROUND((INDIRECT("'3. "&amp;$A8&amp;"'!G13")/INDIRECT("'3. "&amp;$A8&amp;"'!G50"))*100,2)</f>
        <v>0</v>
      </c>
      <c r="I10" s="10"/>
      <c r="J10" s="6" cm="1">
        <f t="array" aca="1" ref="J10" ca="1">ROUND((INDIRECT("'3. "&amp;$A8&amp;"'!I13")/INDIRECT("'3. "&amp;$A8&amp;"'!I50"))*100,2)</f>
        <v>0</v>
      </c>
      <c r="K10" s="10"/>
      <c r="L10" s="6" cm="1">
        <f t="array" aca="1" ref="L10" ca="1">ROUND((INDIRECT("'3. "&amp;$A8&amp;"'!K13")/INDIRECT("'3. "&amp;$A8&amp;"'!K50"))*100,2)</f>
        <v>1.58</v>
      </c>
      <c r="M10" s="10"/>
      <c r="N10" s="6">
        <f ca="1">ROUND(AVERAGE(D10,F10,H10,J10,L10),2)</f>
        <v>0.32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4.45" customHeight="1" x14ac:dyDescent="0.25">
      <c r="B11" s="1" t="s">
        <v>6</v>
      </c>
      <c r="D11" s="12" cm="1">
        <f t="array" aca="1" ref="D11" ca="1">ROUND((INDIRECT("'3. "&amp;$A8&amp;"'!C16")/INDIRECT("'3. "&amp;$A8&amp;"'!C50"))*100,2)</f>
        <v>41.56</v>
      </c>
      <c r="E11" s="10"/>
      <c r="F11" s="12" cm="1">
        <f t="array" aca="1" ref="F11" ca="1">ROUND((INDIRECT("'3. "&amp;$A8&amp;"'!E16")/INDIRECT("'3. "&amp;$A8&amp;"'!E50"))*100,2)</f>
        <v>42.86</v>
      </c>
      <c r="G11" s="10"/>
      <c r="H11" s="12" cm="1">
        <f t="array" aca="1" ref="H11" ca="1">ROUND((INDIRECT("'3. "&amp;$A8&amp;"'!G16")/INDIRECT("'3. "&amp;$A8&amp;"'!G50"))*100,2)</f>
        <v>43.73</v>
      </c>
      <c r="I11" s="10"/>
      <c r="J11" s="12" cm="1">
        <f t="array" aca="1" ref="J11" ca="1">ROUND((INDIRECT("'3. "&amp;$A8&amp;"'!I16")/INDIRECT("'3. "&amp;$A8&amp;"'!I50"))*100,2)</f>
        <v>44.84</v>
      </c>
      <c r="K11" s="10"/>
      <c r="L11" s="12" cm="1">
        <f t="array" aca="1" ref="L11" ca="1">ROUND((INDIRECT("'3. "&amp;$A8&amp;"'!K16")/INDIRECT("'3. "&amp;$A8&amp;"'!K50"))*100,2)</f>
        <v>44.91</v>
      </c>
      <c r="M11" s="10"/>
      <c r="N11" s="6">
        <f ca="1">ROUND(AVERAGE(D11,F11,H11,J11,L11),2)</f>
        <v>43.58</v>
      </c>
      <c r="R11" s="9"/>
      <c r="S11" s="9"/>
      <c r="T11" s="112"/>
      <c r="U11" s="9"/>
      <c r="V11" s="112"/>
      <c r="W11" s="9"/>
      <c r="X11" s="112"/>
      <c r="Y11" s="9"/>
      <c r="Z11" s="112"/>
      <c r="AA11" s="9"/>
      <c r="AB11" s="112"/>
    </row>
    <row r="12" spans="1:28" ht="16.5" thickBot="1" x14ac:dyDescent="0.3">
      <c r="B12" s="1" t="s">
        <v>7</v>
      </c>
      <c r="D12" s="16">
        <f ca="1">SUM(D9:D11)</f>
        <v>100</v>
      </c>
      <c r="E12" s="14" t="s">
        <v>4</v>
      </c>
      <c r="F12" s="16">
        <f ca="1">SUM(F9:F11)</f>
        <v>100</v>
      </c>
      <c r="G12" s="14" t="s">
        <v>4</v>
      </c>
      <c r="H12" s="16">
        <f ca="1">SUM(H9:H11)</f>
        <v>100</v>
      </c>
      <c r="I12" s="14" t="s">
        <v>4</v>
      </c>
      <c r="J12" s="16">
        <f ca="1">SUM(J9:J11)</f>
        <v>100</v>
      </c>
      <c r="K12" s="14" t="s">
        <v>4</v>
      </c>
      <c r="L12" s="16">
        <f ca="1">SUM(L9:L11)</f>
        <v>100</v>
      </c>
      <c r="M12" s="14" t="s">
        <v>4</v>
      </c>
      <c r="N12" s="16">
        <f ca="1">SUM(N9:N11)</f>
        <v>100</v>
      </c>
      <c r="O12" s="15" t="s">
        <v>4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6.5" thickTop="1" x14ac:dyDescent="0.25">
      <c r="E13" s="14"/>
      <c r="G13" s="14"/>
      <c r="I13" s="14"/>
      <c r="K13" s="14"/>
      <c r="M13" s="14"/>
      <c r="O13" s="15"/>
      <c r="Q13" s="9"/>
      <c r="R13" s="9"/>
    </row>
    <row r="14" spans="1:28" x14ac:dyDescent="0.25">
      <c r="A14" s="1" t="s">
        <v>161</v>
      </c>
      <c r="B14" s="5" t="s">
        <v>230</v>
      </c>
      <c r="R14" s="9"/>
    </row>
    <row r="15" spans="1:28" x14ac:dyDescent="0.25">
      <c r="B15" s="1" t="s">
        <v>3</v>
      </c>
      <c r="D15" s="6" cm="1">
        <f t="array" aca="1" ref="D15" ca="1">ROUND(((INDIRECT("'3. "&amp;$A14&amp;"'!C12"))/INDIRECT("'3. "&amp;$A14&amp;"'!C50"))*100,2)</f>
        <v>58.95</v>
      </c>
      <c r="E15" s="7" t="s">
        <v>4</v>
      </c>
      <c r="F15" s="6" cm="1">
        <f t="array" aca="1" ref="F15" ca="1">ROUND(((INDIRECT("'3. "&amp;$A14&amp;"'!E12"))/INDIRECT("'3. "&amp;$A14&amp;"'!E50"))*100,2)</f>
        <v>58.18</v>
      </c>
      <c r="G15" s="7" t="s">
        <v>4</v>
      </c>
      <c r="H15" s="6" cm="1">
        <f t="array" aca="1" ref="H15" ca="1">ROUND(((INDIRECT("'3. "&amp;$A14&amp;"'!G12"))/INDIRECT("'3. "&amp;$A14&amp;"'!G50"))*100,2)</f>
        <v>56.87</v>
      </c>
      <c r="I15" s="7" t="s">
        <v>4</v>
      </c>
      <c r="J15" s="6" cm="1">
        <f t="array" aca="1" ref="J15" ca="1">ROUND(((INDIRECT("'3. "&amp;$A14&amp;"'!I12"))/INDIRECT("'3. "&amp;$A14&amp;"'!I50"))*100,2)</f>
        <v>57.07</v>
      </c>
      <c r="K15" s="7" t="s">
        <v>4</v>
      </c>
      <c r="L15" s="6" cm="1">
        <f t="array" aca="1" ref="L15" ca="1">ROUND(((INDIRECT("'3. "&amp;$A14&amp;"'!K12"))/INDIRECT("'3. "&amp;$A14&amp;"'!K50"))*100,2)</f>
        <v>54.97</v>
      </c>
      <c r="M15" s="7" t="s">
        <v>4</v>
      </c>
      <c r="N15" s="6">
        <f ca="1">ROUND(AVERAGE(D15,F15,H15,J15,L15),2)</f>
        <v>57.21</v>
      </c>
      <c r="O15" s="15" t="s">
        <v>4</v>
      </c>
      <c r="U15" s="9"/>
      <c r="W15" s="9"/>
      <c r="Y15" s="9"/>
      <c r="AA15" s="9"/>
    </row>
    <row r="16" spans="1:28" x14ac:dyDescent="0.25">
      <c r="B16" s="1" t="s">
        <v>5</v>
      </c>
      <c r="D16" s="6" cm="1">
        <f t="array" aca="1" ref="D16" ca="1">ROUND((INDIRECT("'3. "&amp;$A14&amp;"'!C13")/INDIRECT("'3. "&amp;$A14&amp;"'!C50"))*100,2)</f>
        <v>0.43</v>
      </c>
      <c r="E16" s="10"/>
      <c r="F16" s="6" cm="1">
        <f t="array" aca="1" ref="F16" ca="1">ROUND((INDIRECT("'3. "&amp;$A14&amp;"'!E13")/INDIRECT("'3. "&amp;$A14&amp;"'!E50"))*100,2)</f>
        <v>0.47</v>
      </c>
      <c r="G16" s="10"/>
      <c r="H16" s="6" cm="1">
        <f t="array" aca="1" ref="H16" ca="1">ROUND((INDIRECT("'3. "&amp;$A14&amp;"'!G13")/INDIRECT("'3. "&amp;$A14&amp;"'!G50"))*100,2)</f>
        <v>0.52</v>
      </c>
      <c r="I16" s="10"/>
      <c r="J16" s="6" cm="1">
        <f t="array" aca="1" ref="J16" ca="1">ROUND((INDIRECT("'3. "&amp;$A14&amp;"'!I13")/INDIRECT("'3. "&amp;$A14&amp;"'!I50"))*100,2)</f>
        <v>0.56000000000000005</v>
      </c>
      <c r="K16" s="10"/>
      <c r="L16" s="6" cm="1">
        <f t="array" aca="1" ref="L16" ca="1">ROUND((INDIRECT("'3. "&amp;$A14&amp;"'!K13")/INDIRECT("'3. "&amp;$A14&amp;"'!K50"))*100,2)</f>
        <v>0.7</v>
      </c>
      <c r="M16" s="10"/>
      <c r="N16" s="6">
        <f ca="1">ROUND(AVERAGE(D16,F16,H16,J16,L16),2)</f>
        <v>0.54</v>
      </c>
      <c r="T16" s="9"/>
      <c r="U16" s="9"/>
      <c r="V16" s="9"/>
      <c r="W16" s="9"/>
      <c r="X16" s="9"/>
      <c r="Y16" s="9"/>
      <c r="Z16" s="9"/>
      <c r="AA16" s="9"/>
      <c r="AB16" s="9"/>
    </row>
    <row r="17" spans="1:28" ht="14.45" customHeight="1" x14ac:dyDescent="0.25">
      <c r="B17" s="1" t="s">
        <v>6</v>
      </c>
      <c r="D17" s="12" cm="1">
        <f t="array" aca="1" ref="D17" ca="1">ROUND((INDIRECT("'3. "&amp;$A14&amp;"'!C16")/INDIRECT("'3. "&amp;$A14&amp;"'!C50"))*100,2)</f>
        <v>40.619999999999997</v>
      </c>
      <c r="E17" s="10"/>
      <c r="F17" s="12" cm="1">
        <f t="array" aca="1" ref="F17" ca="1">ROUND((INDIRECT("'3. "&amp;$A14&amp;"'!E16")/INDIRECT("'3. "&amp;$A14&amp;"'!E50"))*100,2)</f>
        <v>41.35</v>
      </c>
      <c r="G17" s="10"/>
      <c r="H17" s="12" cm="1">
        <f t="array" aca="1" ref="H17" ca="1">ROUND((INDIRECT("'3. "&amp;$A14&amp;"'!G16")/INDIRECT("'3. "&amp;$A14&amp;"'!G50"))*100,2)</f>
        <v>42.61</v>
      </c>
      <c r="I17" s="10"/>
      <c r="J17" s="12" cm="1">
        <f t="array" aca="1" ref="J17" ca="1">ROUND((INDIRECT("'3. "&amp;$A14&amp;"'!I16")/INDIRECT("'3. "&amp;$A14&amp;"'!I50"))*100,2)</f>
        <v>42.37</v>
      </c>
      <c r="K17" s="10"/>
      <c r="L17" s="12" cm="1">
        <f t="array" aca="1" ref="L17" ca="1">ROUND((INDIRECT("'3. "&amp;$A14&amp;"'!K16")/INDIRECT("'3. "&amp;$A14&amp;"'!K50"))*100,2)+0.01</f>
        <v>44.33</v>
      </c>
      <c r="M17" s="10"/>
      <c r="N17" s="6">
        <f ca="1">ROUND(AVERAGE(D17,F17,H17,J17,L17),2)-0.01</f>
        <v>42.25</v>
      </c>
      <c r="R17" s="9"/>
      <c r="S17" s="9"/>
      <c r="T17" s="112"/>
      <c r="U17" s="9"/>
      <c r="V17" s="112"/>
      <c r="W17" s="9"/>
      <c r="X17" s="112"/>
      <c r="Y17" s="9"/>
      <c r="Z17" s="112"/>
      <c r="AA17" s="9"/>
      <c r="AB17" s="112"/>
    </row>
    <row r="18" spans="1:28" ht="16.5" thickBot="1" x14ac:dyDescent="0.3">
      <c r="B18" s="1" t="s">
        <v>7</v>
      </c>
      <c r="D18" s="16">
        <f ca="1">SUM(D15:D17)</f>
        <v>100</v>
      </c>
      <c r="E18" s="14" t="s">
        <v>4</v>
      </c>
      <c r="F18" s="16">
        <f ca="1">SUM(F15:F17)</f>
        <v>100</v>
      </c>
      <c r="G18" s="14" t="s">
        <v>4</v>
      </c>
      <c r="H18" s="16">
        <f ca="1">SUM(H15:H17)</f>
        <v>100</v>
      </c>
      <c r="I18" s="14" t="s">
        <v>4</v>
      </c>
      <c r="J18" s="16">
        <f ca="1">SUM(J15:J17)</f>
        <v>100</v>
      </c>
      <c r="K18" s="14" t="s">
        <v>4</v>
      </c>
      <c r="L18" s="16">
        <f ca="1">SUM(L15:L17)</f>
        <v>100</v>
      </c>
      <c r="M18" s="14" t="s">
        <v>4</v>
      </c>
      <c r="N18" s="16">
        <f ca="1">SUM(N15:N17)</f>
        <v>100</v>
      </c>
      <c r="O18" s="15" t="s">
        <v>4</v>
      </c>
    </row>
    <row r="19" spans="1:28" ht="16.5" thickTop="1" x14ac:dyDescent="0.25">
      <c r="E19" s="14"/>
      <c r="G19" s="14"/>
      <c r="I19" s="14"/>
      <c r="K19" s="14"/>
      <c r="M19" s="14"/>
      <c r="O19" s="15"/>
    </row>
    <row r="20" spans="1:28" x14ac:dyDescent="0.25">
      <c r="A20" s="1" t="s">
        <v>164</v>
      </c>
      <c r="B20" s="4" t="s">
        <v>231</v>
      </c>
      <c r="E20" s="14"/>
      <c r="G20" s="14"/>
      <c r="I20" s="14"/>
      <c r="K20" s="14"/>
      <c r="M20" s="14"/>
      <c r="O20" s="15"/>
    </row>
    <row r="21" spans="1:28" x14ac:dyDescent="0.25">
      <c r="B21" s="1" t="s">
        <v>3</v>
      </c>
      <c r="D21" s="6" cm="1">
        <f t="array" aca="1" ref="D21" ca="1">ROUND(((INDIRECT("'3. "&amp;$A20&amp;"'!C12"))/INDIRECT("'3. "&amp;$A20&amp;"'!C50"))*100,2)</f>
        <v>61.28</v>
      </c>
      <c r="E21" s="7" t="s">
        <v>4</v>
      </c>
      <c r="F21" s="6" cm="1">
        <f t="array" aca="1" ref="F21" ca="1">ROUND(((INDIRECT("'3. "&amp;$A20&amp;"'!E12"))/INDIRECT("'3. "&amp;$A20&amp;"'!E50"))*100,2)</f>
        <v>61.39</v>
      </c>
      <c r="G21" s="7" t="s">
        <v>4</v>
      </c>
      <c r="H21" s="6" cm="1">
        <f t="array" aca="1" ref="H21" ca="1">ROUND(((INDIRECT("'3. "&amp;$A20&amp;"'!G12"))/INDIRECT("'3. "&amp;$A20&amp;"'!G50"))*100,2)</f>
        <v>59.85</v>
      </c>
      <c r="I21" s="7" t="s">
        <v>4</v>
      </c>
      <c r="J21" s="6" cm="1">
        <f t="array" aca="1" ref="J21" ca="1">ROUND(((INDIRECT("'3. "&amp;$A20&amp;"'!I12"))/INDIRECT("'3. "&amp;$A20&amp;"'!I50"))*100,2)</f>
        <v>59.86</v>
      </c>
      <c r="K21" s="7" t="s">
        <v>4</v>
      </c>
      <c r="L21" s="6" cm="1">
        <f t="array" aca="1" ref="L21" ca="1">ROUND(((INDIRECT("'3. "&amp;$A20&amp;"'!K12"))/INDIRECT("'3. "&amp;$A20&amp;"'!K50"))*100,2)</f>
        <v>60.19</v>
      </c>
      <c r="M21" s="7" t="s">
        <v>4</v>
      </c>
      <c r="N21" s="6">
        <f ca="1">ROUND(AVERAGE(D21,F21,H21,J21,L21),2)</f>
        <v>60.51</v>
      </c>
      <c r="O21" s="15" t="s">
        <v>4</v>
      </c>
      <c r="R21" s="9"/>
      <c r="U21" s="9"/>
      <c r="W21" s="9"/>
      <c r="Y21" s="9"/>
      <c r="AA21" s="9"/>
    </row>
    <row r="22" spans="1:28" x14ac:dyDescent="0.25">
      <c r="B22" s="1" t="s">
        <v>5</v>
      </c>
      <c r="D22" s="6" cm="1">
        <f t="array" aca="1" ref="D22" ca="1">ROUND((INDIRECT("'3. "&amp;$A20&amp;"'!C13")/INDIRECT("'3. "&amp;$A20&amp;"'!C50"))*100,2)</f>
        <v>0</v>
      </c>
      <c r="E22" s="10"/>
      <c r="F22" s="6" cm="1">
        <f t="array" aca="1" ref="F22" ca="1">ROUND((INDIRECT("'3. "&amp;$A20&amp;"'!E13")/INDIRECT("'3. "&amp;$A20&amp;"'!E50"))*100,2)</f>
        <v>0</v>
      </c>
      <c r="G22" s="10"/>
      <c r="H22" s="6" cm="1">
        <f t="array" aca="1" ref="H22" ca="1">ROUND((INDIRECT("'3. "&amp;$A20&amp;"'!G13")/INDIRECT("'3. "&amp;$A20&amp;"'!G50"))*100,2)</f>
        <v>0</v>
      </c>
      <c r="I22" s="10"/>
      <c r="J22" s="6" cm="1">
        <f t="array" aca="1" ref="J22" ca="1">ROUND((INDIRECT("'3. "&amp;$A20&amp;"'!I13")/INDIRECT("'3. "&amp;$A20&amp;"'!I50"))*100,2)</f>
        <v>0</v>
      </c>
      <c r="K22" s="10"/>
      <c r="L22" s="6" cm="1">
        <f t="array" aca="1" ref="L22" ca="1">ROUND((INDIRECT("'3. "&amp;$A20&amp;"'!K13")/INDIRECT("'3. "&amp;$A20&amp;"'!K50"))*100,2)</f>
        <v>0</v>
      </c>
      <c r="M22" s="10"/>
      <c r="N22" s="6">
        <f ca="1">ROUND(AVERAGE(D22,F22,H22,J22,L22),2)</f>
        <v>0</v>
      </c>
      <c r="R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4.45" customHeight="1" x14ac:dyDescent="0.25">
      <c r="B23" s="1" t="s">
        <v>6</v>
      </c>
      <c r="D23" s="12" cm="1">
        <f t="array" aca="1" ref="D23" ca="1">ROUND((INDIRECT("'3. "&amp;$A20&amp;"'!C16")/INDIRECT("'3. "&amp;$A20&amp;"'!C50"))*100,2)</f>
        <v>38.72</v>
      </c>
      <c r="E23" s="10"/>
      <c r="F23" s="12" cm="1">
        <f t="array" aca="1" ref="F23" ca="1">ROUND((INDIRECT("'3. "&amp;$A20&amp;"'!E16")/INDIRECT("'3. "&amp;$A20&amp;"'!E50"))*100,2)</f>
        <v>38.61</v>
      </c>
      <c r="G23" s="10"/>
      <c r="H23" s="12" cm="1">
        <f t="array" aca="1" ref="H23" ca="1">ROUND((INDIRECT("'3. "&amp;$A20&amp;"'!G16")/INDIRECT("'3. "&amp;$A20&amp;"'!G50"))*100,2)</f>
        <v>40.15</v>
      </c>
      <c r="I23" s="10"/>
      <c r="J23" s="12" cm="1">
        <f t="array" aca="1" ref="J23" ca="1">ROUND((INDIRECT("'3. "&amp;$A20&amp;"'!I16")/INDIRECT("'3. "&amp;$A20&amp;"'!I50"))*100,2)</f>
        <v>40.14</v>
      </c>
      <c r="K23" s="10"/>
      <c r="L23" s="12" cm="1">
        <f t="array" aca="1" ref="L23" ca="1">ROUND((INDIRECT("'3. "&amp;$A20&amp;"'!K16")/INDIRECT("'3. "&amp;$A20&amp;"'!K50"))*100,2)</f>
        <v>39.81</v>
      </c>
      <c r="M23" s="10"/>
      <c r="N23" s="6">
        <f ca="1">ROUND(AVERAGE(D23,F23,H23,J23,L23),2)</f>
        <v>39.49</v>
      </c>
      <c r="R23" s="9"/>
      <c r="S23" s="9"/>
      <c r="T23" s="112"/>
      <c r="U23" s="9"/>
      <c r="V23" s="112"/>
      <c r="W23" s="9"/>
      <c r="X23" s="112"/>
      <c r="Y23" s="9"/>
      <c r="Z23" s="112"/>
      <c r="AA23" s="9"/>
      <c r="AB23" s="112"/>
    </row>
    <row r="24" spans="1:28" ht="16.5" thickBot="1" x14ac:dyDescent="0.3">
      <c r="B24" s="1" t="s">
        <v>7</v>
      </c>
      <c r="D24" s="16">
        <f ca="1">SUM(D21:D23)</f>
        <v>100</v>
      </c>
      <c r="E24" s="14" t="s">
        <v>4</v>
      </c>
      <c r="F24" s="16">
        <f ca="1">SUM(F21:F23)</f>
        <v>100</v>
      </c>
      <c r="G24" s="14" t="s">
        <v>4</v>
      </c>
      <c r="H24" s="16">
        <f ca="1">SUM(H21:H23)</f>
        <v>100</v>
      </c>
      <c r="I24" s="14" t="s">
        <v>4</v>
      </c>
      <c r="J24" s="16">
        <f ca="1">SUM(J21:J23)</f>
        <v>100</v>
      </c>
      <c r="K24" s="14" t="s">
        <v>4</v>
      </c>
      <c r="L24" s="16">
        <f ca="1">SUM(L21:L23)</f>
        <v>100</v>
      </c>
      <c r="M24" s="14" t="s">
        <v>4</v>
      </c>
      <c r="N24" s="16">
        <f ca="1">SUM(N21:N23)</f>
        <v>100</v>
      </c>
      <c r="O24" s="15" t="s">
        <v>4</v>
      </c>
    </row>
    <row r="25" spans="1:28" ht="16.5" thickTop="1" x14ac:dyDescent="0.25">
      <c r="E25" s="14"/>
      <c r="G25" s="14"/>
      <c r="I25" s="14"/>
      <c r="K25" s="14"/>
      <c r="M25" s="14"/>
      <c r="O25" s="15"/>
    </row>
    <row r="26" spans="1:28" x14ac:dyDescent="0.25">
      <c r="A26" s="1" t="s">
        <v>172</v>
      </c>
      <c r="B26" s="5" t="s">
        <v>232</v>
      </c>
    </row>
    <row r="27" spans="1:28" x14ac:dyDescent="0.25">
      <c r="B27" s="1" t="s">
        <v>3</v>
      </c>
      <c r="D27" s="6" cm="1">
        <f t="array" aca="1" ref="D27" ca="1">ROUND(((INDIRECT("'3. "&amp;$A26&amp;"'!C12"))/INDIRECT("'3. "&amp;$A26&amp;"'!C50"))*100,2)</f>
        <v>61.68</v>
      </c>
      <c r="E27" s="7" t="s">
        <v>4</v>
      </c>
      <c r="F27" s="6" cm="1">
        <f t="array" aca="1" ref="F27" ca="1">ROUND(((INDIRECT("'3. "&amp;$A26&amp;"'!E12"))/INDIRECT("'3. "&amp;$A26&amp;"'!E50"))*100,2)</f>
        <v>60.51</v>
      </c>
      <c r="G27" s="7" t="s">
        <v>4</v>
      </c>
      <c r="H27" s="6" cm="1">
        <f t="array" aca="1" ref="H27" ca="1">ROUND(((INDIRECT("'3. "&amp;$A26&amp;"'!G12"))/INDIRECT("'3. "&amp;$A26&amp;"'!G50"))*100,2)</f>
        <v>59.08</v>
      </c>
      <c r="I27" s="7" t="s">
        <v>4</v>
      </c>
      <c r="J27" s="6" cm="1">
        <f t="array" aca="1" ref="J27" ca="1">ROUND(((INDIRECT("'3. "&amp;$A26&amp;"'!I12"))/INDIRECT("'3. "&amp;$A26&amp;"'!I50"))*100,2)</f>
        <v>56.43</v>
      </c>
      <c r="K27" s="7" t="s">
        <v>4</v>
      </c>
      <c r="L27" s="6" cm="1">
        <f t="array" aca="1" ref="L27" ca="1">ROUND(((INDIRECT("'3. "&amp;$A26&amp;"'!K12"))/INDIRECT("'3. "&amp;$A26&amp;"'!K50"))*100,2)</f>
        <v>55.52</v>
      </c>
      <c r="M27" s="7" t="s">
        <v>4</v>
      </c>
      <c r="N27" s="6">
        <f ca="1">ROUND(AVERAGE(D27,F27,H27,J27,L27),2)</f>
        <v>58.64</v>
      </c>
      <c r="O27" s="15" t="s">
        <v>4</v>
      </c>
      <c r="U27" s="9"/>
      <c r="W27" s="9"/>
      <c r="Y27" s="9"/>
      <c r="AA27" s="9"/>
    </row>
    <row r="28" spans="1:28" x14ac:dyDescent="0.25">
      <c r="B28" s="1" t="s">
        <v>5</v>
      </c>
      <c r="D28" s="6" cm="1">
        <f t="array" aca="1" ref="D28" ca="1">ROUND((INDIRECT("'3. "&amp;$A26&amp;"'!C13")/INDIRECT("'3. "&amp;$A26&amp;"'!C50"))*100,2)</f>
        <v>0.74</v>
      </c>
      <c r="E28" s="10"/>
      <c r="F28" s="6" cm="1">
        <f t="array" aca="1" ref="F28" ca="1">ROUND((INDIRECT("'3. "&amp;$A26&amp;"'!E13")/INDIRECT("'3. "&amp;$A26&amp;"'!E50"))*100,2)</f>
        <v>1.58</v>
      </c>
      <c r="G28" s="10"/>
      <c r="H28" s="6" cm="1">
        <f t="array" aca="1" ref="H28" ca="1">ROUND((INDIRECT("'3. "&amp;$A26&amp;"'!G13")/INDIRECT("'3. "&amp;$A26&amp;"'!G50"))*100,2)</f>
        <v>1.63</v>
      </c>
      <c r="I28" s="10"/>
      <c r="J28" s="6" cm="1">
        <f t="array" aca="1" ref="J28" ca="1">ROUND((INDIRECT("'3. "&amp;$A26&amp;"'!I13")/INDIRECT("'3. "&amp;$A26&amp;"'!I50"))*100,2)</f>
        <v>1.73</v>
      </c>
      <c r="K28" s="10"/>
      <c r="L28" s="6" cm="1">
        <f t="array" aca="1" ref="L28" ca="1">ROUND((INDIRECT("'3. "&amp;$A26&amp;"'!K13")/INDIRECT("'3. "&amp;$A26&amp;"'!K50"))*100,2)</f>
        <v>1.82</v>
      </c>
      <c r="M28" s="10"/>
      <c r="N28" s="6">
        <f ca="1">ROUND(AVERAGE(D28,F28,H28,J28,L28),2)</f>
        <v>1.5</v>
      </c>
      <c r="T28" s="9"/>
      <c r="U28" s="9"/>
      <c r="V28" s="9"/>
      <c r="W28" s="9"/>
      <c r="X28" s="9"/>
      <c r="Y28" s="9"/>
      <c r="Z28" s="9"/>
      <c r="AA28" s="9"/>
      <c r="AB28" s="9"/>
    </row>
    <row r="29" spans="1:28" ht="14.45" customHeight="1" x14ac:dyDescent="0.25">
      <c r="B29" s="1" t="s">
        <v>6</v>
      </c>
      <c r="D29" s="12" cm="1">
        <f t="array" aca="1" ref="D29" ca="1">ROUND((INDIRECT("'3. "&amp;$A26&amp;"'!C16")/INDIRECT("'3. "&amp;$A26&amp;"'!C50"))*100,2)+0.01</f>
        <v>37.58</v>
      </c>
      <c r="E29" s="10"/>
      <c r="F29" s="12" cm="1">
        <f t="array" aca="1" ref="F29" ca="1">ROUND((INDIRECT("'3. "&amp;$A26&amp;"'!E16")/INDIRECT("'3. "&amp;$A26&amp;"'!E50"))*100,2)</f>
        <v>37.909999999999997</v>
      </c>
      <c r="G29" s="10"/>
      <c r="H29" s="12" cm="1">
        <f t="array" aca="1" ref="H29" ca="1">ROUND((INDIRECT("'3. "&amp;$A26&amp;"'!G16")/INDIRECT("'3. "&amp;$A26&amp;"'!G50"))*100,2)</f>
        <v>39.29</v>
      </c>
      <c r="I29" s="10"/>
      <c r="J29" s="12" cm="1">
        <f t="array" aca="1" ref="J29" ca="1">ROUND((INDIRECT("'3. "&amp;$A26&amp;"'!I16")/INDIRECT("'3. "&amp;$A26&amp;"'!I50"))*100,2)</f>
        <v>41.84</v>
      </c>
      <c r="K29" s="10"/>
      <c r="L29" s="12" cm="1">
        <f t="array" aca="1" ref="L29" ca="1">ROUND((INDIRECT("'3. "&amp;$A26&amp;"'!K16")/INDIRECT("'3. "&amp;$A26&amp;"'!K50"))*100,2)</f>
        <v>42.66</v>
      </c>
      <c r="M29" s="10"/>
      <c r="N29" s="6">
        <f ca="1">ROUND(AVERAGE(D29,F29,H29,J29,L29),2)</f>
        <v>39.86</v>
      </c>
      <c r="R29" s="9"/>
      <c r="S29" s="9"/>
      <c r="T29" s="112"/>
      <c r="U29" s="9"/>
      <c r="V29" s="112"/>
      <c r="W29" s="9"/>
      <c r="X29" s="112"/>
      <c r="Y29" s="9"/>
      <c r="Z29" s="112"/>
      <c r="AA29" s="9"/>
      <c r="AB29" s="112"/>
    </row>
    <row r="30" spans="1:28" ht="16.5" thickBot="1" x14ac:dyDescent="0.3">
      <c r="B30" s="1" t="s">
        <v>7</v>
      </c>
      <c r="D30" s="16">
        <f ca="1">SUM(D27:D29)</f>
        <v>100</v>
      </c>
      <c r="E30" s="14" t="s">
        <v>4</v>
      </c>
      <c r="F30" s="16">
        <f ca="1">SUM(F27:F29)</f>
        <v>100</v>
      </c>
      <c r="G30" s="14" t="s">
        <v>4</v>
      </c>
      <c r="H30" s="16">
        <f ca="1">SUM(H27:H29)</f>
        <v>100</v>
      </c>
      <c r="I30" s="14" t="s">
        <v>4</v>
      </c>
      <c r="J30" s="16">
        <f ca="1">SUM(J27:J29)</f>
        <v>100</v>
      </c>
      <c r="K30" s="14" t="s">
        <v>4</v>
      </c>
      <c r="L30" s="16">
        <f ca="1">SUM(L27:L29)</f>
        <v>100</v>
      </c>
      <c r="M30" s="14" t="s">
        <v>4</v>
      </c>
      <c r="N30" s="16">
        <f ca="1">SUM(N27:N29)</f>
        <v>100</v>
      </c>
      <c r="O30" s="15" t="s">
        <v>4</v>
      </c>
    </row>
    <row r="31" spans="1:28" ht="16.5" thickTop="1" x14ac:dyDescent="0.25">
      <c r="E31" s="14"/>
      <c r="G31" s="14"/>
      <c r="I31" s="14"/>
      <c r="K31" s="14"/>
      <c r="M31" s="14"/>
      <c r="O31" s="15"/>
    </row>
    <row r="32" spans="1:28" x14ac:dyDescent="0.25">
      <c r="A32" s="1" t="s">
        <v>180</v>
      </c>
      <c r="B32" s="5" t="s">
        <v>214</v>
      </c>
    </row>
    <row r="33" spans="1:28" x14ac:dyDescent="0.25">
      <c r="B33" s="1" t="s">
        <v>3</v>
      </c>
      <c r="D33" s="6" cm="1">
        <f t="array" aca="1" ref="D33" ca="1">ROUND(((INDIRECT("'3. "&amp;$A32&amp;"'!C12"))/INDIRECT("'3. "&amp;$A32&amp;"'!C50"))*100,2)-0.01</f>
        <v>68.849999999999994</v>
      </c>
      <c r="E33" s="7" t="s">
        <v>4</v>
      </c>
      <c r="F33" s="6" cm="1">
        <f t="array" aca="1" ref="F33" ca="1">ROUND(((INDIRECT("'3. "&amp;$A32&amp;"'!E12"))/INDIRECT("'3. "&amp;$A32&amp;"'!E50"))*100,2)-0.01</f>
        <v>66.97999999999999</v>
      </c>
      <c r="G33" s="7" t="s">
        <v>4</v>
      </c>
      <c r="H33" s="6" cm="1">
        <f t="array" aca="1" ref="H33" ca="1">ROUND(((INDIRECT("'3. "&amp;$A32&amp;"'!G12"))/INDIRECT("'3. "&amp;$A32&amp;"'!G50"))*100,2)</f>
        <v>65.599999999999994</v>
      </c>
      <c r="I33" s="7" t="s">
        <v>4</v>
      </c>
      <c r="J33" s="6" cm="1">
        <f t="array" aca="1" ref="J33" ca="1">ROUND(((INDIRECT("'3. "&amp;$A32&amp;"'!I12"))/INDIRECT("'3. "&amp;$A32&amp;"'!I50"))*100,2)</f>
        <v>61.49</v>
      </c>
      <c r="K33" s="7" t="s">
        <v>4</v>
      </c>
      <c r="L33" s="6" cm="1">
        <f t="array" aca="1" ref="L33" ca="1">ROUND(((INDIRECT("'3. "&amp;$A32&amp;"'!K12"))/INDIRECT("'3. "&amp;$A32&amp;"'!K50"))*100,2)</f>
        <v>56.44</v>
      </c>
      <c r="M33" s="7" t="s">
        <v>4</v>
      </c>
      <c r="N33" s="6">
        <f ca="1">ROUND(AVERAGE(D33,F33,H33,J33,L33),2)</f>
        <v>63.87</v>
      </c>
      <c r="O33" s="15" t="s">
        <v>4</v>
      </c>
      <c r="U33" s="9"/>
      <c r="W33" s="9"/>
      <c r="Y33" s="9"/>
      <c r="AA33" s="9"/>
    </row>
    <row r="34" spans="1:28" x14ac:dyDescent="0.25">
      <c r="B34" s="1" t="s">
        <v>5</v>
      </c>
      <c r="D34" s="6" cm="1">
        <f t="array" aca="1" ref="D34" ca="1">ROUND((INDIRECT("'3. "&amp;$A32&amp;"'!C13")/INDIRECT("'3. "&amp;$A32&amp;"'!C50"))*100,2)</f>
        <v>4.21</v>
      </c>
      <c r="E34" s="10"/>
      <c r="F34" s="6" cm="1">
        <f t="array" aca="1" ref="F34" ca="1">ROUND((INDIRECT("'3. "&amp;$A32&amp;"'!E13")/INDIRECT("'3. "&amp;$A32&amp;"'!E50"))*100,2)</f>
        <v>4.96</v>
      </c>
      <c r="G34" s="10"/>
      <c r="H34" s="6" cm="1">
        <f t="array" aca="1" ref="H34" ca="1">ROUND((INDIRECT("'3. "&amp;$A32&amp;"'!G13")/INDIRECT("'3. "&amp;$A32&amp;"'!G50"))*100,2)</f>
        <v>4.21</v>
      </c>
      <c r="I34" s="10"/>
      <c r="J34" s="6" cm="1">
        <f t="array" aca="1" ref="J34" ca="1">ROUND((INDIRECT("'3. "&amp;$A32&amp;"'!I13")/INDIRECT("'3. "&amp;$A32&amp;"'!I50"))*100,2)</f>
        <v>4.63</v>
      </c>
      <c r="K34" s="10"/>
      <c r="L34" s="6" cm="1">
        <f t="array" aca="1" ref="L34" ca="1">ROUND((INDIRECT("'3. "&amp;$A32&amp;"'!K13")/INDIRECT("'3. "&amp;$A32&amp;"'!K50"))*100,2)</f>
        <v>5.19</v>
      </c>
      <c r="M34" s="10"/>
      <c r="N34" s="6">
        <f ca="1">ROUND(AVERAGE(D34,F34,H34,J34,L34),2)</f>
        <v>4.6399999999999997</v>
      </c>
      <c r="T34" s="9"/>
      <c r="U34" s="9"/>
      <c r="V34" s="9"/>
      <c r="W34" s="9"/>
      <c r="X34" s="9"/>
      <c r="Y34" s="9"/>
      <c r="Z34" s="9"/>
      <c r="AA34" s="9"/>
      <c r="AB34" s="9"/>
    </row>
    <row r="35" spans="1:28" ht="14.45" customHeight="1" x14ac:dyDescent="0.25">
      <c r="B35" s="1" t="s">
        <v>6</v>
      </c>
      <c r="D35" s="12" cm="1">
        <f t="array" aca="1" ref="D35" ca="1">ROUND((INDIRECT("'3. "&amp;$A32&amp;"'!C16")/INDIRECT("'3. "&amp;$A32&amp;"'!C50"))*100,2)</f>
        <v>26.94</v>
      </c>
      <c r="E35" s="10"/>
      <c r="F35" s="12" cm="1">
        <f t="array" aca="1" ref="F35" ca="1">ROUND((INDIRECT("'3. "&amp;$A32&amp;"'!E16")/INDIRECT("'3. "&amp;$A32&amp;"'!E50"))*100,2)</f>
        <v>28.06</v>
      </c>
      <c r="G35" s="10"/>
      <c r="H35" s="12" cm="1">
        <f t="array" aca="1" ref="H35" ca="1">ROUND((INDIRECT("'3. "&amp;$A32&amp;"'!G16")/INDIRECT("'3. "&amp;$A32&amp;"'!G50"))*100,2)</f>
        <v>30.19</v>
      </c>
      <c r="I35" s="10"/>
      <c r="J35" s="12" cm="1">
        <f t="array" aca="1" ref="J35" ca="1">ROUND((INDIRECT("'3. "&amp;$A32&amp;"'!I16")/INDIRECT("'3. "&amp;$A32&amp;"'!I50"))*100,2)</f>
        <v>33.880000000000003</v>
      </c>
      <c r="K35" s="10"/>
      <c r="L35" s="12" cm="1">
        <f t="array" aca="1" ref="L35" ca="1">ROUND((INDIRECT("'3. "&amp;$A32&amp;"'!K16")/INDIRECT("'3. "&amp;$A32&amp;"'!K50"))*100,2)</f>
        <v>38.369999999999997</v>
      </c>
      <c r="M35" s="10"/>
      <c r="N35" s="6">
        <f ca="1">ROUND(AVERAGE(D35,F35,H35,J35,L35),2)</f>
        <v>31.49</v>
      </c>
      <c r="R35" s="9"/>
      <c r="S35" s="9"/>
      <c r="T35" s="112"/>
      <c r="U35" s="9"/>
      <c r="V35" s="112"/>
      <c r="W35" s="9"/>
      <c r="X35" s="112"/>
      <c r="Y35" s="9"/>
      <c r="Z35" s="112"/>
      <c r="AA35" s="9"/>
      <c r="AB35" s="112"/>
    </row>
    <row r="36" spans="1:28" ht="16.5" thickBot="1" x14ac:dyDescent="0.3">
      <c r="B36" s="1" t="s">
        <v>7</v>
      </c>
      <c r="D36" s="16">
        <f ca="1">SUM(D33:D35)</f>
        <v>99.999999999999986</v>
      </c>
      <c r="E36" s="14" t="s">
        <v>4</v>
      </c>
      <c r="F36" s="16">
        <f ca="1">SUM(F33:F35)</f>
        <v>99.999999999999986</v>
      </c>
      <c r="G36" s="14" t="s">
        <v>4</v>
      </c>
      <c r="H36" s="16">
        <f ca="1">SUM(H33:H35)</f>
        <v>99.999999999999986</v>
      </c>
      <c r="I36" s="14" t="s">
        <v>4</v>
      </c>
      <c r="J36" s="16">
        <f ca="1">SUM(J33:J35)</f>
        <v>100</v>
      </c>
      <c r="K36" s="14" t="s">
        <v>4</v>
      </c>
      <c r="L36" s="16">
        <f ca="1">SUM(L33:L35)</f>
        <v>100</v>
      </c>
      <c r="M36" s="14" t="s">
        <v>4</v>
      </c>
      <c r="N36" s="16">
        <f ca="1">SUM(N33:N35)</f>
        <v>99.999999999999986</v>
      </c>
      <c r="O36" s="15" t="s">
        <v>4</v>
      </c>
    </row>
    <row r="37" spans="1:28" ht="16.5" thickTop="1" x14ac:dyDescent="0.25">
      <c r="E37" s="14"/>
      <c r="G37" s="14"/>
      <c r="I37" s="14"/>
      <c r="K37" s="14"/>
      <c r="M37" s="14"/>
      <c r="O37" s="15"/>
    </row>
    <row r="38" spans="1:28" x14ac:dyDescent="0.25">
      <c r="A38" s="1" t="s">
        <v>182</v>
      </c>
      <c r="B38" s="4" t="s">
        <v>233</v>
      </c>
      <c r="O38" s="15"/>
    </row>
    <row r="39" spans="1:28" x14ac:dyDescent="0.25">
      <c r="B39" s="1" t="s">
        <v>3</v>
      </c>
      <c r="D39" s="6" cm="1">
        <f t="array" aca="1" ref="D39" ca="1">ROUND(((INDIRECT("'3. "&amp;$A38&amp;"'!C12"))/INDIRECT("'3. "&amp;$A38&amp;"'!C50"))*100,2)</f>
        <v>64.5</v>
      </c>
      <c r="E39" s="7" t="s">
        <v>4</v>
      </c>
      <c r="F39" s="6" cm="1">
        <f t="array" aca="1" ref="F39" ca="1">ROUND(((INDIRECT("'3. "&amp;$A38&amp;"'!E12"))/INDIRECT("'3. "&amp;$A38&amp;"'!E50"))*100,2)</f>
        <v>62.66</v>
      </c>
      <c r="G39" s="7" t="s">
        <v>4</v>
      </c>
      <c r="H39" s="6" cm="1">
        <f t="array" aca="1" ref="H39" ca="1">ROUND(((INDIRECT("'3. "&amp;$A38&amp;"'!G12"))/INDIRECT("'3. "&amp;$A38&amp;"'!G50"))*100,2)</f>
        <v>66.13</v>
      </c>
      <c r="I39" s="7" t="s">
        <v>4</v>
      </c>
      <c r="J39" s="6" cm="1">
        <f t="array" aca="1" ref="J39" ca="1">ROUND(((INDIRECT("'3. "&amp;$A38&amp;"'!I12"))/INDIRECT("'3. "&amp;$A38&amp;"'!I50"))*100,2)</f>
        <v>68.58</v>
      </c>
      <c r="K39" s="7" t="s">
        <v>4</v>
      </c>
      <c r="L39" s="6" cm="1">
        <f t="array" aca="1" ref="L39" ca="1">ROUND(((INDIRECT("'3. "&amp;$A38&amp;"'!K12"))/INDIRECT("'3. "&amp;$A38&amp;"'!K50"))*100,2)-0.01</f>
        <v>66.67</v>
      </c>
      <c r="M39" s="7" t="s">
        <v>4</v>
      </c>
      <c r="N39" s="6">
        <f ca="1">ROUND(AVERAGE(D39,F39,H39,J39,L39),2)</f>
        <v>65.709999999999994</v>
      </c>
      <c r="O39" s="15" t="s">
        <v>4</v>
      </c>
      <c r="U39" s="9"/>
      <c r="W39" s="9"/>
      <c r="Y39" s="9"/>
      <c r="AA39" s="9"/>
    </row>
    <row r="40" spans="1:28" x14ac:dyDescent="0.25">
      <c r="B40" s="1" t="s">
        <v>5</v>
      </c>
      <c r="D40" s="6" cm="1">
        <f t="array" aca="1" ref="D40" ca="1">ROUND((INDIRECT("'3. "&amp;$A38&amp;"'!C13")/INDIRECT("'3. "&amp;$A38&amp;"'!C50"))*100,2)</f>
        <v>0.74</v>
      </c>
      <c r="E40" s="10"/>
      <c r="F40" s="6" cm="1">
        <f t="array" aca="1" ref="F40" ca="1">ROUND((INDIRECT("'3. "&amp;$A38&amp;"'!E13")/INDIRECT("'3. "&amp;$A38&amp;"'!E50"))*100,2)</f>
        <v>0.85</v>
      </c>
      <c r="G40" s="10"/>
      <c r="H40" s="6" cm="1">
        <f t="array" aca="1" ref="H40" ca="1">ROUND((INDIRECT("'3. "&amp;$A38&amp;"'!G13")/INDIRECT("'3. "&amp;$A38&amp;"'!G50"))*100,2)</f>
        <v>0.81</v>
      </c>
      <c r="I40" s="10"/>
      <c r="J40" s="6" cm="1">
        <f t="array" aca="1" ref="J40" ca="1">ROUND((INDIRECT("'3. "&amp;$A38&amp;"'!I13")/INDIRECT("'3. "&amp;$A38&amp;"'!I50"))*100,2)</f>
        <v>0.57999999999999996</v>
      </c>
      <c r="K40" s="10"/>
      <c r="L40" s="6" cm="1">
        <f t="array" aca="1" ref="L40" ca="1">ROUND((INDIRECT("'3. "&amp;$A38&amp;"'!K13")/INDIRECT("'3. "&amp;$A38&amp;"'!K50"))*100,2)</f>
        <v>0.76</v>
      </c>
      <c r="M40" s="10"/>
      <c r="N40" s="6">
        <f ca="1">ROUND(AVERAGE(D40,F40,H40,J40,L40),2)</f>
        <v>0.75</v>
      </c>
      <c r="T40" s="9"/>
      <c r="U40" s="9"/>
      <c r="V40" s="9"/>
      <c r="W40" s="9"/>
      <c r="X40" s="9"/>
      <c r="Y40" s="9"/>
      <c r="Z40" s="9"/>
      <c r="AA40" s="9"/>
      <c r="AB40" s="9"/>
    </row>
    <row r="41" spans="1:28" ht="14.45" customHeight="1" x14ac:dyDescent="0.25">
      <c r="B41" s="1" t="s">
        <v>6</v>
      </c>
      <c r="D41" s="12" cm="1">
        <f t="array" aca="1" ref="D41" ca="1">ROUND((INDIRECT("'3. "&amp;$A38&amp;"'!C16")/INDIRECT("'3. "&amp;$A38&amp;"'!C50"))*100,2)</f>
        <v>34.76</v>
      </c>
      <c r="E41" s="10"/>
      <c r="F41" s="12" cm="1">
        <f t="array" aca="1" ref="F41" ca="1">ROUND((INDIRECT("'3. "&amp;$A38&amp;"'!E16")/INDIRECT("'3. "&amp;$A38&amp;"'!E50"))*100,2)</f>
        <v>36.49</v>
      </c>
      <c r="G41" s="10"/>
      <c r="H41" s="12" cm="1">
        <f t="array" aca="1" ref="H41" ca="1">ROUND((INDIRECT("'3. "&amp;$A38&amp;"'!G16")/INDIRECT("'3. "&amp;$A38&amp;"'!G50"))*100,2)</f>
        <v>33.06</v>
      </c>
      <c r="I41" s="10"/>
      <c r="J41" s="12" cm="1">
        <f t="array" aca="1" ref="J41" ca="1">ROUND((INDIRECT("'3. "&amp;$A38&amp;"'!I16")/INDIRECT("'3. "&amp;$A38&amp;"'!I50"))*100,2)</f>
        <v>30.84</v>
      </c>
      <c r="K41" s="10"/>
      <c r="L41" s="12" cm="1">
        <f t="array" aca="1" ref="L41" ca="1">ROUND((INDIRECT("'3. "&amp;$A38&amp;"'!K16")/INDIRECT("'3. "&amp;$A38&amp;"'!K50"))*100,2)</f>
        <v>32.57</v>
      </c>
      <c r="M41" s="10"/>
      <c r="N41" s="6">
        <f ca="1">ROUND(AVERAGE(D41,F41,H41,J41,L41),2)</f>
        <v>33.54</v>
      </c>
      <c r="R41" s="9"/>
      <c r="S41" s="9"/>
      <c r="T41" s="112"/>
      <c r="U41" s="9"/>
      <c r="V41" s="112"/>
      <c r="W41" s="9"/>
      <c r="X41" s="112"/>
      <c r="Y41" s="9"/>
      <c r="Z41" s="112"/>
      <c r="AA41" s="9"/>
      <c r="AB41" s="112"/>
    </row>
    <row r="42" spans="1:28" ht="16.5" thickBot="1" x14ac:dyDescent="0.3">
      <c r="B42" s="1" t="s">
        <v>7</v>
      </c>
      <c r="D42" s="16">
        <f ca="1">SUM(D39:D41)</f>
        <v>100</v>
      </c>
      <c r="E42" s="14" t="s">
        <v>4</v>
      </c>
      <c r="F42" s="16">
        <f ca="1">SUM(F39:F41)</f>
        <v>100</v>
      </c>
      <c r="G42" s="14" t="s">
        <v>4</v>
      </c>
      <c r="H42" s="16">
        <f ca="1">SUM(H39:H41)</f>
        <v>100</v>
      </c>
      <c r="I42" s="14" t="s">
        <v>4</v>
      </c>
      <c r="J42" s="16">
        <f ca="1">SUM(J39:J41)</f>
        <v>100</v>
      </c>
      <c r="K42" s="14" t="s">
        <v>4</v>
      </c>
      <c r="L42" s="16">
        <f ca="1">SUM(L39:L41)</f>
        <v>100</v>
      </c>
      <c r="M42" s="14" t="s">
        <v>4</v>
      </c>
      <c r="N42" s="16">
        <f ca="1">SUM(N39:N41)</f>
        <v>100</v>
      </c>
      <c r="O42" s="15" t="s">
        <v>4</v>
      </c>
    </row>
    <row r="43" spans="1:28" ht="16.5" thickTop="1" x14ac:dyDescent="0.25">
      <c r="E43" s="14"/>
      <c r="G43" s="14"/>
      <c r="I43" s="14"/>
      <c r="K43" s="14"/>
      <c r="M43" s="14"/>
      <c r="O43" s="15"/>
    </row>
    <row r="44" spans="1:28" x14ac:dyDescent="0.25">
      <c r="A44" s="1" t="s">
        <v>188</v>
      </c>
      <c r="B44" s="5" t="s">
        <v>216</v>
      </c>
      <c r="E44" s="14"/>
      <c r="G44" s="14"/>
      <c r="I44" s="14"/>
      <c r="K44" s="14"/>
      <c r="M44" s="14"/>
    </row>
    <row r="45" spans="1:28" x14ac:dyDescent="0.25">
      <c r="B45" s="1" t="s">
        <v>3</v>
      </c>
      <c r="D45" s="6" cm="1">
        <f t="array" aca="1" ref="D45" ca="1">ROUND(((INDIRECT("'3. "&amp;$A44&amp;"'!C12"))/INDIRECT("'3. "&amp;$A44&amp;"'!C50"))*100,2)</f>
        <v>55.59</v>
      </c>
      <c r="E45" s="7" t="s">
        <v>4</v>
      </c>
      <c r="F45" s="6" cm="1">
        <f t="array" aca="1" ref="F45" ca="1">ROUND(((INDIRECT("'3. "&amp;$A44&amp;"'!E12"))/INDIRECT("'3. "&amp;$A44&amp;"'!E50"))*100,2)</f>
        <v>55.09</v>
      </c>
      <c r="G45" s="7" t="s">
        <v>4</v>
      </c>
      <c r="H45" s="6" cm="1">
        <f t="array" aca="1" ref="H45" ca="1">ROUND(((INDIRECT("'3. "&amp;$A44&amp;"'!G12"))/INDIRECT("'3. "&amp;$A44&amp;"'!G50"))*100,2)</f>
        <v>52.17</v>
      </c>
      <c r="I45" s="7" t="s">
        <v>4</v>
      </c>
      <c r="J45" s="6" cm="1">
        <f t="array" aca="1" ref="J45" ca="1">ROUND(((INDIRECT("'3. "&amp;$A44&amp;"'!I12"))/INDIRECT("'3. "&amp;$A44&amp;"'!I50"))*100,2)</f>
        <v>51.17</v>
      </c>
      <c r="K45" s="7" t="s">
        <v>4</v>
      </c>
      <c r="L45" s="6" cm="1">
        <f t="array" aca="1" ref="L45" ca="1">ROUND(((INDIRECT("'3. "&amp;$A44&amp;"'!K12"))/INDIRECT("'3. "&amp;$A44&amp;"'!K50"))*100,2)</f>
        <v>52.48</v>
      </c>
      <c r="M45" s="7" t="s">
        <v>4</v>
      </c>
      <c r="N45" s="6">
        <f ca="1">ROUND(AVERAGE(D45,F45,H45,J45,L45),2)</f>
        <v>53.3</v>
      </c>
      <c r="O45" s="15" t="s">
        <v>4</v>
      </c>
      <c r="U45" s="9"/>
      <c r="W45" s="9"/>
      <c r="Y45" s="9"/>
      <c r="AA45" s="9"/>
    </row>
    <row r="46" spans="1:28" x14ac:dyDescent="0.25">
      <c r="B46" s="1" t="s">
        <v>5</v>
      </c>
      <c r="D46" s="6" cm="1">
        <f t="array" aca="1" ref="D46" ca="1">ROUND((INDIRECT("'3. "&amp;$A44&amp;"'!C13")/INDIRECT("'3. "&amp;$A44&amp;"'!C50"))*100,2)</f>
        <v>0</v>
      </c>
      <c r="E46" s="10"/>
      <c r="F46" s="6" cm="1">
        <f t="array" aca="1" ref="F46" ca="1">ROUND((INDIRECT("'3. "&amp;$A44&amp;"'!E13")/INDIRECT("'3. "&amp;$A44&amp;"'!E50"))*100,2)</f>
        <v>0</v>
      </c>
      <c r="G46" s="10"/>
      <c r="H46" s="6" cm="1">
        <f t="array" aca="1" ref="H46" ca="1">ROUND((INDIRECT("'3. "&amp;$A44&amp;"'!G13")/INDIRECT("'3. "&amp;$A44&amp;"'!G50"))*100,2)</f>
        <v>0</v>
      </c>
      <c r="I46" s="10"/>
      <c r="J46" s="6" cm="1">
        <f t="array" aca="1" ref="J46" ca="1">ROUND((INDIRECT("'3. "&amp;$A44&amp;"'!I13")/INDIRECT("'3. "&amp;$A44&amp;"'!I50"))*100,2)</f>
        <v>0</v>
      </c>
      <c r="K46" s="10"/>
      <c r="L46" s="6" cm="1">
        <f t="array" aca="1" ref="L46" ca="1">ROUND((INDIRECT("'3. "&amp;$A44&amp;"'!K13")/INDIRECT("'3. "&amp;$A44&amp;"'!K50"))*100,2)</f>
        <v>0</v>
      </c>
      <c r="M46" s="10"/>
      <c r="N46" s="6">
        <f ca="1">ROUND(AVERAGE(D46,F46,H46,J46,L46),2)</f>
        <v>0</v>
      </c>
      <c r="T46" s="9"/>
      <c r="U46" s="9"/>
      <c r="V46" s="9"/>
      <c r="W46" s="9"/>
      <c r="X46" s="9"/>
      <c r="Y46" s="9"/>
      <c r="Z46" s="9"/>
      <c r="AA46" s="9"/>
      <c r="AB46" s="9"/>
    </row>
    <row r="47" spans="1:28" ht="14.45" customHeight="1" x14ac:dyDescent="0.25">
      <c r="B47" s="1" t="s">
        <v>6</v>
      </c>
      <c r="D47" s="12" cm="1">
        <f t="array" aca="1" ref="D47" ca="1">ROUND((INDIRECT("'3. "&amp;$A44&amp;"'!C16")/INDIRECT("'3. "&amp;$A44&amp;"'!C50"))*100,2)</f>
        <v>44.41</v>
      </c>
      <c r="E47" s="10"/>
      <c r="F47" s="12" cm="1">
        <f t="array" aca="1" ref="F47" ca="1">ROUND((INDIRECT("'3. "&amp;$A44&amp;"'!E16")/INDIRECT("'3. "&amp;$A44&amp;"'!E50"))*100,2)</f>
        <v>44.91</v>
      </c>
      <c r="G47" s="10"/>
      <c r="H47" s="12" cm="1">
        <f t="array" aca="1" ref="H47" ca="1">ROUND((INDIRECT("'3. "&amp;$A44&amp;"'!G16")/INDIRECT("'3. "&amp;$A44&amp;"'!G50"))*100,2)</f>
        <v>47.83</v>
      </c>
      <c r="I47" s="10"/>
      <c r="J47" s="12" cm="1">
        <f t="array" aca="1" ref="J47" ca="1">ROUND((INDIRECT("'3. "&amp;$A44&amp;"'!I16")/INDIRECT("'3. "&amp;$A44&amp;"'!I50"))*100,2)</f>
        <v>48.83</v>
      </c>
      <c r="K47" s="10"/>
      <c r="L47" s="12" cm="1">
        <f t="array" aca="1" ref="L47" ca="1">ROUND((INDIRECT("'3. "&amp;$A44&amp;"'!K16")/INDIRECT("'3. "&amp;$A44&amp;"'!K50"))*100,2)</f>
        <v>47.52</v>
      </c>
      <c r="M47" s="10"/>
      <c r="N47" s="6">
        <f ca="1">ROUND(AVERAGE(D47,F47,H47,J47,L47),2)</f>
        <v>46.7</v>
      </c>
      <c r="R47" s="9"/>
      <c r="S47" s="9"/>
      <c r="T47" s="112"/>
      <c r="U47" s="9"/>
      <c r="V47" s="112"/>
      <c r="W47" s="9"/>
      <c r="X47" s="112"/>
      <c r="Y47" s="9"/>
      <c r="Z47" s="112"/>
      <c r="AA47" s="9"/>
      <c r="AB47" s="112"/>
    </row>
    <row r="48" spans="1:28" ht="16.5" thickBot="1" x14ac:dyDescent="0.3">
      <c r="B48" s="1" t="s">
        <v>7</v>
      </c>
      <c r="D48" s="16">
        <f ca="1">SUM(D45:D47)</f>
        <v>100</v>
      </c>
      <c r="E48" s="14" t="s">
        <v>4</v>
      </c>
      <c r="F48" s="16">
        <f ca="1">SUM(F45:F47)</f>
        <v>100</v>
      </c>
      <c r="G48" s="14" t="s">
        <v>4</v>
      </c>
      <c r="H48" s="16">
        <f ca="1">SUM(H45:H47)</f>
        <v>100</v>
      </c>
      <c r="I48" s="14" t="s">
        <v>4</v>
      </c>
      <c r="J48" s="16">
        <f ca="1">SUM(J45:J47)</f>
        <v>100</v>
      </c>
      <c r="K48" s="14" t="s">
        <v>4</v>
      </c>
      <c r="L48" s="16">
        <f ca="1">SUM(L45:L47)</f>
        <v>100</v>
      </c>
      <c r="M48" s="14" t="s">
        <v>4</v>
      </c>
      <c r="N48" s="16">
        <f ca="1">SUM(N45:N47)</f>
        <v>100</v>
      </c>
      <c r="O48" s="15" t="s">
        <v>4</v>
      </c>
    </row>
    <row r="49" spans="1:28" ht="16.5" thickTop="1" x14ac:dyDescent="0.25">
      <c r="E49" s="14"/>
      <c r="G49" s="14"/>
      <c r="I49" s="14"/>
      <c r="K49" s="14"/>
      <c r="M49" s="14"/>
      <c r="O49" s="15"/>
    </row>
    <row r="50" spans="1:28" x14ac:dyDescent="0.25">
      <c r="A50" s="1" t="s">
        <v>191</v>
      </c>
      <c r="B50" s="4" t="s">
        <v>217</v>
      </c>
      <c r="O50" s="15"/>
    </row>
    <row r="51" spans="1:28" x14ac:dyDescent="0.25">
      <c r="B51" s="1" t="s">
        <v>3</v>
      </c>
      <c r="D51" s="6" cm="1">
        <f t="array" aca="1" ref="D51" ca="1">ROUND(((INDIRECT("'3. "&amp;$A50&amp;"'!C12"))/INDIRECT("'3. "&amp;$A50&amp;"'!C50"))*100,2)</f>
        <v>47.99</v>
      </c>
      <c r="E51" s="7" t="s">
        <v>4</v>
      </c>
      <c r="F51" s="6" cm="1">
        <f t="array" aca="1" ref="F51" ca="1">ROUND(((INDIRECT("'3. "&amp;$A50&amp;"'!E12"))/INDIRECT("'3. "&amp;$A50&amp;"'!E50"))*100,2)</f>
        <v>49.29</v>
      </c>
      <c r="G51" s="7" t="s">
        <v>4</v>
      </c>
      <c r="H51" s="6" cm="1">
        <f t="array" aca="1" ref="H51" ca="1">ROUND(((INDIRECT("'3. "&amp;$A50&amp;"'!G12"))/INDIRECT("'3. "&amp;$A50&amp;"'!G50"))*100,2)</f>
        <v>43.87</v>
      </c>
      <c r="I51" s="7" t="s">
        <v>4</v>
      </c>
      <c r="J51" s="6" cm="1">
        <f t="array" aca="1" ref="J51" ca="1">ROUND(((INDIRECT("'3. "&amp;$A50&amp;"'!I12"))/INDIRECT("'3. "&amp;$A50&amp;"'!I50"))*100,2)</f>
        <v>42.85</v>
      </c>
      <c r="K51" s="7" t="s">
        <v>4</v>
      </c>
      <c r="L51" s="6" cm="1">
        <f t="array" aca="1" ref="L51" ca="1">ROUND(((INDIRECT("'3. "&amp;$A50&amp;"'!K12"))/INDIRECT("'3. "&amp;$A50&amp;"'!K50"))*100,2)</f>
        <v>43.86</v>
      </c>
      <c r="M51" s="7" t="s">
        <v>4</v>
      </c>
      <c r="N51" s="6">
        <f ca="1">ROUND(AVERAGE(D51,F51,H51,J51,L51),2)</f>
        <v>45.57</v>
      </c>
      <c r="O51" s="15" t="s">
        <v>4</v>
      </c>
      <c r="U51" s="9"/>
      <c r="W51" s="9"/>
      <c r="Y51" s="9"/>
      <c r="AA51" s="9"/>
    </row>
    <row r="52" spans="1:28" x14ac:dyDescent="0.25">
      <c r="B52" s="1" t="s">
        <v>5</v>
      </c>
      <c r="D52" s="6" cm="1">
        <f t="array" aca="1" ref="D52" ca="1">ROUND((INDIRECT("'3. "&amp;$A50&amp;"'!C13")/INDIRECT("'3. "&amp;$A50&amp;"'!C50"))*100,2)</f>
        <v>0</v>
      </c>
      <c r="E52" s="10"/>
      <c r="F52" s="6" cm="1">
        <f t="array" aca="1" ref="F52" ca="1">ROUND((INDIRECT("'3. "&amp;$A50&amp;"'!E13")/INDIRECT("'3. "&amp;$A50&amp;"'!E50"))*100,2)</f>
        <v>0</v>
      </c>
      <c r="G52" s="10"/>
      <c r="H52" s="6" cm="1">
        <f t="array" aca="1" ref="H52" ca="1">ROUND((INDIRECT("'3. "&amp;$A50&amp;"'!G13")/INDIRECT("'3. "&amp;$A50&amp;"'!G50"))*100,2)</f>
        <v>0</v>
      </c>
      <c r="I52" s="10"/>
      <c r="J52" s="6" cm="1">
        <f t="array" aca="1" ref="J52" ca="1">ROUND((INDIRECT("'3. "&amp;$A50&amp;"'!I13")/INDIRECT("'3. "&amp;$A50&amp;"'!I50"))*100,2)</f>
        <v>0</v>
      </c>
      <c r="K52" s="10"/>
      <c r="L52" s="6" cm="1">
        <f t="array" aca="1" ref="L52" ca="1">ROUND((INDIRECT("'3. "&amp;$A50&amp;"'!K13")/INDIRECT("'3. "&amp;$A50&amp;"'!K50"))*100,2)</f>
        <v>0</v>
      </c>
      <c r="M52" s="10"/>
      <c r="N52" s="6">
        <f ca="1">ROUND(AVERAGE(D52,F52,H52,J52,L52),2)</f>
        <v>0</v>
      </c>
      <c r="T52" s="9"/>
      <c r="U52" s="9"/>
      <c r="V52" s="9"/>
      <c r="W52" s="9"/>
      <c r="X52" s="9"/>
      <c r="Y52" s="9"/>
      <c r="Z52" s="9"/>
      <c r="AA52" s="9"/>
      <c r="AB52" s="9"/>
    </row>
    <row r="53" spans="1:28" ht="14.45" customHeight="1" x14ac:dyDescent="0.25">
      <c r="B53" s="1" t="s">
        <v>6</v>
      </c>
      <c r="D53" s="12" cm="1">
        <f t="array" aca="1" ref="D53" ca="1">ROUND((INDIRECT("'3. "&amp;$A50&amp;"'!C16")/INDIRECT("'3. "&amp;$A50&amp;"'!C50"))*100,2)</f>
        <v>52.01</v>
      </c>
      <c r="E53" s="10"/>
      <c r="F53" s="12" cm="1">
        <f t="array" aca="1" ref="F53" ca="1">ROUND((INDIRECT("'3. "&amp;$A50&amp;"'!E16")/INDIRECT("'3. "&amp;$A50&amp;"'!E50"))*100,2)</f>
        <v>50.71</v>
      </c>
      <c r="G53" s="10"/>
      <c r="H53" s="12" cm="1">
        <f t="array" aca="1" ref="H53" ca="1">ROUND((INDIRECT("'3. "&amp;$A50&amp;"'!G16")/INDIRECT("'3. "&amp;$A50&amp;"'!G50"))*100,2)</f>
        <v>56.13</v>
      </c>
      <c r="I53" s="10"/>
      <c r="J53" s="12" cm="1">
        <f t="array" aca="1" ref="J53" ca="1">ROUND((INDIRECT("'3. "&amp;$A50&amp;"'!I16")/INDIRECT("'3. "&amp;$A50&amp;"'!I50"))*100,2)</f>
        <v>57.15</v>
      </c>
      <c r="K53" s="10"/>
      <c r="L53" s="12" cm="1">
        <f t="array" aca="1" ref="L53" ca="1">ROUND((INDIRECT("'3. "&amp;$A50&amp;"'!K16")/INDIRECT("'3. "&amp;$A50&amp;"'!K50"))*100,2)</f>
        <v>56.14</v>
      </c>
      <c r="M53" s="10"/>
      <c r="N53" s="6">
        <f ca="1">ROUND(AVERAGE(D53,F53,H53,J53,L53),2)</f>
        <v>54.43</v>
      </c>
      <c r="R53" s="9"/>
      <c r="S53" s="9"/>
      <c r="T53" s="112"/>
      <c r="U53" s="9"/>
      <c r="V53" s="112"/>
      <c r="W53" s="9"/>
      <c r="X53" s="112"/>
      <c r="Y53" s="9"/>
      <c r="Z53" s="112"/>
      <c r="AA53" s="9"/>
      <c r="AB53" s="112"/>
    </row>
    <row r="54" spans="1:28" ht="16.5" thickBot="1" x14ac:dyDescent="0.3">
      <c r="B54" s="1" t="s">
        <v>7</v>
      </c>
      <c r="D54" s="16">
        <f ca="1">SUM(D51:D53)</f>
        <v>100</v>
      </c>
      <c r="E54" s="14" t="s">
        <v>4</v>
      </c>
      <c r="F54" s="16">
        <f ca="1">SUM(F51:F53)</f>
        <v>100</v>
      </c>
      <c r="G54" s="14" t="s">
        <v>4</v>
      </c>
      <c r="H54" s="16">
        <f ca="1">SUM(H51:H53)</f>
        <v>100</v>
      </c>
      <c r="I54" s="14" t="s">
        <v>4</v>
      </c>
      <c r="J54" s="16">
        <f ca="1">SUM(J51:J53)</f>
        <v>100</v>
      </c>
      <c r="K54" s="14" t="s">
        <v>4</v>
      </c>
      <c r="L54" s="16">
        <f ca="1">SUM(L51:L53)</f>
        <v>100</v>
      </c>
      <c r="M54" s="14" t="s">
        <v>4</v>
      </c>
      <c r="N54" s="16">
        <f ca="1">SUM(N51:N53)</f>
        <v>100</v>
      </c>
      <c r="O54" s="15" t="s">
        <v>4</v>
      </c>
    </row>
    <row r="55" spans="1:28" ht="16.5" thickTop="1" x14ac:dyDescent="0.25">
      <c r="E55" s="14"/>
      <c r="G55" s="14"/>
      <c r="I55" s="14"/>
      <c r="K55" s="14"/>
      <c r="M55" s="14"/>
      <c r="O55" s="15"/>
    </row>
    <row r="56" spans="1:28" x14ac:dyDescent="0.25">
      <c r="A56" s="1" t="s">
        <v>223</v>
      </c>
      <c r="B56" s="4" t="s">
        <v>240</v>
      </c>
      <c r="E56" s="14"/>
      <c r="G56" s="14"/>
      <c r="I56" s="14"/>
      <c r="K56" s="14"/>
      <c r="M56" s="14"/>
      <c r="O56" s="15"/>
    </row>
    <row r="57" spans="1:28" x14ac:dyDescent="0.25">
      <c r="B57" s="1" t="s">
        <v>3</v>
      </c>
      <c r="D57" s="6" cm="1">
        <f t="array" aca="1" ref="D57" ca="1">ROUND(((INDIRECT("'3. "&amp;$A56&amp;"'!C12"))/INDIRECT("'3. "&amp;$A56&amp;"'!C50"))*100,2)</f>
        <v>51.18</v>
      </c>
      <c r="E57" s="7" t="s">
        <v>4</v>
      </c>
      <c r="F57" s="6" cm="1">
        <f t="array" aca="1" ref="F57" ca="1">ROUND(((INDIRECT("'3. "&amp;$A56&amp;"'!E12"))/INDIRECT("'3. "&amp;$A56&amp;"'!E50"))*100,2)</f>
        <v>49.99</v>
      </c>
      <c r="G57" s="7" t="s">
        <v>4</v>
      </c>
      <c r="H57" s="6" cm="1">
        <f t="array" aca="1" ref="H57" ca="1">ROUND(((INDIRECT("'3. "&amp;$A56&amp;"'!G12"))/INDIRECT("'3. "&amp;$A56&amp;"'!G50"))*100,2)</f>
        <v>49.56</v>
      </c>
      <c r="I57" s="7" t="s">
        <v>4</v>
      </c>
      <c r="J57" s="6" cm="1">
        <f t="array" aca="1" ref="J57" ca="1">ROUND(((INDIRECT("'3. "&amp;$A56&amp;"'!I12"))/INDIRECT("'3. "&amp;$A56&amp;"'!I50"))*100,2)</f>
        <v>52.09</v>
      </c>
      <c r="K57" s="7" t="s">
        <v>4</v>
      </c>
      <c r="L57" s="6" cm="1">
        <f t="array" aca="1" ref="L57" ca="1">ROUND(((INDIRECT("'3. "&amp;$A56&amp;"'!K12"))/INDIRECT("'3. "&amp;$A56&amp;"'!K50"))*100,2)</f>
        <v>52.72</v>
      </c>
      <c r="M57" s="7" t="s">
        <v>4</v>
      </c>
      <c r="N57" s="6">
        <f ca="1">ROUND(AVERAGE(D57,F57,H57,J57,L57),2)</f>
        <v>51.11</v>
      </c>
      <c r="O57" s="15" t="s">
        <v>4</v>
      </c>
    </row>
    <row r="58" spans="1:28" x14ac:dyDescent="0.25">
      <c r="B58" s="1" t="s">
        <v>5</v>
      </c>
      <c r="D58" s="6" cm="1">
        <f t="array" aca="1" ref="D58" ca="1">ROUND((INDIRECT("'3. "&amp;$A56&amp;"'!C13")/INDIRECT("'3. "&amp;$A56&amp;"'!C50"))*100,2)</f>
        <v>0</v>
      </c>
      <c r="E58" s="10"/>
      <c r="F58" s="6" cm="1">
        <f t="array" aca="1" ref="F58" ca="1">ROUND((INDIRECT("'3. "&amp;$A56&amp;"'!E13")/INDIRECT("'3. "&amp;$A56&amp;"'!E50"))*100,2)</f>
        <v>0</v>
      </c>
      <c r="G58" s="10"/>
      <c r="H58" s="6" cm="1">
        <f t="array" aca="1" ref="H58" ca="1">ROUND((INDIRECT("'3. "&amp;$A56&amp;"'!G13")/INDIRECT("'3. "&amp;$A56&amp;"'!G50"))*100,2)</f>
        <v>0</v>
      </c>
      <c r="I58" s="10"/>
      <c r="J58" s="6" cm="1">
        <f t="array" aca="1" ref="J58" ca="1">ROUND((INDIRECT("'3. "&amp;$A56&amp;"'!I13")/INDIRECT("'3. "&amp;$A56&amp;"'!I50"))*100,2)</f>
        <v>0</v>
      </c>
      <c r="K58" s="10"/>
      <c r="L58" s="6" cm="1">
        <f t="array" aca="1" ref="L58" ca="1">ROUND((INDIRECT("'3. "&amp;$A56&amp;"'!K13")/INDIRECT("'3. "&amp;$A56&amp;"'!K50"))*100,2)</f>
        <v>0</v>
      </c>
      <c r="M58" s="10"/>
      <c r="N58" s="6">
        <f ca="1">ROUND(AVERAGE(D58,F58,H58,J58,L58),2)</f>
        <v>0</v>
      </c>
    </row>
    <row r="59" spans="1:28" x14ac:dyDescent="0.25">
      <c r="B59" s="1" t="s">
        <v>6</v>
      </c>
      <c r="D59" s="12" cm="1">
        <f t="array" aca="1" ref="D59" ca="1">ROUND((INDIRECT("'3. "&amp;$A56&amp;"'!C16")/INDIRECT("'3. "&amp;$A56&amp;"'!C50"))*100,2)</f>
        <v>48.82</v>
      </c>
      <c r="E59" s="10"/>
      <c r="F59" s="12" cm="1">
        <f t="array" aca="1" ref="F59" ca="1">ROUND((INDIRECT("'3. "&amp;$A56&amp;"'!E16")/INDIRECT("'3. "&amp;$A56&amp;"'!E50"))*100,2)</f>
        <v>50.01</v>
      </c>
      <c r="G59" s="10"/>
      <c r="H59" s="12" cm="1">
        <f t="array" aca="1" ref="H59" ca="1">ROUND((INDIRECT("'3. "&amp;$A56&amp;"'!G16")/INDIRECT("'3. "&amp;$A56&amp;"'!G50"))*100,2)</f>
        <v>50.44</v>
      </c>
      <c r="I59" s="10"/>
      <c r="J59" s="12" cm="1">
        <f t="array" aca="1" ref="J59" ca="1">ROUND((INDIRECT("'3. "&amp;$A56&amp;"'!I16")/INDIRECT("'3. "&amp;$A56&amp;"'!I50"))*100,2)</f>
        <v>47.91</v>
      </c>
      <c r="K59" s="10"/>
      <c r="L59" s="12" cm="1">
        <f t="array" aca="1" ref="L59" ca="1">ROUND((INDIRECT("'3. "&amp;$A56&amp;"'!K16")/INDIRECT("'3. "&amp;$A56&amp;"'!K50"))*100,2)</f>
        <v>47.28</v>
      </c>
      <c r="M59" s="10"/>
      <c r="N59" s="6">
        <f ca="1">ROUND(AVERAGE(D59,F59,H59,J59,L59),2)</f>
        <v>48.89</v>
      </c>
    </row>
    <row r="60" spans="1:28" ht="16.5" thickBot="1" x14ac:dyDescent="0.3">
      <c r="B60" s="1" t="s">
        <v>7</v>
      </c>
      <c r="D60" s="16">
        <f ca="1">SUM(D57:D59)</f>
        <v>100</v>
      </c>
      <c r="E60" s="14" t="s">
        <v>4</v>
      </c>
      <c r="F60" s="16">
        <f ca="1">SUM(F57:F59)</f>
        <v>100</v>
      </c>
      <c r="G60" s="14" t="s">
        <v>4</v>
      </c>
      <c r="H60" s="16">
        <f ca="1">SUM(H57:H59)</f>
        <v>100</v>
      </c>
      <c r="I60" s="14" t="s">
        <v>4</v>
      </c>
      <c r="J60" s="16">
        <f ca="1">SUM(J57:J59)</f>
        <v>100</v>
      </c>
      <c r="K60" s="14" t="s">
        <v>4</v>
      </c>
      <c r="L60" s="16">
        <f ca="1">SUM(L57:L59)</f>
        <v>100</v>
      </c>
      <c r="M60" s="14" t="s">
        <v>4</v>
      </c>
      <c r="N60" s="16">
        <f ca="1">SUM(N57:N59)</f>
        <v>100</v>
      </c>
      <c r="O60" s="15" t="s">
        <v>4</v>
      </c>
    </row>
    <row r="61" spans="1:28" ht="16.5" thickTop="1" x14ac:dyDescent="0.25">
      <c r="E61" s="14"/>
      <c r="G61" s="14"/>
      <c r="I61" s="14"/>
      <c r="K61" s="14"/>
      <c r="M61" s="14"/>
      <c r="O61" s="15"/>
    </row>
    <row r="62" spans="1:28" x14ac:dyDescent="0.25">
      <c r="A62" s="1" t="s">
        <v>196</v>
      </c>
      <c r="B62" s="4" t="s">
        <v>234</v>
      </c>
      <c r="O62" s="15"/>
    </row>
    <row r="63" spans="1:28" x14ac:dyDescent="0.25">
      <c r="B63" s="1" t="s">
        <v>3</v>
      </c>
      <c r="D63" s="6" cm="1">
        <f t="array" aca="1" ref="D63" ca="1">ROUND(((INDIRECT("'3. "&amp;$A62&amp;"'!C12"))/INDIRECT("'3. "&amp;$A62&amp;"'!C50"))*100,2)</f>
        <v>52.13</v>
      </c>
      <c r="E63" s="7" t="s">
        <v>4</v>
      </c>
      <c r="F63" s="6" cm="1">
        <f t="array" aca="1" ref="F63" ca="1">ROUND(((INDIRECT("'3. "&amp;$A62&amp;"'!E12"))/INDIRECT("'3. "&amp;$A62&amp;"'!E50"))*100,2)</f>
        <v>49.03</v>
      </c>
      <c r="G63" s="7" t="s">
        <v>4</v>
      </c>
      <c r="H63" s="6" cm="1">
        <f t="array" aca="1" ref="H63" ca="1">ROUND(((INDIRECT("'3. "&amp;$A62&amp;"'!G12"))/INDIRECT("'3. "&amp;$A62&amp;"'!G50"))*100,2)</f>
        <v>50.75</v>
      </c>
      <c r="I63" s="7" t="s">
        <v>4</v>
      </c>
      <c r="J63" s="6" cm="1">
        <f t="array" aca="1" ref="J63" ca="1">ROUND(((INDIRECT("'3. "&amp;$A62&amp;"'!I12"))/INDIRECT("'3. "&amp;$A62&amp;"'!I50"))*100,2)</f>
        <v>52.57</v>
      </c>
      <c r="K63" s="7" t="s">
        <v>4</v>
      </c>
      <c r="L63" s="6" cm="1">
        <f t="array" aca="1" ref="L63" ca="1">ROUND(((INDIRECT("'3. "&amp;$A62&amp;"'!K12"))/INDIRECT("'3. "&amp;$A62&amp;"'!K50"))*100,2)</f>
        <v>49.04</v>
      </c>
      <c r="M63" s="7" t="s">
        <v>4</v>
      </c>
      <c r="N63" s="6">
        <f ca="1">ROUND(AVERAGE(D63,F63,H63,J63,L63),2)</f>
        <v>50.7</v>
      </c>
      <c r="O63" s="15" t="s">
        <v>4</v>
      </c>
      <c r="R63" s="9"/>
      <c r="U63" s="9"/>
      <c r="W63" s="9"/>
      <c r="Y63" s="9"/>
      <c r="AA63" s="9"/>
    </row>
    <row r="64" spans="1:28" x14ac:dyDescent="0.25">
      <c r="B64" s="1" t="s">
        <v>5</v>
      </c>
      <c r="D64" s="6" cm="1">
        <f t="array" aca="1" ref="D64" ca="1">ROUND((INDIRECT("'3. "&amp;$A62&amp;"'!C13")/INDIRECT("'3. "&amp;$A62&amp;"'!C50"))*100,2)</f>
        <v>0</v>
      </c>
      <c r="E64" s="10"/>
      <c r="F64" s="6" cm="1">
        <f t="array" aca="1" ref="F64" ca="1">ROUND((INDIRECT("'3. "&amp;$A62&amp;"'!E13")/INDIRECT("'3. "&amp;$A62&amp;"'!E50"))*100,2)</f>
        <v>0</v>
      </c>
      <c r="G64" s="10"/>
      <c r="H64" s="6" cm="1">
        <f t="array" aca="1" ref="H64" ca="1">ROUND((INDIRECT("'3. "&amp;$A62&amp;"'!G13")/INDIRECT("'3. "&amp;$A62&amp;"'!G50"))*100,2)</f>
        <v>0</v>
      </c>
      <c r="I64" s="10"/>
      <c r="J64" s="6" cm="1">
        <f t="array" aca="1" ref="J64" ca="1">ROUND((INDIRECT("'3. "&amp;$A62&amp;"'!I13")/INDIRECT("'3. "&amp;$A62&amp;"'!I50"))*100,2)</f>
        <v>0</v>
      </c>
      <c r="K64" s="10"/>
      <c r="L64" s="6" cm="1">
        <f t="array" aca="1" ref="L64" ca="1">ROUND((INDIRECT("'3. "&amp;$A62&amp;"'!K13")/INDIRECT("'3. "&amp;$A62&amp;"'!K50"))*100,2)</f>
        <v>0</v>
      </c>
      <c r="M64" s="10"/>
      <c r="N64" s="6">
        <f ca="1">ROUND(AVERAGE(D64,F64,H64,J64,L64),2)</f>
        <v>0</v>
      </c>
      <c r="R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4.45" customHeight="1" x14ac:dyDescent="0.25">
      <c r="B65" s="1" t="s">
        <v>6</v>
      </c>
      <c r="D65" s="12" cm="1">
        <f t="array" aca="1" ref="D65" ca="1">ROUND((INDIRECT("'3. "&amp;$A62&amp;"'!C16")/INDIRECT("'3. "&amp;$A62&amp;"'!C50"))*100,2)</f>
        <v>47.87</v>
      </c>
      <c r="E65" s="10"/>
      <c r="F65" s="12" cm="1">
        <f t="array" aca="1" ref="F65" ca="1">ROUND((INDIRECT("'3. "&amp;$A62&amp;"'!E16")/INDIRECT("'3. "&amp;$A62&amp;"'!E50"))*100,2)</f>
        <v>50.97</v>
      </c>
      <c r="G65" s="10"/>
      <c r="H65" s="12" cm="1">
        <f t="array" aca="1" ref="H65" ca="1">ROUND((INDIRECT("'3. "&amp;$A62&amp;"'!G16")/INDIRECT("'3. "&amp;$A62&amp;"'!G50"))*100,2)</f>
        <v>49.25</v>
      </c>
      <c r="I65" s="10"/>
      <c r="J65" s="12" cm="1">
        <f t="array" aca="1" ref="J65" ca="1">ROUND((INDIRECT("'3. "&amp;$A62&amp;"'!I16")/INDIRECT("'3. "&amp;$A62&amp;"'!I50"))*100,2)</f>
        <v>47.43</v>
      </c>
      <c r="K65" s="10"/>
      <c r="L65" s="12" cm="1">
        <f t="array" aca="1" ref="L65" ca="1">ROUND((INDIRECT("'3. "&amp;$A62&amp;"'!K16")/INDIRECT("'3. "&amp;$A62&amp;"'!K50"))*100,2)</f>
        <v>50.96</v>
      </c>
      <c r="M65" s="10"/>
      <c r="N65" s="6">
        <f ca="1">ROUND(AVERAGE(D65,F65,H65,J65,L65),2)</f>
        <v>49.3</v>
      </c>
      <c r="R65" s="9"/>
      <c r="S65" s="9"/>
      <c r="T65" s="112"/>
      <c r="U65" s="9"/>
      <c r="V65" s="112"/>
      <c r="W65" s="9"/>
      <c r="X65" s="112"/>
      <c r="Y65" s="9"/>
      <c r="Z65" s="112"/>
      <c r="AA65" s="9"/>
      <c r="AB65" s="112"/>
    </row>
    <row r="66" spans="1:28" ht="16.5" thickBot="1" x14ac:dyDescent="0.3">
      <c r="B66" s="1" t="s">
        <v>7</v>
      </c>
      <c r="D66" s="16">
        <f ca="1">SUM(D63:D65)</f>
        <v>100</v>
      </c>
      <c r="E66" s="14" t="s">
        <v>4</v>
      </c>
      <c r="F66" s="16">
        <f ca="1">SUM(F63:F65)</f>
        <v>100</v>
      </c>
      <c r="G66" s="14" t="s">
        <v>4</v>
      </c>
      <c r="H66" s="16">
        <f ca="1">SUM(H63:H65)</f>
        <v>100</v>
      </c>
      <c r="I66" s="14" t="s">
        <v>4</v>
      </c>
      <c r="J66" s="16">
        <f ca="1">SUM(J63:J65)</f>
        <v>100</v>
      </c>
      <c r="K66" s="14" t="s">
        <v>4</v>
      </c>
      <c r="L66" s="16">
        <f ca="1">SUM(L63:L65)</f>
        <v>100</v>
      </c>
      <c r="M66" s="14" t="s">
        <v>4</v>
      </c>
      <c r="N66" s="16">
        <f ca="1">SUM(N63:N65)</f>
        <v>100</v>
      </c>
      <c r="O66" s="15" t="s">
        <v>4</v>
      </c>
    </row>
    <row r="67" spans="1:28" ht="16.5" thickTop="1" x14ac:dyDescent="0.25">
      <c r="E67" s="14"/>
      <c r="G67" s="14"/>
      <c r="I67" s="14"/>
      <c r="K67" s="14"/>
      <c r="M67" s="14"/>
      <c r="O67" s="15"/>
    </row>
    <row r="68" spans="1:28" x14ac:dyDescent="0.25">
      <c r="A68" s="1" t="s">
        <v>198</v>
      </c>
      <c r="B68" s="4" t="s">
        <v>219</v>
      </c>
      <c r="E68" s="14"/>
      <c r="G68" s="14"/>
      <c r="I68" s="14"/>
      <c r="K68" s="14"/>
      <c r="M68" s="14"/>
      <c r="O68" s="15"/>
    </row>
    <row r="69" spans="1:28" x14ac:dyDescent="0.25">
      <c r="B69" s="1" t="s">
        <v>3</v>
      </c>
      <c r="D69" s="6" cm="1">
        <f t="array" aca="1" ref="D69" ca="1">ROUND(((INDIRECT("'3. "&amp;$A68&amp;"'!C12"))/INDIRECT("'3. "&amp;$A68&amp;"'!C50"))*100,2)</f>
        <v>56.74</v>
      </c>
      <c r="E69" s="7" t="s">
        <v>4</v>
      </c>
      <c r="F69" s="6" cm="1">
        <f t="array" aca="1" ref="F69" ca="1">ROUND(((INDIRECT("'3. "&amp;$A68&amp;"'!E12"))/INDIRECT("'3. "&amp;$A68&amp;"'!E50"))*100,2)</f>
        <v>57.67</v>
      </c>
      <c r="G69" s="7" t="s">
        <v>4</v>
      </c>
      <c r="H69" s="6" cm="1">
        <f t="array" aca="1" ref="H69" ca="1">ROUND(((INDIRECT("'3. "&amp;$A68&amp;"'!G12"))/INDIRECT("'3. "&amp;$A68&amp;"'!G50"))*100,2)</f>
        <v>56.3</v>
      </c>
      <c r="I69" s="7" t="s">
        <v>4</v>
      </c>
      <c r="J69" s="6" cm="1">
        <f t="array" aca="1" ref="J69" ca="1">ROUND(((INDIRECT("'3. "&amp;$A68&amp;"'!I12"))/INDIRECT("'3. "&amp;$A68&amp;"'!I50"))*100,2)</f>
        <v>54.46</v>
      </c>
      <c r="K69" s="7" t="s">
        <v>4</v>
      </c>
      <c r="L69" s="6" cm="1">
        <f t="array" aca="1" ref="L69" ca="1">ROUND(((INDIRECT("'3. "&amp;$A68&amp;"'!K12"))/INDIRECT("'3. "&amp;$A68&amp;"'!K50"))*100,2)</f>
        <v>52.85</v>
      </c>
      <c r="M69" s="7" t="s">
        <v>4</v>
      </c>
      <c r="N69" s="6">
        <f ca="1">ROUND(AVERAGE(D69,F69,H69,J69,L69),2)</f>
        <v>55.6</v>
      </c>
      <c r="O69" s="15" t="s">
        <v>4</v>
      </c>
      <c r="R69" s="9"/>
      <c r="U69" s="9"/>
      <c r="W69" s="9"/>
      <c r="Y69" s="9"/>
      <c r="AA69" s="9"/>
    </row>
    <row r="70" spans="1:28" x14ac:dyDescent="0.25">
      <c r="B70" s="1" t="s">
        <v>5</v>
      </c>
      <c r="D70" s="6" cm="1">
        <f t="array" aca="1" ref="D70" ca="1">ROUND((INDIRECT("'3. "&amp;$A68&amp;"'!C13")/INDIRECT("'3. "&amp;$A68&amp;"'!C50"))*100,2)</f>
        <v>0</v>
      </c>
      <c r="E70" s="10"/>
      <c r="F70" s="6" cm="1">
        <f t="array" aca="1" ref="F70" ca="1">ROUND((INDIRECT("'3. "&amp;$A68&amp;"'!E13")/INDIRECT("'3. "&amp;$A68&amp;"'!E50"))*100,2)</f>
        <v>0</v>
      </c>
      <c r="G70" s="10"/>
      <c r="H70" s="6" cm="1">
        <f t="array" aca="1" ref="H70" ca="1">ROUND((INDIRECT("'3. "&amp;$A68&amp;"'!G13")/INDIRECT("'3. "&amp;$A68&amp;"'!G50"))*100,2)</f>
        <v>0</v>
      </c>
      <c r="I70" s="10"/>
      <c r="J70" s="6" cm="1">
        <f t="array" aca="1" ref="J70" ca="1">ROUND((INDIRECT("'3. "&amp;$A68&amp;"'!I13")/INDIRECT("'3. "&amp;$A68&amp;"'!I50"))*100,2)</f>
        <v>0</v>
      </c>
      <c r="K70" s="10"/>
      <c r="L70" s="6" cm="1">
        <f t="array" aca="1" ref="L70" ca="1">ROUND((INDIRECT("'3. "&amp;$A68&amp;"'!K13")/INDIRECT("'3. "&amp;$A68&amp;"'!K50"))*100,2)</f>
        <v>0</v>
      </c>
      <c r="M70" s="10"/>
      <c r="N70" s="6">
        <f ca="1">ROUND(AVERAGE(D70,F70,H70,J70,L70),2)</f>
        <v>0</v>
      </c>
      <c r="R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4.45" customHeight="1" x14ac:dyDescent="0.25">
      <c r="B71" s="1" t="s">
        <v>6</v>
      </c>
      <c r="D71" s="12" cm="1">
        <f t="array" aca="1" ref="D71" ca="1">ROUND((INDIRECT("'3. "&amp;$A68&amp;"'!C16")/INDIRECT("'3. "&amp;$A68&amp;"'!C50"))*100,2)</f>
        <v>43.26</v>
      </c>
      <c r="E71" s="10"/>
      <c r="F71" s="12" cm="1">
        <f t="array" aca="1" ref="F71" ca="1">ROUND((INDIRECT("'3. "&amp;$A68&amp;"'!E16")/INDIRECT("'3. "&amp;$A68&amp;"'!E50"))*100,2)</f>
        <v>42.33</v>
      </c>
      <c r="G71" s="10"/>
      <c r="H71" s="12" cm="1">
        <f t="array" aca="1" ref="H71" ca="1">ROUND((INDIRECT("'3. "&amp;$A68&amp;"'!G16")/INDIRECT("'3. "&amp;$A68&amp;"'!G50"))*100,2)</f>
        <v>43.7</v>
      </c>
      <c r="I71" s="10"/>
      <c r="J71" s="12" cm="1">
        <f t="array" aca="1" ref="J71" ca="1">ROUND((INDIRECT("'3. "&amp;$A68&amp;"'!I16")/INDIRECT("'3. "&amp;$A68&amp;"'!I50"))*100,2)</f>
        <v>45.54</v>
      </c>
      <c r="K71" s="10"/>
      <c r="L71" s="12" cm="1">
        <f t="array" aca="1" ref="L71" ca="1">ROUND((INDIRECT("'3. "&amp;$A68&amp;"'!K16")/INDIRECT("'3. "&amp;$A68&amp;"'!K50"))*100,2)</f>
        <v>47.15</v>
      </c>
      <c r="M71" s="10"/>
      <c r="N71" s="6">
        <f ca="1">ROUND(AVERAGE(D71,F71,H71,J71,L71),2)</f>
        <v>44.4</v>
      </c>
      <c r="R71" s="9"/>
      <c r="S71" s="9"/>
      <c r="T71" s="112"/>
      <c r="U71" s="9"/>
      <c r="V71" s="112"/>
      <c r="W71" s="9"/>
      <c r="X71" s="112"/>
      <c r="Y71" s="9"/>
      <c r="Z71" s="112"/>
      <c r="AA71" s="9"/>
      <c r="AB71" s="112"/>
    </row>
    <row r="72" spans="1:28" ht="16.5" thickBot="1" x14ac:dyDescent="0.3">
      <c r="B72" s="1" t="s">
        <v>7</v>
      </c>
      <c r="D72" s="16">
        <f ca="1">SUM(D69:D71)</f>
        <v>100</v>
      </c>
      <c r="E72" s="14" t="s">
        <v>4</v>
      </c>
      <c r="F72" s="16">
        <f ca="1">SUM(F69:F71)</f>
        <v>100</v>
      </c>
      <c r="G72" s="14" t="s">
        <v>4</v>
      </c>
      <c r="H72" s="16">
        <f ca="1">SUM(H69:H71)</f>
        <v>100</v>
      </c>
      <c r="I72" s="14" t="s">
        <v>4</v>
      </c>
      <c r="J72" s="16">
        <f ca="1">SUM(J69:J71)</f>
        <v>100</v>
      </c>
      <c r="K72" s="14" t="s">
        <v>4</v>
      </c>
      <c r="L72" s="16">
        <f ca="1">SUM(L69:L71)</f>
        <v>100</v>
      </c>
      <c r="M72" s="14" t="s">
        <v>4</v>
      </c>
      <c r="N72" s="16">
        <f ca="1">SUM(N69:N71)</f>
        <v>100</v>
      </c>
      <c r="O72" s="15" t="s">
        <v>4</v>
      </c>
    </row>
    <row r="73" spans="1:28" ht="16.5" thickTop="1" x14ac:dyDescent="0.25">
      <c r="E73" s="14"/>
      <c r="G73" s="14"/>
      <c r="I73" s="14"/>
      <c r="K73" s="14"/>
      <c r="M73" s="14"/>
      <c r="O73" s="15"/>
    </row>
    <row r="74" spans="1:28" x14ac:dyDescent="0.25">
      <c r="A74" s="1" t="s">
        <v>200</v>
      </c>
      <c r="B74" s="5" t="s">
        <v>199</v>
      </c>
    </row>
    <row r="75" spans="1:28" x14ac:dyDescent="0.25">
      <c r="B75" s="1" t="s">
        <v>3</v>
      </c>
      <c r="D75" s="6" cm="1">
        <f t="array" aca="1" ref="D75" ca="1">ROUND(((INDIRECT("'3. "&amp;$A74&amp;"'!C12"))/INDIRECT("'3. "&amp;$A74&amp;"'!C50"))*100,2)</f>
        <v>54.39</v>
      </c>
      <c r="E75" s="7" t="s">
        <v>4</v>
      </c>
      <c r="F75" s="6" cm="1">
        <f t="array" aca="1" ref="F75" ca="1">ROUND(((INDIRECT("'3. "&amp;$A74&amp;"'!E12"))/INDIRECT("'3. "&amp;$A74&amp;"'!E50"))*100,2)</f>
        <v>54.56</v>
      </c>
      <c r="G75" s="7" t="s">
        <v>4</v>
      </c>
      <c r="H75" s="6" cm="1">
        <f t="array" aca="1" ref="H75" ca="1">ROUND(((INDIRECT("'3. "&amp;$A74&amp;"'!G12"))/INDIRECT("'3. "&amp;$A74&amp;"'!G50"))*100,2)</f>
        <v>56.75</v>
      </c>
      <c r="I75" s="7" t="s">
        <v>4</v>
      </c>
      <c r="J75" s="6" cm="1">
        <f t="array" aca="1" ref="J75" ca="1">ROUND(((INDIRECT("'3. "&amp;$A74&amp;"'!I12"))/INDIRECT("'3. "&amp;$A74&amp;"'!I50"))*100,2)</f>
        <v>54.82</v>
      </c>
      <c r="K75" s="7" t="s">
        <v>4</v>
      </c>
      <c r="L75" s="6" cm="1">
        <f t="array" aca="1" ref="L75" ca="1">ROUND(((INDIRECT("'3. "&amp;$A74&amp;"'!K12"))/INDIRECT("'3. "&amp;$A74&amp;"'!K50"))*100,2)</f>
        <v>53.83</v>
      </c>
      <c r="M75" s="7" t="s">
        <v>4</v>
      </c>
      <c r="N75" s="6">
        <f ca="1">ROUND(AVERAGE(D75,F75,H75,J75,L75),2)</f>
        <v>54.87</v>
      </c>
      <c r="O75" s="15" t="s">
        <v>4</v>
      </c>
      <c r="U75" s="9"/>
      <c r="W75" s="9"/>
      <c r="Y75" s="9"/>
      <c r="AA75" s="9"/>
    </row>
    <row r="76" spans="1:28" x14ac:dyDescent="0.25">
      <c r="B76" s="1" t="s">
        <v>5</v>
      </c>
      <c r="D76" s="6" cm="1">
        <f t="array" aca="1" ref="D76" ca="1">ROUND((INDIRECT("'3. "&amp;$A74&amp;"'!C13")/INDIRECT("'3. "&amp;$A74&amp;"'!C50"))*100,2)</f>
        <v>0</v>
      </c>
      <c r="E76" s="10"/>
      <c r="F76" s="6" cm="1">
        <f t="array" aca="1" ref="F76" ca="1">ROUND((INDIRECT("'3. "&amp;$A74&amp;"'!E13")/INDIRECT("'3. "&amp;$A74&amp;"'!E50"))*100,2)</f>
        <v>0</v>
      </c>
      <c r="G76" s="10"/>
      <c r="H76" s="6" cm="1">
        <f t="array" aca="1" ref="H76" ca="1">ROUND((INDIRECT("'3. "&amp;$A74&amp;"'!G13")/INDIRECT("'3. "&amp;$A74&amp;"'!G50"))*100,2)</f>
        <v>0</v>
      </c>
      <c r="I76" s="10"/>
      <c r="J76" s="6" cm="1">
        <f t="array" aca="1" ref="J76" ca="1">ROUND((INDIRECT("'3. "&amp;$A74&amp;"'!I13")/INDIRECT("'3. "&amp;$A74&amp;"'!I50"))*100,2)</f>
        <v>0</v>
      </c>
      <c r="K76" s="10"/>
      <c r="L76" s="6" cm="1">
        <f t="array" aca="1" ref="L76" ca="1">ROUND((INDIRECT("'3. "&amp;$A74&amp;"'!K13")/INDIRECT("'3. "&amp;$A74&amp;"'!K50"))*100,2)</f>
        <v>0</v>
      </c>
      <c r="M76" s="10"/>
      <c r="N76" s="6">
        <f ca="1">ROUND(AVERAGE(D76,F76,H76,J76,L76),2)</f>
        <v>0</v>
      </c>
      <c r="T76" s="9"/>
      <c r="U76" s="9"/>
      <c r="V76" s="9"/>
      <c r="W76" s="9"/>
      <c r="X76" s="9"/>
      <c r="Y76" s="9"/>
      <c r="Z76" s="9"/>
      <c r="AA76" s="9"/>
      <c r="AB76" s="9"/>
    </row>
    <row r="77" spans="1:28" ht="14.45" customHeight="1" x14ac:dyDescent="0.25">
      <c r="B77" s="1" t="s">
        <v>6</v>
      </c>
      <c r="D77" s="12" cm="1">
        <f t="array" aca="1" ref="D77" ca="1">ROUND((INDIRECT("'3. "&amp;$A74&amp;"'!C16")/INDIRECT("'3. "&amp;$A74&amp;"'!C50"))*100,2)</f>
        <v>45.61</v>
      </c>
      <c r="E77" s="10"/>
      <c r="F77" s="12" cm="1">
        <f t="array" aca="1" ref="F77" ca="1">ROUND((INDIRECT("'3. "&amp;$A74&amp;"'!E16")/INDIRECT("'3. "&amp;$A74&amp;"'!E50"))*100,2)</f>
        <v>45.44</v>
      </c>
      <c r="G77" s="10"/>
      <c r="H77" s="12" cm="1">
        <f t="array" aca="1" ref="H77" ca="1">ROUND((INDIRECT("'3. "&amp;$A74&amp;"'!G16")/INDIRECT("'3. "&amp;$A74&amp;"'!G50"))*100,2)</f>
        <v>43.25</v>
      </c>
      <c r="I77" s="10"/>
      <c r="J77" s="12" cm="1">
        <f t="array" aca="1" ref="J77" ca="1">ROUND((INDIRECT("'3. "&amp;$A74&amp;"'!I16")/INDIRECT("'3. "&amp;$A74&amp;"'!I50"))*100,2)</f>
        <v>45.18</v>
      </c>
      <c r="K77" s="10"/>
      <c r="L77" s="12" cm="1">
        <f t="array" aca="1" ref="L77" ca="1">ROUND((INDIRECT("'3. "&amp;$A74&amp;"'!K16")/INDIRECT("'3. "&amp;$A74&amp;"'!K50"))*100,2)</f>
        <v>46.17</v>
      </c>
      <c r="M77" s="10"/>
      <c r="N77" s="6">
        <f ca="1">ROUND(AVERAGE(D77,F77,H77,J77,L77),2)</f>
        <v>45.13</v>
      </c>
      <c r="R77" s="9"/>
      <c r="S77" s="9"/>
      <c r="T77" s="112"/>
      <c r="U77" s="9"/>
      <c r="V77" s="112"/>
      <c r="W77" s="9"/>
      <c r="X77" s="112"/>
      <c r="Y77" s="9"/>
      <c r="Z77" s="112"/>
      <c r="AA77" s="9"/>
      <c r="AB77" s="112"/>
    </row>
    <row r="78" spans="1:28" ht="16.5" thickBot="1" x14ac:dyDescent="0.3">
      <c r="B78" s="1" t="s">
        <v>7</v>
      </c>
      <c r="D78" s="16">
        <f ca="1">SUM(D75:D77)</f>
        <v>100</v>
      </c>
      <c r="E78" s="14" t="s">
        <v>4</v>
      </c>
      <c r="F78" s="16">
        <f ca="1">SUM(F75:F77)</f>
        <v>100</v>
      </c>
      <c r="G78" s="14" t="s">
        <v>4</v>
      </c>
      <c r="H78" s="16">
        <f ca="1">SUM(H75:H77)</f>
        <v>100</v>
      </c>
      <c r="I78" s="14" t="s">
        <v>4</v>
      </c>
      <c r="J78" s="16">
        <f ca="1">SUM(J75:J77)</f>
        <v>100</v>
      </c>
      <c r="K78" s="14" t="s">
        <v>4</v>
      </c>
      <c r="L78" s="16">
        <f ca="1">SUM(L75:L77)</f>
        <v>100</v>
      </c>
      <c r="M78" s="14" t="s">
        <v>4</v>
      </c>
      <c r="N78" s="16">
        <f ca="1">SUM(N75:N77)</f>
        <v>100</v>
      </c>
      <c r="O78" s="15" t="s">
        <v>4</v>
      </c>
    </row>
    <row r="79" spans="1:28" ht="16.5" thickTop="1" x14ac:dyDescent="0.25">
      <c r="E79" s="14"/>
      <c r="G79" s="14"/>
      <c r="I79" s="14"/>
      <c r="K79" s="14"/>
      <c r="M79" s="14"/>
      <c r="O79" s="15"/>
    </row>
    <row r="80" spans="1:28" x14ac:dyDescent="0.25">
      <c r="A80" s="1" t="s">
        <v>202</v>
      </c>
      <c r="B80" s="5" t="s">
        <v>235</v>
      </c>
    </row>
    <row r="81" spans="1:28" x14ac:dyDescent="0.25">
      <c r="B81" s="1" t="s">
        <v>3</v>
      </c>
      <c r="D81" s="6" cm="1">
        <f t="array" aca="1" ref="D81" ca="1">ROUND(((INDIRECT("'3. "&amp;$A80&amp;"'!C12"))/INDIRECT("'3. "&amp;$A80&amp;"'!C50"))*100,2)</f>
        <v>65.66</v>
      </c>
      <c r="E81" s="7" t="s">
        <v>4</v>
      </c>
      <c r="F81" s="6" cm="1">
        <f t="array" aca="1" ref="F81" ca="1">ROUND(((INDIRECT("'3. "&amp;$A80&amp;"'!E12"))/INDIRECT("'3. "&amp;$A80&amp;"'!E50"))*100,2)</f>
        <v>65.5</v>
      </c>
      <c r="G81" s="7" t="s">
        <v>4</v>
      </c>
      <c r="H81" s="6" cm="1">
        <f t="array" aca="1" ref="H81" ca="1">ROUND(((INDIRECT("'3. "&amp;$A80&amp;"'!G12"))/INDIRECT("'3. "&amp;$A80&amp;"'!G50"))*100,2)</f>
        <v>64.37</v>
      </c>
      <c r="I81" s="7" t="s">
        <v>4</v>
      </c>
      <c r="J81" s="6" cm="1">
        <f t="array" aca="1" ref="J81" ca="1">ROUND(((INDIRECT("'3. "&amp;$A80&amp;"'!I12"))/INDIRECT("'3. "&amp;$A80&amp;"'!I50"))*100,2)</f>
        <v>64.989999999999995</v>
      </c>
      <c r="K81" s="7" t="s">
        <v>4</v>
      </c>
      <c r="L81" s="6" cm="1">
        <f t="array" aca="1" ref="L81" ca="1">ROUND(((INDIRECT("'3. "&amp;$A80&amp;"'!K12"))/INDIRECT("'3. "&amp;$A80&amp;"'!K50"))*100,2)</f>
        <v>63.22</v>
      </c>
      <c r="M81" s="7" t="s">
        <v>4</v>
      </c>
      <c r="N81" s="6">
        <f ca="1">ROUND(AVERAGE(D81,F81,H81,J81,L81),2)</f>
        <v>64.75</v>
      </c>
      <c r="O81" s="15" t="s">
        <v>4</v>
      </c>
      <c r="U81" s="9"/>
      <c r="W81" s="9"/>
      <c r="Y81" s="9"/>
      <c r="AA81" s="9"/>
    </row>
    <row r="82" spans="1:28" x14ac:dyDescent="0.25">
      <c r="B82" s="1" t="s">
        <v>5</v>
      </c>
      <c r="D82" s="6" cm="1">
        <f t="array" aca="1" ref="D82" ca="1">ROUND((INDIRECT("'3. "&amp;$A80&amp;"'!C13")/INDIRECT("'3. "&amp;$A80&amp;"'!C50"))*100,2)</f>
        <v>0</v>
      </c>
      <c r="E82" s="10"/>
      <c r="F82" s="6" cm="1">
        <f t="array" aca="1" ref="F82" ca="1">ROUND((INDIRECT("'3. "&amp;$A80&amp;"'!E13")/INDIRECT("'3. "&amp;$A80&amp;"'!E50"))*100,2)</f>
        <v>0</v>
      </c>
      <c r="G82" s="10"/>
      <c r="H82" s="6" cm="1">
        <f t="array" aca="1" ref="H82" ca="1">ROUND((INDIRECT("'3. "&amp;$A80&amp;"'!G13")/INDIRECT("'3. "&amp;$A80&amp;"'!G50"))*100,2)</f>
        <v>0</v>
      </c>
      <c r="I82" s="10"/>
      <c r="J82" s="6" cm="1">
        <f t="array" aca="1" ref="J82" ca="1">ROUND((INDIRECT("'3. "&amp;$A80&amp;"'!I13")/INDIRECT("'3. "&amp;$A80&amp;"'!I50"))*100,2)</f>
        <v>0.36</v>
      </c>
      <c r="K82" s="10"/>
      <c r="L82" s="6" cm="1">
        <f t="array" aca="1" ref="L82" ca="1">ROUND((INDIRECT("'3. "&amp;$A80&amp;"'!K13")/INDIRECT("'3. "&amp;$A80&amp;"'!K50"))*100,2)</f>
        <v>0.38</v>
      </c>
      <c r="M82" s="10"/>
      <c r="N82" s="6">
        <f ca="1">ROUND(AVERAGE(D82,F82,H82,J82,L82),2)</f>
        <v>0.15</v>
      </c>
      <c r="T82" s="9"/>
      <c r="U82" s="9"/>
      <c r="V82" s="9"/>
      <c r="W82" s="9"/>
      <c r="X82" s="9"/>
      <c r="Y82" s="9"/>
      <c r="Z82" s="9"/>
      <c r="AA82" s="9"/>
      <c r="AB82" s="9"/>
    </row>
    <row r="83" spans="1:28" ht="14.45" customHeight="1" x14ac:dyDescent="0.25">
      <c r="B83" s="1" t="s">
        <v>6</v>
      </c>
      <c r="D83" s="12" cm="1">
        <f t="array" aca="1" ref="D83" ca="1">ROUND((INDIRECT("'3. "&amp;$A80&amp;"'!C16")/INDIRECT("'3. "&amp;$A80&amp;"'!C50"))*100,2)</f>
        <v>34.340000000000003</v>
      </c>
      <c r="E83" s="10"/>
      <c r="F83" s="12" cm="1">
        <f t="array" aca="1" ref="F83" ca="1">ROUND((INDIRECT("'3. "&amp;$A80&amp;"'!E16")/INDIRECT("'3. "&amp;$A80&amp;"'!E50"))*100,2)</f>
        <v>34.5</v>
      </c>
      <c r="G83" s="10"/>
      <c r="H83" s="12" cm="1">
        <f t="array" aca="1" ref="H83" ca="1">ROUND((INDIRECT("'3. "&amp;$A80&amp;"'!G16")/INDIRECT("'3. "&amp;$A80&amp;"'!G50"))*100,2)</f>
        <v>35.630000000000003</v>
      </c>
      <c r="I83" s="10"/>
      <c r="J83" s="12" cm="1">
        <f t="array" aca="1" ref="J83" ca="1">ROUND((INDIRECT("'3. "&amp;$A80&amp;"'!I16")/INDIRECT("'3. "&amp;$A80&amp;"'!I50"))*100,2)</f>
        <v>34.65</v>
      </c>
      <c r="K83" s="10"/>
      <c r="L83" s="12" cm="1">
        <f t="array" aca="1" ref="L83" ca="1">ROUND((INDIRECT("'3. "&amp;$A80&amp;"'!K16")/INDIRECT("'3. "&amp;$A80&amp;"'!K50"))*100,2)</f>
        <v>36.4</v>
      </c>
      <c r="M83" s="10"/>
      <c r="N83" s="6">
        <f ca="1">ROUND(AVERAGE(D83,F83,H83,J83,L83),2)</f>
        <v>35.1</v>
      </c>
      <c r="R83" s="9"/>
      <c r="S83" s="9"/>
      <c r="T83" s="112"/>
      <c r="U83" s="9"/>
      <c r="V83" s="112"/>
      <c r="W83" s="9"/>
      <c r="X83" s="112"/>
      <c r="Y83" s="9"/>
      <c r="Z83" s="112"/>
      <c r="AA83" s="9"/>
      <c r="AB83" s="112"/>
    </row>
    <row r="84" spans="1:28" ht="16.5" thickBot="1" x14ac:dyDescent="0.3">
      <c r="B84" s="1" t="s">
        <v>7</v>
      </c>
      <c r="D84" s="16">
        <f ca="1">SUM(D81:D83)</f>
        <v>100</v>
      </c>
      <c r="E84" s="14" t="s">
        <v>4</v>
      </c>
      <c r="F84" s="16">
        <f ca="1">SUM(F81:F83)</f>
        <v>100</v>
      </c>
      <c r="G84" s="14" t="s">
        <v>4</v>
      </c>
      <c r="H84" s="16">
        <f ca="1">SUM(H81:H83)</f>
        <v>100</v>
      </c>
      <c r="I84" s="14" t="s">
        <v>4</v>
      </c>
      <c r="J84" s="16">
        <f ca="1">SUM(J81:J83)</f>
        <v>100</v>
      </c>
      <c r="K84" s="14" t="s">
        <v>4</v>
      </c>
      <c r="L84" s="16">
        <f ca="1">SUM(L81:L83)</f>
        <v>100</v>
      </c>
      <c r="M84" s="14" t="s">
        <v>4</v>
      </c>
      <c r="N84" s="16">
        <f ca="1">SUM(N81:N83)</f>
        <v>100</v>
      </c>
      <c r="O84" s="15" t="s">
        <v>4</v>
      </c>
    </row>
    <row r="85" spans="1:28" ht="16.5" thickTop="1" x14ac:dyDescent="0.25">
      <c r="E85" s="14"/>
      <c r="G85" s="14"/>
      <c r="I85" s="14"/>
      <c r="K85" s="14"/>
      <c r="M85" s="14"/>
      <c r="O85" s="15"/>
    </row>
    <row r="86" spans="1:28" x14ac:dyDescent="0.25">
      <c r="A86" s="1" t="s">
        <v>224</v>
      </c>
      <c r="B86" s="4" t="s">
        <v>239</v>
      </c>
      <c r="E86" s="14"/>
      <c r="G86" s="14"/>
      <c r="I86" s="14"/>
      <c r="K86" s="14"/>
      <c r="M86" s="14"/>
      <c r="O86" s="15"/>
    </row>
    <row r="87" spans="1:28" x14ac:dyDescent="0.25">
      <c r="B87" s="1" t="s">
        <v>3</v>
      </c>
      <c r="D87" s="6" cm="1">
        <f t="array" aca="1" ref="D87" ca="1">ROUND(((INDIRECT("'3. "&amp;$A86&amp;"'!C12"))/INDIRECT("'3. "&amp;$A86&amp;"'!C50"))*100,2)</f>
        <v>65.97</v>
      </c>
      <c r="E87" s="7" t="s">
        <v>4</v>
      </c>
      <c r="F87" s="6" cm="1">
        <f t="array" aca="1" ref="F87" ca="1">ROUND(((INDIRECT("'3. "&amp;$A86&amp;"'!E12"))/INDIRECT("'3. "&amp;$A86&amp;"'!E50"))*100,2)</f>
        <v>65.72</v>
      </c>
      <c r="G87" s="7" t="s">
        <v>4</v>
      </c>
      <c r="H87" s="6" cm="1">
        <f t="array" aca="1" ref="H87" ca="1">ROUND(((INDIRECT("'3. "&amp;$A86&amp;"'!G12"))/INDIRECT("'3. "&amp;$A86&amp;"'!G50"))*100,2)</f>
        <v>64.92</v>
      </c>
      <c r="I87" s="7" t="s">
        <v>4</v>
      </c>
      <c r="J87" s="6" cm="1">
        <f t="array" aca="1" ref="J87" ca="1">ROUND(((INDIRECT("'3. "&amp;$A86&amp;"'!I12"))/INDIRECT("'3. "&amp;$A86&amp;"'!I50"))*100,2)</f>
        <v>62.93</v>
      </c>
      <c r="K87" s="7" t="s">
        <v>4</v>
      </c>
      <c r="L87" s="6" cm="1">
        <f t="array" aca="1" ref="L87" ca="1">ROUND(((INDIRECT("'3. "&amp;$A86&amp;"'!K12"))/INDIRECT("'3. "&amp;$A86&amp;"'!K50"))*100,2)</f>
        <v>61.52</v>
      </c>
      <c r="M87" s="7" t="s">
        <v>4</v>
      </c>
      <c r="N87" s="6">
        <f ca="1">ROUND(AVERAGE(D87,F87,H87,J87,L87),2)</f>
        <v>64.209999999999994</v>
      </c>
      <c r="O87" s="15"/>
    </row>
    <row r="88" spans="1:28" x14ac:dyDescent="0.25">
      <c r="B88" s="1" t="s">
        <v>5</v>
      </c>
      <c r="D88" s="6" cm="1">
        <f t="array" aca="1" ref="D88" ca="1">ROUND((INDIRECT("'3. "&amp;$A86&amp;"'!C13")/INDIRECT("'3. "&amp;$A86&amp;"'!C50"))*100,2)</f>
        <v>0.15</v>
      </c>
      <c r="E88" s="10"/>
      <c r="F88" s="6" cm="1">
        <f t="array" aca="1" ref="F88" ca="1">ROUND((INDIRECT("'3. "&amp;$A86&amp;"'!E13")/INDIRECT("'3. "&amp;$A86&amp;"'!E50"))*100,2)</f>
        <v>0.17</v>
      </c>
      <c r="G88" s="10"/>
      <c r="H88" s="6" cm="1">
        <f t="array" aca="1" ref="H88" ca="1">ROUND((INDIRECT("'3. "&amp;$A86&amp;"'!G13")/INDIRECT("'3. "&amp;$A86&amp;"'!G50"))*100,2)</f>
        <v>0.18</v>
      </c>
      <c r="I88" s="10"/>
      <c r="J88" s="6" cm="1">
        <f t="array" aca="1" ref="J88" ca="1">ROUND((INDIRECT("'3. "&amp;$A86&amp;"'!I13")/INDIRECT("'3. "&amp;$A86&amp;"'!I50"))*100,2)</f>
        <v>0.2</v>
      </c>
      <c r="K88" s="10"/>
      <c r="L88" s="6" cm="1">
        <f t="array" aca="1" ref="L88" ca="1">ROUND((INDIRECT("'3. "&amp;$A86&amp;"'!K13")/INDIRECT("'3. "&amp;$A86&amp;"'!K50"))*100,2)</f>
        <v>0.22</v>
      </c>
      <c r="M88" s="10"/>
      <c r="N88" s="6">
        <f ca="1">ROUND(AVERAGE(D88,F88,H88,J88,L88),2)</f>
        <v>0.18</v>
      </c>
      <c r="O88" s="15"/>
    </row>
    <row r="89" spans="1:28" x14ac:dyDescent="0.25">
      <c r="B89" s="1" t="s">
        <v>6</v>
      </c>
      <c r="D89" s="12" cm="1">
        <f t="array" aca="1" ref="D89" ca="1">ROUND((INDIRECT("'3. "&amp;$A86&amp;"'!C16")/INDIRECT("'3. "&amp;$A86&amp;"'!C50"))*100,2)</f>
        <v>33.880000000000003</v>
      </c>
      <c r="E89" s="10"/>
      <c r="F89" s="12" cm="1">
        <f t="array" aca="1" ref="F89" ca="1">ROUND((INDIRECT("'3. "&amp;$A86&amp;"'!E16")/INDIRECT("'3. "&amp;$A86&amp;"'!E50"))*100,2)</f>
        <v>34.11</v>
      </c>
      <c r="G89" s="10"/>
      <c r="H89" s="12" cm="1">
        <f t="array" aca="1" ref="H89" ca="1">ROUND((INDIRECT("'3. "&amp;$A86&amp;"'!G16")/INDIRECT("'3. "&amp;$A86&amp;"'!G50"))*100,2)</f>
        <v>34.9</v>
      </c>
      <c r="I89" s="10"/>
      <c r="J89" s="12" cm="1">
        <f t="array" aca="1" ref="J89" ca="1">ROUND((INDIRECT("'3. "&amp;$A86&amp;"'!I16")/INDIRECT("'3. "&amp;$A86&amp;"'!I50"))*100,2)-0.01</f>
        <v>36.870000000000005</v>
      </c>
      <c r="K89" s="10"/>
      <c r="L89" s="12" cm="1">
        <f t="array" aca="1" ref="L89" ca="1">ROUND((INDIRECT("'3. "&amp;$A86&amp;"'!K16")/INDIRECT("'3. "&amp;$A86&amp;"'!K50"))*100,2)</f>
        <v>38.26</v>
      </c>
      <c r="M89" s="10"/>
      <c r="N89" s="6">
        <f ca="1">ROUND(AVERAGE(D89,F89,H89,J89,L89),2)+0.01</f>
        <v>35.61</v>
      </c>
      <c r="O89" s="15"/>
    </row>
    <row r="90" spans="1:28" ht="16.5" thickBot="1" x14ac:dyDescent="0.3">
      <c r="B90" s="1" t="s">
        <v>7</v>
      </c>
      <c r="D90" s="16">
        <f ca="1">SUM(D87:D89)</f>
        <v>100</v>
      </c>
      <c r="E90" s="14" t="s">
        <v>4</v>
      </c>
      <c r="F90" s="16">
        <f ca="1">SUM(F87:F89)</f>
        <v>100</v>
      </c>
      <c r="G90" s="14" t="s">
        <v>4</v>
      </c>
      <c r="H90" s="16">
        <f ca="1">SUM(H87:H89)</f>
        <v>100</v>
      </c>
      <c r="I90" s="14" t="s">
        <v>4</v>
      </c>
      <c r="J90" s="16">
        <f ca="1">SUM(J87:J89)</f>
        <v>100</v>
      </c>
      <c r="K90" s="14" t="s">
        <v>4</v>
      </c>
      <c r="L90" s="16">
        <f ca="1">SUM(L87:L89)</f>
        <v>100</v>
      </c>
      <c r="M90" s="14" t="s">
        <v>4</v>
      </c>
      <c r="N90" s="16">
        <f ca="1">SUM(N87:N89)</f>
        <v>100</v>
      </c>
      <c r="O90" s="15" t="s">
        <v>4</v>
      </c>
    </row>
    <row r="91" spans="1:28" ht="16.5" thickTop="1" x14ac:dyDescent="0.25">
      <c r="E91" s="14"/>
      <c r="G91" s="14"/>
      <c r="I91" s="14"/>
      <c r="K91" s="14"/>
      <c r="M91" s="14"/>
      <c r="O91" s="15"/>
    </row>
    <row r="92" spans="1:28" x14ac:dyDescent="0.25">
      <c r="A92" s="1" t="s">
        <v>206</v>
      </c>
      <c r="B92" s="4" t="s">
        <v>236</v>
      </c>
    </row>
    <row r="93" spans="1:28" x14ac:dyDescent="0.25">
      <c r="B93" s="1" t="s">
        <v>3</v>
      </c>
      <c r="D93" s="6" cm="1">
        <f t="array" aca="1" ref="D93" ca="1">ROUND(((INDIRECT("'3. "&amp;$A92&amp;"'!C12"))/INDIRECT("'3. "&amp;$A92&amp;"'!C50"))*100,2)</f>
        <v>59.28</v>
      </c>
      <c r="E93" s="7" t="s">
        <v>4</v>
      </c>
      <c r="F93" s="6" cm="1">
        <f t="array" aca="1" ref="F93" ca="1">ROUND(((INDIRECT("'3. "&amp;$A92&amp;"'!E12"))/INDIRECT("'3. "&amp;$A92&amp;"'!E50"))*100,2)</f>
        <v>59.11</v>
      </c>
      <c r="G93" s="7" t="s">
        <v>4</v>
      </c>
      <c r="H93" s="6" cm="1">
        <f t="array" aca="1" ref="H93" ca="1">ROUND(((INDIRECT("'3. "&amp;$A92&amp;"'!G12"))/INDIRECT("'3. "&amp;$A92&amp;"'!G50"))*100,2)</f>
        <v>58.97</v>
      </c>
      <c r="I93" s="7" t="s">
        <v>4</v>
      </c>
      <c r="J93" s="6" cm="1">
        <f t="array" aca="1" ref="J93" ca="1">ROUND(((INDIRECT("'3. "&amp;$A92&amp;"'!I12"))/INDIRECT("'3. "&amp;$A92&amp;"'!I50"))*100,2)</f>
        <v>58.91</v>
      </c>
      <c r="K93" s="7" t="s">
        <v>4</v>
      </c>
      <c r="L93" s="6" cm="1">
        <f t="array" aca="1" ref="L93" ca="1">ROUND(((INDIRECT("'3. "&amp;$A92&amp;"'!K12"))/INDIRECT("'3. "&amp;$A92&amp;"'!K50"))*100,2)</f>
        <v>57.93</v>
      </c>
      <c r="M93" s="7" t="s">
        <v>4</v>
      </c>
      <c r="N93" s="6">
        <f ca="1">ROUND(AVERAGE(D93,F93,H93,J93,L93),2)</f>
        <v>58.84</v>
      </c>
      <c r="O93" s="15" t="s">
        <v>4</v>
      </c>
      <c r="R93" s="9"/>
      <c r="U93" s="9"/>
      <c r="W93" s="9"/>
      <c r="Y93" s="9"/>
      <c r="AA93" s="9"/>
    </row>
    <row r="94" spans="1:28" x14ac:dyDescent="0.25">
      <c r="B94" s="1" t="s">
        <v>5</v>
      </c>
      <c r="D94" s="6" cm="1">
        <f t="array" aca="1" ref="D94" ca="1">ROUND((INDIRECT("'3. "&amp;$A92&amp;"'!C13")/INDIRECT("'3. "&amp;$A92&amp;"'!C50"))*100,2)</f>
        <v>0</v>
      </c>
      <c r="E94" s="10"/>
      <c r="F94" s="6" cm="1">
        <f t="array" aca="1" ref="F94" ca="1">ROUND((INDIRECT("'3. "&amp;$A92&amp;"'!E13")/INDIRECT("'3. "&amp;$A92&amp;"'!E50"))*100,2)</f>
        <v>0</v>
      </c>
      <c r="G94" s="10"/>
      <c r="H94" s="6" cm="1">
        <f t="array" aca="1" ref="H94" ca="1">ROUND((INDIRECT("'3. "&amp;$A92&amp;"'!G13")/INDIRECT("'3. "&amp;$A92&amp;"'!G50"))*100,2)</f>
        <v>0</v>
      </c>
      <c r="I94" s="10"/>
      <c r="J94" s="6" cm="1">
        <f t="array" aca="1" ref="J94" ca="1">ROUND((INDIRECT("'3. "&amp;$A92&amp;"'!I13")/INDIRECT("'3. "&amp;$A92&amp;"'!I50"))*100,2)</f>
        <v>0</v>
      </c>
      <c r="K94" s="10"/>
      <c r="L94" s="6" cm="1">
        <f t="array" aca="1" ref="L94" ca="1">ROUND((INDIRECT("'3. "&amp;$A92&amp;"'!K13")/INDIRECT("'3. "&amp;$A92&amp;"'!K50"))*100,2)</f>
        <v>0</v>
      </c>
      <c r="M94" s="10"/>
      <c r="N94" s="6">
        <f ca="1">ROUND(AVERAGE(D94,F94,H94,J94,L94),2)</f>
        <v>0</v>
      </c>
      <c r="R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4.45" customHeight="1" x14ac:dyDescent="0.25">
      <c r="B95" s="1" t="s">
        <v>6</v>
      </c>
      <c r="D95" s="12" cm="1">
        <f t="array" aca="1" ref="D95" ca="1">ROUND((INDIRECT("'3. "&amp;$A92&amp;"'!C16")/INDIRECT("'3. "&amp;$A92&amp;"'!C50"))*100,2)</f>
        <v>40.72</v>
      </c>
      <c r="E95" s="10"/>
      <c r="F95" s="12" cm="1">
        <f t="array" aca="1" ref="F95" ca="1">ROUND((INDIRECT("'3. "&amp;$A92&amp;"'!E16")/INDIRECT("'3. "&amp;$A92&amp;"'!E50"))*100,2)</f>
        <v>40.89</v>
      </c>
      <c r="G95" s="10"/>
      <c r="H95" s="12" cm="1">
        <f t="array" aca="1" ref="H95" ca="1">ROUND((INDIRECT("'3. "&amp;$A92&amp;"'!G16")/INDIRECT("'3. "&amp;$A92&amp;"'!G50"))*100,2)</f>
        <v>41.03</v>
      </c>
      <c r="I95" s="10"/>
      <c r="J95" s="12" cm="1">
        <f t="array" aca="1" ref="J95" ca="1">ROUND((INDIRECT("'3. "&amp;$A92&amp;"'!I16")/INDIRECT("'3. "&amp;$A92&amp;"'!I50"))*100,2)</f>
        <v>41.09</v>
      </c>
      <c r="K95" s="10"/>
      <c r="L95" s="12" cm="1">
        <f t="array" aca="1" ref="L95" ca="1">ROUND((INDIRECT("'3. "&amp;$A92&amp;"'!K16")/INDIRECT("'3. "&amp;$A92&amp;"'!K50"))*100,2)</f>
        <v>42.07</v>
      </c>
      <c r="M95" s="10"/>
      <c r="N95" s="6">
        <f ca="1">ROUND(AVERAGE(D95,F95,H95,J95,L95),2)</f>
        <v>41.16</v>
      </c>
      <c r="R95" s="9"/>
      <c r="S95" s="9"/>
      <c r="T95" s="112"/>
      <c r="U95" s="9"/>
      <c r="V95" s="112"/>
      <c r="W95" s="9"/>
      <c r="X95" s="112"/>
      <c r="Y95" s="9"/>
      <c r="Z95" s="112"/>
      <c r="AA95" s="9"/>
      <c r="AB95" s="112"/>
    </row>
    <row r="96" spans="1:28" ht="16.5" thickBot="1" x14ac:dyDescent="0.3">
      <c r="B96" s="1" t="s">
        <v>7</v>
      </c>
      <c r="D96" s="16">
        <f ca="1">SUM(D93:D95)</f>
        <v>100</v>
      </c>
      <c r="E96" s="14" t="s">
        <v>4</v>
      </c>
      <c r="F96" s="16">
        <f ca="1">SUM(F93:F95)</f>
        <v>100</v>
      </c>
      <c r="G96" s="14" t="s">
        <v>4</v>
      </c>
      <c r="H96" s="16">
        <f ca="1">SUM(H93:H95)</f>
        <v>100</v>
      </c>
      <c r="I96" s="14" t="s">
        <v>4</v>
      </c>
      <c r="J96" s="16">
        <f ca="1">SUM(J93:J95)</f>
        <v>100</v>
      </c>
      <c r="K96" s="14" t="s">
        <v>4</v>
      </c>
      <c r="L96" s="16">
        <f ca="1">SUM(L93:L95)</f>
        <v>100</v>
      </c>
      <c r="M96" s="14" t="s">
        <v>4</v>
      </c>
      <c r="N96" s="16">
        <f ca="1">SUM(N93:N95)</f>
        <v>100</v>
      </c>
      <c r="O96" s="15" t="s">
        <v>4</v>
      </c>
    </row>
    <row r="97" spans="2:28" ht="16.5" thickTop="1" x14ac:dyDescent="0.25">
      <c r="E97" s="14"/>
      <c r="G97" s="14"/>
      <c r="I97" s="14"/>
      <c r="K97" s="14"/>
      <c r="M97" s="14"/>
      <c r="O97" s="15"/>
    </row>
    <row r="98" spans="2:28" ht="31.5" x14ac:dyDescent="0.25">
      <c r="B98" s="5" t="str">
        <f>B2</f>
        <v>Proxy Group of Fifteen Electric Companies</v>
      </c>
    </row>
    <row r="99" spans="2:28" x14ac:dyDescent="0.25">
      <c r="B99" s="1" t="s">
        <v>3</v>
      </c>
      <c r="D99" s="9">
        <f ca="1">ROUND(AVERAGEIF($B$7:$B$97,$B99,D$7:D$97),2)</f>
        <v>58.84</v>
      </c>
      <c r="E99" s="14" t="s">
        <v>4</v>
      </c>
      <c r="F99" s="9">
        <f ca="1">ROUND(AVERAGEIF($B$7:$B$97,$B99,F$7:F$97),2)</f>
        <v>58.19</v>
      </c>
      <c r="G99" s="14" t="s">
        <v>4</v>
      </c>
      <c r="H99" s="9">
        <f ca="1">ROUND(AVERAGEIF($B$7:$B$97,$B99,H$7:H$97),2)</f>
        <v>57.43</v>
      </c>
      <c r="I99" s="14" t="s">
        <v>4</v>
      </c>
      <c r="J99" s="9">
        <f ca="1">ROUND(AVERAGEIF($B$7:$B$97,$B99,J$7:J$97),2)</f>
        <v>56.89</v>
      </c>
      <c r="K99" s="14" t="s">
        <v>4</v>
      </c>
      <c r="L99" s="9">
        <f ca="1">ROUND(AVERAGEIF($B$7:$B$97,$B99,L$7:L$97),2)</f>
        <v>55.65</v>
      </c>
      <c r="M99" s="14" t="s">
        <v>4</v>
      </c>
      <c r="N99" s="9">
        <f ca="1">ROUND(AVERAGEIF($B$7:$B$97,$B99,N$7:N$97),2)</f>
        <v>57.4</v>
      </c>
      <c r="O99" s="15" t="s">
        <v>4</v>
      </c>
      <c r="P99" s="9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2:28" x14ac:dyDescent="0.25">
      <c r="B100" s="1" t="s">
        <v>5</v>
      </c>
      <c r="D100" s="9">
        <f ca="1">ROUND(AVERAGEIF($B$7:$B$97,$B100,D$7:D$97),2)</f>
        <v>0.42</v>
      </c>
      <c r="F100" s="9">
        <f ca="1">ROUND(AVERAGEIF($B$7:$B$97,$B100,F$7:F$97),2)-0.01</f>
        <v>0.53</v>
      </c>
      <c r="H100" s="9">
        <f ca="1">ROUND(AVERAGEIF($B$7:$B$97,$B100,H$7:H$97),2)</f>
        <v>0.49</v>
      </c>
      <c r="J100" s="9">
        <f ca="1">ROUND(AVERAGEIF($B$7:$B$97,$B100,J$7:J$97),2)</f>
        <v>0.54</v>
      </c>
      <c r="L100" s="9">
        <f ca="1">ROUND(AVERAGEIF($B$7:$B$97,$B100,L$7:L$97),2)</f>
        <v>0.71</v>
      </c>
      <c r="N100" s="9">
        <f ca="1">ROUND(AVERAGEIF($B$7:$B$97,$B100,N$7:N$97),2)</f>
        <v>0.54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2:28" ht="14.45" customHeight="1" x14ac:dyDescent="0.25">
      <c r="B101" s="1" t="s">
        <v>6</v>
      </c>
      <c r="D101" s="12">
        <f ca="1">ROUND(AVERAGEIF($B$7:$B$97,$B101,D$7:D$97),2)</f>
        <v>40.74</v>
      </c>
      <c r="E101" s="10"/>
      <c r="F101" s="12">
        <f ca="1">ROUND(AVERAGEIF($B$7:$B$97,$B101,F$7:F$97),2)</f>
        <v>41.28</v>
      </c>
      <c r="G101" s="10"/>
      <c r="H101" s="12">
        <f ca="1">ROUND(AVERAGEIF($B$7:$B$97,$B101,H$7:H$97),2)</f>
        <v>42.08</v>
      </c>
      <c r="I101" s="10"/>
      <c r="J101" s="12">
        <f ca="1">ROUND(AVERAGEIF($B$7:$B$97,$B101,J$7:J$97),2)</f>
        <v>42.57</v>
      </c>
      <c r="K101" s="10"/>
      <c r="L101" s="12">
        <f ca="1">ROUND(AVERAGEIF($B$7:$B$97,$B101,L$7:L$97),2)</f>
        <v>43.64</v>
      </c>
      <c r="M101" s="10"/>
      <c r="N101" s="6">
        <f ca="1">ROUND(AVERAGEIF($B$7:$B$97,$B101,N$7:N$97),2)</f>
        <v>42.06</v>
      </c>
      <c r="R101" s="9"/>
      <c r="S101" s="9"/>
      <c r="T101" s="112"/>
      <c r="U101" s="9"/>
      <c r="V101" s="112"/>
      <c r="W101" s="9"/>
      <c r="X101" s="112"/>
      <c r="Y101" s="9"/>
      <c r="Z101" s="112"/>
      <c r="AA101" s="9"/>
      <c r="AB101" s="112"/>
    </row>
    <row r="102" spans="2:28" ht="16.5" thickBot="1" x14ac:dyDescent="0.3">
      <c r="B102" s="1" t="s">
        <v>7</v>
      </c>
      <c r="D102" s="16">
        <f ca="1">SUM(D99:D101)</f>
        <v>100</v>
      </c>
      <c r="E102" s="14" t="s">
        <v>4</v>
      </c>
      <c r="F102" s="16">
        <f ca="1">SUM(F99:F101)</f>
        <v>100</v>
      </c>
      <c r="G102" s="14" t="s">
        <v>4</v>
      </c>
      <c r="H102" s="16">
        <f ca="1">SUM(H99:H101)</f>
        <v>100</v>
      </c>
      <c r="I102" s="14" t="s">
        <v>4</v>
      </c>
      <c r="J102" s="16">
        <f ca="1">SUM(J99:J101)</f>
        <v>100</v>
      </c>
      <c r="K102" s="14" t="s">
        <v>4</v>
      </c>
      <c r="L102" s="16">
        <f ca="1">SUM(L99:L101)</f>
        <v>100</v>
      </c>
      <c r="M102" s="14" t="s">
        <v>4</v>
      </c>
      <c r="N102" s="16">
        <f ca="1">SUM(N99:N101)</f>
        <v>100</v>
      </c>
      <c r="O102" s="15" t="s">
        <v>4</v>
      </c>
    </row>
    <row r="103" spans="2:28" ht="16.5" thickTop="1" x14ac:dyDescent="0.25">
      <c r="O103" s="15"/>
    </row>
    <row r="104" spans="2:28" x14ac:dyDescent="0.25">
      <c r="B104" s="1" t="s">
        <v>8</v>
      </c>
    </row>
    <row r="105" spans="2:28" x14ac:dyDescent="0.25">
      <c r="B105" s="1" t="s">
        <v>9</v>
      </c>
    </row>
  </sheetData>
  <mergeCells count="1">
    <mergeCell ref="B3:O3"/>
  </mergeCells>
  <printOptions horizontalCentered="1"/>
  <pageMargins left="0.7" right="0.7" top="0.75" bottom="0.75" header="0.3" footer="0.3"/>
  <pageSetup scale="62" orientation="portrait" horizontalDpi="1200" verticalDpi="1200" r:id="rId1"/>
  <headerFooter>
    <oddHeader>&amp;R&amp;A
Page &amp;P of &amp;N</oddHeader>
  </headerFooter>
  <rowBreaks count="1" manualBreakCount="1">
    <brk id="6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4E62-D569-4F86-82C4-5381170207C3}">
  <dimension ref="A1:L52"/>
  <sheetViews>
    <sheetView view="pageBreakPreview" zoomScale="80" zoomScaleNormal="100" zoomScaleSheetLayoutView="80" workbookViewId="0">
      <selection sqref="A1:K1"/>
    </sheetView>
  </sheetViews>
  <sheetFormatPr defaultColWidth="9" defaultRowHeight="15.75" x14ac:dyDescent="0.25"/>
  <cols>
    <col min="1" max="1" width="45.85546875" style="114" bestFit="1" customWidth="1"/>
    <col min="2" max="2" width="2.28515625" style="114" customWidth="1"/>
    <col min="3" max="3" width="11.28515625" style="114" customWidth="1"/>
    <col min="4" max="4" width="2.5703125" style="114" customWidth="1"/>
    <col min="5" max="5" width="10.5703125" style="114" customWidth="1"/>
    <col min="6" max="6" width="2.85546875" style="114" customWidth="1"/>
    <col min="7" max="7" width="10.5703125" style="114" customWidth="1"/>
    <col min="8" max="8" width="2.85546875" style="114" customWidth="1"/>
    <col min="9" max="9" width="10.5703125" style="114" customWidth="1"/>
    <col min="10" max="10" width="2.85546875" style="114" customWidth="1"/>
    <col min="11" max="11" width="10.5703125" style="114" customWidth="1"/>
    <col min="12" max="12" width="3.5703125" style="114" customWidth="1"/>
    <col min="13" max="16384" width="9" style="114"/>
  </cols>
  <sheetData>
    <row r="1" spans="1:12" x14ac:dyDescent="0.25">
      <c r="A1" s="188" t="s">
        <v>243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13"/>
    </row>
    <row r="2" spans="1:12" x14ac:dyDescent="0.25">
      <c r="A2" s="189" t="s">
        <v>10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16"/>
    </row>
    <row r="3" spans="1:12" x14ac:dyDescent="0.25">
      <c r="A3" s="190" t="s">
        <v>241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13"/>
    </row>
    <row r="4" spans="1:12" x14ac:dyDescent="0.25">
      <c r="A4" s="116"/>
      <c r="B4" s="116"/>
      <c r="C4" s="115"/>
      <c r="D4" s="116"/>
      <c r="E4" s="115"/>
      <c r="F4" s="115"/>
      <c r="G4" s="115"/>
      <c r="H4" s="115"/>
      <c r="I4" s="115"/>
      <c r="J4" s="115"/>
      <c r="K4" s="115"/>
      <c r="L4" s="116"/>
    </row>
    <row r="5" spans="1:12" x14ac:dyDescent="0.25">
      <c r="A5" s="116"/>
      <c r="B5" s="116"/>
      <c r="C5" s="115"/>
      <c r="D5" s="116"/>
      <c r="E5" s="191">
        <v>2024</v>
      </c>
      <c r="F5" s="191"/>
      <c r="G5" s="191"/>
      <c r="H5" s="191"/>
      <c r="I5" s="191"/>
      <c r="J5" s="191"/>
      <c r="K5" s="191"/>
      <c r="L5" s="116"/>
    </row>
    <row r="6" spans="1:12" ht="47.25" x14ac:dyDescent="0.25">
      <c r="A6" s="117" t="s">
        <v>11</v>
      </c>
      <c r="B6" s="116"/>
      <c r="C6" s="118" t="s">
        <v>12</v>
      </c>
      <c r="D6" s="116"/>
      <c r="E6" s="119" t="s">
        <v>6</v>
      </c>
      <c r="F6" s="120"/>
      <c r="G6" s="119" t="s">
        <v>147</v>
      </c>
      <c r="H6" s="120"/>
      <c r="I6" s="119" t="s">
        <v>3</v>
      </c>
      <c r="J6" s="116"/>
      <c r="K6" s="118" t="s">
        <v>14</v>
      </c>
    </row>
    <row r="7" spans="1:12" x14ac:dyDescent="0.25">
      <c r="A7" s="121" t="str">
        <f>'WP OpCo Cap Str'!A7</f>
        <v>Union Electric Company</v>
      </c>
      <c r="B7" s="121"/>
      <c r="C7" s="115" t="str">
        <f>'WP OpCo Cap Str'!C7</f>
        <v>AEE</v>
      </c>
      <c r="D7" s="116"/>
      <c r="E7" s="122">
        <f>'WP OpCo Cap Str'!H7</f>
        <v>0.50075891727801669</v>
      </c>
      <c r="F7" s="123"/>
      <c r="G7" s="122">
        <f>'WP OpCo Cap Str'!J7</f>
        <v>5.0594485201113076E-3</v>
      </c>
      <c r="H7" s="123"/>
      <c r="I7" s="122">
        <f>'WP OpCo Cap Str'!L7</f>
        <v>0.494181634201872</v>
      </c>
      <c r="J7" s="116"/>
      <c r="K7" s="124">
        <f>SUM(E7:I7)</f>
        <v>1</v>
      </c>
    </row>
    <row r="8" spans="1:12" x14ac:dyDescent="0.25">
      <c r="A8" s="121" t="str">
        <f>'WP OpCo Cap Str'!A8</f>
        <v>Ameren Illinois Company</v>
      </c>
      <c r="B8" s="121"/>
      <c r="C8" s="115" t="str">
        <f>'WP OpCo Cap Str'!C8</f>
        <v>AEE</v>
      </c>
      <c r="D8" s="116"/>
      <c r="E8" s="122">
        <f>'WP OpCo Cap Str'!H8</f>
        <v>0.55373213340391747</v>
      </c>
      <c r="F8" s="123"/>
      <c r="G8" s="122">
        <f>'WP OpCo Cap Str'!J8</f>
        <v>3.7056643726839597E-3</v>
      </c>
      <c r="H8" s="123"/>
      <c r="I8" s="122">
        <f>'WP OpCo Cap Str'!L8</f>
        <v>0.44256220222339865</v>
      </c>
      <c r="J8" s="116"/>
      <c r="K8" s="124">
        <f t="shared" ref="K8:K44" si="0">SUM(E8:I8)</f>
        <v>1</v>
      </c>
    </row>
    <row r="9" spans="1:12" x14ac:dyDescent="0.25">
      <c r="A9" s="121" t="str">
        <f>'WP OpCo Cap Str'!A9</f>
        <v>Appalachian Power Company</v>
      </c>
      <c r="B9" s="121"/>
      <c r="C9" s="115" t="str">
        <f>'WP OpCo Cap Str'!C9</f>
        <v>AEP</v>
      </c>
      <c r="D9" s="116"/>
      <c r="E9" s="122">
        <f>'WP OpCo Cap Str'!H9</f>
        <v>0.50004349717268382</v>
      </c>
      <c r="F9" s="123"/>
      <c r="G9" s="122">
        <f>'WP OpCo Cap Str'!J9</f>
        <v>0</v>
      </c>
      <c r="H9" s="123"/>
      <c r="I9" s="122">
        <f>'WP OpCo Cap Str'!L9</f>
        <v>0.49995650282731624</v>
      </c>
      <c r="J9" s="116"/>
      <c r="K9" s="124">
        <f t="shared" si="0"/>
        <v>1</v>
      </c>
    </row>
    <row r="10" spans="1:12" x14ac:dyDescent="0.25">
      <c r="A10" s="121" t="str">
        <f>'WP OpCo Cap Str'!A10</f>
        <v>AEP Texas Inc.</v>
      </c>
      <c r="B10" s="121"/>
      <c r="C10" s="115" t="str">
        <f>'WP OpCo Cap Str'!C10</f>
        <v>AEP</v>
      </c>
      <c r="D10" s="116"/>
      <c r="E10" s="122">
        <f>'WP OpCo Cap Str'!H10</f>
        <v>0.42819573259463156</v>
      </c>
      <c r="F10" s="123"/>
      <c r="G10" s="122">
        <f>'WP OpCo Cap Str'!J10</f>
        <v>0</v>
      </c>
      <c r="H10" s="123"/>
      <c r="I10" s="122">
        <f>'WP OpCo Cap Str'!L10</f>
        <v>0.57180426740536849</v>
      </c>
      <c r="J10" s="116"/>
      <c r="K10" s="124">
        <f t="shared" si="0"/>
        <v>1</v>
      </c>
    </row>
    <row r="11" spans="1:12" x14ac:dyDescent="0.25">
      <c r="A11" s="121" t="str">
        <f>'WP OpCo Cap Str'!A11</f>
        <v>Southwestern Electric Power Company</v>
      </c>
      <c r="B11" s="121"/>
      <c r="C11" s="115" t="str">
        <f>'WP OpCo Cap Str'!C11</f>
        <v>AEP</v>
      </c>
      <c r="D11" s="116"/>
      <c r="E11" s="122">
        <f>'WP OpCo Cap Str'!H11</f>
        <v>0.48506758099781355</v>
      </c>
      <c r="F11" s="123"/>
      <c r="G11" s="122">
        <f>'WP OpCo Cap Str'!J11</f>
        <v>0</v>
      </c>
      <c r="H11" s="123"/>
      <c r="I11" s="122">
        <f>'WP OpCo Cap Str'!L11</f>
        <v>0.51493241900218645</v>
      </c>
      <c r="J11" s="116"/>
      <c r="K11" s="124">
        <f t="shared" si="0"/>
        <v>1</v>
      </c>
    </row>
    <row r="12" spans="1:12" x14ac:dyDescent="0.25">
      <c r="A12" s="121" t="str">
        <f>'WP OpCo Cap Str'!A12</f>
        <v>Ohio Power Company</v>
      </c>
      <c r="B12" s="121"/>
      <c r="C12" s="115" t="str">
        <f>'WP OpCo Cap Str'!C12</f>
        <v>AEP</v>
      </c>
      <c r="D12" s="116"/>
      <c r="E12" s="122">
        <f>'WP OpCo Cap Str'!H12</f>
        <v>0.50608484911658935</v>
      </c>
      <c r="F12" s="123"/>
      <c r="G12" s="122">
        <f>'WP OpCo Cap Str'!J12</f>
        <v>0</v>
      </c>
      <c r="H12" s="123"/>
      <c r="I12" s="122">
        <f>'WP OpCo Cap Str'!L12</f>
        <v>0.49391515088341065</v>
      </c>
      <c r="J12" s="116"/>
      <c r="K12" s="124">
        <f t="shared" si="0"/>
        <v>1</v>
      </c>
    </row>
    <row r="13" spans="1:12" x14ac:dyDescent="0.25">
      <c r="A13" s="121" t="str">
        <f>'WP OpCo Cap Str'!A13</f>
        <v>Indiana Michigan Power Company</v>
      </c>
      <c r="B13" s="121"/>
      <c r="C13" s="115" t="str">
        <f>'WP OpCo Cap Str'!C13</f>
        <v>AEP</v>
      </c>
      <c r="D13" s="116"/>
      <c r="E13" s="122">
        <f>'WP OpCo Cap Str'!H13</f>
        <v>0.48763854591397232</v>
      </c>
      <c r="F13" s="123"/>
      <c r="G13" s="122">
        <f>'WP OpCo Cap Str'!J13</f>
        <v>0</v>
      </c>
      <c r="H13" s="123"/>
      <c r="I13" s="122">
        <f>'WP OpCo Cap Str'!L13</f>
        <v>0.51236145408602773</v>
      </c>
      <c r="J13" s="116"/>
      <c r="K13" s="124">
        <f t="shared" si="0"/>
        <v>1</v>
      </c>
    </row>
    <row r="14" spans="1:12" x14ac:dyDescent="0.25">
      <c r="A14" s="121" t="str">
        <f>'WP OpCo Cap Str'!A14</f>
        <v>Public Service Company of Oklahoma</v>
      </c>
      <c r="B14" s="121"/>
      <c r="C14" s="115" t="str">
        <f>'WP OpCo Cap Str'!C14</f>
        <v>AEP</v>
      </c>
      <c r="D14" s="116"/>
      <c r="E14" s="122">
        <f>'WP OpCo Cap Str'!H14</f>
        <v>0.47400190617388543</v>
      </c>
      <c r="F14" s="123"/>
      <c r="G14" s="122">
        <f>'WP OpCo Cap Str'!J14</f>
        <v>0</v>
      </c>
      <c r="H14" s="123"/>
      <c r="I14" s="122">
        <f>'WP OpCo Cap Str'!L14</f>
        <v>0.52599809382611462</v>
      </c>
      <c r="J14" s="116"/>
      <c r="K14" s="124">
        <f t="shared" si="0"/>
        <v>1</v>
      </c>
    </row>
    <row r="15" spans="1:12" x14ac:dyDescent="0.25">
      <c r="A15" s="121" t="str">
        <f>'WP OpCo Cap Str'!A15</f>
        <v>Kentucky Power Company</v>
      </c>
      <c r="B15" s="121"/>
      <c r="C15" s="115" t="str">
        <f>'WP OpCo Cap Str'!C15</f>
        <v>AEP</v>
      </c>
      <c r="D15" s="116"/>
      <c r="E15" s="122">
        <f>'WP OpCo Cap Str'!H15</f>
        <v>0.44953507056393532</v>
      </c>
      <c r="F15" s="123"/>
      <c r="G15" s="122">
        <f>'WP OpCo Cap Str'!J15</f>
        <v>0</v>
      </c>
      <c r="H15" s="123"/>
      <c r="I15" s="122">
        <f>'WP OpCo Cap Str'!L15</f>
        <v>0.55046492943606462</v>
      </c>
      <c r="J15" s="116"/>
      <c r="K15" s="124">
        <f t="shared" si="0"/>
        <v>1</v>
      </c>
    </row>
    <row r="16" spans="1:12" x14ac:dyDescent="0.25">
      <c r="A16" s="121" t="str">
        <f>'WP OpCo Cap Str'!A16</f>
        <v xml:space="preserve">Progress Energy, Inc. </v>
      </c>
      <c r="B16" s="121"/>
      <c r="C16" s="115" t="str">
        <f>'WP OpCo Cap Str'!C16</f>
        <v>DUK</v>
      </c>
      <c r="D16" s="116"/>
      <c r="E16" s="122">
        <f>'WP OpCo Cap Str'!H16</f>
        <v>0.49756272974268817</v>
      </c>
      <c r="F16" s="123"/>
      <c r="G16" s="122">
        <f>'WP OpCo Cap Str'!J16</f>
        <v>0</v>
      </c>
      <c r="H16" s="123"/>
      <c r="I16" s="122">
        <f>'WP OpCo Cap Str'!L16</f>
        <v>0.50243727025731177</v>
      </c>
      <c r="J16" s="116"/>
      <c r="K16" s="124">
        <f t="shared" si="0"/>
        <v>1</v>
      </c>
    </row>
    <row r="17" spans="1:11" x14ac:dyDescent="0.25">
      <c r="A17" s="121" t="str">
        <f>'WP OpCo Cap Str'!A17</f>
        <v>Duke Energy Carolinas, LLC</v>
      </c>
      <c r="B17" s="121"/>
      <c r="C17" s="115" t="str">
        <f>'WP OpCo Cap Str'!C17</f>
        <v>DUK</v>
      </c>
      <c r="D17" s="116"/>
      <c r="E17" s="122">
        <f>'WP OpCo Cap Str'!H17</f>
        <v>0.50342861980415954</v>
      </c>
      <c r="F17" s="123"/>
      <c r="G17" s="122">
        <f>'WP OpCo Cap Str'!J17</f>
        <v>0</v>
      </c>
      <c r="H17" s="123"/>
      <c r="I17" s="122">
        <f>'WP OpCo Cap Str'!L17</f>
        <v>0.49657138019584052</v>
      </c>
      <c r="J17" s="116"/>
      <c r="K17" s="124">
        <f t="shared" si="0"/>
        <v>1</v>
      </c>
    </row>
    <row r="18" spans="1:11" x14ac:dyDescent="0.25">
      <c r="A18" s="121" t="str">
        <f>'WP OpCo Cap Str'!A18</f>
        <v>Duke Energy Kentucky, Inc.</v>
      </c>
      <c r="B18" s="121"/>
      <c r="C18" s="115" t="str">
        <f>'WP OpCo Cap Str'!C18</f>
        <v>DUK</v>
      </c>
      <c r="D18" s="116"/>
      <c r="E18" s="122">
        <f>'WP OpCo Cap Str'!H18</f>
        <v>0.54275142854342473</v>
      </c>
      <c r="F18" s="123"/>
      <c r="G18" s="122">
        <f>'WP OpCo Cap Str'!J18</f>
        <v>0</v>
      </c>
      <c r="H18" s="123"/>
      <c r="I18" s="122">
        <f>'WP OpCo Cap Str'!L18</f>
        <v>0.45724857145657521</v>
      </c>
      <c r="J18" s="116"/>
      <c r="K18" s="124">
        <f t="shared" si="0"/>
        <v>1</v>
      </c>
    </row>
    <row r="19" spans="1:11" x14ac:dyDescent="0.25">
      <c r="A19" s="121" t="str">
        <f>'WP OpCo Cap Str'!A19</f>
        <v>Duke Energy Progress, LLC</v>
      </c>
      <c r="B19" s="121"/>
      <c r="C19" s="115" t="str">
        <f>'WP OpCo Cap Str'!C19</f>
        <v>DUK</v>
      </c>
      <c r="D19" s="116"/>
      <c r="E19" s="122">
        <f>'WP OpCo Cap Str'!H19</f>
        <v>0.48174976860235824</v>
      </c>
      <c r="F19" s="123"/>
      <c r="G19" s="122">
        <f>'WP OpCo Cap Str'!J19</f>
        <v>0</v>
      </c>
      <c r="H19" s="123"/>
      <c r="I19" s="122">
        <f>'WP OpCo Cap Str'!L19</f>
        <v>0.5182502313976417</v>
      </c>
      <c r="J19" s="116"/>
      <c r="K19" s="124">
        <f t="shared" si="0"/>
        <v>1</v>
      </c>
    </row>
    <row r="20" spans="1:11" x14ac:dyDescent="0.25">
      <c r="A20" s="121" t="str">
        <f>'WP OpCo Cap Str'!A20</f>
        <v>Duke Energy Florida, LLC</v>
      </c>
      <c r="B20" s="121"/>
      <c r="C20" s="115" t="str">
        <f>'WP OpCo Cap Str'!C20</f>
        <v>DUK</v>
      </c>
      <c r="D20" s="116"/>
      <c r="E20" s="122">
        <f>'WP OpCo Cap Str'!H20</f>
        <v>0.50816789300754317</v>
      </c>
      <c r="F20" s="123"/>
      <c r="G20" s="122">
        <f>'WP OpCo Cap Str'!J20</f>
        <v>0</v>
      </c>
      <c r="H20" s="123"/>
      <c r="I20" s="122">
        <f>'WP OpCo Cap Str'!L20</f>
        <v>0.49183210699245683</v>
      </c>
      <c r="J20" s="116"/>
      <c r="K20" s="124">
        <f t="shared" si="0"/>
        <v>1</v>
      </c>
    </row>
    <row r="21" spans="1:11" x14ac:dyDescent="0.25">
      <c r="A21" s="121" t="str">
        <f>'WP OpCo Cap Str'!A21</f>
        <v>Duke Energy Indiana, LLC</v>
      </c>
      <c r="B21" s="121"/>
      <c r="C21" s="115" t="str">
        <f>'WP OpCo Cap Str'!C21</f>
        <v>DUK</v>
      </c>
      <c r="D21" s="116"/>
      <c r="E21" s="122">
        <f>'WP OpCo Cap Str'!H21</f>
        <v>0.53324326932355492</v>
      </c>
      <c r="F21" s="123"/>
      <c r="G21" s="122">
        <f>'WP OpCo Cap Str'!J21</f>
        <v>0</v>
      </c>
      <c r="H21" s="123"/>
      <c r="I21" s="122">
        <f>'WP OpCo Cap Str'!L21</f>
        <v>0.46675673067644502</v>
      </c>
      <c r="J21" s="116"/>
      <c r="K21" s="124">
        <f t="shared" si="0"/>
        <v>1</v>
      </c>
    </row>
    <row r="22" spans="1:11" x14ac:dyDescent="0.25">
      <c r="A22" s="121" t="str">
        <f>'WP OpCo Cap Str'!A22</f>
        <v xml:space="preserve">Duke Energy Ohio, Inc. </v>
      </c>
      <c r="B22" s="121"/>
      <c r="C22" s="115" t="str">
        <f>'WP OpCo Cap Str'!C22</f>
        <v>DUK</v>
      </c>
      <c r="D22" s="116"/>
      <c r="E22" s="122">
        <f>'WP OpCo Cap Str'!H22</f>
        <v>0.56681549164157408</v>
      </c>
      <c r="F22" s="123"/>
      <c r="G22" s="122">
        <f>'WP OpCo Cap Str'!J22</f>
        <v>0</v>
      </c>
      <c r="H22" s="123"/>
      <c r="I22" s="122">
        <f>'WP OpCo Cap Str'!L22</f>
        <v>0.43318450835842592</v>
      </c>
      <c r="J22" s="116"/>
      <c r="K22" s="124">
        <f t="shared" si="0"/>
        <v>1</v>
      </c>
    </row>
    <row r="23" spans="1:11" x14ac:dyDescent="0.25">
      <c r="A23" s="121" t="str">
        <f>'WP OpCo Cap Str'!A23</f>
        <v>Southern California Edison Company</v>
      </c>
      <c r="B23" s="121"/>
      <c r="C23" s="115" t="str">
        <f>'WP OpCo Cap Str'!C23</f>
        <v>EIX</v>
      </c>
      <c r="D23" s="116"/>
      <c r="E23" s="122">
        <f>'WP OpCo Cap Str'!H23</f>
        <v>0.36547529940119761</v>
      </c>
      <c r="F23" s="123"/>
      <c r="G23" s="122">
        <f>'WP OpCo Cap Str'!J23</f>
        <v>4.1541916167664672E-2</v>
      </c>
      <c r="H23" s="123"/>
      <c r="I23" s="122">
        <f>'WP OpCo Cap Str'!L23</f>
        <v>0.59298278443113772</v>
      </c>
      <c r="J23" s="116"/>
      <c r="K23" s="124">
        <f t="shared" si="0"/>
        <v>1</v>
      </c>
    </row>
    <row r="24" spans="1:11" x14ac:dyDescent="0.25">
      <c r="A24" s="121" t="str">
        <f>'WP OpCo Cap Str'!A24</f>
        <v>Entergy Arkansas, LLC</v>
      </c>
      <c r="B24" s="121"/>
      <c r="C24" s="115" t="str">
        <f>'WP OpCo Cap Str'!C24</f>
        <v>ETR</v>
      </c>
      <c r="D24" s="116"/>
      <c r="E24" s="122">
        <f>'WP OpCo Cap Str'!H24</f>
        <v>0.45994187502914158</v>
      </c>
      <c r="F24" s="123"/>
      <c r="G24" s="122">
        <f>'WP OpCo Cap Str'!J24</f>
        <v>0</v>
      </c>
      <c r="H24" s="123"/>
      <c r="I24" s="122">
        <f>'WP OpCo Cap Str'!L24</f>
        <v>0.54005812497085848</v>
      </c>
      <c r="J24" s="116"/>
      <c r="K24" s="124">
        <f t="shared" si="0"/>
        <v>1</v>
      </c>
    </row>
    <row r="25" spans="1:11" x14ac:dyDescent="0.25">
      <c r="A25" s="121" t="str">
        <f>'WP OpCo Cap Str'!A25</f>
        <v>Entergy Louisiana, LLC</v>
      </c>
      <c r="B25" s="121"/>
      <c r="C25" s="115" t="str">
        <f>'WP OpCo Cap Str'!C25</f>
        <v>ETR</v>
      </c>
      <c r="D25" s="116"/>
      <c r="E25" s="122">
        <f>'WP OpCo Cap Str'!H25</f>
        <v>0.53714032657451849</v>
      </c>
      <c r="F25" s="123"/>
      <c r="G25" s="122">
        <f>'WP OpCo Cap Str'!J25</f>
        <v>0</v>
      </c>
      <c r="H25" s="123"/>
      <c r="I25" s="122">
        <f>'WP OpCo Cap Str'!L25</f>
        <v>0.46285967342548145</v>
      </c>
      <c r="J25" s="116"/>
      <c r="K25" s="124">
        <f t="shared" si="0"/>
        <v>1</v>
      </c>
    </row>
    <row r="26" spans="1:11" x14ac:dyDescent="0.25">
      <c r="A26" s="121" t="str">
        <f>'WP OpCo Cap Str'!A26</f>
        <v>Entergy Texas, Inc.</v>
      </c>
      <c r="B26" s="121"/>
      <c r="C26" s="115" t="str">
        <f>'WP OpCo Cap Str'!C26</f>
        <v>ETR</v>
      </c>
      <c r="D26" s="116"/>
      <c r="E26" s="122">
        <f>'WP OpCo Cap Str'!H26</f>
        <v>0.47640783923152979</v>
      </c>
      <c r="F26" s="123"/>
      <c r="G26" s="122">
        <f>'WP OpCo Cap Str'!J26</f>
        <v>5.5900124725800871E-3</v>
      </c>
      <c r="H26" s="123"/>
      <c r="I26" s="122">
        <f>'WP OpCo Cap Str'!L26</f>
        <v>0.51800214829589009</v>
      </c>
      <c r="J26" s="116"/>
      <c r="K26" s="124">
        <f t="shared" si="0"/>
        <v>1</v>
      </c>
    </row>
    <row r="27" spans="1:11" x14ac:dyDescent="0.25">
      <c r="A27" s="121" t="str">
        <f>'WP OpCo Cap Str'!A27</f>
        <v>Entergy Mississippi, LLC</v>
      </c>
      <c r="B27" s="121"/>
      <c r="C27" s="115" t="str">
        <f>'WP OpCo Cap Str'!C27</f>
        <v>ETR</v>
      </c>
      <c r="D27" s="116"/>
      <c r="E27" s="122">
        <f>'WP OpCo Cap Str'!H27</f>
        <v>0.49158477634482228</v>
      </c>
      <c r="F27" s="123"/>
      <c r="G27" s="122">
        <f>'WP OpCo Cap Str'!J27</f>
        <v>0</v>
      </c>
      <c r="H27" s="123"/>
      <c r="I27" s="122">
        <f>'WP OpCo Cap Str'!L27</f>
        <v>0.50841522365517777</v>
      </c>
      <c r="J27" s="116"/>
      <c r="K27" s="124">
        <f t="shared" si="0"/>
        <v>1</v>
      </c>
    </row>
    <row r="28" spans="1:11" x14ac:dyDescent="0.25">
      <c r="A28" s="121" t="str">
        <f>'WP OpCo Cap Str'!A28</f>
        <v>Entergy New Orleans, LLC</v>
      </c>
      <c r="B28" s="121"/>
      <c r="C28" s="115" t="str">
        <f>'WP OpCo Cap Str'!C28</f>
        <v>ETR</v>
      </c>
      <c r="D28" s="116"/>
      <c r="E28" s="122">
        <f>'WP OpCo Cap Str'!H28</f>
        <v>0.48196869004331216</v>
      </c>
      <c r="F28" s="123"/>
      <c r="G28" s="122">
        <f>'WP OpCo Cap Str'!J28</f>
        <v>0</v>
      </c>
      <c r="H28" s="123"/>
      <c r="I28" s="122">
        <f>'WP OpCo Cap Str'!L28</f>
        <v>0.51803130995668778</v>
      </c>
      <c r="J28" s="116"/>
      <c r="K28" s="124">
        <f t="shared" si="0"/>
        <v>1</v>
      </c>
    </row>
    <row r="29" spans="1:11" x14ac:dyDescent="0.25">
      <c r="A29" s="121" t="str">
        <f>'WP OpCo Cap Str'!A29</f>
        <v>Evergy Kansas Central, Inc.</v>
      </c>
      <c r="B29" s="121"/>
      <c r="C29" s="115" t="str">
        <f>'WP OpCo Cap Str'!C29</f>
        <v>EVRG</v>
      </c>
      <c r="D29" s="116"/>
      <c r="E29" s="122">
        <f>'WP OpCo Cap Str'!H29</f>
        <v>0.52919240886505881</v>
      </c>
      <c r="F29" s="123"/>
      <c r="G29" s="122">
        <f>'WP OpCo Cap Str'!J29</f>
        <v>0</v>
      </c>
      <c r="H29" s="123"/>
      <c r="I29" s="122">
        <f>'WP OpCo Cap Str'!L29</f>
        <v>0.47080759113494119</v>
      </c>
      <c r="J29" s="116"/>
      <c r="K29" s="124">
        <f t="shared" si="0"/>
        <v>1</v>
      </c>
    </row>
    <row r="30" spans="1:11" x14ac:dyDescent="0.25">
      <c r="A30" s="121" t="str">
        <f>'WP OpCo Cap Str'!A30</f>
        <v>Evergy Metro, Inc.</v>
      </c>
      <c r="B30" s="121"/>
      <c r="C30" s="115" t="str">
        <f>'WP OpCo Cap Str'!C30</f>
        <v>EVRG</v>
      </c>
      <c r="D30" s="116"/>
      <c r="E30" s="122">
        <f>'WP OpCo Cap Str'!H30</f>
        <v>0.50753134301434111</v>
      </c>
      <c r="F30" s="123"/>
      <c r="G30" s="122">
        <f>'WP OpCo Cap Str'!J30</f>
        <v>0</v>
      </c>
      <c r="H30" s="123"/>
      <c r="I30" s="122">
        <f>'WP OpCo Cap Str'!L30</f>
        <v>0.49246865698565889</v>
      </c>
      <c r="J30" s="116"/>
      <c r="K30" s="124">
        <f t="shared" si="0"/>
        <v>1</v>
      </c>
    </row>
    <row r="31" spans="1:11" x14ac:dyDescent="0.25">
      <c r="A31" s="121" t="str">
        <f>'WP OpCo Cap Str'!A31</f>
        <v>Idaho Power Company</v>
      </c>
      <c r="B31" s="121"/>
      <c r="C31" s="115" t="str">
        <f>'WP OpCo Cap Str'!C31</f>
        <v>IDA</v>
      </c>
      <c r="D31" s="116"/>
      <c r="E31" s="122">
        <f>'WP OpCo Cap Str'!H31</f>
        <v>0.50137364442344168</v>
      </c>
      <c r="F31" s="123"/>
      <c r="G31" s="122">
        <f>'WP OpCo Cap Str'!J31</f>
        <v>0</v>
      </c>
      <c r="H31" s="123"/>
      <c r="I31" s="122">
        <f>'WP OpCo Cap Str'!L31</f>
        <v>0.49862635557655838</v>
      </c>
      <c r="J31" s="116"/>
      <c r="K31" s="124">
        <f t="shared" si="0"/>
        <v>1</v>
      </c>
    </row>
    <row r="32" spans="1:11" x14ac:dyDescent="0.25">
      <c r="A32" s="121" t="str">
        <f>'WP OpCo Cap Str'!A32</f>
        <v xml:space="preserve">Interstate Power and Light Company </v>
      </c>
      <c r="B32" s="121"/>
      <c r="C32" s="115" t="str">
        <f>'WP OpCo Cap Str'!C32</f>
        <v>LNT</v>
      </c>
      <c r="D32" s="116"/>
      <c r="E32" s="122">
        <f>'WP OpCo Cap Str'!H32</f>
        <v>0.51775766016713087</v>
      </c>
      <c r="F32" s="123"/>
      <c r="G32" s="122">
        <f>'WP OpCo Cap Str'!J32</f>
        <v>0</v>
      </c>
      <c r="H32" s="123"/>
      <c r="I32" s="122">
        <f>'WP OpCo Cap Str'!L32</f>
        <v>0.48224233983286907</v>
      </c>
      <c r="J32" s="116"/>
      <c r="K32" s="124">
        <f t="shared" si="0"/>
        <v>1</v>
      </c>
    </row>
    <row r="33" spans="1:11" x14ac:dyDescent="0.25">
      <c r="A33" s="121" t="str">
        <f>'WP OpCo Cap Str'!A33</f>
        <v>Wisconsin Power and Light Company</v>
      </c>
      <c r="B33" s="121"/>
      <c r="C33" s="115" t="str">
        <f>'WP OpCo Cap Str'!C33</f>
        <v>LNT</v>
      </c>
      <c r="D33" s="116"/>
      <c r="E33" s="122">
        <f>'WP OpCo Cap Str'!H33</f>
        <v>0.5330127371978165</v>
      </c>
      <c r="F33" s="123"/>
      <c r="G33" s="122">
        <f>'WP OpCo Cap Str'!J33</f>
        <v>0</v>
      </c>
      <c r="H33" s="123"/>
      <c r="I33" s="122">
        <f>'WP OpCo Cap Str'!L33</f>
        <v>0.4669872628021835</v>
      </c>
      <c r="J33" s="116"/>
      <c r="K33" s="124">
        <f t="shared" si="0"/>
        <v>1</v>
      </c>
    </row>
    <row r="34" spans="1:11" x14ac:dyDescent="0.25">
      <c r="A34" s="121" t="str">
        <f>'WP OpCo Cap Str'!A34</f>
        <v>Oklahoma Gas and Electric Company</v>
      </c>
      <c r="B34" s="121"/>
      <c r="C34" s="115" t="str">
        <f>'WP OpCo Cap Str'!C34</f>
        <v>OGE</v>
      </c>
      <c r="D34" s="116"/>
      <c r="E34" s="122">
        <f>'WP OpCo Cap Str'!H34</f>
        <v>0.53233124787623176</v>
      </c>
      <c r="F34" s="123"/>
      <c r="G34" s="122">
        <f>'WP OpCo Cap Str'!J34</f>
        <v>0</v>
      </c>
      <c r="H34" s="123"/>
      <c r="I34" s="122">
        <f>'WP OpCo Cap Str'!L34</f>
        <v>0.46766875212376824</v>
      </c>
      <c r="J34" s="116"/>
      <c r="K34" s="124">
        <f t="shared" si="0"/>
        <v>1</v>
      </c>
    </row>
    <row r="35" spans="1:11" x14ac:dyDescent="0.25">
      <c r="A35" s="121" t="str">
        <f>'WP OpCo Cap Str'!A35</f>
        <v>Arizona Public Service Company</v>
      </c>
      <c r="B35" s="121"/>
      <c r="C35" s="115" t="str">
        <f>'WP OpCo Cap Str'!C35</f>
        <v>PNW</v>
      </c>
      <c r="D35" s="116"/>
      <c r="E35" s="122">
        <f>'WP OpCo Cap Str'!H35</f>
        <v>0.47590810031434161</v>
      </c>
      <c r="F35" s="123"/>
      <c r="G35" s="122">
        <f>'WP OpCo Cap Str'!J35</f>
        <v>0</v>
      </c>
      <c r="H35" s="123"/>
      <c r="I35" s="122">
        <f>'WP OpCo Cap Str'!L35</f>
        <v>0.52409189968565839</v>
      </c>
      <c r="J35" s="116"/>
      <c r="K35" s="124">
        <f t="shared" si="0"/>
        <v>1</v>
      </c>
    </row>
    <row r="36" spans="1:11" x14ac:dyDescent="0.25">
      <c r="A36" s="121" t="str">
        <f>'WP OpCo Cap Str'!A36</f>
        <v>Portland General Electric Company</v>
      </c>
      <c r="B36" s="121"/>
      <c r="C36" s="115" t="str">
        <f>'WP OpCo Cap Str'!C36</f>
        <v>POR</v>
      </c>
      <c r="D36" s="116"/>
      <c r="E36" s="122">
        <f>'WP OpCo Cap Str'!H36</f>
        <v>0.42471734019926116</v>
      </c>
      <c r="F36" s="123"/>
      <c r="G36" s="122">
        <f>'WP OpCo Cap Str'!J36</f>
        <v>0</v>
      </c>
      <c r="H36" s="123"/>
      <c r="I36" s="122">
        <f>'WP OpCo Cap Str'!L36</f>
        <v>0.57528265980073878</v>
      </c>
      <c r="J36" s="116"/>
      <c r="K36" s="124">
        <f t="shared" si="0"/>
        <v>1</v>
      </c>
    </row>
    <row r="37" spans="1:11" x14ac:dyDescent="0.25">
      <c r="A37" s="121" t="str">
        <f>'WP OpCo Cap Str'!A37</f>
        <v>Georgia Power Company</v>
      </c>
      <c r="B37" s="121"/>
      <c r="C37" s="115" t="str">
        <f>'WP OpCo Cap Str'!C37</f>
        <v>SO</v>
      </c>
      <c r="D37" s="116"/>
      <c r="E37" s="122">
        <f>'WP OpCo Cap Str'!H37</f>
        <v>0.54616111995202843</v>
      </c>
      <c r="F37" s="123"/>
      <c r="G37" s="122">
        <f>'WP OpCo Cap Str'!J37</f>
        <v>0</v>
      </c>
      <c r="H37" s="123"/>
      <c r="I37" s="122">
        <f>'WP OpCo Cap Str'!L37</f>
        <v>0.45383888004797157</v>
      </c>
      <c r="J37" s="116"/>
      <c r="K37" s="124">
        <f t="shared" si="0"/>
        <v>1</v>
      </c>
    </row>
    <row r="38" spans="1:11" x14ac:dyDescent="0.25">
      <c r="A38" s="121" t="str">
        <f>'WP OpCo Cap Str'!A38</f>
        <v>Alabama Power Company</v>
      </c>
      <c r="B38" s="121"/>
      <c r="C38" s="115" t="str">
        <f>'WP OpCo Cap Str'!C38</f>
        <v>SO</v>
      </c>
      <c r="D38" s="116"/>
      <c r="E38" s="122">
        <f>'WP OpCo Cap Str'!H38</f>
        <v>0.53789248725957584</v>
      </c>
      <c r="F38" s="123"/>
      <c r="G38" s="122">
        <f>'WP OpCo Cap Str'!J38</f>
        <v>0</v>
      </c>
      <c r="H38" s="123"/>
      <c r="I38" s="122">
        <f>'WP OpCo Cap Str'!L38</f>
        <v>0.46210751274042411</v>
      </c>
      <c r="J38" s="116"/>
      <c r="K38" s="124">
        <f t="shared" si="0"/>
        <v>1</v>
      </c>
    </row>
    <row r="39" spans="1:11" x14ac:dyDescent="0.25">
      <c r="A39" s="121" t="str">
        <f>'WP OpCo Cap Str'!A39</f>
        <v>Mississippi Power Company</v>
      </c>
      <c r="B39" s="121"/>
      <c r="C39" s="115" t="str">
        <f>'WP OpCo Cap Str'!C39</f>
        <v>SO</v>
      </c>
      <c r="D39" s="116"/>
      <c r="E39" s="122">
        <f>'WP OpCo Cap Str'!H39</f>
        <v>0.5511873350923483</v>
      </c>
      <c r="F39" s="123"/>
      <c r="G39" s="122">
        <f>'WP OpCo Cap Str'!J39</f>
        <v>0</v>
      </c>
      <c r="H39" s="123"/>
      <c r="I39" s="122">
        <f>'WP OpCo Cap Str'!L39</f>
        <v>0.4488126649076517</v>
      </c>
      <c r="J39" s="116"/>
      <c r="K39" s="124">
        <f t="shared" si="0"/>
        <v>1</v>
      </c>
    </row>
    <row r="40" spans="1:11" x14ac:dyDescent="0.25">
      <c r="A40" s="121" t="s">
        <v>237</v>
      </c>
      <c r="B40" s="121"/>
      <c r="C40" s="115" t="s">
        <v>224</v>
      </c>
      <c r="D40" s="116"/>
      <c r="E40" s="122">
        <f>'WP OpCo Cap Str'!H40</f>
        <v>0.48050087657271856</v>
      </c>
      <c r="F40" s="123"/>
      <c r="G40" s="122">
        <f>'WP OpCo Cap Str'!J40</f>
        <v>0</v>
      </c>
      <c r="H40" s="123"/>
      <c r="I40" s="122">
        <f>'WP OpCo Cap Str'!L40</f>
        <v>0.51949912342728144</v>
      </c>
      <c r="J40" s="116"/>
      <c r="K40" s="124">
        <f t="shared" si="0"/>
        <v>1</v>
      </c>
    </row>
    <row r="41" spans="1:11" x14ac:dyDescent="0.25">
      <c r="A41" s="121" t="str">
        <f>'WP OpCo Cap Str'!A41</f>
        <v xml:space="preserve">Public Service Company of Colorado </v>
      </c>
      <c r="B41" s="121"/>
      <c r="C41" s="115" t="str">
        <f>'WP OpCo Cap Str'!C41</f>
        <v>XEL</v>
      </c>
      <c r="D41" s="116"/>
      <c r="E41" s="122">
        <f>'WP OpCo Cap Str'!H41</f>
        <v>0.54296697182742404</v>
      </c>
      <c r="F41" s="123"/>
      <c r="G41" s="122">
        <f>'WP OpCo Cap Str'!J41</f>
        <v>0</v>
      </c>
      <c r="H41" s="123"/>
      <c r="I41" s="122">
        <f>'WP OpCo Cap Str'!L41</f>
        <v>0.45703302817257602</v>
      </c>
      <c r="J41" s="116"/>
      <c r="K41" s="124">
        <f t="shared" si="0"/>
        <v>1</v>
      </c>
    </row>
    <row r="42" spans="1:11" x14ac:dyDescent="0.25">
      <c r="A42" s="121" t="str">
        <f>'WP OpCo Cap Str'!A42</f>
        <v>Northern States Power Company</v>
      </c>
      <c r="B42" s="121"/>
      <c r="C42" s="115" t="str">
        <f>'WP OpCo Cap Str'!C42</f>
        <v>XEL</v>
      </c>
      <c r="D42" s="116"/>
      <c r="E42" s="122">
        <f>'WP OpCo Cap Str'!H42</f>
        <v>0.5235755830368739</v>
      </c>
      <c r="F42" s="123"/>
      <c r="G42" s="122">
        <f>'WP OpCo Cap Str'!J42</f>
        <v>0</v>
      </c>
      <c r="H42" s="123"/>
      <c r="I42" s="122">
        <f>'WP OpCo Cap Str'!L42</f>
        <v>0.4764244169631261</v>
      </c>
      <c r="J42" s="116"/>
      <c r="K42" s="124">
        <f t="shared" si="0"/>
        <v>1</v>
      </c>
    </row>
    <row r="43" spans="1:11" x14ac:dyDescent="0.25">
      <c r="A43" s="121" t="str">
        <f>'WP OpCo Cap Str'!A43</f>
        <v>Southwestern Public Service Company</v>
      </c>
      <c r="B43" s="121"/>
      <c r="C43" s="115" t="str">
        <f>'WP OpCo Cap Str'!C43</f>
        <v>XEL</v>
      </c>
      <c r="D43" s="116"/>
      <c r="E43" s="122">
        <f>'WP OpCo Cap Str'!H43</f>
        <v>0.51936274509803926</v>
      </c>
      <c r="F43" s="123"/>
      <c r="G43" s="122">
        <f>'WP OpCo Cap Str'!J43</f>
        <v>0</v>
      </c>
      <c r="H43" s="123"/>
      <c r="I43" s="122">
        <f>'WP OpCo Cap Str'!L43</f>
        <v>0.4806372549019608</v>
      </c>
      <c r="J43" s="116"/>
      <c r="K43" s="124">
        <f t="shared" si="0"/>
        <v>1</v>
      </c>
    </row>
    <row r="44" spans="1:11" x14ac:dyDescent="0.25">
      <c r="A44" s="121" t="str">
        <f>'WP OpCo Cap Str'!A44</f>
        <v>Northern States Power Company</v>
      </c>
      <c r="B44" s="121"/>
      <c r="C44" s="115" t="str">
        <f>'WP OpCo Cap Str'!C44</f>
        <v>XEL</v>
      </c>
      <c r="D44" s="116"/>
      <c r="E44" s="125">
        <f>'WP OpCo Cap Str'!H44</f>
        <v>0.53489910684750253</v>
      </c>
      <c r="F44" s="123"/>
      <c r="G44" s="125">
        <f>'WP OpCo Cap Str'!J44</f>
        <v>0</v>
      </c>
      <c r="H44" s="123"/>
      <c r="I44" s="125">
        <f>'WP OpCo Cap Str'!L44</f>
        <v>0.46510089315249753</v>
      </c>
      <c r="J44" s="116"/>
      <c r="K44" s="124">
        <f t="shared" si="0"/>
        <v>1</v>
      </c>
    </row>
    <row r="45" spans="1:11" x14ac:dyDescent="0.25">
      <c r="A45" s="116"/>
      <c r="B45" s="116"/>
      <c r="C45" s="115"/>
      <c r="D45" s="116"/>
      <c r="E45" s="123"/>
      <c r="F45" s="123"/>
      <c r="G45" s="123"/>
      <c r="H45" s="123"/>
      <c r="I45" s="123"/>
      <c r="J45" s="116"/>
      <c r="K45" s="124"/>
    </row>
    <row r="46" spans="1:11" ht="16.5" thickBot="1" x14ac:dyDescent="0.3">
      <c r="A46" s="116"/>
      <c r="B46" s="116"/>
      <c r="C46" s="126" t="s">
        <v>31</v>
      </c>
      <c r="D46" s="116"/>
      <c r="E46" s="127">
        <f>AVERAGE(E7:E44)</f>
        <v>0.50235965653287906</v>
      </c>
      <c r="F46" s="115"/>
      <c r="G46" s="127">
        <f>AVERAGE(G7:G44)</f>
        <v>1.4709747771852637E-3</v>
      </c>
      <c r="H46" s="124"/>
      <c r="I46" s="127">
        <f>AVERAGE(I7:I44)</f>
        <v>0.49616936868993566</v>
      </c>
      <c r="J46" s="116"/>
      <c r="K46" s="124"/>
    </row>
    <row r="47" spans="1:11" ht="16.5" thickTop="1" x14ac:dyDescent="0.25">
      <c r="A47" s="116"/>
      <c r="B47" s="116"/>
      <c r="C47" s="115"/>
      <c r="D47" s="116"/>
      <c r="E47" s="115"/>
      <c r="F47" s="115"/>
      <c r="G47" s="115"/>
      <c r="H47" s="115"/>
      <c r="I47" s="115"/>
      <c r="J47" s="116"/>
      <c r="K47" s="124"/>
    </row>
    <row r="48" spans="1:11" ht="16.5" thickBot="1" x14ac:dyDescent="0.3">
      <c r="A48" s="116"/>
      <c r="B48" s="116"/>
      <c r="C48" s="126" t="s">
        <v>33</v>
      </c>
      <c r="D48" s="116"/>
      <c r="E48" s="127">
        <f>MIN(E7:E44)</f>
        <v>0.36547529940119761</v>
      </c>
      <c r="F48" s="124"/>
      <c r="G48" s="127">
        <f>MIN(G7:G44)</f>
        <v>0</v>
      </c>
      <c r="H48" s="124"/>
      <c r="I48" s="127">
        <f>MIN(I7:I44)</f>
        <v>0.43318450835842592</v>
      </c>
      <c r="J48" s="116"/>
      <c r="K48" s="124"/>
    </row>
    <row r="49" spans="1:12" ht="16.5" thickTop="1" x14ac:dyDescent="0.25">
      <c r="A49" s="116"/>
      <c r="B49" s="116"/>
      <c r="C49" s="126"/>
      <c r="D49" s="116"/>
      <c r="E49" s="124"/>
      <c r="F49" s="124"/>
      <c r="G49" s="124"/>
      <c r="H49" s="124"/>
      <c r="I49" s="124"/>
      <c r="J49" s="116"/>
      <c r="K49" s="124"/>
    </row>
    <row r="50" spans="1:12" ht="16.5" thickBot="1" x14ac:dyDescent="0.3">
      <c r="A50" s="116"/>
      <c r="B50" s="116"/>
      <c r="C50" s="126" t="s">
        <v>32</v>
      </c>
      <c r="D50" s="116"/>
      <c r="E50" s="127">
        <f>MAX(E7:E44)</f>
        <v>0.56681549164157408</v>
      </c>
      <c r="F50" s="124"/>
      <c r="G50" s="127">
        <f>MAX(G7:G44)</f>
        <v>4.1541916167664672E-2</v>
      </c>
      <c r="H50" s="124"/>
      <c r="I50" s="127">
        <f>MAX(I7:I44)</f>
        <v>0.59298278443113772</v>
      </c>
      <c r="J50" s="116"/>
      <c r="K50" s="124"/>
    </row>
    <row r="51" spans="1:12" ht="16.5" thickTop="1" x14ac:dyDescent="0.25">
      <c r="A51" s="116"/>
      <c r="B51" s="116"/>
      <c r="C51" s="115"/>
      <c r="D51" s="116"/>
      <c r="E51" s="115"/>
      <c r="F51" s="115"/>
      <c r="G51" s="115"/>
      <c r="H51" s="115"/>
      <c r="I51" s="115"/>
      <c r="J51" s="115"/>
      <c r="K51" s="115"/>
      <c r="L51" s="116"/>
    </row>
    <row r="52" spans="1:12" x14ac:dyDescent="0.25">
      <c r="A52" s="116" t="s">
        <v>148</v>
      </c>
      <c r="B52" s="116"/>
      <c r="C52" s="115"/>
      <c r="D52" s="116"/>
      <c r="E52" s="115"/>
      <c r="F52" s="115"/>
      <c r="G52" s="115"/>
      <c r="H52" s="115"/>
      <c r="I52" s="115"/>
      <c r="J52" s="115"/>
      <c r="K52" s="115"/>
      <c r="L52" s="116"/>
    </row>
  </sheetData>
  <mergeCells count="4">
    <mergeCell ref="A1:K1"/>
    <mergeCell ref="A2:K2"/>
    <mergeCell ref="A3:K3"/>
    <mergeCell ref="E5:K5"/>
  </mergeCells>
  <printOptions horizontalCentered="1"/>
  <pageMargins left="0.7" right="0.7" top="0.75" bottom="0.75" header="0.3" footer="0.3"/>
  <pageSetup scale="69" orientation="portrait" r:id="rId1"/>
  <headerFooter scaleWithDoc="0">
    <oddHeader>&amp;R&amp;A
Page &amp;P of &amp;N</oddHeader>
  </headerFooter>
  <rowBreaks count="1" manualBreakCount="1">
    <brk id="5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3AE5-9F7F-4B42-8D0C-75100206DF3F}">
  <dimension ref="A1:O53"/>
  <sheetViews>
    <sheetView view="pageBreakPreview" zoomScale="85" zoomScaleNormal="70" zoomScaleSheetLayoutView="85" workbookViewId="0"/>
  </sheetViews>
  <sheetFormatPr defaultColWidth="9" defaultRowHeight="15.75" x14ac:dyDescent="0.25"/>
  <cols>
    <col min="1" max="1" width="49.85546875" style="11" bestFit="1" customWidth="1"/>
    <col min="2" max="2" width="15" style="11" bestFit="1" customWidth="1"/>
    <col min="3" max="3" width="20.28515625" style="142" bestFit="1" customWidth="1"/>
    <col min="4" max="4" width="16" style="11" customWidth="1"/>
    <col min="5" max="5" width="15" style="11" customWidth="1"/>
    <col min="6" max="6" width="21" style="11" customWidth="1"/>
    <col min="7" max="7" width="3.5703125" style="11" customWidth="1"/>
    <col min="8" max="8" width="9.28515625" style="11" bestFit="1" customWidth="1"/>
    <col min="9" max="9" width="3.5703125" style="11" customWidth="1"/>
    <col min="10" max="10" width="10.140625" style="11" customWidth="1"/>
    <col min="11" max="11" width="3.5703125" style="11" customWidth="1"/>
    <col min="12" max="12" width="9.28515625" style="11" bestFit="1" customWidth="1"/>
    <col min="13" max="13" width="9" style="11"/>
    <col min="14" max="14" width="11" style="11" customWidth="1"/>
    <col min="15" max="15" width="12" style="11" customWidth="1"/>
    <col min="16" max="16384" width="9" style="11"/>
  </cols>
  <sheetData>
    <row r="1" spans="1:15" x14ac:dyDescent="0.25">
      <c r="A1" s="128" t="s">
        <v>149</v>
      </c>
      <c r="B1" s="128"/>
      <c r="C1" s="129"/>
      <c r="D1" s="128"/>
      <c r="E1" s="128"/>
      <c r="F1" s="128"/>
      <c r="G1" s="192"/>
      <c r="H1" s="192"/>
      <c r="I1" s="192"/>
      <c r="J1" s="192"/>
      <c r="K1" s="193"/>
      <c r="L1" s="193"/>
      <c r="M1" s="1"/>
      <c r="N1" s="1"/>
    </row>
    <row r="2" spans="1:15" ht="54.75" customHeight="1" x14ac:dyDescent="0.25">
      <c r="A2" s="130" t="s">
        <v>150</v>
      </c>
      <c r="B2" s="130" t="s">
        <v>151</v>
      </c>
      <c r="C2" s="129"/>
      <c r="D2" s="131" t="s">
        <v>152</v>
      </c>
      <c r="E2" s="131" t="s">
        <v>41</v>
      </c>
      <c r="F2" s="131" t="s">
        <v>42</v>
      </c>
      <c r="G2" s="128"/>
      <c r="H2" s="132" t="s">
        <v>45</v>
      </c>
      <c r="I2" s="132"/>
      <c r="J2" s="132" t="s">
        <v>153</v>
      </c>
      <c r="K2" s="132"/>
      <c r="L2" s="132" t="s">
        <v>154</v>
      </c>
      <c r="M2" s="1"/>
      <c r="N2" s="1"/>
    </row>
    <row r="3" spans="1:15" ht="44.25" customHeight="1" x14ac:dyDescent="0.25">
      <c r="A3" s="129" t="s">
        <v>155</v>
      </c>
      <c r="B3" s="129" t="s">
        <v>156</v>
      </c>
      <c r="C3" s="129"/>
      <c r="D3" s="133" t="s">
        <v>157</v>
      </c>
      <c r="E3" s="133" t="s">
        <v>158</v>
      </c>
      <c r="F3" s="133" t="s">
        <v>159</v>
      </c>
      <c r="G3" s="192"/>
      <c r="H3" s="192"/>
      <c r="I3" s="192"/>
      <c r="J3" s="192"/>
      <c r="K3" s="193"/>
      <c r="L3" s="193"/>
      <c r="M3" s="1"/>
      <c r="N3" s="1"/>
    </row>
    <row r="4" spans="1:15" x14ac:dyDescent="0.25">
      <c r="A4" s="129"/>
      <c r="B4" s="129"/>
      <c r="C4" s="129"/>
      <c r="D4" s="134" t="s">
        <v>44</v>
      </c>
      <c r="E4" s="134" t="s">
        <v>44</v>
      </c>
      <c r="F4" s="134" t="s">
        <v>44</v>
      </c>
      <c r="G4" s="192"/>
      <c r="H4" s="192"/>
      <c r="I4" s="192"/>
      <c r="J4" s="192"/>
      <c r="K4" s="193"/>
      <c r="L4" s="193"/>
      <c r="M4" s="1"/>
      <c r="N4" s="1"/>
    </row>
    <row r="5" spans="1:15" x14ac:dyDescent="0.25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129">
        <v>6</v>
      </c>
      <c r="G5" s="128">
        <v>7</v>
      </c>
      <c r="H5" s="128">
        <v>8</v>
      </c>
      <c r="I5" s="128">
        <v>9</v>
      </c>
      <c r="J5" s="1">
        <v>10</v>
      </c>
      <c r="K5" s="1">
        <v>11</v>
      </c>
      <c r="L5" s="128">
        <v>12</v>
      </c>
      <c r="M5" s="1">
        <v>13</v>
      </c>
      <c r="N5" s="1">
        <v>14</v>
      </c>
    </row>
    <row r="6" spans="1:15" x14ac:dyDescent="0.25">
      <c r="A6" s="129"/>
      <c r="B6" s="129"/>
      <c r="C6" s="129"/>
      <c r="D6" s="129"/>
      <c r="E6" s="129"/>
      <c r="F6" s="129"/>
      <c r="G6" s="192"/>
      <c r="H6" s="192"/>
      <c r="I6" s="192"/>
      <c r="J6" s="192"/>
      <c r="K6" s="193"/>
      <c r="L6" s="193"/>
      <c r="M6" s="1"/>
      <c r="N6" s="1"/>
    </row>
    <row r="7" spans="1:15" x14ac:dyDescent="0.25">
      <c r="A7" s="128" t="s">
        <v>160</v>
      </c>
      <c r="B7" s="128">
        <v>4057102</v>
      </c>
      <c r="C7" s="129" t="s">
        <v>161</v>
      </c>
      <c r="D7" s="135">
        <v>7918000</v>
      </c>
      <c r="E7" s="135">
        <v>80000</v>
      </c>
      <c r="F7" s="135">
        <v>7814000</v>
      </c>
      <c r="G7" s="128"/>
      <c r="H7" s="136">
        <f>D7/SUM($D7,$E7,$F7)</f>
        <v>0.50075891727801669</v>
      </c>
      <c r="I7" s="128"/>
      <c r="J7" s="136">
        <f>IF(E7="NA",0,E7/SUM($D7,$E7,$F7))</f>
        <v>5.0594485201113076E-3</v>
      </c>
      <c r="K7" s="128"/>
      <c r="L7" s="136">
        <f>F7/SUM($D7,$E7,$F7)</f>
        <v>0.494181634201872</v>
      </c>
      <c r="M7" s="1"/>
      <c r="N7" s="137">
        <f>SUM(H7:L7)</f>
        <v>1</v>
      </c>
    </row>
    <row r="8" spans="1:15" x14ac:dyDescent="0.25">
      <c r="A8" s="128" t="s">
        <v>162</v>
      </c>
      <c r="B8" s="128">
        <v>4272394</v>
      </c>
      <c r="C8" s="129" t="s">
        <v>161</v>
      </c>
      <c r="D8" s="135">
        <v>7322000</v>
      </c>
      <c r="E8" s="135">
        <v>49000</v>
      </c>
      <c r="F8" s="135">
        <v>5852000</v>
      </c>
      <c r="G8" s="128"/>
      <c r="H8" s="136">
        <f t="shared" ref="H8:H44" si="0">D8/SUM($D8,$E8,$F8)</f>
        <v>0.55373213340391747</v>
      </c>
      <c r="I8" s="128"/>
      <c r="J8" s="136">
        <f t="shared" ref="J8:J44" si="1">IF(E8="NA",0,E8/SUM($D8,$E8,$F8))</f>
        <v>3.7056643726839597E-3</v>
      </c>
      <c r="K8" s="128"/>
      <c r="L8" s="136">
        <f t="shared" ref="L8:L44" si="2">F8/SUM($D8,$E8,$F8)</f>
        <v>0.44256220222339865</v>
      </c>
      <c r="M8" s="1"/>
      <c r="N8" s="137">
        <f t="shared" ref="N8:N44" si="3">SUM(H8:L8)</f>
        <v>1</v>
      </c>
    </row>
    <row r="9" spans="1:15" x14ac:dyDescent="0.25">
      <c r="A9" s="130" t="s">
        <v>163</v>
      </c>
      <c r="B9" s="129">
        <v>4056972</v>
      </c>
      <c r="C9" s="129" t="s">
        <v>164</v>
      </c>
      <c r="D9" s="138">
        <v>5748000</v>
      </c>
      <c r="E9" s="135" t="s">
        <v>49</v>
      </c>
      <c r="F9" s="135">
        <v>5747000</v>
      </c>
      <c r="G9" s="128"/>
      <c r="H9" s="136">
        <f t="shared" si="0"/>
        <v>0.50004349717268382</v>
      </c>
      <c r="I9" s="128"/>
      <c r="J9" s="136">
        <f t="shared" si="1"/>
        <v>0</v>
      </c>
      <c r="K9" s="128"/>
      <c r="L9" s="136">
        <f t="shared" si="2"/>
        <v>0.49995650282731624</v>
      </c>
      <c r="M9" s="1"/>
      <c r="N9" s="137">
        <f t="shared" si="3"/>
        <v>1</v>
      </c>
    </row>
    <row r="10" spans="1:15" x14ac:dyDescent="0.25">
      <c r="A10" s="130" t="s">
        <v>165</v>
      </c>
      <c r="B10" s="129">
        <v>4056935</v>
      </c>
      <c r="C10" s="129" t="s">
        <v>164</v>
      </c>
      <c r="D10" s="135">
        <v>4884600</v>
      </c>
      <c r="E10" s="135" t="s">
        <v>49</v>
      </c>
      <c r="F10" s="135">
        <v>6522800</v>
      </c>
      <c r="G10" s="128"/>
      <c r="H10" s="136">
        <f t="shared" si="0"/>
        <v>0.42819573259463156</v>
      </c>
      <c r="I10" s="128"/>
      <c r="J10" s="136">
        <f t="shared" si="1"/>
        <v>0</v>
      </c>
      <c r="K10" s="128"/>
      <c r="L10" s="136">
        <f t="shared" si="2"/>
        <v>0.57180426740536849</v>
      </c>
      <c r="M10" s="1"/>
      <c r="N10" s="137">
        <f t="shared" si="3"/>
        <v>1</v>
      </c>
      <c r="O10" s="139"/>
    </row>
    <row r="11" spans="1:15" x14ac:dyDescent="0.25">
      <c r="A11" s="140" t="s">
        <v>166</v>
      </c>
      <c r="B11" s="129">
        <v>4057026</v>
      </c>
      <c r="C11" s="129" t="s">
        <v>164</v>
      </c>
      <c r="D11" s="135">
        <v>3904600</v>
      </c>
      <c r="E11" s="135" t="s">
        <v>49</v>
      </c>
      <c r="F11" s="135">
        <v>4145000</v>
      </c>
      <c r="G11" s="128"/>
      <c r="H11" s="136">
        <f t="shared" si="0"/>
        <v>0.48506758099781355</v>
      </c>
      <c r="I11" s="128"/>
      <c r="J11" s="136">
        <f t="shared" si="1"/>
        <v>0</v>
      </c>
      <c r="K11" s="128"/>
      <c r="L11" s="136">
        <f t="shared" si="2"/>
        <v>0.51493241900218645</v>
      </c>
      <c r="M11" s="1"/>
      <c r="N11" s="137">
        <f t="shared" si="3"/>
        <v>1</v>
      </c>
      <c r="O11" s="141"/>
    </row>
    <row r="12" spans="1:15" x14ac:dyDescent="0.25">
      <c r="A12" s="130" t="s">
        <v>167</v>
      </c>
      <c r="B12" s="129">
        <v>4057015</v>
      </c>
      <c r="C12" s="129" t="s">
        <v>164</v>
      </c>
      <c r="D12" s="135">
        <v>3884100</v>
      </c>
      <c r="E12" s="135" t="s">
        <v>49</v>
      </c>
      <c r="F12" s="135">
        <v>3790700</v>
      </c>
      <c r="G12" s="128"/>
      <c r="H12" s="136">
        <f t="shared" si="0"/>
        <v>0.50608484911658935</v>
      </c>
      <c r="I12" s="128"/>
      <c r="J12" s="136">
        <f t="shared" si="1"/>
        <v>0</v>
      </c>
      <c r="K12" s="128"/>
      <c r="L12" s="136">
        <f t="shared" si="2"/>
        <v>0.49391515088341065</v>
      </c>
      <c r="M12" s="1"/>
      <c r="N12" s="137">
        <f t="shared" si="3"/>
        <v>1</v>
      </c>
      <c r="O12" s="141"/>
    </row>
    <row r="13" spans="1:15" x14ac:dyDescent="0.25">
      <c r="A13" s="130" t="s">
        <v>168</v>
      </c>
      <c r="B13" s="129">
        <v>4057003</v>
      </c>
      <c r="C13" s="129" t="s">
        <v>164</v>
      </c>
      <c r="D13" s="135">
        <v>3396500</v>
      </c>
      <c r="E13" s="135" t="s">
        <v>49</v>
      </c>
      <c r="F13" s="135">
        <v>3568700</v>
      </c>
      <c r="G13" s="128"/>
      <c r="H13" s="136">
        <f t="shared" si="0"/>
        <v>0.48763854591397232</v>
      </c>
      <c r="I13" s="128"/>
      <c r="J13" s="136">
        <f t="shared" si="1"/>
        <v>0</v>
      </c>
      <c r="K13" s="128"/>
      <c r="L13" s="136">
        <f t="shared" si="2"/>
        <v>0.51236145408602773</v>
      </c>
      <c r="M13" s="1"/>
      <c r="N13" s="137">
        <f t="shared" si="3"/>
        <v>1</v>
      </c>
      <c r="O13" s="142"/>
    </row>
    <row r="14" spans="1:15" x14ac:dyDescent="0.25">
      <c r="A14" s="128" t="s">
        <v>169</v>
      </c>
      <c r="B14" s="128">
        <v>4057023</v>
      </c>
      <c r="C14" s="129" t="s">
        <v>164</v>
      </c>
      <c r="D14" s="135">
        <v>2685600</v>
      </c>
      <c r="E14" s="135" t="s">
        <v>49</v>
      </c>
      <c r="F14" s="135">
        <v>2980200</v>
      </c>
      <c r="G14" s="128"/>
      <c r="H14" s="136">
        <f t="shared" si="0"/>
        <v>0.47400190617388543</v>
      </c>
      <c r="I14" s="128"/>
      <c r="J14" s="136">
        <f t="shared" si="1"/>
        <v>0</v>
      </c>
      <c r="K14" s="128"/>
      <c r="L14" s="136">
        <f t="shared" si="2"/>
        <v>0.52599809382611462</v>
      </c>
      <c r="M14" s="1"/>
      <c r="N14" s="137">
        <f t="shared" si="3"/>
        <v>1</v>
      </c>
      <c r="O14" s="143"/>
    </row>
    <row r="15" spans="1:15" x14ac:dyDescent="0.25">
      <c r="A15" s="128" t="s">
        <v>170</v>
      </c>
      <c r="B15" s="128">
        <v>4057006</v>
      </c>
      <c r="C15" s="129" t="s">
        <v>164</v>
      </c>
      <c r="D15" s="135">
        <v>990916</v>
      </c>
      <c r="E15" s="135" t="s">
        <v>49</v>
      </c>
      <c r="F15" s="135">
        <v>1213397</v>
      </c>
      <c r="G15" s="128"/>
      <c r="H15" s="136">
        <f t="shared" si="0"/>
        <v>0.44953507056393532</v>
      </c>
      <c r="I15" s="128"/>
      <c r="J15" s="136">
        <f t="shared" si="1"/>
        <v>0</v>
      </c>
      <c r="K15" s="128"/>
      <c r="L15" s="136">
        <f t="shared" si="2"/>
        <v>0.55046492943606462</v>
      </c>
      <c r="M15" s="1"/>
      <c r="N15" s="137">
        <f t="shared" si="3"/>
        <v>1</v>
      </c>
      <c r="O15" s="143"/>
    </row>
    <row r="16" spans="1:15" x14ac:dyDescent="0.25">
      <c r="A16" s="128" t="s">
        <v>171</v>
      </c>
      <c r="B16" s="128">
        <v>4057036</v>
      </c>
      <c r="C16" s="129" t="s">
        <v>172</v>
      </c>
      <c r="D16" s="135">
        <v>24906000</v>
      </c>
      <c r="E16" s="135" t="s">
        <v>49</v>
      </c>
      <c r="F16" s="135">
        <v>25150000</v>
      </c>
      <c r="G16" s="128"/>
      <c r="H16" s="136">
        <f t="shared" si="0"/>
        <v>0.49756272974268817</v>
      </c>
      <c r="I16" s="128"/>
      <c r="J16" s="136">
        <f t="shared" si="1"/>
        <v>0</v>
      </c>
      <c r="K16" s="128"/>
      <c r="L16" s="136">
        <f t="shared" si="2"/>
        <v>0.50243727025731177</v>
      </c>
      <c r="M16" s="1"/>
      <c r="N16" s="137">
        <f t="shared" si="3"/>
        <v>1</v>
      </c>
      <c r="O16" s="143"/>
    </row>
    <row r="17" spans="1:15" x14ac:dyDescent="0.25">
      <c r="A17" s="128" t="s">
        <v>173</v>
      </c>
      <c r="B17" s="128">
        <v>4004320</v>
      </c>
      <c r="C17" s="129" t="s">
        <v>172</v>
      </c>
      <c r="D17" s="135">
        <v>17840000</v>
      </c>
      <c r="E17" s="135" t="s">
        <v>49</v>
      </c>
      <c r="F17" s="135">
        <v>17597000</v>
      </c>
      <c r="G17" s="128"/>
      <c r="H17" s="136">
        <f t="shared" si="0"/>
        <v>0.50342861980415954</v>
      </c>
      <c r="I17" s="128"/>
      <c r="J17" s="136">
        <f t="shared" si="1"/>
        <v>0</v>
      </c>
      <c r="K17" s="128"/>
      <c r="L17" s="136">
        <f t="shared" si="2"/>
        <v>0.49657138019584052</v>
      </c>
      <c r="M17" s="1"/>
      <c r="N17" s="137">
        <f t="shared" si="3"/>
        <v>1</v>
      </c>
      <c r="O17" s="143"/>
    </row>
    <row r="18" spans="1:15" x14ac:dyDescent="0.25">
      <c r="A18" s="128" t="s">
        <v>174</v>
      </c>
      <c r="B18" s="128">
        <v>4057103</v>
      </c>
      <c r="C18" s="129" t="s">
        <v>172</v>
      </c>
      <c r="D18" s="135">
        <v>1107506</v>
      </c>
      <c r="E18" s="135" t="s">
        <v>49</v>
      </c>
      <c r="F18" s="135">
        <v>933034</v>
      </c>
      <c r="G18" s="128"/>
      <c r="H18" s="136">
        <f t="shared" si="0"/>
        <v>0.54275142854342473</v>
      </c>
      <c r="I18" s="128"/>
      <c r="J18" s="136">
        <f t="shared" si="1"/>
        <v>0</v>
      </c>
      <c r="K18" s="128"/>
      <c r="L18" s="136">
        <f t="shared" si="2"/>
        <v>0.45724857145657521</v>
      </c>
      <c r="M18" s="1"/>
      <c r="N18" s="137">
        <f t="shared" si="3"/>
        <v>1</v>
      </c>
      <c r="O18" s="143"/>
    </row>
    <row r="19" spans="1:15" x14ac:dyDescent="0.25">
      <c r="A19" s="128" t="s">
        <v>175</v>
      </c>
      <c r="B19" s="128">
        <v>4004192</v>
      </c>
      <c r="C19" s="129" t="s">
        <v>172</v>
      </c>
      <c r="D19" s="135">
        <v>11971000</v>
      </c>
      <c r="E19" s="135" t="s">
        <v>49</v>
      </c>
      <c r="F19" s="135">
        <v>12878000</v>
      </c>
      <c r="G19" s="128"/>
      <c r="H19" s="136">
        <f t="shared" si="0"/>
        <v>0.48174976860235824</v>
      </c>
      <c r="I19" s="128"/>
      <c r="J19" s="136">
        <f t="shared" si="1"/>
        <v>0</v>
      </c>
      <c r="K19" s="128"/>
      <c r="L19" s="136">
        <f t="shared" si="2"/>
        <v>0.5182502313976417</v>
      </c>
      <c r="M19" s="1"/>
      <c r="N19" s="137">
        <f t="shared" si="3"/>
        <v>1</v>
      </c>
      <c r="O19" s="143"/>
    </row>
    <row r="20" spans="1:15" x14ac:dyDescent="0.25">
      <c r="A20" s="128" t="s">
        <v>176</v>
      </c>
      <c r="B20" s="128">
        <v>4056998</v>
      </c>
      <c r="C20" s="129" t="s">
        <v>172</v>
      </c>
      <c r="D20" s="135">
        <v>10981000</v>
      </c>
      <c r="E20" s="135" t="s">
        <v>49</v>
      </c>
      <c r="F20" s="135">
        <v>10628000</v>
      </c>
      <c r="G20" s="128"/>
      <c r="H20" s="136">
        <f t="shared" si="0"/>
        <v>0.50816789300754317</v>
      </c>
      <c r="I20" s="128"/>
      <c r="J20" s="136">
        <f t="shared" si="1"/>
        <v>0</v>
      </c>
      <c r="K20" s="128"/>
      <c r="L20" s="136">
        <f t="shared" si="2"/>
        <v>0.49183210699245683</v>
      </c>
      <c r="M20" s="1"/>
      <c r="N20" s="137">
        <f t="shared" si="3"/>
        <v>1</v>
      </c>
      <c r="O20" s="143"/>
    </row>
    <row r="21" spans="1:15" x14ac:dyDescent="0.25">
      <c r="A21" s="128" t="s">
        <v>177</v>
      </c>
      <c r="B21" s="128">
        <v>4062444</v>
      </c>
      <c r="C21" s="129" t="s">
        <v>172</v>
      </c>
      <c r="D21" s="135">
        <v>5526000</v>
      </c>
      <c r="E21" s="135" t="s">
        <v>49</v>
      </c>
      <c r="F21" s="135">
        <v>4837000</v>
      </c>
      <c r="G21" s="128"/>
      <c r="H21" s="136">
        <f t="shared" si="0"/>
        <v>0.53324326932355492</v>
      </c>
      <c r="I21" s="128"/>
      <c r="J21" s="136">
        <f t="shared" si="1"/>
        <v>0</v>
      </c>
      <c r="K21" s="128"/>
      <c r="L21" s="136">
        <f t="shared" si="2"/>
        <v>0.46675673067644502</v>
      </c>
      <c r="M21" s="1"/>
      <c r="N21" s="137">
        <f t="shared" si="3"/>
        <v>1</v>
      </c>
      <c r="O21" s="143"/>
    </row>
    <row r="22" spans="1:15" x14ac:dyDescent="0.25">
      <c r="A22" s="130" t="s">
        <v>178</v>
      </c>
      <c r="B22" s="129">
        <v>4057079</v>
      </c>
      <c r="C22" s="129" t="s">
        <v>172</v>
      </c>
      <c r="D22" s="135">
        <v>5459000</v>
      </c>
      <c r="E22" s="135" t="s">
        <v>49</v>
      </c>
      <c r="F22" s="135">
        <v>4172000</v>
      </c>
      <c r="G22" s="128"/>
      <c r="H22" s="136">
        <f t="shared" si="0"/>
        <v>0.56681549164157408</v>
      </c>
      <c r="I22" s="128"/>
      <c r="J22" s="136">
        <f t="shared" si="1"/>
        <v>0</v>
      </c>
      <c r="K22" s="128"/>
      <c r="L22" s="136">
        <f t="shared" si="2"/>
        <v>0.43318450835842592</v>
      </c>
      <c r="M22" s="1"/>
      <c r="N22" s="137">
        <f t="shared" si="3"/>
        <v>1</v>
      </c>
      <c r="O22" s="143"/>
    </row>
    <row r="23" spans="1:15" x14ac:dyDescent="0.25">
      <c r="A23" s="140" t="s">
        <v>179</v>
      </c>
      <c r="B23" s="129">
        <v>4009083</v>
      </c>
      <c r="C23" s="129" t="s">
        <v>180</v>
      </c>
      <c r="D23" s="135">
        <v>19531000</v>
      </c>
      <c r="E23" s="135">
        <v>2220000</v>
      </c>
      <c r="F23" s="135">
        <v>31689000</v>
      </c>
      <c r="G23" s="128"/>
      <c r="H23" s="136">
        <f t="shared" si="0"/>
        <v>0.36547529940119761</v>
      </c>
      <c r="I23" s="128"/>
      <c r="J23" s="136">
        <f t="shared" si="1"/>
        <v>4.1541916167664672E-2</v>
      </c>
      <c r="K23" s="128"/>
      <c r="L23" s="136">
        <f t="shared" si="2"/>
        <v>0.59298278443113772</v>
      </c>
      <c r="M23" s="1"/>
      <c r="N23" s="137">
        <f t="shared" si="3"/>
        <v>1</v>
      </c>
      <c r="O23" s="143"/>
    </row>
    <row r="24" spans="1:15" x14ac:dyDescent="0.25">
      <c r="A24" s="140" t="s">
        <v>181</v>
      </c>
      <c r="B24" s="11">
        <v>4056995</v>
      </c>
      <c r="C24" s="129" t="s">
        <v>182</v>
      </c>
      <c r="D24" s="135">
        <v>4448837</v>
      </c>
      <c r="E24" s="135" t="s">
        <v>49</v>
      </c>
      <c r="F24" s="135">
        <v>5223770</v>
      </c>
      <c r="G24" s="128"/>
      <c r="H24" s="136">
        <f t="shared" si="0"/>
        <v>0.45994187502914158</v>
      </c>
      <c r="I24" s="128"/>
      <c r="J24" s="136">
        <f t="shared" si="1"/>
        <v>0</v>
      </c>
      <c r="K24" s="128"/>
      <c r="L24" s="136">
        <f t="shared" si="2"/>
        <v>0.54005812497085848</v>
      </c>
      <c r="M24" s="1"/>
      <c r="N24" s="137">
        <f t="shared" si="3"/>
        <v>1</v>
      </c>
      <c r="O24" s="143"/>
    </row>
    <row r="25" spans="1:15" x14ac:dyDescent="0.25">
      <c r="A25" s="130" t="s">
        <v>183</v>
      </c>
      <c r="B25" s="129">
        <v>4112564</v>
      </c>
      <c r="C25" s="129" t="s">
        <v>182</v>
      </c>
      <c r="D25" s="135">
        <v>11556688</v>
      </c>
      <c r="E25" s="135" t="s">
        <v>49</v>
      </c>
      <c r="F25" s="135">
        <v>9958524</v>
      </c>
      <c r="G25" s="128"/>
      <c r="H25" s="136">
        <f t="shared" si="0"/>
        <v>0.53714032657451849</v>
      </c>
      <c r="I25" s="128"/>
      <c r="J25" s="136">
        <f t="shared" si="1"/>
        <v>0</v>
      </c>
      <c r="K25" s="128"/>
      <c r="L25" s="136">
        <f t="shared" si="2"/>
        <v>0.46285967342548145</v>
      </c>
      <c r="M25" s="1"/>
      <c r="N25" s="137">
        <f t="shared" si="3"/>
        <v>1</v>
      </c>
      <c r="O25" s="143"/>
    </row>
    <row r="26" spans="1:15" x14ac:dyDescent="0.25">
      <c r="A26" s="130" t="s">
        <v>184</v>
      </c>
      <c r="B26" s="129">
        <v>4199135</v>
      </c>
      <c r="C26" s="129" t="s">
        <v>182</v>
      </c>
      <c r="D26" s="135">
        <v>3302462</v>
      </c>
      <c r="E26" s="135">
        <v>38750</v>
      </c>
      <c r="F26" s="135">
        <v>3590794</v>
      </c>
      <c r="G26" s="128"/>
      <c r="H26" s="136">
        <f t="shared" si="0"/>
        <v>0.47640783923152979</v>
      </c>
      <c r="I26" s="128"/>
      <c r="J26" s="136">
        <f t="shared" si="1"/>
        <v>5.5900124725800871E-3</v>
      </c>
      <c r="K26" s="128"/>
      <c r="L26" s="136">
        <f t="shared" si="2"/>
        <v>0.51800214829589009</v>
      </c>
      <c r="M26" s="1"/>
      <c r="N26" s="137">
        <f t="shared" si="3"/>
        <v>1</v>
      </c>
      <c r="O26" s="143"/>
    </row>
    <row r="27" spans="1:15" x14ac:dyDescent="0.25">
      <c r="A27" s="130" t="s">
        <v>185</v>
      </c>
      <c r="B27" s="129">
        <v>4008616</v>
      </c>
      <c r="C27" s="129" t="s">
        <v>182</v>
      </c>
      <c r="D27" s="135">
        <v>2400786</v>
      </c>
      <c r="E27" s="135" t="s">
        <v>49</v>
      </c>
      <c r="F27" s="135">
        <v>2482982</v>
      </c>
      <c r="G27" s="128"/>
      <c r="H27" s="136">
        <f t="shared" si="0"/>
        <v>0.49158477634482228</v>
      </c>
      <c r="I27" s="128"/>
      <c r="J27" s="136">
        <f t="shared" si="1"/>
        <v>0</v>
      </c>
      <c r="K27" s="128"/>
      <c r="L27" s="136">
        <f t="shared" si="2"/>
        <v>0.50841522365517777</v>
      </c>
      <c r="M27" s="1"/>
      <c r="N27" s="137">
        <f t="shared" si="3"/>
        <v>1</v>
      </c>
      <c r="O27" s="143"/>
    </row>
    <row r="28" spans="1:15" x14ac:dyDescent="0.25">
      <c r="A28" s="130" t="s">
        <v>186</v>
      </c>
      <c r="B28" s="129">
        <v>4057085</v>
      </c>
      <c r="C28" s="129" t="s">
        <v>182</v>
      </c>
      <c r="D28" s="135">
        <v>697601</v>
      </c>
      <c r="E28" s="135" t="s">
        <v>49</v>
      </c>
      <c r="F28" s="135">
        <v>749798</v>
      </c>
      <c r="G28" s="128"/>
      <c r="H28" s="136">
        <f t="shared" si="0"/>
        <v>0.48196869004331216</v>
      </c>
      <c r="I28" s="128"/>
      <c r="J28" s="136">
        <f t="shared" si="1"/>
        <v>0</v>
      </c>
      <c r="K28" s="128"/>
      <c r="L28" s="136">
        <f t="shared" si="2"/>
        <v>0.51803130995668778</v>
      </c>
      <c r="M28" s="1"/>
      <c r="N28" s="137">
        <f t="shared" si="3"/>
        <v>1</v>
      </c>
      <c r="O28" s="143"/>
    </row>
    <row r="29" spans="1:15" x14ac:dyDescent="0.25">
      <c r="A29" s="128" t="s">
        <v>187</v>
      </c>
      <c r="B29" s="128">
        <v>4057066</v>
      </c>
      <c r="C29" s="129" t="s">
        <v>188</v>
      </c>
      <c r="D29" s="135">
        <v>5250700</v>
      </c>
      <c r="E29" s="135" t="s">
        <v>49</v>
      </c>
      <c r="F29" s="135">
        <v>4671400</v>
      </c>
      <c r="G29" s="128"/>
      <c r="H29" s="136">
        <f t="shared" si="0"/>
        <v>0.52919240886505881</v>
      </c>
      <c r="I29" s="128"/>
      <c r="J29" s="136">
        <f t="shared" si="1"/>
        <v>0</v>
      </c>
      <c r="K29" s="128"/>
      <c r="L29" s="136">
        <f t="shared" si="2"/>
        <v>0.47080759113494119</v>
      </c>
      <c r="M29" s="1"/>
      <c r="N29" s="137">
        <f t="shared" si="3"/>
        <v>1</v>
      </c>
      <c r="O29" s="143"/>
    </row>
    <row r="30" spans="1:15" x14ac:dyDescent="0.25">
      <c r="A30" s="128" t="s">
        <v>189</v>
      </c>
      <c r="B30" s="128">
        <v>4072456</v>
      </c>
      <c r="C30" s="129" t="s">
        <v>188</v>
      </c>
      <c r="D30" s="135">
        <v>3376200</v>
      </c>
      <c r="E30" s="135" t="s">
        <v>49</v>
      </c>
      <c r="F30" s="135">
        <v>3276000</v>
      </c>
      <c r="G30" s="128"/>
      <c r="H30" s="136">
        <f t="shared" si="0"/>
        <v>0.50753134301434111</v>
      </c>
      <c r="I30" s="128"/>
      <c r="J30" s="136">
        <f t="shared" si="1"/>
        <v>0</v>
      </c>
      <c r="K30" s="128"/>
      <c r="L30" s="136">
        <f t="shared" si="2"/>
        <v>0.49246865698565889</v>
      </c>
      <c r="M30" s="1"/>
      <c r="N30" s="137">
        <f t="shared" si="3"/>
        <v>1</v>
      </c>
      <c r="O30" s="143"/>
    </row>
    <row r="31" spans="1:15" x14ac:dyDescent="0.25">
      <c r="A31" s="128" t="s">
        <v>190</v>
      </c>
      <c r="B31" s="128">
        <v>4057002</v>
      </c>
      <c r="C31" s="129" t="s">
        <v>191</v>
      </c>
      <c r="D31" s="135">
        <v>3090597</v>
      </c>
      <c r="E31" s="135" t="s">
        <v>49</v>
      </c>
      <c r="F31" s="135">
        <v>3073662</v>
      </c>
      <c r="G31" s="128"/>
      <c r="H31" s="136">
        <f t="shared" si="0"/>
        <v>0.50137364442344168</v>
      </c>
      <c r="I31" s="128"/>
      <c r="J31" s="136">
        <f t="shared" si="1"/>
        <v>0</v>
      </c>
      <c r="K31" s="128"/>
      <c r="L31" s="136">
        <f t="shared" si="2"/>
        <v>0.49862635557655838</v>
      </c>
      <c r="M31" s="1"/>
      <c r="N31" s="137">
        <f t="shared" si="3"/>
        <v>1</v>
      </c>
      <c r="O31" s="143"/>
    </row>
    <row r="32" spans="1:15" x14ac:dyDescent="0.25">
      <c r="A32" s="128" t="s">
        <v>192</v>
      </c>
      <c r="B32" s="128">
        <v>4057087</v>
      </c>
      <c r="C32" s="129" t="s">
        <v>193</v>
      </c>
      <c r="D32" s="135">
        <v>4461000</v>
      </c>
      <c r="E32" s="135" t="s">
        <v>49</v>
      </c>
      <c r="F32" s="135">
        <v>4155000</v>
      </c>
      <c r="G32" s="128"/>
      <c r="H32" s="136">
        <f t="shared" si="0"/>
        <v>0.51775766016713087</v>
      </c>
      <c r="I32" s="128"/>
      <c r="J32" s="136">
        <f t="shared" si="1"/>
        <v>0</v>
      </c>
      <c r="K32" s="128"/>
      <c r="L32" s="136">
        <f t="shared" si="2"/>
        <v>0.48224233983286907</v>
      </c>
      <c r="M32" s="1"/>
      <c r="N32" s="137">
        <f t="shared" si="3"/>
        <v>1</v>
      </c>
      <c r="O32" s="143"/>
    </row>
    <row r="33" spans="1:15" x14ac:dyDescent="0.25">
      <c r="A33" s="128" t="s">
        <v>194</v>
      </c>
      <c r="B33" s="128">
        <v>4008669</v>
      </c>
      <c r="C33" s="129" t="s">
        <v>193</v>
      </c>
      <c r="D33" s="135">
        <v>4101000</v>
      </c>
      <c r="E33" s="135" t="s">
        <v>49</v>
      </c>
      <c r="F33" s="135">
        <v>3593000</v>
      </c>
      <c r="G33" s="128"/>
      <c r="H33" s="136">
        <f t="shared" si="0"/>
        <v>0.5330127371978165</v>
      </c>
      <c r="I33" s="128"/>
      <c r="J33" s="136">
        <f t="shared" si="1"/>
        <v>0</v>
      </c>
      <c r="K33" s="128"/>
      <c r="L33" s="136">
        <f t="shared" si="2"/>
        <v>0.4669872628021835</v>
      </c>
      <c r="M33" s="1"/>
      <c r="N33" s="137">
        <f t="shared" si="3"/>
        <v>1</v>
      </c>
      <c r="O33" s="143"/>
    </row>
    <row r="34" spans="1:15" x14ac:dyDescent="0.25">
      <c r="A34" s="128" t="s">
        <v>195</v>
      </c>
      <c r="B34" s="128">
        <v>4057016</v>
      </c>
      <c r="C34" s="129" t="s">
        <v>196</v>
      </c>
      <c r="D34" s="135">
        <v>5326400</v>
      </c>
      <c r="E34" s="135" t="s">
        <v>49</v>
      </c>
      <c r="F34" s="135">
        <v>4679400</v>
      </c>
      <c r="G34" s="128"/>
      <c r="H34" s="136">
        <f t="shared" si="0"/>
        <v>0.53233124787623176</v>
      </c>
      <c r="I34" s="128"/>
      <c r="J34" s="136">
        <f t="shared" si="1"/>
        <v>0</v>
      </c>
      <c r="K34" s="128"/>
      <c r="L34" s="136">
        <f t="shared" si="2"/>
        <v>0.46766875212376824</v>
      </c>
      <c r="M34" s="1"/>
      <c r="N34" s="137">
        <f t="shared" si="3"/>
        <v>1</v>
      </c>
      <c r="O34" s="143"/>
    </row>
    <row r="35" spans="1:15" x14ac:dyDescent="0.25">
      <c r="A35" s="128" t="s">
        <v>197</v>
      </c>
      <c r="B35" s="128">
        <v>4056974</v>
      </c>
      <c r="C35" s="129" t="s">
        <v>198</v>
      </c>
      <c r="D35" s="135">
        <v>8273165</v>
      </c>
      <c r="E35" s="135" t="s">
        <v>49</v>
      </c>
      <c r="F35" s="135">
        <v>9110790</v>
      </c>
      <c r="G35" s="128"/>
      <c r="H35" s="136">
        <f t="shared" si="0"/>
        <v>0.47590810031434161</v>
      </c>
      <c r="I35" s="128"/>
      <c r="J35" s="136">
        <f t="shared" si="1"/>
        <v>0</v>
      </c>
      <c r="K35" s="128"/>
      <c r="L35" s="136">
        <f t="shared" si="2"/>
        <v>0.52409189968565839</v>
      </c>
      <c r="M35" s="1"/>
      <c r="N35" s="137">
        <f t="shared" si="3"/>
        <v>1</v>
      </c>
      <c r="O35" s="143"/>
    </row>
    <row r="36" spans="1:15" x14ac:dyDescent="0.25">
      <c r="A36" s="128" t="s">
        <v>199</v>
      </c>
      <c r="B36" s="129">
        <v>4057019</v>
      </c>
      <c r="C36" s="129" t="s">
        <v>200</v>
      </c>
      <c r="D36" s="135">
        <v>3794000</v>
      </c>
      <c r="E36" s="135" t="s">
        <v>49</v>
      </c>
      <c r="F36" s="135">
        <v>5139000</v>
      </c>
      <c r="G36" s="128"/>
      <c r="H36" s="136">
        <f t="shared" si="0"/>
        <v>0.42471734019926116</v>
      </c>
      <c r="I36" s="128"/>
      <c r="J36" s="136">
        <f t="shared" si="1"/>
        <v>0</v>
      </c>
      <c r="K36" s="128"/>
      <c r="L36" s="136">
        <f t="shared" si="2"/>
        <v>0.57528265980073878</v>
      </c>
      <c r="M36" s="1"/>
      <c r="N36" s="137">
        <f t="shared" si="3"/>
        <v>1</v>
      </c>
      <c r="O36" s="143"/>
    </row>
    <row r="37" spans="1:15" x14ac:dyDescent="0.25">
      <c r="A37" s="128" t="s">
        <v>201</v>
      </c>
      <c r="B37" s="129">
        <v>4004152</v>
      </c>
      <c r="C37" s="129" t="s">
        <v>202</v>
      </c>
      <c r="D37" s="135">
        <v>23681000</v>
      </c>
      <c r="E37" s="135" t="s">
        <v>49</v>
      </c>
      <c r="F37" s="135">
        <v>19678000</v>
      </c>
      <c r="G37" s="128"/>
      <c r="H37" s="136">
        <f t="shared" si="0"/>
        <v>0.54616111995202843</v>
      </c>
      <c r="I37" s="128"/>
      <c r="J37" s="136">
        <f t="shared" si="1"/>
        <v>0</v>
      </c>
      <c r="K37" s="128"/>
      <c r="L37" s="136">
        <f t="shared" si="2"/>
        <v>0.45383888004797157</v>
      </c>
      <c r="M37" s="1"/>
      <c r="N37" s="137">
        <f t="shared" si="3"/>
        <v>1</v>
      </c>
      <c r="O37" s="143"/>
    </row>
    <row r="38" spans="1:15" x14ac:dyDescent="0.25">
      <c r="A38" s="128" t="s">
        <v>203</v>
      </c>
      <c r="B38" s="129">
        <v>4014956</v>
      </c>
      <c r="C38" s="129" t="s">
        <v>202</v>
      </c>
      <c r="D38" s="135">
        <v>13088000</v>
      </c>
      <c r="E38" s="135" t="s">
        <v>49</v>
      </c>
      <c r="F38" s="135">
        <v>11244000</v>
      </c>
      <c r="G38" s="128"/>
      <c r="H38" s="136">
        <f t="shared" si="0"/>
        <v>0.53789248725957584</v>
      </c>
      <c r="I38" s="128"/>
      <c r="J38" s="136">
        <f t="shared" si="1"/>
        <v>0</v>
      </c>
      <c r="K38" s="128"/>
      <c r="L38" s="136">
        <f t="shared" si="2"/>
        <v>0.46210751274042411</v>
      </c>
      <c r="M38" s="1"/>
      <c r="N38" s="137">
        <f t="shared" si="3"/>
        <v>1</v>
      </c>
      <c r="O38" s="143"/>
    </row>
    <row r="39" spans="1:15" x14ac:dyDescent="0.25">
      <c r="A39" s="128" t="s">
        <v>204</v>
      </c>
      <c r="B39" s="129">
        <v>4057010</v>
      </c>
      <c r="C39" s="129" t="s">
        <v>202</v>
      </c>
      <c r="D39" s="135">
        <v>2089000</v>
      </c>
      <c r="E39" s="135" t="s">
        <v>49</v>
      </c>
      <c r="F39" s="135">
        <v>1701000</v>
      </c>
      <c r="G39" s="128"/>
      <c r="H39" s="136">
        <f t="shared" si="0"/>
        <v>0.5511873350923483</v>
      </c>
      <c r="I39" s="128"/>
      <c r="J39" s="136">
        <f t="shared" si="1"/>
        <v>0</v>
      </c>
      <c r="K39" s="128"/>
      <c r="L39" s="136">
        <f t="shared" si="2"/>
        <v>0.4488126649076517</v>
      </c>
      <c r="M39" s="1"/>
      <c r="N39" s="137">
        <f t="shared" si="3"/>
        <v>1</v>
      </c>
      <c r="O39" s="143"/>
    </row>
    <row r="40" spans="1:15" x14ac:dyDescent="0.25">
      <c r="A40" s="121" t="s">
        <v>237</v>
      </c>
      <c r="B40" s="135">
        <v>4057028</v>
      </c>
      <c r="C40" s="135" t="s">
        <v>224</v>
      </c>
      <c r="D40" s="135">
        <v>1365189</v>
      </c>
      <c r="E40" s="135" t="s">
        <v>49</v>
      </c>
      <c r="F40" s="135">
        <v>1475990</v>
      </c>
      <c r="G40" s="128"/>
      <c r="H40" s="136">
        <f t="shared" ref="H40" si="4">D40/SUM($D40,$E40,$F40)</f>
        <v>0.48050087657271856</v>
      </c>
      <c r="I40" s="128"/>
      <c r="J40" s="136">
        <f t="shared" ref="J40" si="5">IF(E40="NA",0,E40/SUM($D40,$E40,$F40))</f>
        <v>0</v>
      </c>
      <c r="K40" s="128"/>
      <c r="L40" s="136">
        <f t="shared" ref="L40" si="6">F40/SUM($D40,$E40,$F40)</f>
        <v>0.51949912342728144</v>
      </c>
      <c r="M40" s="1"/>
      <c r="N40" s="137">
        <f t="shared" ref="N40" si="7">SUM(H40:L40)</f>
        <v>1</v>
      </c>
      <c r="O40" s="143"/>
    </row>
    <row r="41" spans="1:15" x14ac:dyDescent="0.25">
      <c r="A41" s="1" t="s">
        <v>205</v>
      </c>
      <c r="B41" s="144">
        <v>4057094</v>
      </c>
      <c r="C41" s="145" t="s">
        <v>206</v>
      </c>
      <c r="D41" s="135">
        <v>10735000</v>
      </c>
      <c r="E41" s="135" t="s">
        <v>49</v>
      </c>
      <c r="F41" s="135">
        <v>9036000</v>
      </c>
      <c r="G41" s="1"/>
      <c r="H41" s="136">
        <f t="shared" si="0"/>
        <v>0.54296697182742404</v>
      </c>
      <c r="I41" s="128"/>
      <c r="J41" s="136">
        <f t="shared" si="1"/>
        <v>0</v>
      </c>
      <c r="K41" s="128"/>
      <c r="L41" s="136">
        <f t="shared" si="2"/>
        <v>0.45703302817257602</v>
      </c>
      <c r="M41" s="1"/>
      <c r="N41" s="137">
        <f t="shared" si="3"/>
        <v>1</v>
      </c>
      <c r="O41" s="143"/>
    </row>
    <row r="42" spans="1:15" x14ac:dyDescent="0.25">
      <c r="A42" s="128" t="s">
        <v>207</v>
      </c>
      <c r="B42" s="129">
        <v>4057754</v>
      </c>
      <c r="C42" s="129" t="s">
        <v>206</v>
      </c>
      <c r="D42" s="135">
        <v>9272000</v>
      </c>
      <c r="E42" s="135" t="s">
        <v>49</v>
      </c>
      <c r="F42" s="135">
        <v>8437000</v>
      </c>
      <c r="G42" s="128"/>
      <c r="H42" s="136">
        <f t="shared" si="0"/>
        <v>0.5235755830368739</v>
      </c>
      <c r="I42" s="128"/>
      <c r="J42" s="136">
        <f t="shared" si="1"/>
        <v>0</v>
      </c>
      <c r="K42" s="128"/>
      <c r="L42" s="136">
        <f t="shared" si="2"/>
        <v>0.4764244169631261</v>
      </c>
      <c r="M42" s="1"/>
      <c r="N42" s="137">
        <f t="shared" si="3"/>
        <v>1</v>
      </c>
      <c r="O42" s="143"/>
    </row>
    <row r="43" spans="1:15" x14ac:dyDescent="0.25">
      <c r="A43" s="128" t="s">
        <v>208</v>
      </c>
      <c r="B43" s="129">
        <v>4057027</v>
      </c>
      <c r="C43" s="129" t="s">
        <v>206</v>
      </c>
      <c r="D43" s="135">
        <v>4238000</v>
      </c>
      <c r="E43" s="135" t="s">
        <v>49</v>
      </c>
      <c r="F43" s="135">
        <v>3922000</v>
      </c>
      <c r="G43" s="128"/>
      <c r="H43" s="136">
        <f t="shared" si="0"/>
        <v>0.51936274509803926</v>
      </c>
      <c r="I43" s="128"/>
      <c r="J43" s="136">
        <f t="shared" si="1"/>
        <v>0</v>
      </c>
      <c r="K43" s="128"/>
      <c r="L43" s="136">
        <f t="shared" si="2"/>
        <v>0.4806372549019608</v>
      </c>
      <c r="M43" s="1"/>
      <c r="N43" s="137">
        <f t="shared" si="3"/>
        <v>1</v>
      </c>
      <c r="O43" s="143"/>
    </row>
    <row r="44" spans="1:15" x14ac:dyDescent="0.25">
      <c r="A44" s="128" t="s">
        <v>207</v>
      </c>
      <c r="B44" s="128">
        <v>4061925</v>
      </c>
      <c r="C44" s="129" t="s">
        <v>206</v>
      </c>
      <c r="D44" s="135">
        <v>1617000</v>
      </c>
      <c r="E44" s="135" t="s">
        <v>49</v>
      </c>
      <c r="F44" s="135">
        <v>1406000</v>
      </c>
      <c r="G44" s="128"/>
      <c r="H44" s="136">
        <f t="shared" si="0"/>
        <v>0.53489910684750253</v>
      </c>
      <c r="I44" s="128"/>
      <c r="J44" s="136">
        <f t="shared" si="1"/>
        <v>0</v>
      </c>
      <c r="K44" s="128"/>
      <c r="L44" s="136">
        <f t="shared" si="2"/>
        <v>0.46510089315249753</v>
      </c>
      <c r="M44" s="1"/>
      <c r="N44" s="137">
        <f t="shared" si="3"/>
        <v>1</v>
      </c>
      <c r="O44" s="143"/>
    </row>
    <row r="45" spans="1:15" x14ac:dyDescent="0.25">
      <c r="D45" s="146"/>
      <c r="E45" s="141"/>
      <c r="F45" s="143"/>
      <c r="G45" s="143"/>
      <c r="H45" s="143"/>
    </row>
    <row r="46" spans="1:15" x14ac:dyDescent="0.25">
      <c r="D46" s="146"/>
      <c r="E46" s="141"/>
      <c r="F46" s="143"/>
      <c r="G46" s="143"/>
      <c r="H46" s="143"/>
    </row>
    <row r="47" spans="1:15" x14ac:dyDescent="0.25">
      <c r="D47" s="146"/>
      <c r="E47" s="141"/>
      <c r="F47" s="143"/>
      <c r="G47" s="143"/>
      <c r="H47" s="143"/>
    </row>
    <row r="48" spans="1:15" x14ac:dyDescent="0.25">
      <c r="D48" s="146"/>
      <c r="E48" s="141"/>
      <c r="F48" s="143"/>
      <c r="G48" s="143"/>
      <c r="H48" s="143"/>
    </row>
    <row r="49" spans="4:8" x14ac:dyDescent="0.25">
      <c r="D49" s="146"/>
      <c r="E49" s="141"/>
      <c r="F49" s="143"/>
      <c r="G49" s="143"/>
      <c r="H49" s="143"/>
    </row>
    <row r="50" spans="4:8" x14ac:dyDescent="0.25">
      <c r="D50" s="146"/>
      <c r="E50" s="141"/>
      <c r="F50" s="143"/>
      <c r="G50" s="143"/>
      <c r="H50" s="143"/>
    </row>
    <row r="51" spans="4:8" x14ac:dyDescent="0.25">
      <c r="D51" s="146"/>
      <c r="E51" s="141"/>
      <c r="F51" s="143"/>
      <c r="G51" s="143"/>
      <c r="H51" s="143"/>
    </row>
    <row r="52" spans="4:8" x14ac:dyDescent="0.25">
      <c r="D52" s="146"/>
      <c r="E52" s="141"/>
      <c r="F52" s="143"/>
      <c r="G52" s="143"/>
      <c r="H52" s="143"/>
    </row>
    <row r="53" spans="4:8" x14ac:dyDescent="0.25">
      <c r="D53" s="146"/>
      <c r="E53" s="141"/>
      <c r="F53" s="143"/>
      <c r="G53" s="143"/>
      <c r="H53" s="143"/>
    </row>
  </sheetData>
  <mergeCells count="12">
    <mergeCell ref="G4:H4"/>
    <mergeCell ref="I4:J4"/>
    <mergeCell ref="K4:L4"/>
    <mergeCell ref="G6:H6"/>
    <mergeCell ref="I6:J6"/>
    <mergeCell ref="K6:L6"/>
    <mergeCell ref="G1:H1"/>
    <mergeCell ref="I1:J1"/>
    <mergeCell ref="K1:L1"/>
    <mergeCell ref="G3:H3"/>
    <mergeCell ref="I3:J3"/>
    <mergeCell ref="K3:L3"/>
  </mergeCells>
  <pageMargins left="0.7" right="0.7" top="0.75" bottom="0.75" header="0.3" footer="0.3"/>
  <pageSetup scale="60" orientation="landscape" verticalDpi="1200" r:id="rId1"/>
  <headerFooter>
    <oddHeader>&amp;R&amp;A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9CD2-897A-400F-B8C0-DD12A40E8B22}">
  <dimension ref="A1:HO150"/>
  <sheetViews>
    <sheetView view="pageBreakPreview" zoomScale="60" zoomScaleNormal="60" workbookViewId="0"/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9.5703125" style="54" customWidth="1"/>
    <col min="4" max="4" width="3" style="54" customWidth="1"/>
    <col min="5" max="5" width="19.5703125" style="54" customWidth="1"/>
    <col min="6" max="6" width="3" style="54" customWidth="1"/>
    <col min="7" max="7" width="19.5703125" style="54" customWidth="1"/>
    <col min="8" max="8" width="3" style="54" customWidth="1"/>
    <col min="9" max="9" width="18.7109375" style="54" customWidth="1"/>
    <col min="10" max="10" width="1.85546875" style="54" customWidth="1"/>
    <col min="11" max="11" width="19.85546875" style="54" customWidth="1"/>
    <col min="12" max="12" width="1.85546875" style="54" customWidth="1"/>
    <col min="13" max="13" width="19" style="54" customWidth="1"/>
    <col min="14" max="14" width="2.140625" style="54" customWidth="1"/>
    <col min="15" max="16" width="3" style="54" customWidth="1"/>
    <col min="17" max="17" width="50.42578125" style="54" bestFit="1" customWidth="1"/>
    <col min="18" max="18" width="4.140625" style="54" customWidth="1"/>
    <col min="19" max="19" width="16.5703125" style="54" customWidth="1"/>
    <col min="20" max="20" width="3.28515625" style="54" customWidth="1"/>
    <col min="21" max="21" width="15.85546875" style="54" customWidth="1"/>
    <col min="22" max="22" width="3.42578125" style="54" customWidth="1"/>
    <col min="23" max="23" width="13" style="54" customWidth="1"/>
    <col min="24" max="24" width="3.42578125" style="54" customWidth="1"/>
    <col min="25" max="25" width="12.85546875" style="54" bestFit="1" customWidth="1"/>
    <col min="26" max="26" width="2.42578125" style="54" bestFit="1" customWidth="1"/>
    <col min="27" max="27" width="12.85546875" style="54" bestFit="1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16384" width="8.7109375" style="54"/>
  </cols>
  <sheetData>
    <row r="1" spans="1:29" ht="16.5" customHeight="1" x14ac:dyDescent="0.2">
      <c r="A1" s="147"/>
    </row>
    <row r="2" spans="1:29" ht="16.5" customHeight="1" x14ac:dyDescent="0.2">
      <c r="A2" s="147"/>
      <c r="C2" s="147"/>
      <c r="E2" s="147"/>
      <c r="G2" s="147"/>
    </row>
    <row r="3" spans="1:29" ht="16.5" customHeight="1" x14ac:dyDescent="0.2">
      <c r="A3" s="147"/>
      <c r="C3" s="147"/>
      <c r="E3" s="147"/>
      <c r="G3" s="147"/>
    </row>
    <row r="4" spans="1:29" ht="16.5" customHeight="1" thickBot="1" x14ac:dyDescent="0.25">
      <c r="A4" s="147"/>
    </row>
    <row r="5" spans="1:29" ht="15" x14ac:dyDescent="0.35">
      <c r="A5" s="148" t="s">
        <v>136</v>
      </c>
    </row>
    <row r="6" spans="1:29" ht="15" customHeight="1" thickBot="1" x14ac:dyDescent="0.25">
      <c r="A6" s="149" t="s">
        <v>193</v>
      </c>
      <c r="C6" s="194" t="s">
        <v>209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Q6" s="60" t="str">
        <f>C6</f>
        <v>Alliant Energy Corp.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2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141</v>
      </c>
      <c r="C10" s="63">
        <v>2024</v>
      </c>
      <c r="D10" s="63"/>
      <c r="E10" s="63">
        <v>2023</v>
      </c>
      <c r="F10" s="63"/>
      <c r="G10" s="63">
        <v>2022</v>
      </c>
      <c r="H10" s="63"/>
      <c r="I10" s="63">
        <v>2021</v>
      </c>
      <c r="J10" s="63"/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50">
        <f>(8677+1171)*1000000</f>
        <v>9848000000</v>
      </c>
      <c r="D12" s="150"/>
      <c r="E12" s="150">
        <f>(8225+809)*1000000</f>
        <v>9034000000</v>
      </c>
      <c r="F12" s="150"/>
      <c r="G12" s="150">
        <f>(408+7668)*1000000</f>
        <v>8076000000</v>
      </c>
      <c r="H12" s="150"/>
      <c r="I12" s="150">
        <f>(633+6735)*1000000</f>
        <v>7368000000</v>
      </c>
      <c r="J12" s="150"/>
      <c r="K12" s="150">
        <f>(8+6769)*1000000</f>
        <v>6777000000</v>
      </c>
      <c r="M12" s="150">
        <f>(657.2+5533)*1000000</f>
        <v>6190200000</v>
      </c>
      <c r="S12" s="63">
        <f>C10</f>
        <v>2024</v>
      </c>
      <c r="U12" s="63">
        <f>E10</f>
        <v>2023</v>
      </c>
      <c r="V12" s="63"/>
      <c r="W12" s="63">
        <f>G10</f>
        <v>2022</v>
      </c>
      <c r="X12" s="63"/>
      <c r="Y12" s="63">
        <f>I10</f>
        <v>2021</v>
      </c>
      <c r="AA12" s="63">
        <f>K10</f>
        <v>2020</v>
      </c>
      <c r="AB12" s="63"/>
    </row>
    <row r="13" spans="1:29" ht="15" customHeight="1" x14ac:dyDescent="0.2">
      <c r="A13" s="54" t="s">
        <v>60</v>
      </c>
      <c r="B13" s="54" t="s">
        <v>61</v>
      </c>
      <c r="C13" s="151">
        <v>0</v>
      </c>
      <c r="D13" s="151"/>
      <c r="E13" s="151">
        <v>0</v>
      </c>
      <c r="F13" s="151"/>
      <c r="G13" s="151">
        <v>0</v>
      </c>
      <c r="H13" s="151"/>
      <c r="I13" s="151">
        <v>0</v>
      </c>
      <c r="J13" s="151"/>
      <c r="K13" s="151">
        <v>200000000</v>
      </c>
      <c r="M13" s="151">
        <v>200000000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152">
        <v>256690222</v>
      </c>
      <c r="D15" s="153"/>
      <c r="E15" s="152">
        <v>256096848</v>
      </c>
      <c r="F15" s="153"/>
      <c r="G15" s="153">
        <v>251134966</v>
      </c>
      <c r="H15" s="153"/>
      <c r="I15" s="153">
        <v>250474529</v>
      </c>
      <c r="J15" s="153"/>
      <c r="K15" s="153">
        <v>249868415</v>
      </c>
      <c r="M15" s="153">
        <v>245022800</v>
      </c>
    </row>
    <row r="16" spans="1:29" x14ac:dyDescent="0.2">
      <c r="A16" s="54" t="s">
        <v>6</v>
      </c>
      <c r="B16" s="54" t="s">
        <v>67</v>
      </c>
      <c r="C16" s="152">
        <f>1000000*7004</f>
        <v>7004000000</v>
      </c>
      <c r="D16" s="153"/>
      <c r="E16" s="152">
        <f>1000000*6777</f>
        <v>6777000000</v>
      </c>
      <c r="F16" s="153"/>
      <c r="G16" s="153">
        <f>6276*1000000</f>
        <v>6276000000</v>
      </c>
      <c r="H16" s="153"/>
      <c r="I16" s="153">
        <f>5990*1000000</f>
        <v>5990000000</v>
      </c>
      <c r="J16" s="153"/>
      <c r="K16" s="153">
        <f>5688*1000000</f>
        <v>5688000000</v>
      </c>
      <c r="M16" s="153">
        <v>5205100000</v>
      </c>
      <c r="Q16" s="66" t="s">
        <v>68</v>
      </c>
      <c r="R16" s="66"/>
      <c r="X16" s="66"/>
    </row>
    <row r="17" spans="1:30" x14ac:dyDescent="0.2">
      <c r="A17" s="54" t="s">
        <v>69</v>
      </c>
      <c r="B17" s="54" t="s">
        <v>66</v>
      </c>
      <c r="C17" s="54">
        <v>0</v>
      </c>
      <c r="E17" s="54">
        <v>0</v>
      </c>
      <c r="G17" s="54">
        <v>0</v>
      </c>
      <c r="I17" s="54">
        <v>0</v>
      </c>
      <c r="K17" s="54">
        <v>0</v>
      </c>
      <c r="M17" s="54">
        <v>0</v>
      </c>
      <c r="Q17" s="54" t="s">
        <v>70</v>
      </c>
      <c r="S17" s="69">
        <f>C50/1000000</f>
        <v>16852</v>
      </c>
      <c r="T17" s="69"/>
      <c r="U17" s="69">
        <f>E50/1000000</f>
        <v>15811</v>
      </c>
      <c r="V17" s="69"/>
      <c r="W17" s="69">
        <f>G50/1000000</f>
        <v>14352</v>
      </c>
      <c r="X17" s="69"/>
      <c r="Y17" s="69">
        <f>I50/1000000</f>
        <v>13358</v>
      </c>
      <c r="AA17" s="69">
        <f>K50/1000000</f>
        <v>12665</v>
      </c>
      <c r="AB17" s="69"/>
    </row>
    <row r="18" spans="1:30" x14ac:dyDescent="0.2">
      <c r="Q18" s="54" t="s">
        <v>71</v>
      </c>
      <c r="S18" s="70">
        <f>C19/1000000</f>
        <v>558</v>
      </c>
      <c r="T18" s="70"/>
      <c r="U18" s="70">
        <f>E19/1000000</f>
        <v>475</v>
      </c>
      <c r="V18" s="70"/>
      <c r="W18" s="70">
        <f>G19/1000000</f>
        <v>642</v>
      </c>
      <c r="X18" s="70"/>
      <c r="Y18" s="70">
        <f>I19/1000000</f>
        <v>515</v>
      </c>
      <c r="AA18" s="70">
        <f>K19/1000000</f>
        <v>389</v>
      </c>
      <c r="AB18" s="69"/>
    </row>
    <row r="19" spans="1:30" x14ac:dyDescent="0.2">
      <c r="A19" s="54" t="s">
        <v>72</v>
      </c>
      <c r="B19" s="54" t="s">
        <v>73</v>
      </c>
      <c r="C19" s="153">
        <f>1000000*558</f>
        <v>558000000</v>
      </c>
      <c r="D19" s="153"/>
      <c r="E19" s="153">
        <f>1000000*475</f>
        <v>475000000</v>
      </c>
      <c r="F19" s="153"/>
      <c r="G19" s="153">
        <f>642*1000000</f>
        <v>642000000</v>
      </c>
      <c r="H19" s="153"/>
      <c r="I19" s="153">
        <f>515*1000000</f>
        <v>515000000</v>
      </c>
      <c r="J19" s="153"/>
      <c r="K19" s="153">
        <f>389*1000000</f>
        <v>389000000</v>
      </c>
      <c r="M19" s="153">
        <v>337400000</v>
      </c>
      <c r="Q19" s="54" t="s">
        <v>74</v>
      </c>
      <c r="S19" s="71">
        <f>SUM(S17:S18)</f>
        <v>17410</v>
      </c>
      <c r="T19" s="71"/>
      <c r="U19" s="71">
        <f>SUM(U17:U18)</f>
        <v>16286</v>
      </c>
      <c r="V19" s="71"/>
      <c r="W19" s="71">
        <f>SUM(W17:W18)</f>
        <v>14994</v>
      </c>
      <c r="X19" s="71"/>
      <c r="Y19" s="71">
        <f>SUM(Y17:Y18)</f>
        <v>13873</v>
      </c>
      <c r="AA19" s="71">
        <f>SUM(AA17:AA18)</f>
        <v>13054</v>
      </c>
      <c r="AB19" s="69"/>
    </row>
    <row r="21" spans="1:30" x14ac:dyDescent="0.2">
      <c r="A21" s="54" t="s">
        <v>75</v>
      </c>
      <c r="B21" s="54" t="s">
        <v>76</v>
      </c>
      <c r="C21" s="65">
        <v>2.69</v>
      </c>
      <c r="D21" s="65"/>
      <c r="E21" s="65">
        <v>2.78</v>
      </c>
      <c r="F21" s="65"/>
      <c r="G21" s="65">
        <v>2.73</v>
      </c>
      <c r="H21" s="65"/>
      <c r="I21" s="65">
        <v>2.63</v>
      </c>
      <c r="J21" s="65"/>
      <c r="K21" s="65">
        <v>2.4700000000000002</v>
      </c>
      <c r="M21" s="65">
        <v>2.33</v>
      </c>
      <c r="Q21" s="66" t="s">
        <v>77</v>
      </c>
      <c r="R21" s="66"/>
      <c r="Z21" s="66"/>
    </row>
    <row r="22" spans="1:30" x14ac:dyDescent="0.2">
      <c r="A22" s="54" t="s">
        <v>78</v>
      </c>
      <c r="B22" s="54" t="s">
        <v>79</v>
      </c>
      <c r="C22" s="54">
        <v>63.63</v>
      </c>
      <c r="E22" s="54">
        <v>55.94</v>
      </c>
      <c r="G22" s="54">
        <v>65.16</v>
      </c>
      <c r="I22" s="54">
        <v>62.18</v>
      </c>
      <c r="K22" s="54">
        <v>60.164999999999999</v>
      </c>
      <c r="M22" s="54">
        <v>54.95</v>
      </c>
      <c r="Q22" s="54" t="s">
        <v>80</v>
      </c>
      <c r="S22" s="72">
        <f>(ROUND((C30/(AVERAGE(C54,E54))*100),2))</f>
        <v>4.51</v>
      </c>
      <c r="T22" s="73" t="s">
        <v>4</v>
      </c>
      <c r="U22" s="72">
        <f>(ROUND((E30/(AVERAGE(E54,G54))*100),2))</f>
        <v>4.32</v>
      </c>
      <c r="V22" s="73" t="s">
        <v>4</v>
      </c>
      <c r="W22" s="72">
        <f>(ROUND((G30/(AVERAGE(G54,I54))*100),2))</f>
        <v>3.92</v>
      </c>
      <c r="X22" s="73" t="s">
        <v>4</v>
      </c>
      <c r="Y22" s="72">
        <f>(ROUND((I30/(AVERAGE(I54,K54))*100),2))</f>
        <v>3.68</v>
      </c>
      <c r="Z22" s="73" t="s">
        <v>4</v>
      </c>
      <c r="AA22" s="72">
        <f>(ROUND((K30/(AVERAGE(K54,M54))*100),2))</f>
        <v>4.0199999999999996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47.4</v>
      </c>
      <c r="E23" s="54">
        <v>46.24</v>
      </c>
      <c r="G23" s="54">
        <v>48.06</v>
      </c>
      <c r="I23" s="54">
        <v>46.16</v>
      </c>
      <c r="K23" s="54">
        <v>39.99</v>
      </c>
      <c r="M23" s="54">
        <v>41.15</v>
      </c>
      <c r="Q23" s="54" t="s">
        <v>82</v>
      </c>
      <c r="S23" s="154"/>
      <c r="T23" s="154"/>
      <c r="U23" s="154"/>
      <c r="V23" s="154"/>
      <c r="W23" s="154"/>
      <c r="X23" s="154"/>
      <c r="Y23" s="154">
        <f>(ROUND((I36/(AVERAGE(I58,K58))*100),2))</f>
        <v>15</v>
      </c>
      <c r="Z23" s="154"/>
      <c r="AA23" s="154">
        <f>(ROUND((K36/(AVERAGE(K58,M58))*100),2))</f>
        <v>5</v>
      </c>
      <c r="AB23" s="154"/>
    </row>
    <row r="24" spans="1:30" x14ac:dyDescent="0.2">
      <c r="AC24" s="194" t="s">
        <v>1</v>
      </c>
      <c r="AD24" s="194"/>
    </row>
    <row r="25" spans="1:30" x14ac:dyDescent="0.2"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66</v>
      </c>
      <c r="C26" s="65">
        <v>1.92</v>
      </c>
      <c r="E26" s="65">
        <v>1.81</v>
      </c>
      <c r="G26" s="54">
        <v>1.71</v>
      </c>
      <c r="I26" s="54">
        <v>1.61</v>
      </c>
      <c r="K26" s="54">
        <v>1.52</v>
      </c>
      <c r="M26" s="54">
        <v>1.42</v>
      </c>
      <c r="Q26" s="54" t="s">
        <v>85</v>
      </c>
    </row>
    <row r="27" spans="1:30" x14ac:dyDescent="0.2">
      <c r="L27" s="155"/>
      <c r="N27" s="155"/>
      <c r="Q27" s="54" t="s">
        <v>86</v>
      </c>
      <c r="S27" s="72">
        <f>ROUND(((C12/C50)*100),2)</f>
        <v>58.44</v>
      </c>
      <c r="T27" s="73" t="s">
        <v>4</v>
      </c>
      <c r="U27" s="72">
        <f>ROUND(((E12/E50)*100),2)</f>
        <v>57.14</v>
      </c>
      <c r="V27" s="73" t="s">
        <v>4</v>
      </c>
      <c r="W27" s="72">
        <f>ROUND(((G12/G50)*100),2)</f>
        <v>56.27</v>
      </c>
      <c r="X27" s="73" t="s">
        <v>4</v>
      </c>
      <c r="Y27" s="72">
        <f>ROUND(((I12/I50)*100),2)</f>
        <v>55.16</v>
      </c>
      <c r="Z27" s="73" t="s">
        <v>4</v>
      </c>
      <c r="AA27" s="72">
        <f>ROUND(((K12/K50)*100),2)</f>
        <v>53.51</v>
      </c>
      <c r="AB27" s="73" t="s">
        <v>4</v>
      </c>
      <c r="AC27" s="72">
        <f>ROUND(AVERAGE(S27:AB27),2)</f>
        <v>56.1</v>
      </c>
      <c r="AD27" s="73" t="s">
        <v>4</v>
      </c>
    </row>
    <row r="28" spans="1:30" x14ac:dyDescent="0.2">
      <c r="A28" s="54" t="s">
        <v>87</v>
      </c>
      <c r="B28" s="54" t="s">
        <v>87</v>
      </c>
      <c r="C28" s="151">
        <f>75*1000000</f>
        <v>75000000</v>
      </c>
      <c r="D28" s="151"/>
      <c r="E28" s="151">
        <f>100*1000000</f>
        <v>100000000</v>
      </c>
      <c r="F28" s="151"/>
      <c r="G28" s="151">
        <f>60*1000000</f>
        <v>60000000</v>
      </c>
      <c r="H28" s="151"/>
      <c r="I28" s="151">
        <f>25*1000000</f>
        <v>25000000</v>
      </c>
      <c r="J28" s="151"/>
      <c r="K28" s="151">
        <f>55*1000000</f>
        <v>55000000</v>
      </c>
      <c r="L28" s="156"/>
      <c r="M28" s="151">
        <v>92700000</v>
      </c>
      <c r="N28" s="156"/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1.58</v>
      </c>
      <c r="AB28" s="73"/>
      <c r="AC28" s="72">
        <f>ROUND(AVERAGE(S28:AB28),2)</f>
        <v>0.32</v>
      </c>
      <c r="AD28" s="73"/>
    </row>
    <row r="29" spans="1:30" x14ac:dyDescent="0.2">
      <c r="L29" s="157"/>
      <c r="N29" s="157"/>
      <c r="Q29" s="54" t="s">
        <v>89</v>
      </c>
      <c r="S29" s="74">
        <f>ROUND(((C16/C50)*100),2)</f>
        <v>41.56</v>
      </c>
      <c r="T29" s="73"/>
      <c r="U29" s="74">
        <f>ROUND(((E16/E50)*100),2)</f>
        <v>42.86</v>
      </c>
      <c r="V29" s="73"/>
      <c r="W29" s="74">
        <f>ROUND(((G16/G50)*100),2)</f>
        <v>43.73</v>
      </c>
      <c r="X29" s="73"/>
      <c r="Y29" s="74">
        <f>ROUND(((I16/I50)*100),2)</f>
        <v>44.84</v>
      </c>
      <c r="Z29" s="73"/>
      <c r="AA29" s="74">
        <f>ROUND(((K16/K50)*100),2)</f>
        <v>44.91</v>
      </c>
      <c r="AB29" s="73"/>
      <c r="AC29" s="72">
        <f>ROUND(AVERAGE(S29:AB29),2)</f>
        <v>43.58</v>
      </c>
      <c r="AD29" s="73"/>
    </row>
    <row r="30" spans="1:30" x14ac:dyDescent="0.2">
      <c r="A30" s="54" t="s">
        <v>90</v>
      </c>
      <c r="B30" s="54" t="s">
        <v>91</v>
      </c>
      <c r="C30" s="153">
        <f>449*1000000</f>
        <v>449000000</v>
      </c>
      <c r="D30" s="153"/>
      <c r="E30" s="153">
        <f>394*1000000</f>
        <v>394000000</v>
      </c>
      <c r="F30" s="153"/>
      <c r="G30" s="153">
        <f>325*1000000</f>
        <v>325000000</v>
      </c>
      <c r="H30" s="153"/>
      <c r="I30" s="153">
        <f>277*1000000</f>
        <v>277000000</v>
      </c>
      <c r="J30" s="153"/>
      <c r="K30" s="153">
        <f>275*1000000</f>
        <v>275000000</v>
      </c>
      <c r="L30" s="157"/>
      <c r="M30" s="153">
        <v>272900000</v>
      </c>
      <c r="N30" s="157"/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L31" s="156"/>
      <c r="N31" s="156"/>
    </row>
    <row r="32" spans="1:30" x14ac:dyDescent="0.2">
      <c r="A32" s="54" t="s">
        <v>93</v>
      </c>
      <c r="B32" s="54" t="s">
        <v>94</v>
      </c>
      <c r="C32" s="153">
        <f>690*1000000</f>
        <v>690000000</v>
      </c>
      <c r="D32" s="153"/>
      <c r="E32" s="153">
        <f>703*1000000</f>
        <v>703000000</v>
      </c>
      <c r="F32" s="153"/>
      <c r="G32" s="153">
        <f>686*1000000</f>
        <v>686000000</v>
      </c>
      <c r="H32" s="153"/>
      <c r="I32" s="153">
        <f>674*1000000</f>
        <v>674000000</v>
      </c>
      <c r="J32" s="153"/>
      <c r="K32" s="153">
        <f>624*1000000</f>
        <v>624000000</v>
      </c>
      <c r="L32" s="156"/>
      <c r="M32" s="153">
        <v>567400000</v>
      </c>
      <c r="N32" s="156"/>
      <c r="Q32" s="54" t="s">
        <v>95</v>
      </c>
    </row>
    <row r="33" spans="1:30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158"/>
      <c r="M33" s="76"/>
      <c r="N33" s="158"/>
      <c r="Q33" s="54" t="s">
        <v>96</v>
      </c>
      <c r="S33" s="72">
        <f>ROUND((((C12+C19)/C56)*100),2)</f>
        <v>59.77</v>
      </c>
      <c r="T33" s="73" t="s">
        <v>4</v>
      </c>
      <c r="U33" s="72">
        <f>ROUND((((E12+E19)/E56)*100),2)</f>
        <v>58.39</v>
      </c>
      <c r="V33" s="73" t="s">
        <v>4</v>
      </c>
      <c r="W33" s="72">
        <f>ROUND((((G12+G19)/G56)*100),2)</f>
        <v>58.14</v>
      </c>
      <c r="X33" s="73" t="s">
        <v>4</v>
      </c>
      <c r="Y33" s="72">
        <f>ROUND((((I12+I19)/I56)*100),2)</f>
        <v>56.82</v>
      </c>
      <c r="Z33" s="73" t="s">
        <v>4</v>
      </c>
      <c r="AA33" s="72">
        <f>ROUND((((K12+K19)/K56)*100),2)</f>
        <v>54.9</v>
      </c>
      <c r="AB33" s="73" t="s">
        <v>4</v>
      </c>
      <c r="AC33" s="72">
        <f>ROUND(AVERAGE(S33:AB33),2)</f>
        <v>57.6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3">
        <f>690*1000000</f>
        <v>690000000</v>
      </c>
      <c r="D34" s="153"/>
      <c r="E34" s="153">
        <f>703*1000000</f>
        <v>703000000</v>
      </c>
      <c r="F34" s="153"/>
      <c r="G34" s="153">
        <f>686*1000000</f>
        <v>686000000</v>
      </c>
      <c r="H34" s="153"/>
      <c r="I34" s="153">
        <f>659*1000000</f>
        <v>659000000</v>
      </c>
      <c r="J34" s="153"/>
      <c r="K34" s="153">
        <f>614*1000000</f>
        <v>614000000</v>
      </c>
      <c r="L34" s="156"/>
      <c r="M34" s="153">
        <v>557200000</v>
      </c>
      <c r="N34" s="156"/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1.53</v>
      </c>
      <c r="AB34" s="73"/>
      <c r="AC34" s="72">
        <f>ROUND(AVERAGE(S34:AB34),2)</f>
        <v>0.31</v>
      </c>
      <c r="AD34" s="73"/>
    </row>
    <row r="35" spans="1:30" x14ac:dyDescent="0.2">
      <c r="L35" s="156"/>
      <c r="N35" s="156"/>
      <c r="Q35" s="54" t="s">
        <v>89</v>
      </c>
      <c r="S35" s="74">
        <f>ROUND((((C16)/C56)*100),2)</f>
        <v>40.229999999999997</v>
      </c>
      <c r="T35" s="73"/>
      <c r="U35" s="74">
        <f>ROUND((((E16)/E56)*100),2)</f>
        <v>41.61</v>
      </c>
      <c r="V35" s="73"/>
      <c r="W35" s="74">
        <f>ROUND((((G16)/G56)*100),2)</f>
        <v>41.86</v>
      </c>
      <c r="X35" s="73"/>
      <c r="Y35" s="74">
        <f>ROUND((((I16)/I56)*100),2)</f>
        <v>43.18</v>
      </c>
      <c r="Z35" s="73"/>
      <c r="AA35" s="74">
        <f>ROUND((((K16)/K56)*100),2)</f>
        <v>43.57</v>
      </c>
      <c r="AB35" s="73"/>
      <c r="AC35" s="72">
        <f>ROUND(AVERAGE(S35:AB35),2)</f>
        <v>42.09</v>
      </c>
      <c r="AD35" s="73"/>
    </row>
    <row r="36" spans="1:30" x14ac:dyDescent="0.2">
      <c r="A36" s="54" t="s">
        <v>99</v>
      </c>
      <c r="B36" s="54" t="s">
        <v>100</v>
      </c>
      <c r="C36" s="151">
        <v>0</v>
      </c>
      <c r="D36" s="151"/>
      <c r="E36" s="151">
        <v>0</v>
      </c>
      <c r="F36" s="151"/>
      <c r="G36" s="151">
        <v>0</v>
      </c>
      <c r="H36" s="151"/>
      <c r="I36" s="151">
        <f>15*1000000</f>
        <v>15000000</v>
      </c>
      <c r="J36" s="151"/>
      <c r="K36" s="151">
        <f>10*1000000</f>
        <v>10000000</v>
      </c>
      <c r="L36" s="156"/>
      <c r="M36" s="151">
        <v>10200000</v>
      </c>
      <c r="N36" s="156"/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L37" s="156"/>
      <c r="N37" s="156"/>
    </row>
    <row r="38" spans="1:30" x14ac:dyDescent="0.2">
      <c r="A38" s="54" t="s">
        <v>101</v>
      </c>
      <c r="B38" s="54" t="s">
        <v>102</v>
      </c>
      <c r="C38" s="153">
        <f>492*1000000</f>
        <v>492000000</v>
      </c>
      <c r="D38" s="153"/>
      <c r="E38" s="153">
        <f>456*1000000</f>
        <v>456000000</v>
      </c>
      <c r="F38" s="153"/>
      <c r="G38" s="153">
        <f>428*1000000</f>
        <v>428000000</v>
      </c>
      <c r="H38" s="153"/>
      <c r="I38" s="153">
        <f>403*1000000</f>
        <v>403000000</v>
      </c>
      <c r="J38" s="153"/>
      <c r="K38" s="153">
        <f>377*1000000</f>
        <v>377000000</v>
      </c>
      <c r="L38" s="156"/>
      <c r="M38" s="153">
        <v>337700000</v>
      </c>
      <c r="N38" s="156"/>
    </row>
    <row r="39" spans="1:30" x14ac:dyDescent="0.2">
      <c r="L39" s="156"/>
      <c r="N39" s="156"/>
    </row>
    <row r="40" spans="1:30" x14ac:dyDescent="0.2">
      <c r="A40" s="54" t="s">
        <v>103</v>
      </c>
      <c r="B40" s="54" t="s">
        <v>104</v>
      </c>
      <c r="C40" s="153">
        <f>C32</f>
        <v>690000000</v>
      </c>
      <c r="D40" s="153"/>
      <c r="E40" s="153">
        <f>E32</f>
        <v>703000000</v>
      </c>
      <c r="F40" s="153"/>
      <c r="G40" s="153">
        <f>G32</f>
        <v>686000000</v>
      </c>
      <c r="H40" s="153"/>
      <c r="I40" s="153">
        <f>I32</f>
        <v>674000000</v>
      </c>
      <c r="J40" s="153"/>
      <c r="K40" s="153">
        <f>K32</f>
        <v>624000000</v>
      </c>
      <c r="L40" s="156"/>
      <c r="M40" s="153">
        <f>M32</f>
        <v>567400000</v>
      </c>
      <c r="N40" s="153"/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153">
        <f>1167*1000000</f>
        <v>1167000000</v>
      </c>
      <c r="D41" s="153"/>
      <c r="E41" s="153">
        <f>867*1000000</f>
        <v>867000000</v>
      </c>
      <c r="F41" s="153"/>
      <c r="G41" s="153">
        <f>486*1000000</f>
        <v>486000000</v>
      </c>
      <c r="H41" s="153"/>
      <c r="I41" s="153">
        <f>582*1000000</f>
        <v>582000000</v>
      </c>
      <c r="J41" s="153"/>
      <c r="K41" s="153">
        <f>501*1000000</f>
        <v>501000000</v>
      </c>
      <c r="L41" s="159"/>
      <c r="M41" s="153">
        <v>660400000</v>
      </c>
      <c r="N41" s="159"/>
      <c r="Q41" s="66"/>
      <c r="R41" s="66"/>
    </row>
    <row r="42" spans="1:30" x14ac:dyDescent="0.2">
      <c r="A42" s="54" t="s">
        <v>108</v>
      </c>
      <c r="B42" s="54" t="s">
        <v>109</v>
      </c>
      <c r="C42" s="153">
        <f>(-547+70-13+96-103+259+12-25)*1000000</f>
        <v>-251000000</v>
      </c>
      <c r="D42" s="153"/>
      <c r="E42" s="153">
        <f>(-414+24-149+84+12)*1000000</f>
        <v>-443000000</v>
      </c>
      <c r="F42" s="153"/>
      <c r="G42" s="153">
        <f>(-672-108+22+4-102)*1000000</f>
        <v>-856000000</v>
      </c>
      <c r="H42" s="153"/>
      <c r="I42" s="153">
        <f>(-530+51-66+193-57)*1000000</f>
        <v>-409000000</v>
      </c>
      <c r="J42" s="153"/>
      <c r="K42" s="153">
        <f>(-468-130-113+171-110-20)*1000000</f>
        <v>-670000000</v>
      </c>
      <c r="L42" s="156"/>
      <c r="M42" s="153">
        <v>-484200000</v>
      </c>
      <c r="N42" s="156"/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5">
        <f>772*1000000</f>
        <v>772000000</v>
      </c>
      <c r="D43" s="65"/>
      <c r="E43" s="65">
        <f>676*1000000</f>
        <v>676000000</v>
      </c>
      <c r="F43" s="65"/>
      <c r="G43" s="65">
        <f>671*1000000</f>
        <v>671000000</v>
      </c>
      <c r="H43" s="65"/>
      <c r="I43" s="65">
        <f>657*1000000</f>
        <v>657000000</v>
      </c>
      <c r="J43" s="65"/>
      <c r="K43" s="65">
        <f>615*1000000</f>
        <v>615000000</v>
      </c>
      <c r="L43" s="156"/>
      <c r="M43" s="65">
        <v>567200000</v>
      </c>
      <c r="N43" s="156"/>
      <c r="Q43" s="54" t="s">
        <v>113</v>
      </c>
      <c r="S43" s="72">
        <f>ROUND(C21/C52,4)*100</f>
        <v>4.8500000000000005</v>
      </c>
      <c r="T43" s="73" t="s">
        <v>4</v>
      </c>
      <c r="U43" s="72">
        <f>ROUND(E21/E52,4)*100</f>
        <v>5.4399999999999995</v>
      </c>
      <c r="V43" s="73" t="s">
        <v>4</v>
      </c>
      <c r="W43" s="72">
        <f>ROUND(G21/G52,4)*100</f>
        <v>4.82</v>
      </c>
      <c r="X43" s="73" t="s">
        <v>4</v>
      </c>
      <c r="Y43" s="72">
        <f>ROUND(I21/I52,4)*100</f>
        <v>4.8599999999999994</v>
      </c>
      <c r="Z43" s="73" t="s">
        <v>4</v>
      </c>
      <c r="AA43" s="72">
        <f>ROUND(K21/K52,4)*100</f>
        <v>4.93</v>
      </c>
      <c r="AB43" s="73" t="s">
        <v>4</v>
      </c>
      <c r="AC43" s="72">
        <f>ROUND(AVERAGE(S43:AB43),2)</f>
        <v>4.9800000000000004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151">
        <f>-114*1000000</f>
        <v>-114000000</v>
      </c>
      <c r="D44" s="151"/>
      <c r="E44" s="151">
        <f>4*1000000</f>
        <v>4000000</v>
      </c>
      <c r="F44" s="151"/>
      <c r="G44" s="151">
        <f>22*1000000</f>
        <v>22000000</v>
      </c>
      <c r="H44" s="151"/>
      <c r="I44" s="151">
        <f>-74*1000000</f>
        <v>-74000000</v>
      </c>
      <c r="J44" s="151"/>
      <c r="K44" s="151">
        <f>-57*1000000</f>
        <v>-57000000</v>
      </c>
      <c r="L44" s="156"/>
      <c r="M44" s="151">
        <v>68700000</v>
      </c>
      <c r="N44" s="156"/>
      <c r="Q44" s="54" t="s">
        <v>116</v>
      </c>
      <c r="S44" s="72">
        <f>(ROUND((C52/(AVERAGE(C48,E48))*100),2))</f>
        <v>206.57</v>
      </c>
      <c r="U44" s="72">
        <f>(ROUND((E52/(AVERAGE(E48,G48))*100),2))</f>
        <v>198.59</v>
      </c>
      <c r="W44" s="72">
        <f>(ROUND((G52/(AVERAGE(G48,I48))*100),2))</f>
        <v>231.51</v>
      </c>
      <c r="Y44" s="72">
        <f>(ROUND((I52/(AVERAGE(I48,K48))*100),2))</f>
        <v>232.1</v>
      </c>
      <c r="AA44" s="72">
        <f>(ROUND((K52/(AVERAGE(K48,M48))*100),2))</f>
        <v>227.59</v>
      </c>
      <c r="AC44" s="72">
        <f>ROUND(AVERAGE(S44:AB44),2)</f>
        <v>219.27</v>
      </c>
    </row>
    <row r="45" spans="1:30" x14ac:dyDescent="0.2">
      <c r="L45" s="156"/>
      <c r="N45" s="156"/>
      <c r="Q45" s="54" t="s">
        <v>117</v>
      </c>
      <c r="S45" s="72">
        <f>ROUND(((+C26/C52)*100),2)</f>
        <v>3.46</v>
      </c>
      <c r="U45" s="72">
        <f>ROUND(((+E26/E52)*100),2)</f>
        <v>3.54</v>
      </c>
      <c r="W45" s="72">
        <f>ROUND(((+G26/G52)*100),2)</f>
        <v>3.02</v>
      </c>
      <c r="Y45" s="72">
        <f>ROUND(((+I26/I52)*100),2)</f>
        <v>2.97</v>
      </c>
      <c r="AA45" s="72">
        <f>ROUND(((+K26/K52)*100),2)</f>
        <v>3.04</v>
      </c>
      <c r="AC45" s="72">
        <f>ROUND(AVERAGE(S45:AB45),2)</f>
        <v>3.21</v>
      </c>
    </row>
    <row r="46" spans="1:30" x14ac:dyDescent="0.2">
      <c r="A46" s="54" t="s">
        <v>118</v>
      </c>
      <c r="L46" s="156"/>
      <c r="N46" s="156"/>
      <c r="Q46" s="54" t="s">
        <v>119</v>
      </c>
      <c r="S46" s="72">
        <f>ROUND(((+C38/C34)*100),2)</f>
        <v>71.3</v>
      </c>
      <c r="U46" s="72">
        <f>ROUND(((+E38/E34)*100),2)</f>
        <v>64.86</v>
      </c>
      <c r="W46" s="72">
        <f>ROUND(((+G38/G34)*100),2)</f>
        <v>62.39</v>
      </c>
      <c r="Y46" s="72">
        <f>ROUND(((+I38/I34)*100),2)</f>
        <v>61.15</v>
      </c>
      <c r="AA46" s="72">
        <f>ROUND(((+K38/K34)*100),2)</f>
        <v>61.4</v>
      </c>
      <c r="AC46" s="72">
        <f>ROUND(AVERAGE(S46:AB46),2)</f>
        <v>64.22</v>
      </c>
    </row>
    <row r="47" spans="1:30" x14ac:dyDescent="0.2">
      <c r="L47" s="156"/>
      <c r="N47" s="156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27.285807559899965</v>
      </c>
      <c r="D48" s="65"/>
      <c r="E48" s="65">
        <f>E16/E15</f>
        <v>26.46264510057539</v>
      </c>
      <c r="F48" s="65"/>
      <c r="G48" s="65">
        <f>G16/G15</f>
        <v>24.990546318428635</v>
      </c>
      <c r="H48" s="65"/>
      <c r="I48" s="65">
        <f>I16/I15</f>
        <v>23.914607301247784</v>
      </c>
      <c r="J48" s="65"/>
      <c r="K48" s="65">
        <f>K16/K15</f>
        <v>22.763981594072224</v>
      </c>
      <c r="L48" s="156"/>
      <c r="M48" s="65">
        <f>M16/M15</f>
        <v>21.243329192222113</v>
      </c>
      <c r="N48" s="156"/>
      <c r="Q48" s="66" t="s">
        <v>122</v>
      </c>
      <c r="R48" s="66"/>
      <c r="S48" s="72">
        <f>ROUND(((C34/AVERAGE(C16,E16))*100),2)</f>
        <v>10.01</v>
      </c>
      <c r="T48" s="54" t="s">
        <v>4</v>
      </c>
      <c r="U48" s="72">
        <f>ROUND(((E34/AVERAGE(E16,G16))*100),2)</f>
        <v>10.77</v>
      </c>
      <c r="V48" s="54" t="s">
        <v>4</v>
      </c>
      <c r="W48" s="72">
        <f>ROUND(((G34/AVERAGE(G16,I16))*100),2)</f>
        <v>11.19</v>
      </c>
      <c r="X48" s="54" t="s">
        <v>4</v>
      </c>
      <c r="Y48" s="72">
        <f>ROUND(((I34/AVERAGE(I16,K16))*100),2)</f>
        <v>11.29</v>
      </c>
      <c r="Z48" s="54" t="s">
        <v>4</v>
      </c>
      <c r="AA48" s="72">
        <f>ROUND(((K34/AVERAGE(K16,M16))*100),2)</f>
        <v>11.27</v>
      </c>
      <c r="AB48" s="54" t="s">
        <v>4</v>
      </c>
      <c r="AC48" s="72">
        <f>ROUND(AVERAGE(S48:AB48),2)</f>
        <v>10.91</v>
      </c>
      <c r="AD48" s="54" t="s">
        <v>4</v>
      </c>
    </row>
    <row r="49" spans="1:30" x14ac:dyDescent="0.2">
      <c r="C49" s="65"/>
      <c r="D49" s="65"/>
      <c r="E49" s="65"/>
      <c r="F49" s="65"/>
      <c r="G49" s="65"/>
      <c r="H49" s="65"/>
      <c r="I49" s="65"/>
      <c r="J49" s="65"/>
      <c r="K49" s="65"/>
      <c r="L49" s="156"/>
      <c r="M49" s="65"/>
      <c r="N49" s="156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16852000000</v>
      </c>
      <c r="D50" s="65"/>
      <c r="E50" s="65">
        <f>SUM(E12:E13,E16:E17)</f>
        <v>15811000000</v>
      </c>
      <c r="F50" s="65"/>
      <c r="G50" s="65">
        <f>SUM(G12:G13,G16:G17)</f>
        <v>14352000000</v>
      </c>
      <c r="H50" s="65"/>
      <c r="I50" s="65">
        <f>SUM(I12:I13,I16:I17)</f>
        <v>13358000000</v>
      </c>
      <c r="J50" s="65"/>
      <c r="K50" s="65">
        <f>SUM(K12:K13,K16:K17)</f>
        <v>12665000000</v>
      </c>
      <c r="L50" s="156"/>
      <c r="M50" s="65">
        <f>SUM(M12:M13,M16:M17)</f>
        <v>11595300000</v>
      </c>
      <c r="N50" s="156"/>
      <c r="Q50" s="66" t="s">
        <v>124</v>
      </c>
      <c r="R50" s="66"/>
      <c r="S50" s="72">
        <f>ROUND((C54/C62),2)</f>
        <v>5.79</v>
      </c>
      <c r="T50" s="73" t="s">
        <v>125</v>
      </c>
      <c r="U50" s="72">
        <f>ROUND((E54/E62),2)</f>
        <v>5.35</v>
      </c>
      <c r="V50" s="73" t="s">
        <v>125</v>
      </c>
      <c r="W50" s="72">
        <f>ROUND((G54/G62),2)</f>
        <v>5.12</v>
      </c>
      <c r="X50" s="73" t="s">
        <v>125</v>
      </c>
      <c r="Y50" s="72">
        <f>ROUND((I54/I62),2)</f>
        <v>5.19</v>
      </c>
      <c r="Z50" s="73" t="s">
        <v>125</v>
      </c>
      <c r="AA50" s="72">
        <f>ROUND((K54/K62),2)</f>
        <v>4.95</v>
      </c>
      <c r="AB50" s="73" t="s">
        <v>125</v>
      </c>
      <c r="AC50" s="72">
        <f>ROUND(AVERAGE(S50:AB50),2)</f>
        <v>5.28</v>
      </c>
      <c r="AD50" s="54" t="s">
        <v>125</v>
      </c>
    </row>
    <row r="51" spans="1:30" x14ac:dyDescent="0.2">
      <c r="C51" s="65"/>
      <c r="D51" s="65"/>
      <c r="E51" s="65"/>
      <c r="F51" s="65"/>
      <c r="G51" s="65"/>
      <c r="H51" s="65"/>
      <c r="I51" s="65"/>
      <c r="J51" s="65"/>
      <c r="K51" s="65"/>
      <c r="L51" s="156"/>
      <c r="M51" s="65"/>
      <c r="N51" s="156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55.515000000000001</v>
      </c>
      <c r="D52" s="65"/>
      <c r="E52" s="65">
        <f>AVERAGE(E22:E23)</f>
        <v>51.09</v>
      </c>
      <c r="F52" s="65"/>
      <c r="G52" s="65">
        <f>AVERAGE(G22:G23)</f>
        <v>56.61</v>
      </c>
      <c r="H52" s="65"/>
      <c r="I52" s="65">
        <f>AVERAGE(I22:I23)</f>
        <v>54.17</v>
      </c>
      <c r="J52" s="65"/>
      <c r="K52" s="65">
        <f>AVERAGE(K22:K23)</f>
        <v>50.077500000000001</v>
      </c>
      <c r="L52" s="156"/>
      <c r="M52" s="65">
        <f>AVERAGE(M22:M23)</f>
        <v>48.05</v>
      </c>
      <c r="N52" s="156"/>
      <c r="Q52" s="66" t="s">
        <v>127</v>
      </c>
      <c r="R52" s="66"/>
      <c r="S52" s="72">
        <f>ROUND(((C60/C54)*100),2)</f>
        <v>8.08</v>
      </c>
      <c r="T52" s="73" t="s">
        <v>4</v>
      </c>
      <c r="U52" s="72">
        <f>ROUND(((E60/E54)*100),2)</f>
        <v>3.41</v>
      </c>
      <c r="V52" s="73" t="s">
        <v>4</v>
      </c>
      <c r="W52" s="72">
        <f>ROUND(((G60/G54)*100),2)</f>
        <v>-4.93</v>
      </c>
      <c r="X52" s="73" t="s">
        <v>4</v>
      </c>
      <c r="Y52" s="72">
        <f>ROUND(((I60/I54)*100),2)</f>
        <v>1.88</v>
      </c>
      <c r="Z52" s="73" t="s">
        <v>4</v>
      </c>
      <c r="AA52" s="72">
        <f>ROUND(((K60/K54)*100),2)</f>
        <v>-3.13</v>
      </c>
      <c r="AB52" s="73" t="s">
        <v>4</v>
      </c>
      <c r="AC52" s="72">
        <f>ROUND(AVERAGE(S52:AB52),2)</f>
        <v>1.06</v>
      </c>
      <c r="AD52" s="54" t="s">
        <v>4</v>
      </c>
    </row>
    <row r="53" spans="1:30" x14ac:dyDescent="0.2">
      <c r="C53" s="65"/>
      <c r="D53" s="65"/>
      <c r="E53" s="65"/>
      <c r="F53" s="65"/>
      <c r="G53" s="65"/>
      <c r="H53" s="65"/>
      <c r="I53" s="65"/>
      <c r="J53" s="65"/>
      <c r="K53" s="65"/>
      <c r="L53" s="156"/>
      <c r="M53" s="65"/>
      <c r="N53" s="156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10406000000</v>
      </c>
      <c r="D54" s="65"/>
      <c r="E54" s="65">
        <f>+E19+E12</f>
        <v>9509000000</v>
      </c>
      <c r="F54" s="65"/>
      <c r="G54" s="65">
        <f>+G19+G12</f>
        <v>8718000000</v>
      </c>
      <c r="H54" s="65"/>
      <c r="I54" s="65">
        <f>+I19+I12</f>
        <v>7883000000</v>
      </c>
      <c r="J54" s="65"/>
      <c r="K54" s="65">
        <f>+K19+K12</f>
        <v>7166000000</v>
      </c>
      <c r="L54" s="156"/>
      <c r="M54" s="65">
        <f>+M19+M12</f>
        <v>6527600000</v>
      </c>
      <c r="N54" s="156"/>
      <c r="Q54" s="79" t="s">
        <v>128</v>
      </c>
      <c r="R54" s="79"/>
      <c r="S54" s="72">
        <f>S33</f>
        <v>59.77</v>
      </c>
      <c r="T54" s="73" t="s">
        <v>4</v>
      </c>
      <c r="U54" s="72">
        <f>U33</f>
        <v>58.39</v>
      </c>
      <c r="V54" s="73" t="s">
        <v>4</v>
      </c>
      <c r="W54" s="72">
        <f>W33</f>
        <v>58.14</v>
      </c>
      <c r="X54" s="73" t="s">
        <v>4</v>
      </c>
      <c r="Y54" s="72">
        <f>Y33</f>
        <v>56.82</v>
      </c>
      <c r="Z54" s="73" t="s">
        <v>4</v>
      </c>
      <c r="AA54" s="72">
        <f>AA33</f>
        <v>54.9</v>
      </c>
      <c r="AB54" s="73" t="s">
        <v>4</v>
      </c>
      <c r="AC54" s="72">
        <f>ROUND(AVERAGE(S54:AB54),2)</f>
        <v>57.6</v>
      </c>
      <c r="AD54" s="73" t="s">
        <v>4</v>
      </c>
    </row>
    <row r="55" spans="1:30" x14ac:dyDescent="0.2">
      <c r="C55" s="65"/>
      <c r="D55" s="65"/>
      <c r="E55" s="65"/>
      <c r="F55" s="65"/>
      <c r="G55" s="65"/>
      <c r="H55" s="65"/>
      <c r="I55" s="65"/>
      <c r="J55" s="65"/>
      <c r="K55" s="65"/>
      <c r="L55" s="156"/>
      <c r="M55" s="65"/>
      <c r="N55" s="156"/>
    </row>
    <row r="56" spans="1:30" x14ac:dyDescent="0.2">
      <c r="A56" s="54" t="s">
        <v>14</v>
      </c>
      <c r="B56" s="54" t="s">
        <v>121</v>
      </c>
      <c r="C56" s="65">
        <f>SUM(C50,C19)</f>
        <v>17410000000</v>
      </c>
      <c r="D56" s="65"/>
      <c r="E56" s="65">
        <f>SUM(E50,E19)</f>
        <v>16286000000</v>
      </c>
      <c r="F56" s="65"/>
      <c r="G56" s="65">
        <f>SUM(G50,G19)</f>
        <v>14994000000</v>
      </c>
      <c r="H56" s="65"/>
      <c r="I56" s="65">
        <f>SUM(I50,I19)</f>
        <v>13873000000</v>
      </c>
      <c r="J56" s="65"/>
      <c r="K56" s="65">
        <f>SUM(K50,K19)</f>
        <v>13054000000</v>
      </c>
      <c r="L56" s="156"/>
      <c r="M56" s="65">
        <f>SUM(M50,M19)</f>
        <v>11932700000</v>
      </c>
      <c r="N56" s="156"/>
    </row>
    <row r="57" spans="1:30" x14ac:dyDescent="0.2">
      <c r="C57" s="65"/>
      <c r="D57" s="65"/>
      <c r="E57" s="65"/>
      <c r="F57" s="65"/>
      <c r="G57" s="65"/>
      <c r="H57" s="65"/>
      <c r="I57" s="65"/>
      <c r="J57" s="65"/>
      <c r="K57" s="65"/>
      <c r="L57" s="156"/>
      <c r="M57" s="65"/>
      <c r="N57" s="156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D58" s="65"/>
      <c r="E58" s="65">
        <f>SUM(E13,E17)</f>
        <v>0</v>
      </c>
      <c r="F58" s="65"/>
      <c r="G58" s="65">
        <f>SUM(G13,G17)</f>
        <v>0</v>
      </c>
      <c r="H58" s="65"/>
      <c r="I58" s="65">
        <f>SUM(I13,I17)</f>
        <v>0</v>
      </c>
      <c r="J58" s="65"/>
      <c r="K58" s="65">
        <f>SUM(K13,K17)</f>
        <v>200000000</v>
      </c>
      <c r="L58" s="156"/>
      <c r="M58" s="65">
        <f>SUM(M13,M17)</f>
        <v>200000000</v>
      </c>
      <c r="N58" s="156"/>
    </row>
    <row r="59" spans="1:30" x14ac:dyDescent="0.2">
      <c r="C59" s="65"/>
      <c r="D59" s="65"/>
      <c r="E59" s="65"/>
      <c r="F59" s="65"/>
      <c r="G59" s="65"/>
      <c r="H59" s="65"/>
      <c r="I59" s="65"/>
      <c r="J59" s="65"/>
      <c r="K59" s="65"/>
      <c r="L59" s="156"/>
      <c r="M59" s="65"/>
      <c r="N59" s="156"/>
    </row>
    <row r="60" spans="1:30" ht="25.5" x14ac:dyDescent="0.2">
      <c r="A60" s="82" t="s">
        <v>130</v>
      </c>
      <c r="B60" s="54" t="s">
        <v>121</v>
      </c>
      <c r="C60" s="65">
        <f>ROUND(C41+C42-C28,3)</f>
        <v>841000000</v>
      </c>
      <c r="D60" s="65"/>
      <c r="E60" s="65">
        <f>ROUND(E41+E42-E28,3)</f>
        <v>324000000</v>
      </c>
      <c r="F60" s="65"/>
      <c r="G60" s="65">
        <f>ROUND(G41+G42-G28,3)</f>
        <v>-430000000</v>
      </c>
      <c r="H60" s="65"/>
      <c r="I60" s="65">
        <f>ROUND(I41+I42-I28,3)</f>
        <v>148000000</v>
      </c>
      <c r="J60" s="65"/>
      <c r="K60" s="65">
        <f>ROUND(K41+K42-K28,3)</f>
        <v>-224000000</v>
      </c>
      <c r="L60" s="156"/>
      <c r="M60" s="65">
        <f>ROUND(M41+M42-M28,3)</f>
        <v>83500000</v>
      </c>
      <c r="N60" s="156"/>
    </row>
    <row r="61" spans="1:30" x14ac:dyDescent="0.2">
      <c r="A61" s="82"/>
      <c r="L61" s="156"/>
      <c r="N61" s="156"/>
    </row>
    <row r="62" spans="1:30" x14ac:dyDescent="0.2">
      <c r="A62" s="54" t="s">
        <v>131</v>
      </c>
      <c r="B62" s="54" t="s">
        <v>121</v>
      </c>
      <c r="C62" s="65">
        <f>C44+C43+C34+C30</f>
        <v>1797000000</v>
      </c>
      <c r="D62" s="65"/>
      <c r="E62" s="65">
        <f>E44+E43+E34+E30</f>
        <v>1777000000</v>
      </c>
      <c r="F62" s="65"/>
      <c r="G62" s="65">
        <f>G44+G43+G34+G30</f>
        <v>1704000000</v>
      </c>
      <c r="H62" s="65"/>
      <c r="I62" s="65">
        <f>I44+I43+I34+I30</f>
        <v>1519000000</v>
      </c>
      <c r="J62" s="65"/>
      <c r="K62" s="65">
        <f>K44+K43+K34+K30</f>
        <v>1447000000</v>
      </c>
      <c r="L62" s="156"/>
      <c r="M62" s="65">
        <f>M44+M43+M34+M30</f>
        <v>1466000000</v>
      </c>
      <c r="N62" s="156"/>
    </row>
    <row r="63" spans="1:30" x14ac:dyDescent="0.2">
      <c r="J63" s="156"/>
    </row>
    <row r="64" spans="1:30" x14ac:dyDescent="0.2">
      <c r="I64" s="160"/>
      <c r="J64" s="156"/>
      <c r="K64" s="160"/>
      <c r="M64" s="160"/>
    </row>
    <row r="65" spans="10:10" x14ac:dyDescent="0.2">
      <c r="J65" s="156"/>
    </row>
    <row r="66" spans="10:10" x14ac:dyDescent="0.2">
      <c r="J66" s="156"/>
    </row>
    <row r="67" spans="10:10" x14ac:dyDescent="0.2">
      <c r="J67" s="156"/>
    </row>
    <row r="68" spans="10:10" x14ac:dyDescent="0.2">
      <c r="J68" s="156"/>
    </row>
    <row r="69" spans="10:10" x14ac:dyDescent="0.2">
      <c r="J69" s="156"/>
    </row>
    <row r="70" spans="10:10" x14ac:dyDescent="0.2">
      <c r="J70" s="156"/>
    </row>
    <row r="71" spans="10:10" x14ac:dyDescent="0.2">
      <c r="J71" s="156"/>
    </row>
    <row r="72" spans="10:10" x14ac:dyDescent="0.2">
      <c r="J72" s="156"/>
    </row>
    <row r="73" spans="10:10" x14ac:dyDescent="0.2">
      <c r="J73" s="156"/>
    </row>
    <row r="74" spans="10:10" x14ac:dyDescent="0.2">
      <c r="J74" s="156"/>
    </row>
    <row r="75" spans="10:10" x14ac:dyDescent="0.2">
      <c r="J75" s="156"/>
    </row>
    <row r="76" spans="10:10" x14ac:dyDescent="0.2">
      <c r="J76" s="156"/>
    </row>
    <row r="77" spans="10:10" x14ac:dyDescent="0.2">
      <c r="J77" s="156"/>
    </row>
    <row r="78" spans="10:10" x14ac:dyDescent="0.2">
      <c r="J78" s="156"/>
    </row>
    <row r="79" spans="10:10" x14ac:dyDescent="0.2">
      <c r="J79" s="156"/>
    </row>
    <row r="80" spans="10:10" x14ac:dyDescent="0.2">
      <c r="J80" s="156"/>
    </row>
    <row r="81" spans="10:223" x14ac:dyDescent="0.2">
      <c r="J81" s="156"/>
      <c r="HK81" s="84"/>
      <c r="HL81" s="84"/>
      <c r="HO81" s="54" t="s">
        <v>132</v>
      </c>
    </row>
    <row r="82" spans="10:223" x14ac:dyDescent="0.2">
      <c r="J82" s="156"/>
    </row>
    <row r="83" spans="10:223" x14ac:dyDescent="0.2">
      <c r="J83" s="156"/>
    </row>
    <row r="84" spans="10:223" x14ac:dyDescent="0.2">
      <c r="J84" s="156"/>
    </row>
    <row r="85" spans="10:223" x14ac:dyDescent="0.2">
      <c r="J85" s="156"/>
    </row>
    <row r="86" spans="10:223" x14ac:dyDescent="0.2">
      <c r="J86" s="156"/>
    </row>
    <row r="87" spans="10:223" x14ac:dyDescent="0.2">
      <c r="J87" s="156"/>
    </row>
    <row r="88" spans="10:223" x14ac:dyDescent="0.2">
      <c r="J88" s="156"/>
    </row>
    <row r="89" spans="10:223" x14ac:dyDescent="0.2">
      <c r="J89" s="156"/>
    </row>
    <row r="90" spans="10:223" x14ac:dyDescent="0.2">
      <c r="J90" s="156"/>
    </row>
    <row r="91" spans="10:223" x14ac:dyDescent="0.2">
      <c r="J91" s="156"/>
    </row>
    <row r="92" spans="10:223" x14ac:dyDescent="0.2">
      <c r="J92" s="156"/>
    </row>
    <row r="93" spans="10:223" x14ac:dyDescent="0.2">
      <c r="J93" s="156"/>
    </row>
    <row r="94" spans="10:223" x14ac:dyDescent="0.2">
      <c r="J94" s="156"/>
    </row>
    <row r="95" spans="10:223" x14ac:dyDescent="0.2">
      <c r="J95" s="156"/>
    </row>
    <row r="96" spans="10:223" x14ac:dyDescent="0.2">
      <c r="J96" s="156"/>
    </row>
    <row r="97" spans="10:10" x14ac:dyDescent="0.2">
      <c r="J97" s="156"/>
    </row>
    <row r="98" spans="10:10" x14ac:dyDescent="0.2">
      <c r="J98" s="156"/>
    </row>
    <row r="99" spans="10:10" x14ac:dyDescent="0.2">
      <c r="J99" s="156"/>
    </row>
    <row r="100" spans="10:10" x14ac:dyDescent="0.2">
      <c r="J100" s="156"/>
    </row>
    <row r="101" spans="10:10" x14ac:dyDescent="0.2">
      <c r="J101" s="156"/>
    </row>
    <row r="102" spans="10:10" x14ac:dyDescent="0.2">
      <c r="J102" s="156"/>
    </row>
    <row r="103" spans="10:10" x14ac:dyDescent="0.2">
      <c r="J103" s="156"/>
    </row>
    <row r="104" spans="10:10" x14ac:dyDescent="0.2">
      <c r="J104" s="156"/>
    </row>
    <row r="105" spans="10:10" x14ac:dyDescent="0.2">
      <c r="J105" s="156"/>
    </row>
    <row r="106" spans="10:10" x14ac:dyDescent="0.2">
      <c r="J106" s="156"/>
    </row>
    <row r="107" spans="10:10" x14ac:dyDescent="0.2">
      <c r="J107" s="156"/>
    </row>
    <row r="108" spans="10:10" x14ac:dyDescent="0.2">
      <c r="J108" s="156"/>
    </row>
    <row r="109" spans="10:10" x14ac:dyDescent="0.2">
      <c r="J109" s="156"/>
    </row>
    <row r="110" spans="10:10" x14ac:dyDescent="0.2">
      <c r="J110" s="156"/>
    </row>
    <row r="111" spans="10:10" x14ac:dyDescent="0.2">
      <c r="J111" s="156"/>
    </row>
    <row r="112" spans="10:10" x14ac:dyDescent="0.2">
      <c r="J112" s="156"/>
    </row>
    <row r="113" spans="10:10" x14ac:dyDescent="0.2">
      <c r="J113" s="156"/>
    </row>
    <row r="114" spans="10:10" x14ac:dyDescent="0.2">
      <c r="J114" s="156"/>
    </row>
    <row r="115" spans="10:10" x14ac:dyDescent="0.2">
      <c r="J115" s="156"/>
    </row>
    <row r="116" spans="10:10" x14ac:dyDescent="0.2">
      <c r="J116" s="156"/>
    </row>
    <row r="117" spans="10:10" x14ac:dyDescent="0.2">
      <c r="J117" s="156"/>
    </row>
    <row r="118" spans="10:10" x14ac:dyDescent="0.2">
      <c r="J118" s="156"/>
    </row>
    <row r="119" spans="10:10" x14ac:dyDescent="0.2">
      <c r="J119" s="156"/>
    </row>
    <row r="120" spans="10:10" x14ac:dyDescent="0.2">
      <c r="J120" s="156"/>
    </row>
    <row r="121" spans="10:10" x14ac:dyDescent="0.2">
      <c r="J121" s="156"/>
    </row>
    <row r="122" spans="10:10" x14ac:dyDescent="0.2">
      <c r="J122" s="156"/>
    </row>
    <row r="123" spans="10:10" x14ac:dyDescent="0.2">
      <c r="J123" s="156"/>
    </row>
    <row r="124" spans="10:10" x14ac:dyDescent="0.2">
      <c r="J124" s="156"/>
    </row>
    <row r="125" spans="10:10" x14ac:dyDescent="0.2">
      <c r="J125" s="156"/>
    </row>
    <row r="126" spans="10:10" x14ac:dyDescent="0.2">
      <c r="J126" s="156"/>
    </row>
    <row r="127" spans="10:10" x14ac:dyDescent="0.2">
      <c r="J127" s="156"/>
    </row>
    <row r="128" spans="10:10" x14ac:dyDescent="0.2">
      <c r="J128" s="156"/>
    </row>
    <row r="129" spans="10:10" x14ac:dyDescent="0.2">
      <c r="J129" s="156"/>
    </row>
    <row r="130" spans="10:10" x14ac:dyDescent="0.2">
      <c r="J130" s="156"/>
    </row>
    <row r="131" spans="10:10" x14ac:dyDescent="0.2">
      <c r="J131" s="156"/>
    </row>
    <row r="132" spans="10:10" x14ac:dyDescent="0.2">
      <c r="J132" s="156"/>
    </row>
    <row r="133" spans="10:10" x14ac:dyDescent="0.2">
      <c r="J133" s="156"/>
    </row>
    <row r="134" spans="10:10" x14ac:dyDescent="0.2">
      <c r="J134" s="156"/>
    </row>
    <row r="135" spans="10:10" x14ac:dyDescent="0.2">
      <c r="J135" s="156"/>
    </row>
    <row r="136" spans="10:10" x14ac:dyDescent="0.2">
      <c r="J136" s="156"/>
    </row>
    <row r="137" spans="10:10" x14ac:dyDescent="0.2">
      <c r="J137" s="156"/>
    </row>
    <row r="138" spans="10:10" x14ac:dyDescent="0.2">
      <c r="J138" s="156"/>
    </row>
    <row r="139" spans="10:10" x14ac:dyDescent="0.2">
      <c r="J139" s="156"/>
    </row>
    <row r="140" spans="10:10" x14ac:dyDescent="0.2">
      <c r="J140" s="156"/>
    </row>
    <row r="141" spans="10:10" x14ac:dyDescent="0.2">
      <c r="J141" s="156"/>
    </row>
    <row r="142" spans="10:10" x14ac:dyDescent="0.2">
      <c r="J142" s="156"/>
    </row>
    <row r="143" spans="10:10" x14ac:dyDescent="0.2">
      <c r="J143" s="156"/>
    </row>
    <row r="144" spans="10:10" x14ac:dyDescent="0.2">
      <c r="J144" s="156"/>
    </row>
    <row r="145" spans="10:10" x14ac:dyDescent="0.2">
      <c r="J145" s="156"/>
    </row>
    <row r="146" spans="10:10" x14ac:dyDescent="0.2">
      <c r="J146" s="156"/>
    </row>
    <row r="147" spans="10:10" x14ac:dyDescent="0.2">
      <c r="J147" s="156"/>
    </row>
    <row r="148" spans="10:10" x14ac:dyDescent="0.2">
      <c r="J148" s="156"/>
    </row>
    <row r="149" spans="10:10" x14ac:dyDescent="0.2">
      <c r="J149" s="156"/>
    </row>
    <row r="150" spans="10:10" x14ac:dyDescent="0.2">
      <c r="J150" s="156"/>
    </row>
  </sheetData>
  <mergeCells count="6">
    <mergeCell ref="AC25:AD25"/>
    <mergeCell ref="C6:N6"/>
    <mergeCell ref="C7:N7"/>
    <mergeCell ref="C8:N8"/>
    <mergeCell ref="W13:AB13"/>
    <mergeCell ref="AC24:AD24"/>
  </mergeCells>
  <pageMargins left="0.7" right="0.7" top="0.75" bottom="0.75" header="0.3" footer="0.3"/>
  <pageSetup scale="25" orientation="portrait" r:id="rId1"/>
  <headerFooter>
    <oddHeader>&amp;R&amp;A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67E9-3637-4A65-9F1F-0002F7966B20}">
  <dimension ref="A1:HO81"/>
  <sheetViews>
    <sheetView view="pageBreakPreview" zoomScale="60" zoomScaleNormal="60" workbookViewId="0"/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9.5703125" style="54" customWidth="1"/>
    <col min="4" max="4" width="1.5703125" style="54" customWidth="1"/>
    <col min="5" max="5" width="19.5703125" style="54" customWidth="1"/>
    <col min="6" max="6" width="1.5703125" style="54" customWidth="1"/>
    <col min="7" max="7" width="18.140625" style="54" customWidth="1"/>
    <col min="8" max="8" width="1.5703125" style="54" customWidth="1"/>
    <col min="9" max="9" width="18.140625" style="54" customWidth="1"/>
    <col min="10" max="10" width="1.85546875" style="54" customWidth="1"/>
    <col min="11" max="11" width="18.140625" style="54" customWidth="1"/>
    <col min="12" max="12" width="1.85546875" style="54" customWidth="1"/>
    <col min="13" max="13" width="18.140625" style="54" customWidth="1"/>
    <col min="14" max="16" width="3" style="54" customWidth="1"/>
    <col min="17" max="17" width="49.42578125" style="54" customWidth="1"/>
    <col min="18" max="18" width="3" style="54" customWidth="1"/>
    <col min="19" max="19" width="14.140625" style="54" customWidth="1"/>
    <col min="20" max="20" width="3.42578125" style="54" customWidth="1"/>
    <col min="21" max="21" width="14.140625" style="54" customWidth="1"/>
    <col min="22" max="22" width="3.42578125" style="54" customWidth="1"/>
    <col min="23" max="23" width="15.42578125" style="54" customWidth="1"/>
    <col min="24" max="24" width="2.42578125" style="54" customWidth="1"/>
    <col min="25" max="25" width="11.5703125" style="54" bestFit="1" customWidth="1"/>
    <col min="26" max="26" width="2.42578125" style="54" bestFit="1" customWidth="1"/>
    <col min="27" max="27" width="11.5703125" style="54" bestFit="1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16384" width="8.7109375" style="54"/>
  </cols>
  <sheetData>
    <row r="1" spans="1:29" ht="16.5" customHeight="1" x14ac:dyDescent="0.2">
      <c r="A1" s="147"/>
    </row>
    <row r="2" spans="1:29" ht="16.5" customHeight="1" x14ac:dyDescent="0.2">
      <c r="A2" s="147"/>
      <c r="C2" s="147"/>
      <c r="E2" s="147"/>
    </row>
    <row r="3" spans="1:29" ht="16.5" customHeight="1" x14ac:dyDescent="0.2">
      <c r="A3" s="147"/>
      <c r="C3" s="147"/>
      <c r="E3" s="147"/>
    </row>
    <row r="4" spans="1:29" ht="16.5" customHeight="1" thickBot="1" x14ac:dyDescent="0.25">
      <c r="A4" s="147"/>
    </row>
    <row r="5" spans="1:29" ht="15" x14ac:dyDescent="0.35">
      <c r="A5" s="148" t="s">
        <v>136</v>
      </c>
    </row>
    <row r="6" spans="1:29" ht="15" customHeight="1" thickBot="1" x14ac:dyDescent="0.25">
      <c r="A6" s="149" t="s">
        <v>161</v>
      </c>
      <c r="C6" s="194" t="s">
        <v>210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60"/>
      <c r="O6" s="60"/>
      <c r="P6" s="60"/>
      <c r="Q6" s="60" t="str">
        <f>C6</f>
        <v>Ameren Corp.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61"/>
      <c r="O7" s="61"/>
      <c r="P7" s="61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2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62"/>
      <c r="O8" s="62"/>
      <c r="P8" s="62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211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50">
        <f>(317+17262)*1000000</f>
        <v>17579000000</v>
      </c>
      <c r="E12" s="150">
        <f>(849+15121)*1000000</f>
        <v>15970000000</v>
      </c>
      <c r="G12" s="150">
        <f>(340+13685)*1000000</f>
        <v>14025000000</v>
      </c>
      <c r="I12" s="150">
        <f>(505+12562)*1000000</f>
        <v>13067000000</v>
      </c>
      <c r="K12" s="150">
        <f>(8+11078)*1000000</f>
        <v>11086000000</v>
      </c>
      <c r="M12" s="150">
        <v>9357000000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ht="15" customHeight="1" x14ac:dyDescent="0.2">
      <c r="A13" s="54" t="s">
        <v>60</v>
      </c>
      <c r="B13" s="54" t="s">
        <v>61</v>
      </c>
      <c r="C13" s="151">
        <v>129000000</v>
      </c>
      <c r="E13" s="151">
        <v>129000000</v>
      </c>
      <c r="G13" s="151">
        <v>129000000</v>
      </c>
      <c r="I13" s="151">
        <v>129000000</v>
      </c>
      <c r="K13" s="151">
        <v>142000000</v>
      </c>
      <c r="M13" s="151">
        <v>142000000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N14" s="66"/>
      <c r="O14" s="66"/>
      <c r="P14" s="66"/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151">
        <v>269900000</v>
      </c>
      <c r="E15" s="151">
        <v>266300000</v>
      </c>
      <c r="G15" s="151">
        <v>262000000</v>
      </c>
      <c r="I15" s="151">
        <v>257700000</v>
      </c>
      <c r="K15" s="151">
        <v>253355105</v>
      </c>
      <c r="M15" s="151">
        <v>246231712</v>
      </c>
    </row>
    <row r="16" spans="1:29" x14ac:dyDescent="0.2">
      <c r="A16" s="54" t="s">
        <v>6</v>
      </c>
      <c r="B16" s="54" t="s">
        <v>67</v>
      </c>
      <c r="C16" s="153">
        <f>12114*1000000</f>
        <v>12114000000</v>
      </c>
      <c r="E16" s="153">
        <f>11349*1000000</f>
        <v>11349000000</v>
      </c>
      <c r="G16" s="153">
        <f>10508*1000000</f>
        <v>10508000000</v>
      </c>
      <c r="I16" s="153">
        <f>9700*1000000</f>
        <v>9700000000</v>
      </c>
      <c r="K16" s="153">
        <f>8938*1000000</f>
        <v>8938000000</v>
      </c>
      <c r="M16" s="153">
        <v>8059000000</v>
      </c>
      <c r="N16" s="66"/>
      <c r="O16" s="66"/>
      <c r="P16" s="66"/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C17" s="54">
        <v>0</v>
      </c>
      <c r="E17" s="54">
        <v>0</v>
      </c>
      <c r="G17" s="54">
        <v>0</v>
      </c>
      <c r="I17" s="54">
        <v>0</v>
      </c>
      <c r="K17" s="54">
        <v>0</v>
      </c>
      <c r="M17" s="54">
        <v>0</v>
      </c>
      <c r="Q17" s="54" t="s">
        <v>70</v>
      </c>
      <c r="S17" s="69">
        <f>C50/1000000</f>
        <v>29822</v>
      </c>
      <c r="U17" s="69">
        <f>E50/1000000</f>
        <v>27448</v>
      </c>
      <c r="W17" s="69">
        <f>G50/1000000</f>
        <v>24662</v>
      </c>
      <c r="Y17" s="69">
        <f>I50/1000000</f>
        <v>22896</v>
      </c>
      <c r="AA17" s="69">
        <f>K50/1000000</f>
        <v>20166</v>
      </c>
      <c r="AB17" s="69"/>
    </row>
    <row r="18" spans="1:30" x14ac:dyDescent="0.2">
      <c r="Q18" s="54" t="s">
        <v>71</v>
      </c>
      <c r="S18" s="70">
        <f>C19/1000000</f>
        <v>1143</v>
      </c>
      <c r="U18" s="70">
        <f>E19/1000000</f>
        <v>536</v>
      </c>
      <c r="W18" s="70">
        <f>G19/1000000</f>
        <v>1070</v>
      </c>
      <c r="Y18" s="70">
        <f>I19/1000000</f>
        <v>545</v>
      </c>
      <c r="AA18" s="70">
        <f>K19/1000000</f>
        <v>490</v>
      </c>
      <c r="AB18" s="69"/>
    </row>
    <row r="19" spans="1:30" x14ac:dyDescent="0.2">
      <c r="A19" s="54" t="s">
        <v>72</v>
      </c>
      <c r="B19" s="54" t="s">
        <v>73</v>
      </c>
      <c r="C19" s="153">
        <f>1143*1000000</f>
        <v>1143000000</v>
      </c>
      <c r="E19" s="153">
        <f>536*1000000</f>
        <v>536000000</v>
      </c>
      <c r="G19" s="153">
        <f>1070*1000000</f>
        <v>1070000000</v>
      </c>
      <c r="I19" s="153">
        <f>545*1000000</f>
        <v>545000000</v>
      </c>
      <c r="K19" s="153">
        <f>490*1000000</f>
        <v>490000000</v>
      </c>
      <c r="M19" s="153">
        <v>440000000</v>
      </c>
      <c r="Q19" s="54" t="s">
        <v>74</v>
      </c>
      <c r="S19" s="71">
        <f>SUM(S17:S18)</f>
        <v>30965</v>
      </c>
      <c r="U19" s="71">
        <f>SUM(U17:U18)</f>
        <v>27984</v>
      </c>
      <c r="W19" s="71">
        <f>SUM(W17:W18)</f>
        <v>25732</v>
      </c>
      <c r="Y19" s="71">
        <f>SUM(Y17:Y18)</f>
        <v>23441</v>
      </c>
      <c r="AA19" s="71">
        <f>SUM(AA17:AA18)</f>
        <v>20656</v>
      </c>
      <c r="AB19" s="69"/>
    </row>
    <row r="21" spans="1:30" x14ac:dyDescent="0.2">
      <c r="A21" s="54" t="s">
        <v>75</v>
      </c>
      <c r="B21" s="54" t="s">
        <v>76</v>
      </c>
      <c r="C21" s="65">
        <v>4.42</v>
      </c>
      <c r="E21" s="65">
        <v>4.38</v>
      </c>
      <c r="G21" s="65">
        <v>4.1399999999999997</v>
      </c>
      <c r="I21" s="65">
        <v>3.84</v>
      </c>
      <c r="K21" s="65">
        <v>3.5</v>
      </c>
      <c r="M21" s="65">
        <v>3.35</v>
      </c>
      <c r="N21" s="66"/>
      <c r="O21" s="66"/>
      <c r="P21" s="66"/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54">
        <v>94.98</v>
      </c>
      <c r="E22" s="54">
        <v>90.76</v>
      </c>
      <c r="G22" s="54">
        <v>98.51</v>
      </c>
      <c r="I22" s="54">
        <v>89.98</v>
      </c>
      <c r="K22" s="54">
        <v>87.07</v>
      </c>
      <c r="M22" s="54">
        <v>80.38</v>
      </c>
      <c r="Q22" s="54" t="s">
        <v>80</v>
      </c>
      <c r="S22" s="72">
        <f>(ROUND((C30/(AVERAGE(C54,E54))*100),2))</f>
        <v>3.76</v>
      </c>
      <c r="T22" s="73" t="s">
        <v>4</v>
      </c>
      <c r="U22" s="72">
        <f>(ROUND((E30/(AVERAGE(E54,G54))*100),2))</f>
        <v>3.58</v>
      </c>
      <c r="V22" s="73" t="s">
        <v>4</v>
      </c>
      <c r="W22" s="72">
        <f>(ROUND((G30/(AVERAGE(G54,I54))*100),2))</f>
        <v>3.39</v>
      </c>
      <c r="X22" s="73" t="s">
        <v>4</v>
      </c>
      <c r="Y22" s="72">
        <f>(ROUND((I30/(AVERAGE(I54,K54))*100),2))</f>
        <v>3.04</v>
      </c>
      <c r="Z22" s="73" t="s">
        <v>4</v>
      </c>
      <c r="AA22" s="72">
        <f>(ROUND((K30/(AVERAGE(K54,M54))*100),2))</f>
        <v>3.92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67.92</v>
      </c>
      <c r="E23" s="54">
        <v>71.13</v>
      </c>
      <c r="G23" s="54">
        <v>74.94</v>
      </c>
      <c r="I23" s="54">
        <v>70.27</v>
      </c>
      <c r="K23" s="54">
        <v>61.37</v>
      </c>
      <c r="M23" s="54">
        <v>63.53</v>
      </c>
      <c r="Q23" s="54" t="s">
        <v>82</v>
      </c>
      <c r="S23" s="154">
        <f>(ROUND((C36/(AVERAGE(C58,E58))*100),2))</f>
        <v>3.88</v>
      </c>
      <c r="T23" s="154"/>
      <c r="U23" s="154">
        <f>(ROUND((E36/(AVERAGE(E58,G58))*100),2))</f>
        <v>3.88</v>
      </c>
      <c r="V23" s="154"/>
      <c r="W23" s="154">
        <f>(ROUND((G36/(AVERAGE(G58,I58))*100),2))</f>
        <v>3.88</v>
      </c>
      <c r="X23" s="154"/>
      <c r="Y23" s="154">
        <f>(ROUND((I36/(AVERAGE(I58,K58))*100),2))</f>
        <v>3.69</v>
      </c>
      <c r="Z23" s="154"/>
      <c r="AA23" s="154">
        <f>(ROUND((K36/(AVERAGE(K58,M58))*100),2))</f>
        <v>4.2300000000000004</v>
      </c>
      <c r="AB23" s="154"/>
    </row>
    <row r="24" spans="1:30" x14ac:dyDescent="0.2">
      <c r="AC24" s="194" t="s">
        <v>1</v>
      </c>
      <c r="AD24" s="194"/>
    </row>
    <row r="25" spans="1:30" x14ac:dyDescent="0.2">
      <c r="N25" s="66"/>
      <c r="O25" s="66"/>
      <c r="P25" s="66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54">
        <v>2.68</v>
      </c>
      <c r="E26" s="54">
        <v>2.52</v>
      </c>
      <c r="G26" s="72">
        <v>2.36</v>
      </c>
      <c r="I26" s="72">
        <v>2.2000000000000002</v>
      </c>
      <c r="K26" s="72">
        <v>2</v>
      </c>
      <c r="M26" s="54">
        <v>1.92</v>
      </c>
      <c r="Q26" s="54" t="s">
        <v>85</v>
      </c>
    </row>
    <row r="27" spans="1:30" x14ac:dyDescent="0.2">
      <c r="Q27" s="54" t="s">
        <v>86</v>
      </c>
      <c r="S27" s="72">
        <f>ROUND(((C12/C50)*100),2)</f>
        <v>58.95</v>
      </c>
      <c r="T27" s="73" t="s">
        <v>4</v>
      </c>
      <c r="U27" s="72">
        <f>ROUND(((E12/E50)*100),2)</f>
        <v>58.18</v>
      </c>
      <c r="V27" s="73" t="s">
        <v>4</v>
      </c>
      <c r="W27" s="72">
        <f>ROUND(((G12/G50)*100),2)</f>
        <v>56.87</v>
      </c>
      <c r="X27" s="73" t="s">
        <v>4</v>
      </c>
      <c r="Y27" s="72">
        <f>ROUND(((I12/I50)*100),2)</f>
        <v>57.07</v>
      </c>
      <c r="Z27" s="73" t="s">
        <v>4</v>
      </c>
      <c r="AA27" s="72">
        <f>ROUND(((K12/K50)*100),2)</f>
        <v>54.97</v>
      </c>
      <c r="AB27" s="73" t="s">
        <v>4</v>
      </c>
      <c r="AC27" s="72">
        <f>ROUND(AVERAGE(S27:AB27),2)</f>
        <v>57.21</v>
      </c>
      <c r="AD27" s="73" t="s">
        <v>4</v>
      </c>
    </row>
    <row r="28" spans="1:30" x14ac:dyDescent="0.2">
      <c r="A28" s="54" t="s">
        <v>87</v>
      </c>
      <c r="B28" s="54" t="s">
        <v>87</v>
      </c>
      <c r="C28" s="151">
        <f>(132)*1000000</f>
        <v>132000000</v>
      </c>
      <c r="E28" s="151">
        <f>(102)*1000000</f>
        <v>102000000</v>
      </c>
      <c r="G28" s="151">
        <f>(69)*1000000</f>
        <v>69000000</v>
      </c>
      <c r="I28" s="151">
        <f>(60)*1000000</f>
        <v>60000000</v>
      </c>
      <c r="K28" s="151">
        <f>(32+19)*1000000</f>
        <v>51000000</v>
      </c>
      <c r="M28" s="151">
        <v>48000000</v>
      </c>
      <c r="Q28" s="54" t="s">
        <v>88</v>
      </c>
      <c r="S28" s="72">
        <f>ROUND(((SUM(C13,C17)/C50)*100),2)</f>
        <v>0.43</v>
      </c>
      <c r="T28" s="73"/>
      <c r="U28" s="72">
        <f>ROUND(((SUM(E13,E17)/E50)*100),2)</f>
        <v>0.47</v>
      </c>
      <c r="V28" s="73"/>
      <c r="W28" s="72">
        <f>ROUND(((SUM(G13,G17)/G50)*100),2)</f>
        <v>0.52</v>
      </c>
      <c r="X28" s="73"/>
      <c r="Y28" s="72">
        <f>ROUND(((SUM(I13,I17)/I50)*100),2)</f>
        <v>0.56000000000000005</v>
      </c>
      <c r="Z28" s="73"/>
      <c r="AA28" s="72">
        <f>ROUND(((SUM(K13,K17)/K50)*100),2)</f>
        <v>0.7</v>
      </c>
      <c r="AB28" s="73"/>
      <c r="AC28" s="72">
        <f>ROUND(AVERAGE(S28:AB28),2)</f>
        <v>0.54</v>
      </c>
      <c r="AD28" s="73"/>
    </row>
    <row r="29" spans="1:30" x14ac:dyDescent="0.2">
      <c r="Q29" s="54" t="s">
        <v>89</v>
      </c>
      <c r="S29" s="74">
        <f>ROUND(((C16/C50)*100),2)</f>
        <v>40.619999999999997</v>
      </c>
      <c r="T29" s="73"/>
      <c r="U29" s="74">
        <f>ROUND(((E16/E50)*100),2)</f>
        <v>41.35</v>
      </c>
      <c r="V29" s="73"/>
      <c r="W29" s="74">
        <f>ROUND(((G16/G50)*100),2)</f>
        <v>42.61</v>
      </c>
      <c r="X29" s="73"/>
      <c r="Y29" s="74">
        <f>ROUND(((I16/I50)*100),2)</f>
        <v>42.37</v>
      </c>
      <c r="Z29" s="73"/>
      <c r="AA29" s="74">
        <f>ROUND(((K16/K50)*100),2)</f>
        <v>44.32</v>
      </c>
      <c r="AB29" s="73"/>
      <c r="AC29" s="72">
        <f>ROUND(AVERAGE(S29:AB29),2)</f>
        <v>42.25</v>
      </c>
      <c r="AD29" s="73"/>
    </row>
    <row r="30" spans="1:30" x14ac:dyDescent="0.2">
      <c r="A30" s="54" t="s">
        <v>90</v>
      </c>
      <c r="B30" s="54" t="s">
        <v>91</v>
      </c>
      <c r="C30" s="151">
        <f>663*1000000</f>
        <v>663000000</v>
      </c>
      <c r="E30" s="151">
        <f>566*1000000</f>
        <v>566000000</v>
      </c>
      <c r="G30" s="151">
        <f>486*1000000</f>
        <v>486000000</v>
      </c>
      <c r="I30" s="151">
        <f>383*1000000</f>
        <v>383000000</v>
      </c>
      <c r="K30" s="151">
        <f>419*1000000</f>
        <v>419000000</v>
      </c>
      <c r="M30" s="151">
        <v>381000000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99.990000000000009</v>
      </c>
      <c r="AB30" s="73" t="s">
        <v>4</v>
      </c>
      <c r="AC30" s="75">
        <f>SUM(AC27:AC29)</f>
        <v>100</v>
      </c>
      <c r="AD30" s="73" t="s">
        <v>4</v>
      </c>
    </row>
    <row r="32" spans="1:30" x14ac:dyDescent="0.2">
      <c r="A32" s="54" t="s">
        <v>93</v>
      </c>
      <c r="B32" s="54" t="s">
        <v>94</v>
      </c>
      <c r="C32" s="153">
        <f>1187*1000000</f>
        <v>1187000000</v>
      </c>
      <c r="E32" s="153">
        <f>1157*1000000</f>
        <v>1157000000</v>
      </c>
      <c r="G32" s="153">
        <f>1079*1000000</f>
        <v>1079000000</v>
      </c>
      <c r="I32" s="153">
        <f>995*1000000</f>
        <v>995000000</v>
      </c>
      <c r="K32" s="153">
        <f>877*1000000</f>
        <v>877000000</v>
      </c>
      <c r="M32" s="153">
        <v>834000000</v>
      </c>
      <c r="Q32" s="54" t="s">
        <v>95</v>
      </c>
    </row>
    <row r="33" spans="1:30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Q33" s="54" t="s">
        <v>96</v>
      </c>
      <c r="S33" s="72">
        <f>ROUND((((C12+C19)/C56)*100),2)</f>
        <v>60.46</v>
      </c>
      <c r="T33" s="73" t="s">
        <v>4</v>
      </c>
      <c r="U33" s="72">
        <f>ROUND((((E12+E19)/E56)*100),2)</f>
        <v>58.98</v>
      </c>
      <c r="V33" s="73" t="s">
        <v>4</v>
      </c>
      <c r="W33" s="72">
        <f>ROUND((((G12+G19)/G56)*100),2)</f>
        <v>58.66</v>
      </c>
      <c r="X33" s="73" t="s">
        <v>4</v>
      </c>
      <c r="Y33" s="72">
        <f>ROUND((((I12+I19)/I56)*100),2)</f>
        <v>58.07</v>
      </c>
      <c r="Z33" s="73" t="s">
        <v>4</v>
      </c>
      <c r="AA33" s="72">
        <f>ROUND((((K12+K19)/K56)*100),2)</f>
        <v>56.04</v>
      </c>
      <c r="AB33" s="73" t="s">
        <v>4</v>
      </c>
      <c r="AC33" s="72">
        <f>ROUND(AVERAGE(S33:AB33),2)</f>
        <v>58.44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3">
        <f>1187*1000000</f>
        <v>1187000000</v>
      </c>
      <c r="E34" s="153">
        <f>1152*1000000</f>
        <v>1152000000</v>
      </c>
      <c r="G34" s="153">
        <f>1074*1000000</f>
        <v>1074000000</v>
      </c>
      <c r="I34" s="153">
        <f>990*1000000</f>
        <v>990000000</v>
      </c>
      <c r="K34" s="153">
        <f>871*1000000</f>
        <v>871000000</v>
      </c>
      <c r="M34" s="153">
        <v>828000000</v>
      </c>
      <c r="Q34" s="54" t="s">
        <v>88</v>
      </c>
      <c r="S34" s="72">
        <f>ROUND((((SUM(C13,C17))/C56)*100),2)</f>
        <v>0.42</v>
      </c>
      <c r="T34" s="73"/>
      <c r="U34" s="72">
        <f>ROUND((((SUM(E13,E17))/E56)*100),2)</f>
        <v>0.46</v>
      </c>
      <c r="V34" s="73"/>
      <c r="W34" s="72">
        <f>ROUND((((SUM(G13,G17))/G56)*100),2)</f>
        <v>0.5</v>
      </c>
      <c r="X34" s="73"/>
      <c r="Y34" s="72">
        <f>ROUND((((SUM(I13,I17))/I56)*100),2)</f>
        <v>0.55000000000000004</v>
      </c>
      <c r="Z34" s="73"/>
      <c r="AA34" s="72">
        <f>ROUND((((SUM(K13,K17))/K56)*100),2)</f>
        <v>0.69</v>
      </c>
      <c r="AB34" s="73"/>
      <c r="AC34" s="72">
        <f>ROUND(AVERAGE(S34:AB34),2)</f>
        <v>0.52</v>
      </c>
      <c r="AD34" s="73"/>
    </row>
    <row r="35" spans="1:30" x14ac:dyDescent="0.2">
      <c r="Q35" s="54" t="s">
        <v>89</v>
      </c>
      <c r="S35" s="74">
        <f>ROUND((((C16)/C56)*100),2)</f>
        <v>39.119999999999997</v>
      </c>
      <c r="T35" s="73"/>
      <c r="U35" s="74">
        <f>ROUND((((E16)/E56)*100),2)</f>
        <v>40.56</v>
      </c>
      <c r="V35" s="73"/>
      <c r="W35" s="74">
        <f>ROUND((((G16)/G56)*100),2)</f>
        <v>40.840000000000003</v>
      </c>
      <c r="X35" s="73"/>
      <c r="Y35" s="74">
        <f>ROUND((((I16)/I56)*100),2)</f>
        <v>41.38</v>
      </c>
      <c r="Z35" s="73"/>
      <c r="AA35" s="74">
        <f>ROUND((((K16)/K56)*100),2)</f>
        <v>43.27</v>
      </c>
      <c r="AB35" s="73"/>
      <c r="AC35" s="72">
        <f>ROUND(AVERAGE(S35:AB35),2)</f>
        <v>41.03</v>
      </c>
      <c r="AD35" s="73"/>
    </row>
    <row r="36" spans="1:30" x14ac:dyDescent="0.2">
      <c r="A36" s="54" t="s">
        <v>99</v>
      </c>
      <c r="B36" s="54" t="s">
        <v>100</v>
      </c>
      <c r="C36" s="151">
        <v>5000000</v>
      </c>
      <c r="E36" s="151">
        <v>5000000</v>
      </c>
      <c r="G36" s="151">
        <v>5000000</v>
      </c>
      <c r="I36" s="151">
        <v>5000000</v>
      </c>
      <c r="K36" s="151">
        <v>6000000</v>
      </c>
      <c r="M36" s="151">
        <v>6000000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99.990000000000009</v>
      </c>
      <c r="AD36" s="73" t="s">
        <v>4</v>
      </c>
    </row>
    <row r="38" spans="1:30" x14ac:dyDescent="0.2">
      <c r="A38" s="54" t="s">
        <v>101</v>
      </c>
      <c r="B38" s="54" t="s">
        <v>102</v>
      </c>
      <c r="C38" s="153">
        <f>714*1000000</f>
        <v>714000000</v>
      </c>
      <c r="E38" s="153">
        <f>662*1000000</f>
        <v>662000000</v>
      </c>
      <c r="G38" s="153">
        <f>610*1000000</f>
        <v>610000000</v>
      </c>
      <c r="I38" s="153">
        <f>565*1000000</f>
        <v>565000000</v>
      </c>
      <c r="K38" s="153">
        <f>494*1000000</f>
        <v>494000000</v>
      </c>
      <c r="M38" s="153">
        <v>472000000</v>
      </c>
    </row>
    <row r="40" spans="1:30" x14ac:dyDescent="0.2">
      <c r="A40" s="54" t="s">
        <v>103</v>
      </c>
      <c r="B40" s="54" t="s">
        <v>104</v>
      </c>
      <c r="C40" s="153">
        <f>C32</f>
        <v>1187000000</v>
      </c>
      <c r="E40" s="153">
        <f>E32</f>
        <v>1157000000</v>
      </c>
      <c r="G40" s="153">
        <f>G32</f>
        <v>1079000000</v>
      </c>
      <c r="I40" s="153">
        <f>I32</f>
        <v>995000000</v>
      </c>
      <c r="K40" s="153">
        <f>K32</f>
        <v>877000000</v>
      </c>
      <c r="M40" s="153">
        <f>M32</f>
        <v>834000000</v>
      </c>
      <c r="N40" s="66"/>
      <c r="O40" s="66"/>
      <c r="P40" s="66"/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153">
        <f>2763*1000000</f>
        <v>2763000000</v>
      </c>
      <c r="E41" s="153">
        <f>2564*1000000</f>
        <v>2564000000</v>
      </c>
      <c r="G41" s="153">
        <f>2263*1000000</f>
        <v>2263000000</v>
      </c>
      <c r="I41" s="153">
        <f>1661*1000000</f>
        <v>1661000000</v>
      </c>
      <c r="K41" s="153">
        <f>1727*1000000</f>
        <v>1727000000</v>
      </c>
      <c r="M41" s="153">
        <v>2170000000</v>
      </c>
      <c r="N41" s="66"/>
      <c r="O41" s="66"/>
      <c r="P41" s="66"/>
      <c r="Q41" s="66"/>
      <c r="R41" s="66"/>
    </row>
    <row r="42" spans="1:30" x14ac:dyDescent="0.2">
      <c r="A42" s="54" t="s">
        <v>108</v>
      </c>
      <c r="B42" s="54" t="s">
        <v>109</v>
      </c>
      <c r="C42" s="153">
        <f>(-91-31+4+34+99-34+22-216-1)*1000000</f>
        <v>-214000000</v>
      </c>
      <c r="E42" s="153">
        <f>(144-67-104-4-165-109+115-283+147)*1000000</f>
        <v>-326000000</v>
      </c>
      <c r="G42" s="153">
        <f>(-317-77+136-13-72-74+52-65-64)*1000000</f>
        <v>-494000000</v>
      </c>
      <c r="I42" s="153">
        <f>(-74-71+28+1-439-126-74-33)*1000000</f>
        <v>-788000000</v>
      </c>
      <c r="K42" s="153">
        <f>(-47-25+40+34-254-83-111-38)*1000000</f>
        <v>-484000000</v>
      </c>
      <c r="M42" s="153">
        <f>(79-10-3-8+164-59-33-39)*1000000</f>
        <v>91000000</v>
      </c>
      <c r="N42" s="66"/>
      <c r="O42" s="66"/>
      <c r="P42" s="66"/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153">
        <f>1524*1000000</f>
        <v>1524000000</v>
      </c>
      <c r="E43" s="153">
        <f>1432*1000000</f>
        <v>1432000000</v>
      </c>
      <c r="G43" s="153">
        <f>1438*1000000</f>
        <v>1438000000</v>
      </c>
      <c r="I43" s="153">
        <f>1146*1000000</f>
        <v>1146000000</v>
      </c>
      <c r="K43" s="153">
        <f>1075*1000000</f>
        <v>1075000000</v>
      </c>
      <c r="M43" s="153">
        <v>955000000</v>
      </c>
      <c r="Q43" s="54" t="s">
        <v>113</v>
      </c>
      <c r="S43" s="72">
        <f>ROUND(C21/C52,4)*100</f>
        <v>5.43</v>
      </c>
      <c r="T43" s="73" t="s">
        <v>4</v>
      </c>
      <c r="U43" s="72">
        <f>ROUND(E21/E52,4)*100</f>
        <v>5.41</v>
      </c>
      <c r="V43" s="73" t="s">
        <v>4</v>
      </c>
      <c r="W43" s="72">
        <f>ROUND(G21/G52,4)*100</f>
        <v>4.7699999999999996</v>
      </c>
      <c r="X43" s="73" t="s">
        <v>4</v>
      </c>
      <c r="Y43" s="72">
        <f>ROUND(I21/I52,4)*100</f>
        <v>4.79</v>
      </c>
      <c r="Z43" s="73" t="s">
        <v>4</v>
      </c>
      <c r="AA43" s="72">
        <f>ROUND(K21/K52,4)*100</f>
        <v>4.72</v>
      </c>
      <c r="AB43" s="73" t="s">
        <v>4</v>
      </c>
      <c r="AC43" s="72">
        <f>ROUND(AVERAGE(S43:AB43),2)</f>
        <v>5.0199999999999996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161">
        <f>83*1000000</f>
        <v>83000000</v>
      </c>
      <c r="E44" s="161">
        <f>183*1000000</f>
        <v>183000000</v>
      </c>
      <c r="G44" s="161">
        <f>176*1000000</f>
        <v>176000000</v>
      </c>
      <c r="I44" s="161">
        <f>157*1000000</f>
        <v>157000000</v>
      </c>
      <c r="K44" s="161">
        <f>155*1000000</f>
        <v>155000000</v>
      </c>
      <c r="M44" s="161">
        <v>182000000</v>
      </c>
      <c r="Q44" s="54" t="s">
        <v>116</v>
      </c>
      <c r="S44" s="72">
        <f>(ROUND((C52/(AVERAGE(C48,E48))*100),2))</f>
        <v>186.17</v>
      </c>
      <c r="U44" s="72">
        <f>(ROUND((E52/(AVERAGE(E48,G48))*100),2))</f>
        <v>195.7</v>
      </c>
      <c r="W44" s="72">
        <f>(ROUND((G52/(AVERAGE(G48,I48))*100),2))</f>
        <v>223.09</v>
      </c>
      <c r="Y44" s="72">
        <f>(ROUND((I52/(AVERAGE(I48,K48))*100),2))</f>
        <v>219.76</v>
      </c>
      <c r="AA44" s="72">
        <f>(ROUND((K52/(AVERAGE(K48,M48))*100),2))</f>
        <v>218.27</v>
      </c>
      <c r="AC44" s="72">
        <f>ROUND(AVERAGE(S44:AB44),2)</f>
        <v>208.6</v>
      </c>
    </row>
    <row r="45" spans="1:30" x14ac:dyDescent="0.2">
      <c r="Q45" s="54" t="s">
        <v>117</v>
      </c>
      <c r="S45" s="72">
        <f>ROUND(((+C26/C52)*100),2)</f>
        <v>3.29</v>
      </c>
      <c r="U45" s="72">
        <f>ROUND(((+E26/E52)*100),2)</f>
        <v>3.11</v>
      </c>
      <c r="W45" s="72">
        <f>ROUND(((+G26/G52)*100),2)</f>
        <v>2.72</v>
      </c>
      <c r="Y45" s="72">
        <f>ROUND(((+I26/I52)*100),2)</f>
        <v>2.75</v>
      </c>
      <c r="AA45" s="72">
        <f>ROUND(((+K26/K52)*100),2)</f>
        <v>2.69</v>
      </c>
      <c r="AC45" s="72">
        <f>ROUND(AVERAGE(S45:AB45),2)</f>
        <v>2.91</v>
      </c>
    </row>
    <row r="46" spans="1:30" x14ac:dyDescent="0.2">
      <c r="A46" s="54" t="s">
        <v>118</v>
      </c>
      <c r="Q46" s="54" t="s">
        <v>119</v>
      </c>
      <c r="S46" s="72">
        <f>ROUND(((+C38/C34)*100),2)</f>
        <v>60.15</v>
      </c>
      <c r="U46" s="72">
        <f>ROUND(((+E38/E34)*100),2)</f>
        <v>57.47</v>
      </c>
      <c r="W46" s="72">
        <f>ROUND(((+G38/G34)*100),2)</f>
        <v>56.8</v>
      </c>
      <c r="Y46" s="72">
        <f>ROUND(((+I38/I34)*100),2)</f>
        <v>57.07</v>
      </c>
      <c r="AA46" s="72">
        <f>ROUND(((+K38/K34)*100),2)</f>
        <v>56.72</v>
      </c>
      <c r="AC46" s="72">
        <f>ROUND(AVERAGE(S46:AB46),2)</f>
        <v>57.64</v>
      </c>
    </row>
    <row r="47" spans="1:30" x14ac:dyDescent="0.2"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44.883290107447202</v>
      </c>
      <c r="E48" s="65">
        <f>E16/E15</f>
        <v>42.617348854675178</v>
      </c>
      <c r="G48" s="65">
        <f>G16/G15</f>
        <v>40.106870229007633</v>
      </c>
      <c r="I48" s="65">
        <f>I16/I15</f>
        <v>37.640667442762904</v>
      </c>
      <c r="K48" s="65">
        <f>K16/K15</f>
        <v>35.278547081180783</v>
      </c>
      <c r="M48" s="65">
        <f>M16/M15</f>
        <v>32.72933422970312</v>
      </c>
      <c r="N48" s="66"/>
      <c r="O48" s="66"/>
      <c r="P48" s="66"/>
      <c r="Q48" s="66" t="s">
        <v>122</v>
      </c>
      <c r="R48" s="66"/>
      <c r="S48" s="72">
        <f>ROUND(((C34/AVERAGE(C16,E16))*100),2)</f>
        <v>10.119999999999999</v>
      </c>
      <c r="T48" s="54" t="s">
        <v>4</v>
      </c>
      <c r="U48" s="72">
        <f>ROUND(((E34/AVERAGE(E16,G16))*100),2)</f>
        <v>10.54</v>
      </c>
      <c r="V48" s="54" t="s">
        <v>4</v>
      </c>
      <c r="W48" s="72">
        <f>ROUND(((G34/AVERAGE(G16,I16))*100),2)</f>
        <v>10.63</v>
      </c>
      <c r="X48" s="54" t="s">
        <v>4</v>
      </c>
      <c r="Y48" s="72">
        <f>ROUND(((I34/AVERAGE(I16,K16))*100),2)</f>
        <v>10.62</v>
      </c>
      <c r="Z48" s="54" t="s">
        <v>4</v>
      </c>
      <c r="AA48" s="72">
        <f>ROUND(((K34/AVERAGE(K16,M16))*100),2)</f>
        <v>10.25</v>
      </c>
      <c r="AB48" s="54" t="s">
        <v>4</v>
      </c>
      <c r="AC48" s="72">
        <f>ROUND(AVERAGE(S48:AB48),2)</f>
        <v>10.43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29822000000</v>
      </c>
      <c r="E50" s="65">
        <f>SUM(E12:E13,E16:E17)</f>
        <v>27448000000</v>
      </c>
      <c r="G50" s="65">
        <f>SUM(G12:G13,G16:G17)</f>
        <v>24662000000</v>
      </c>
      <c r="I50" s="65">
        <f>SUM(I12:I13,I16:I17)</f>
        <v>22896000000</v>
      </c>
      <c r="K50" s="65">
        <f>SUM(K12:K13,K16:K17)</f>
        <v>20166000000</v>
      </c>
      <c r="M50" s="65">
        <f>SUM(M12:M13,M16:M17)</f>
        <v>17558000000</v>
      </c>
      <c r="N50" s="66"/>
      <c r="O50" s="66"/>
      <c r="P50" s="66"/>
      <c r="Q50" s="66" t="s">
        <v>124</v>
      </c>
      <c r="R50" s="66"/>
      <c r="S50" s="72">
        <f>ROUND((C54/C62),2)</f>
        <v>5.42</v>
      </c>
      <c r="T50" s="73" t="s">
        <v>125</v>
      </c>
      <c r="U50" s="72">
        <f>ROUND((E54/E62),2)</f>
        <v>4.95</v>
      </c>
      <c r="V50" s="73" t="s">
        <v>125</v>
      </c>
      <c r="W50" s="72">
        <f>ROUND((G54/G62),2)</f>
        <v>4.76</v>
      </c>
      <c r="X50" s="73" t="s">
        <v>125</v>
      </c>
      <c r="Y50" s="72">
        <f>ROUND((I54/I62),2)</f>
        <v>5.09</v>
      </c>
      <c r="Z50" s="73" t="s">
        <v>125</v>
      </c>
      <c r="AA50" s="72">
        <f>ROUND((K54/K62),2)</f>
        <v>4.59</v>
      </c>
      <c r="AB50" s="73" t="s">
        <v>125</v>
      </c>
      <c r="AC50" s="72">
        <f>ROUND(AVERAGE(S50:AB50),2)</f>
        <v>4.96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M51" s="65"/>
      <c r="N51" s="66"/>
      <c r="O51" s="66"/>
      <c r="P51" s="66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81.45</v>
      </c>
      <c r="E52" s="65">
        <f>AVERAGE(E22:E23)</f>
        <v>80.944999999999993</v>
      </c>
      <c r="G52" s="65">
        <f>AVERAGE(G22:G23)</f>
        <v>86.724999999999994</v>
      </c>
      <c r="I52" s="65">
        <f>AVERAGE(I22:I23)</f>
        <v>80.125</v>
      </c>
      <c r="K52" s="65">
        <f>AVERAGE(K22:K23)</f>
        <v>74.22</v>
      </c>
      <c r="M52" s="65">
        <f>AVERAGE(M22:M23)</f>
        <v>71.954999999999998</v>
      </c>
      <c r="N52" s="66"/>
      <c r="O52" s="66"/>
      <c r="P52" s="66"/>
      <c r="Q52" s="66" t="s">
        <v>127</v>
      </c>
      <c r="R52" s="66"/>
      <c r="S52" s="72">
        <f>ROUND(((C60/C54)*100),2)</f>
        <v>12.91</v>
      </c>
      <c r="T52" s="73" t="s">
        <v>4</v>
      </c>
      <c r="U52" s="72">
        <f>ROUND(((E60/E54)*100),2)</f>
        <v>12.94</v>
      </c>
      <c r="V52" s="73" t="s">
        <v>4</v>
      </c>
      <c r="W52" s="72">
        <f>ROUND(((G60/G54)*100),2)</f>
        <v>11.26</v>
      </c>
      <c r="X52" s="73" t="s">
        <v>4</v>
      </c>
      <c r="Y52" s="72">
        <f>ROUND(((I60/I54)*100),2)</f>
        <v>5.97</v>
      </c>
      <c r="Z52" s="73" t="s">
        <v>4</v>
      </c>
      <c r="AA52" s="72">
        <f>ROUND(((K60/K54)*100),2)</f>
        <v>10.3</v>
      </c>
      <c r="AB52" s="73" t="s">
        <v>4</v>
      </c>
      <c r="AC52" s="72">
        <f>ROUND(AVERAGE(S52:AB52),2)</f>
        <v>10.68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M53" s="65"/>
      <c r="N53" s="79"/>
      <c r="O53" s="79"/>
      <c r="P53" s="79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18722000000</v>
      </c>
      <c r="E54" s="65">
        <f>+E19+E12</f>
        <v>16506000000</v>
      </c>
      <c r="G54" s="65">
        <f>+G19+G12</f>
        <v>15095000000</v>
      </c>
      <c r="I54" s="65">
        <f>+I19+I12</f>
        <v>13612000000</v>
      </c>
      <c r="K54" s="65">
        <f>+K19+K12</f>
        <v>11576000000</v>
      </c>
      <c r="M54" s="65">
        <f>+M19+M12</f>
        <v>9797000000</v>
      </c>
      <c r="N54" s="79"/>
      <c r="O54" s="79"/>
      <c r="P54" s="79"/>
      <c r="Q54" s="79" t="s">
        <v>128</v>
      </c>
      <c r="R54" s="79"/>
      <c r="S54" s="72">
        <f>S33</f>
        <v>60.46</v>
      </c>
      <c r="T54" s="73" t="s">
        <v>4</v>
      </c>
      <c r="U54" s="72">
        <f>U33</f>
        <v>58.98</v>
      </c>
      <c r="V54" s="73" t="s">
        <v>4</v>
      </c>
      <c r="W54" s="72">
        <f>W33</f>
        <v>58.66</v>
      </c>
      <c r="X54" s="73" t="s">
        <v>4</v>
      </c>
      <c r="Y54" s="72">
        <f>Y33</f>
        <v>58.07</v>
      </c>
      <c r="Z54" s="73" t="s">
        <v>4</v>
      </c>
      <c r="AA54" s="72">
        <f>AA33</f>
        <v>56.04</v>
      </c>
      <c r="AB54" s="73" t="s">
        <v>4</v>
      </c>
      <c r="AC54" s="72">
        <f>ROUND(AVERAGE(S54:AB54),2)</f>
        <v>58.44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M55" s="65"/>
      <c r="AC55" s="151"/>
    </row>
    <row r="56" spans="1:30" x14ac:dyDescent="0.2">
      <c r="A56" s="54" t="s">
        <v>14</v>
      </c>
      <c r="B56" s="54" t="s">
        <v>121</v>
      </c>
      <c r="C56" s="65">
        <f>SUM(C50,C19)</f>
        <v>30965000000</v>
      </c>
      <c r="E56" s="65">
        <f>SUM(E50,E19)</f>
        <v>27984000000</v>
      </c>
      <c r="G56" s="65">
        <f>SUM(G50,G19)</f>
        <v>25732000000</v>
      </c>
      <c r="I56" s="65">
        <f>SUM(I50,I19)</f>
        <v>23441000000</v>
      </c>
      <c r="K56" s="65">
        <f>SUM(K50,K19)</f>
        <v>20656000000</v>
      </c>
      <c r="M56" s="65">
        <f>SUM(M50,M19)</f>
        <v>17998000000</v>
      </c>
    </row>
    <row r="57" spans="1:30" x14ac:dyDescent="0.2">
      <c r="C57" s="65"/>
      <c r="E57" s="65"/>
      <c r="G57" s="65"/>
      <c r="I57" s="65"/>
      <c r="K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129000000</v>
      </c>
      <c r="E58" s="65">
        <f>SUM(E13,E17)</f>
        <v>129000000</v>
      </c>
      <c r="G58" s="65">
        <f>SUM(G13,G17)</f>
        <v>129000000</v>
      </c>
      <c r="I58" s="65">
        <f>SUM(I13,I17)</f>
        <v>129000000</v>
      </c>
      <c r="K58" s="65">
        <f>SUM(K13,K17)</f>
        <v>142000000</v>
      </c>
      <c r="M58" s="65">
        <f>SUM(M13,M17)</f>
        <v>142000000</v>
      </c>
    </row>
    <row r="59" spans="1:30" x14ac:dyDescent="0.2">
      <c r="C59" s="65"/>
      <c r="E59" s="65"/>
      <c r="G59" s="65"/>
      <c r="I59" s="65"/>
      <c r="K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2417000000</v>
      </c>
      <c r="E60" s="65">
        <f>ROUND(E41+E42-E28,3)</f>
        <v>2136000000</v>
      </c>
      <c r="G60" s="65">
        <f>ROUND(G41+G42-G28,3)</f>
        <v>1700000000</v>
      </c>
      <c r="I60" s="65">
        <f>ROUND(I41+I42-I28,3)</f>
        <v>813000000</v>
      </c>
      <c r="K60" s="65">
        <f>ROUND(K41+K42-K28,3)</f>
        <v>1192000000</v>
      </c>
      <c r="M60" s="65">
        <f>ROUND(M41+M42-M28,3)</f>
        <v>2213000000</v>
      </c>
    </row>
    <row r="61" spans="1:30" x14ac:dyDescent="0.2">
      <c r="A61" s="82"/>
    </row>
    <row r="62" spans="1:30" x14ac:dyDescent="0.2">
      <c r="A62" s="54" t="s">
        <v>131</v>
      </c>
      <c r="B62" s="54" t="s">
        <v>121</v>
      </c>
      <c r="C62" s="65">
        <f>C44+C43+C34+C30</f>
        <v>3457000000</v>
      </c>
      <c r="E62" s="65">
        <f>E44+E43+E34+E30</f>
        <v>3333000000</v>
      </c>
      <c r="G62" s="65">
        <f>G44+G43+G34+G30</f>
        <v>3174000000</v>
      </c>
      <c r="I62" s="65">
        <f>I44+I43+I34+I30</f>
        <v>2676000000</v>
      </c>
      <c r="K62" s="65">
        <f>K44+K43+K34+K30</f>
        <v>2520000000</v>
      </c>
      <c r="M62" s="65">
        <f>M44+M43+M34+M30</f>
        <v>2346000000</v>
      </c>
    </row>
    <row r="81" spans="219:223" x14ac:dyDescent="0.2">
      <c r="HK81" s="84"/>
      <c r="HL81" s="84"/>
      <c r="HO81" s="54" t="s">
        <v>132</v>
      </c>
    </row>
  </sheetData>
  <mergeCells count="6">
    <mergeCell ref="AC25:AD25"/>
    <mergeCell ref="C6:M6"/>
    <mergeCell ref="C7:M7"/>
    <mergeCell ref="C8:M8"/>
    <mergeCell ref="W13:AB13"/>
    <mergeCell ref="AC24:AD24"/>
  </mergeCells>
  <pageMargins left="0.7" right="0.7" top="0.75" bottom="0.75" header="0.3" footer="0.3"/>
  <pageSetup scale="27" orientation="portrait" r:id="rId1"/>
  <headerFooter>
    <oddHeader>&amp;R&amp;A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FA37-AEE5-4059-B0D9-EE8AF543C035}">
  <sheetPr>
    <pageSetUpPr fitToPage="1"/>
  </sheetPr>
  <dimension ref="A1:HO81"/>
  <sheetViews>
    <sheetView view="pageBreakPreview" zoomScale="60" zoomScaleNormal="50" workbookViewId="0"/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9.5703125" style="54" customWidth="1"/>
    <col min="4" max="4" width="2.28515625" style="54" customWidth="1"/>
    <col min="5" max="5" width="19.5703125" style="54" customWidth="1"/>
    <col min="6" max="6" width="2.28515625" style="54" customWidth="1"/>
    <col min="7" max="7" width="17.7109375" style="54" bestFit="1" customWidth="1"/>
    <col min="8" max="8" width="2.28515625" style="54" customWidth="1"/>
    <col min="9" max="9" width="16.85546875" style="54" customWidth="1"/>
    <col min="10" max="10" width="1.85546875" style="54" customWidth="1"/>
    <col min="11" max="11" width="16.85546875" style="54" customWidth="1"/>
    <col min="12" max="12" width="3.140625" style="54" customWidth="1"/>
    <col min="13" max="13" width="16.85546875" style="54" customWidth="1"/>
    <col min="14" max="16" width="3" style="54" customWidth="1"/>
    <col min="17" max="17" width="50.42578125" style="54" bestFit="1" customWidth="1"/>
    <col min="18" max="18" width="3" style="54" customWidth="1"/>
    <col min="19" max="19" width="15.42578125" style="54" customWidth="1"/>
    <col min="20" max="20" width="3.28515625" style="54" customWidth="1"/>
    <col min="21" max="21" width="15.42578125" style="54" customWidth="1"/>
    <col min="22" max="22" width="3.28515625" style="54" customWidth="1"/>
    <col min="23" max="23" width="13" style="54" customWidth="1"/>
    <col min="24" max="24" width="3.5703125" style="54" customWidth="1"/>
    <col min="25" max="25" width="11.140625" style="54" customWidth="1"/>
    <col min="26" max="26" width="2.5703125" style="54" bestFit="1" customWidth="1"/>
    <col min="27" max="27" width="11.140625" style="54" customWidth="1"/>
    <col min="28" max="28" width="2.5703125" style="54" customWidth="1"/>
    <col min="29" max="29" width="10" style="54" customWidth="1"/>
    <col min="30" max="30" width="2.5703125" style="54" customWidth="1"/>
    <col min="31" max="31" width="8.7109375" style="54"/>
    <col min="32" max="32" width="4.140625" style="54" customWidth="1"/>
    <col min="33" max="33" width="3.5703125" style="54" customWidth="1"/>
    <col min="34" max="34" width="21.140625" style="54" customWidth="1"/>
    <col min="35" max="16384" width="8.7109375" style="54"/>
  </cols>
  <sheetData>
    <row r="1" spans="1:29" ht="16.149999999999999" customHeight="1" x14ac:dyDescent="0.2">
      <c r="A1" s="162"/>
    </row>
    <row r="2" spans="1:29" ht="16.149999999999999" customHeight="1" x14ac:dyDescent="0.2">
      <c r="A2" s="162"/>
      <c r="C2" s="147"/>
      <c r="E2" s="147"/>
    </row>
    <row r="3" spans="1:29" ht="16.149999999999999" customHeight="1" x14ac:dyDescent="0.2">
      <c r="A3" s="162"/>
      <c r="C3" s="147"/>
      <c r="E3" s="147"/>
      <c r="K3" s="150"/>
    </row>
    <row r="4" spans="1:29" ht="16.149999999999999" customHeight="1" thickBot="1" x14ac:dyDescent="0.25">
      <c r="A4" s="162"/>
      <c r="K4" s="150"/>
    </row>
    <row r="5" spans="1:29" ht="15" x14ac:dyDescent="0.35">
      <c r="A5" s="163" t="s">
        <v>136</v>
      </c>
    </row>
    <row r="6" spans="1:29" ht="14.65" customHeight="1" thickBot="1" x14ac:dyDescent="0.25">
      <c r="A6" s="164" t="s">
        <v>164</v>
      </c>
      <c r="C6" s="194" t="s">
        <v>212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60" t="str">
        <f>C6</f>
        <v>American Electric Power Co., Inc.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4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211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50">
        <f>(39307.8+3335)*1000000</f>
        <v>42642800000</v>
      </c>
      <c r="E12" s="150">
        <f>(37652.7+2490.5)*1000000</f>
        <v>40143200000</v>
      </c>
      <c r="G12" s="150">
        <f>(33626.2+1996.4)*1000000</f>
        <v>35622600000</v>
      </c>
      <c r="I12" s="150">
        <f>(31300.7+2153.8)*1000000</f>
        <v>33454500000</v>
      </c>
      <c r="K12" s="150">
        <f>(28986.4+2086.1)*1000000</f>
        <v>31072500000</v>
      </c>
      <c r="M12" s="150">
        <v>26725500000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ht="15" customHeight="1" x14ac:dyDescent="0.2">
      <c r="A13" s="54" t="s">
        <v>60</v>
      </c>
      <c r="B13" s="54" t="s">
        <v>61</v>
      </c>
      <c r="C13" s="54">
        <v>0</v>
      </c>
      <c r="E13" s="54">
        <v>0</v>
      </c>
      <c r="G13" s="54">
        <v>0</v>
      </c>
      <c r="I13" s="54">
        <v>0</v>
      </c>
      <c r="K13" s="54">
        <v>0</v>
      </c>
      <c r="M13" s="54">
        <v>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64">
        <f>534094530-1186815</f>
        <v>532907715</v>
      </c>
      <c r="E15" s="64">
        <f>527369157-1184572</f>
        <v>526184585</v>
      </c>
      <c r="G15" s="165">
        <f>525099321-11233240</f>
        <v>513866081</v>
      </c>
      <c r="I15" s="165">
        <f>524416175-20204160</f>
        <v>504212015</v>
      </c>
      <c r="K15" s="165">
        <v>496604194</v>
      </c>
      <c r="M15" s="165">
        <v>494169471</v>
      </c>
    </row>
    <row r="16" spans="1:29" x14ac:dyDescent="0.2">
      <c r="A16" s="54" t="s">
        <v>6</v>
      </c>
      <c r="B16" s="54" t="s">
        <v>67</v>
      </c>
      <c r="C16" s="153">
        <f>26943.8*1000000</f>
        <v>26943800000</v>
      </c>
      <c r="E16" s="153">
        <f>25246.7*1000000</f>
        <v>25246700000</v>
      </c>
      <c r="G16" s="153">
        <f>23893.4*1000000</f>
        <v>23893400000</v>
      </c>
      <c r="I16" s="153">
        <f>22433.2*1000000</f>
        <v>22433200000</v>
      </c>
      <c r="K16" s="153">
        <f>20550.9*1000000</f>
        <v>20550900000</v>
      </c>
      <c r="M16" s="153">
        <v>19913200000</v>
      </c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C17" s="54">
        <v>0</v>
      </c>
      <c r="E17" s="54">
        <v>0</v>
      </c>
      <c r="G17" s="54">
        <v>0</v>
      </c>
      <c r="I17" s="54">
        <v>0</v>
      </c>
      <c r="K17" s="54">
        <v>0</v>
      </c>
      <c r="M17" s="54">
        <v>0</v>
      </c>
      <c r="Q17" s="54" t="s">
        <v>70</v>
      </c>
      <c r="S17" s="69">
        <f>C50/1000000</f>
        <v>69586.600000000006</v>
      </c>
      <c r="U17" s="69">
        <f>E50/1000000</f>
        <v>65389.9</v>
      </c>
      <c r="W17" s="69">
        <f>G50/1000000</f>
        <v>59516</v>
      </c>
      <c r="Y17" s="69">
        <f>I50/1000000</f>
        <v>55887.7</v>
      </c>
      <c r="AA17" s="69">
        <f>K50/1000000</f>
        <v>51623.4</v>
      </c>
      <c r="AB17" s="69"/>
    </row>
    <row r="18" spans="1:30" x14ac:dyDescent="0.2">
      <c r="Q18" s="54" t="s">
        <v>71</v>
      </c>
      <c r="S18" s="70">
        <f>C19/1000000</f>
        <v>2523.8000000000002</v>
      </c>
      <c r="U18" s="70">
        <f>E19/1000000</f>
        <v>2830.2</v>
      </c>
      <c r="W18" s="70">
        <f>G19/1000000</f>
        <v>4112.2</v>
      </c>
      <c r="Y18" s="70">
        <f>I19/1000000</f>
        <v>2614</v>
      </c>
      <c r="AA18" s="70">
        <f>K19/1000000</f>
        <v>2479.3000000000002</v>
      </c>
      <c r="AB18" s="69"/>
    </row>
    <row r="19" spans="1:30" x14ac:dyDescent="0.2">
      <c r="A19" s="54" t="s">
        <v>72</v>
      </c>
      <c r="B19" s="54" t="s">
        <v>73</v>
      </c>
      <c r="C19" s="153">
        <f>2523.8*1000000</f>
        <v>2523800000</v>
      </c>
      <c r="E19" s="153">
        <f>2830.2*1000000</f>
        <v>2830200000</v>
      </c>
      <c r="G19" s="153">
        <f>4112.2*1000000</f>
        <v>4112200000</v>
      </c>
      <c r="I19" s="153">
        <f>2614*1000000</f>
        <v>2614000000</v>
      </c>
      <c r="K19" s="153">
        <f>2479.3*1000000</f>
        <v>2479300000</v>
      </c>
      <c r="M19" s="153">
        <v>2838300000</v>
      </c>
      <c r="Q19" s="54" t="s">
        <v>74</v>
      </c>
      <c r="S19" s="71">
        <f>SUM(S17:S18)</f>
        <v>72110.400000000009</v>
      </c>
      <c r="U19" s="71">
        <f>SUM(U17:U18)</f>
        <v>68220.100000000006</v>
      </c>
      <c r="W19" s="71">
        <f>SUM(W17:W18)</f>
        <v>63628.2</v>
      </c>
      <c r="Y19" s="71">
        <f>SUM(Y17:Y18)</f>
        <v>58501.7</v>
      </c>
      <c r="AA19" s="71">
        <f>SUM(AA17:AA18)</f>
        <v>54102.700000000004</v>
      </c>
      <c r="AB19" s="69"/>
    </row>
    <row r="21" spans="1:30" x14ac:dyDescent="0.2">
      <c r="A21" s="54" t="s">
        <v>75</v>
      </c>
      <c r="B21" s="54" t="s">
        <v>76</v>
      </c>
      <c r="C21" s="65">
        <v>5.58</v>
      </c>
      <c r="E21" s="65">
        <v>4.24</v>
      </c>
      <c r="G21" s="65">
        <v>4.49</v>
      </c>
      <c r="I21" s="65">
        <v>4.96</v>
      </c>
      <c r="K21" s="65">
        <v>4.42</v>
      </c>
      <c r="M21" s="65">
        <v>3.88</v>
      </c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54">
        <v>104.95</v>
      </c>
      <c r="E22" s="54">
        <v>97.95</v>
      </c>
      <c r="G22" s="54">
        <v>105.18</v>
      </c>
      <c r="I22" s="54">
        <v>91.08</v>
      </c>
      <c r="K22" s="72">
        <v>104.33</v>
      </c>
      <c r="M22" s="54">
        <v>95.72</v>
      </c>
      <c r="Q22" s="54" t="s">
        <v>80</v>
      </c>
      <c r="S22" s="72">
        <f>(ROUND((C30/(AVERAGE(C54,E54))*100),2))</f>
        <v>4.2300000000000004</v>
      </c>
      <c r="T22" s="73" t="s">
        <v>4</v>
      </c>
      <c r="U22" s="72">
        <f>(ROUND((E30/(AVERAGE(E54,G54))*100),2))</f>
        <v>4.37</v>
      </c>
      <c r="V22" s="73" t="s">
        <v>4</v>
      </c>
      <c r="W22" s="72">
        <f>(ROUND((G30/(AVERAGE(G54,I54))*100),2))</f>
        <v>3.68</v>
      </c>
      <c r="X22" s="73" t="s">
        <v>4</v>
      </c>
      <c r="Y22" s="72">
        <f>(ROUND((I30/(AVERAGE(I54,K54))*100),2))</f>
        <v>3.44</v>
      </c>
      <c r="Z22" s="73" t="s">
        <v>4</v>
      </c>
      <c r="AA22" s="72">
        <f>(ROUND((K30/(AVERAGE(K54,M54))*100),2))</f>
        <v>3.69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75.94</v>
      </c>
      <c r="E23" s="54">
        <v>71.33</v>
      </c>
      <c r="G23" s="54">
        <v>81.739999999999995</v>
      </c>
      <c r="I23" s="54">
        <v>74.849999999999994</v>
      </c>
      <c r="K23" s="72">
        <v>70</v>
      </c>
      <c r="M23" s="54">
        <v>72.77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AC24" s="194" t="s">
        <v>1</v>
      </c>
      <c r="AD24" s="194"/>
    </row>
    <row r="25" spans="1:30" x14ac:dyDescent="0.2"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54">
        <f>0.88+0.88+0.93+0.88</f>
        <v>3.57</v>
      </c>
      <c r="E26" s="54">
        <v>3.52</v>
      </c>
      <c r="G26" s="54">
        <v>3.32</v>
      </c>
      <c r="I26" s="54">
        <v>3.12</v>
      </c>
      <c r="K26" s="54">
        <v>2.96</v>
      </c>
      <c r="M26" s="54">
        <v>2.8</v>
      </c>
      <c r="Q26" s="54" t="s">
        <v>85</v>
      </c>
    </row>
    <row r="27" spans="1:30" x14ac:dyDescent="0.2">
      <c r="Q27" s="54" t="s">
        <v>86</v>
      </c>
      <c r="S27" s="72">
        <f>ROUND(((C12/C50)*100),2)-0.01</f>
        <v>61.27</v>
      </c>
      <c r="T27" s="73" t="s">
        <v>4</v>
      </c>
      <c r="U27" s="72">
        <f>ROUND(((E12/E50)*100),2)-0.01</f>
        <v>61.38</v>
      </c>
      <c r="V27" s="73" t="s">
        <v>4</v>
      </c>
      <c r="W27" s="72">
        <f>ROUND(((G12/G50)*100),2)-0.01</f>
        <v>59.84</v>
      </c>
      <c r="X27" s="73" t="s">
        <v>4</v>
      </c>
      <c r="Y27" s="72">
        <f>ROUND(((I12/I50)*100),2)-0.01</f>
        <v>59.85</v>
      </c>
      <c r="Z27" s="73" t="s">
        <v>4</v>
      </c>
      <c r="AA27" s="72">
        <f>ROUND(((K12/K50)*100),2)-0.01</f>
        <v>60.18</v>
      </c>
      <c r="AB27" s="73" t="s">
        <v>4</v>
      </c>
      <c r="AC27" s="72">
        <f>ROUND(AVERAGE(S27:AB27),2)</f>
        <v>60.5</v>
      </c>
      <c r="AD27" s="73" t="s">
        <v>4</v>
      </c>
    </row>
    <row r="28" spans="1:30" x14ac:dyDescent="0.2">
      <c r="A28" s="54" t="s">
        <v>87</v>
      </c>
      <c r="B28" s="54" t="s">
        <v>87</v>
      </c>
      <c r="C28" s="165">
        <f>(211)*1000000</f>
        <v>211000000</v>
      </c>
      <c r="E28" s="165">
        <f>(174.9)*1000000</f>
        <v>174900000</v>
      </c>
      <c r="G28" s="165">
        <f>(133.7)*1000000</f>
        <v>133699999.99999999</v>
      </c>
      <c r="I28" s="165">
        <f>(139.7)*1000000</f>
        <v>139700000</v>
      </c>
      <c r="K28" s="165">
        <f>(148.1)*1000000</f>
        <v>148100000</v>
      </c>
      <c r="M28" s="165">
        <f>168400000</f>
        <v>168400000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Q29" s="54" t="s">
        <v>89</v>
      </c>
      <c r="S29" s="74">
        <f>ROUND(((C16/C50)*100),2)+0.01</f>
        <v>38.729999999999997</v>
      </c>
      <c r="T29" s="73"/>
      <c r="U29" s="74">
        <f>ROUND(((E16/E50)*100),2)+0.01</f>
        <v>38.619999999999997</v>
      </c>
      <c r="V29" s="73"/>
      <c r="W29" s="74">
        <f>ROUND(((G16/G50)*100),2)+0.01</f>
        <v>40.159999999999997</v>
      </c>
      <c r="X29" s="73"/>
      <c r="Y29" s="74">
        <f>ROUND(((I16/I50)*100),2)+0.01</f>
        <v>40.15</v>
      </c>
      <c r="Z29" s="73"/>
      <c r="AA29" s="74">
        <f>ROUND(((K16/K50)*100),2)+0.01</f>
        <v>39.82</v>
      </c>
      <c r="AB29" s="73"/>
      <c r="AC29" s="72">
        <f>ROUND(AVERAGE(S29:AB29),2)</f>
        <v>39.5</v>
      </c>
      <c r="AD29" s="73"/>
    </row>
    <row r="30" spans="1:30" x14ac:dyDescent="0.2">
      <c r="A30" s="54" t="s">
        <v>90</v>
      </c>
      <c r="B30" s="54" t="s">
        <v>91</v>
      </c>
      <c r="C30" s="165">
        <f>1862.8*1000000</f>
        <v>1862800000</v>
      </c>
      <c r="E30" s="165">
        <f>1806.9*1000000</f>
        <v>1806900000</v>
      </c>
      <c r="G30" s="165">
        <f>1396.1*1000000</f>
        <v>1396100000</v>
      </c>
      <c r="I30" s="165">
        <f>1199.1*1000000</f>
        <v>1199100000</v>
      </c>
      <c r="K30" s="165">
        <f>1165.7*1000000</f>
        <v>1165700000</v>
      </c>
      <c r="M30" s="165">
        <v>1072500000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2" spans="1:30" x14ac:dyDescent="0.2">
      <c r="A32" s="54" t="s">
        <v>93</v>
      </c>
      <c r="B32" s="54" t="s">
        <v>94</v>
      </c>
      <c r="C32" s="153">
        <f>2975.8*1000000</f>
        <v>2975800000</v>
      </c>
      <c r="E32" s="153">
        <f>2212.6*1000000</f>
        <v>2212600000</v>
      </c>
      <c r="G32" s="153">
        <f>2305.6 *1000000</f>
        <v>2305600000</v>
      </c>
      <c r="I32" s="153">
        <f>2488.1*1000000</f>
        <v>2488100000</v>
      </c>
      <c r="K32" s="153">
        <f>2196.7*1000000</f>
        <v>2196700000</v>
      </c>
      <c r="M32" s="153">
        <v>1919800000</v>
      </c>
      <c r="Q32" s="54" t="s">
        <v>95</v>
      </c>
    </row>
    <row r="33" spans="1:30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Q33" s="54" t="s">
        <v>96</v>
      </c>
      <c r="S33" s="72">
        <f>ROUND((((C12+C19)/C56)*100),2)</f>
        <v>62.64</v>
      </c>
      <c r="T33" s="73" t="s">
        <v>4</v>
      </c>
      <c r="U33" s="72">
        <f>ROUND((((E12+E19)/E56)*100),2)</f>
        <v>62.99</v>
      </c>
      <c r="V33" s="73" t="s">
        <v>4</v>
      </c>
      <c r="W33" s="72">
        <f>ROUND((((G12+G19)/G56)*100),2)</f>
        <v>62.45</v>
      </c>
      <c r="X33" s="73" t="s">
        <v>4</v>
      </c>
      <c r="Y33" s="72">
        <f>ROUND((((I12+I19)/I56)*100),2)</f>
        <v>61.65</v>
      </c>
      <c r="Z33" s="73" t="s">
        <v>4</v>
      </c>
      <c r="AA33" s="72">
        <f>ROUND((((K12+K19)/K56)*100),2)</f>
        <v>62.02</v>
      </c>
      <c r="AB33" s="73" t="s">
        <v>4</v>
      </c>
      <c r="AC33" s="72">
        <f>ROUND(AVERAGE(S33:AB33),2)</f>
        <v>62.35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3">
        <f>2967.1*1000000</f>
        <v>2967100000</v>
      </c>
      <c r="E34" s="153">
        <f>2208.1*1000000</f>
        <v>2208100000</v>
      </c>
      <c r="G34" s="153">
        <f>2307.2*1000000</f>
        <v>2307200000</v>
      </c>
      <c r="I34" s="153">
        <f>2488.1*1000000</f>
        <v>2488100000</v>
      </c>
      <c r="K34" s="153">
        <f>2200.1*1000000</f>
        <v>2200100000</v>
      </c>
      <c r="M34" s="153">
        <v>1921100000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Q35" s="54" t="s">
        <v>89</v>
      </c>
      <c r="S35" s="74">
        <f>ROUND((((C16)/C56)*100),2)</f>
        <v>37.36</v>
      </c>
      <c r="T35" s="73"/>
      <c r="U35" s="74">
        <f>ROUND((((E16)/E56)*100),2)</f>
        <v>37.01</v>
      </c>
      <c r="V35" s="73"/>
      <c r="W35" s="74">
        <f>ROUND((((G16)/G56)*100),2)</f>
        <v>37.549999999999997</v>
      </c>
      <c r="X35" s="73"/>
      <c r="Y35" s="74">
        <f>ROUND((((I16)/I56)*100),2)</f>
        <v>38.35</v>
      </c>
      <c r="Z35" s="73"/>
      <c r="AA35" s="74">
        <f>ROUND((((K16)/K56)*100),2)</f>
        <v>37.979999999999997</v>
      </c>
      <c r="AB35" s="73"/>
      <c r="AC35" s="72">
        <f>ROUND(AVERAGE(S35:AB35),2)</f>
        <v>37.65</v>
      </c>
      <c r="AD35" s="73"/>
    </row>
    <row r="36" spans="1:30" x14ac:dyDescent="0.2">
      <c r="A36" s="54" t="s">
        <v>99</v>
      </c>
      <c r="B36" s="54" t="s">
        <v>100</v>
      </c>
      <c r="C36" s="54">
        <v>0</v>
      </c>
      <c r="E36" s="54">
        <v>0</v>
      </c>
      <c r="G36" s="54">
        <v>0</v>
      </c>
      <c r="I36" s="54">
        <v>0</v>
      </c>
      <c r="K36" s="54">
        <v>0</v>
      </c>
      <c r="M36" s="54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8" spans="1:30" x14ac:dyDescent="0.2">
      <c r="A38" s="54" t="s">
        <v>101</v>
      </c>
      <c r="B38" s="54" t="s">
        <v>102</v>
      </c>
      <c r="C38" s="153">
        <f>1903.9*1000000</f>
        <v>1903900000</v>
      </c>
      <c r="E38" s="153">
        <f>1760.4*1000000</f>
        <v>1760400000</v>
      </c>
      <c r="G38" s="153">
        <f>1645.2*1000000</f>
        <v>1645200000</v>
      </c>
      <c r="I38" s="153">
        <f>1519.5*1000000</f>
        <v>1519500000</v>
      </c>
      <c r="K38" s="153">
        <f>1424.9*1000000</f>
        <v>1424900000</v>
      </c>
      <c r="M38" s="153">
        <v>1350000000</v>
      </c>
    </row>
    <row r="40" spans="1:30" x14ac:dyDescent="0.2">
      <c r="A40" s="54" t="s">
        <v>103</v>
      </c>
      <c r="B40" s="54" t="s">
        <v>104</v>
      </c>
      <c r="C40" s="153">
        <f>C32</f>
        <v>2975800000</v>
      </c>
      <c r="E40" s="153">
        <f>E32</f>
        <v>2212600000</v>
      </c>
      <c r="G40" s="153">
        <f>G32</f>
        <v>2305600000</v>
      </c>
      <c r="I40" s="153">
        <f>I32</f>
        <v>2488100000</v>
      </c>
      <c r="K40" s="153">
        <f>K32</f>
        <v>2196700000</v>
      </c>
      <c r="M40" s="153">
        <f>M32</f>
        <v>1919800000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5">
        <f>6804.3*1000000</f>
        <v>6804300000</v>
      </c>
      <c r="E41" s="65">
        <f>5012.2*1000000</f>
        <v>5012200000</v>
      </c>
      <c r="G41" s="65">
        <f>5288*1000000</f>
        <v>5288000000</v>
      </c>
      <c r="I41" s="65">
        <f>3839.9*1000000</f>
        <v>3839900000</v>
      </c>
      <c r="K41" s="65">
        <f>3832.9*1000000</f>
        <v>3832900000</v>
      </c>
      <c r="M41" s="65">
        <v>4270100000</v>
      </c>
      <c r="Q41" s="66"/>
      <c r="R41" s="66"/>
    </row>
    <row r="42" spans="1:30" x14ac:dyDescent="0.2">
      <c r="A42" s="54" t="s">
        <v>108</v>
      </c>
      <c r="B42" s="54" t="s">
        <v>109</v>
      </c>
      <c r="C42" s="65">
        <f>(-156+171.6+85.1+240.2-13.2+182.6)*1000000</f>
        <v>510299999.99999994</v>
      </c>
      <c r="E42" s="65">
        <f>(236.5-504-253.2+22.5-43.9-161.4)*1000000</f>
        <v>-703500000</v>
      </c>
      <c r="G42" s="65">
        <f>(-681.7-313.9+489.2+105.4+109+54.3)*1000000</f>
        <v>-237700000</v>
      </c>
      <c r="I42" s="65">
        <f>(-119.7+300.2+200.6+218.7-147.7-151.3-212.2)*1000000</f>
        <v>88599999.99999997</v>
      </c>
      <c r="K42" s="65">
        <f>(-129.3-142.9-35.3+20.1-147.7+34.3-255.5)*1000000</f>
        <v>-656300000</v>
      </c>
      <c r="M42" s="65">
        <v>-121700000</v>
      </c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5">
        <f>(3289.9)*1000000</f>
        <v>3289900000</v>
      </c>
      <c r="E43" s="65">
        <v>3090400000</v>
      </c>
      <c r="G43" s="65">
        <v>3202800000</v>
      </c>
      <c r="I43" s="65">
        <v>2825700000</v>
      </c>
      <c r="K43" s="65">
        <v>2682800000</v>
      </c>
      <c r="M43" s="65">
        <v>2514500000</v>
      </c>
      <c r="Q43" s="54" t="s">
        <v>113</v>
      </c>
      <c r="S43" s="72">
        <f>ROUND(C21/C52,4)*100</f>
        <v>6.17</v>
      </c>
      <c r="T43" s="73" t="s">
        <v>4</v>
      </c>
      <c r="U43" s="72">
        <f>ROUND(E21/E52,4)*100</f>
        <v>5.01</v>
      </c>
      <c r="V43" s="73" t="s">
        <v>4</v>
      </c>
      <c r="W43" s="72">
        <f>ROUND(G21/G52,4)*100</f>
        <v>4.8</v>
      </c>
      <c r="X43" s="73" t="s">
        <v>4</v>
      </c>
      <c r="Y43" s="72">
        <f>ROUND(I21/I52,4)*100</f>
        <v>5.9799999999999995</v>
      </c>
      <c r="Z43" s="73" t="s">
        <v>4</v>
      </c>
      <c r="AA43" s="72">
        <f>ROUND(K21/K52,4)*100</f>
        <v>5.07</v>
      </c>
      <c r="AB43" s="73" t="s">
        <v>4</v>
      </c>
      <c r="AC43" s="72">
        <f>ROUND(AVERAGE(S43:AB43),2)</f>
        <v>5.41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165">
        <f>(-39.2)*1000000</f>
        <v>-39200000</v>
      </c>
      <c r="E44" s="165">
        <v>54600000</v>
      </c>
      <c r="G44" s="165">
        <v>5400000</v>
      </c>
      <c r="I44" s="165">
        <v>115500000</v>
      </c>
      <c r="K44" s="165">
        <v>40500000</v>
      </c>
      <c r="M44" s="165">
        <v>-12900000</v>
      </c>
      <c r="Q44" s="54" t="s">
        <v>116</v>
      </c>
      <c r="S44" s="72">
        <f>(ROUND((C52/(AVERAGE(C48,E48))*100),2))</f>
        <v>183.57</v>
      </c>
      <c r="U44" s="72">
        <f>(ROUND((E52/(AVERAGE(E48,G48))*100),2))</f>
        <v>179.17</v>
      </c>
      <c r="W44" s="72">
        <f>(ROUND((G52/(AVERAGE(G48,I48))*100),2))</f>
        <v>205.43</v>
      </c>
      <c r="Y44" s="72">
        <f>(ROUND((I52/(AVERAGE(I48,K48))*100),2))</f>
        <v>193.22</v>
      </c>
      <c r="AA44" s="72">
        <f>(ROUND((K52/(AVERAGE(K48,M48))*100),2))</f>
        <v>213.43</v>
      </c>
      <c r="AC44" s="72">
        <f>ROUND(AVERAGE(S44:AB44),2)</f>
        <v>194.96</v>
      </c>
    </row>
    <row r="45" spans="1:30" x14ac:dyDescent="0.2">
      <c r="Q45" s="54" t="s">
        <v>117</v>
      </c>
      <c r="S45" s="72">
        <f>ROUND(((+C26/C52)*100),2)</f>
        <v>3.95</v>
      </c>
      <c r="U45" s="72">
        <f>ROUND(((+E26/E52)*100),2)</f>
        <v>4.16</v>
      </c>
      <c r="W45" s="72">
        <f>ROUND(((+G26/G52)*100),2)</f>
        <v>3.55</v>
      </c>
      <c r="Y45" s="72">
        <f>ROUND(((+I26/I52)*100),2)</f>
        <v>3.76</v>
      </c>
      <c r="AA45" s="72">
        <f>ROUND(((+K26/K52)*100),2)</f>
        <v>3.4</v>
      </c>
      <c r="AC45" s="72">
        <f>ROUND(AVERAGE(S45:AB45),2)</f>
        <v>3.76</v>
      </c>
    </row>
    <row r="46" spans="1:30" x14ac:dyDescent="0.2">
      <c r="A46" s="54" t="s">
        <v>118</v>
      </c>
      <c r="M46" s="65"/>
      <c r="Q46" s="54" t="s">
        <v>119</v>
      </c>
      <c r="S46" s="72">
        <f>ROUND(((+C38/C34)*100),2)</f>
        <v>64.17</v>
      </c>
      <c r="U46" s="72">
        <f>ROUND(((+E38/E34)*100),2)</f>
        <v>79.72</v>
      </c>
      <c r="W46" s="72">
        <f>ROUND(((+G38/G34)*100),2)</f>
        <v>71.31</v>
      </c>
      <c r="Y46" s="72">
        <f>ROUND(((+I38/I34)*100),2)</f>
        <v>61.07</v>
      </c>
      <c r="AA46" s="72">
        <f>ROUND(((+K38/K34)*100),2)</f>
        <v>64.77</v>
      </c>
      <c r="AC46" s="72">
        <f>ROUND(AVERAGE(S46:AB46),2)</f>
        <v>68.209999999999994</v>
      </c>
    </row>
    <row r="47" spans="1:30" x14ac:dyDescent="0.2"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50.559973596929439</v>
      </c>
      <c r="E48" s="65">
        <f>E16/E15</f>
        <v>47.980691034496957</v>
      </c>
      <c r="G48" s="65">
        <f>G16/G15</f>
        <v>46.497328552027938</v>
      </c>
      <c r="I48" s="65">
        <f>I16/I15</f>
        <v>44.491601414932568</v>
      </c>
      <c r="K48" s="65">
        <f>K16/K15</f>
        <v>41.382856303464891</v>
      </c>
      <c r="M48" s="65">
        <f>M16/M15</f>
        <v>40.296297461888329</v>
      </c>
      <c r="Q48" s="66" t="s">
        <v>122</v>
      </c>
      <c r="R48" s="66"/>
      <c r="S48" s="72">
        <f>ROUND(((C34/AVERAGE(C16,E16))*100),2)</f>
        <v>11.37</v>
      </c>
      <c r="T48" s="54" t="s">
        <v>4</v>
      </c>
      <c r="U48" s="72">
        <f>ROUND(((E34/AVERAGE(E16,G16))*100),2)</f>
        <v>8.99</v>
      </c>
      <c r="V48" s="54" t="s">
        <v>4</v>
      </c>
      <c r="W48" s="72">
        <f>ROUND(((G34/AVERAGE(G16,I16))*100),2)</f>
        <v>9.9600000000000009</v>
      </c>
      <c r="X48" s="54" t="s">
        <v>4</v>
      </c>
      <c r="Y48" s="72">
        <f>ROUND(((I34/AVERAGE(I16,K16))*100),2)</f>
        <v>11.58</v>
      </c>
      <c r="Z48" s="54" t="s">
        <v>4</v>
      </c>
      <c r="AA48" s="72">
        <f>ROUND(((K34/AVERAGE(K16,M16))*100),2)</f>
        <v>10.87</v>
      </c>
      <c r="AB48" s="54" t="s">
        <v>4</v>
      </c>
      <c r="AC48" s="72">
        <f>ROUND(AVERAGE(S48:AB48),2)</f>
        <v>10.55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69586600000</v>
      </c>
      <c r="E50" s="65">
        <f>SUM(E12:E13,E16:E17)</f>
        <v>65389900000</v>
      </c>
      <c r="G50" s="65">
        <f>SUM(G12:G13,G16:G17)</f>
        <v>59516000000</v>
      </c>
      <c r="I50" s="65">
        <f>SUM(I12:I13,I16:I17)</f>
        <v>55887700000</v>
      </c>
      <c r="K50" s="65">
        <f>SUM(K12:K13,K16:K17)</f>
        <v>51623400000</v>
      </c>
      <c r="M50" s="65">
        <f>SUM(M12:M13,M16:M17)</f>
        <v>46638700000</v>
      </c>
      <c r="Q50" s="66" t="s">
        <v>124</v>
      </c>
      <c r="R50" s="66"/>
      <c r="S50" s="72">
        <f>ROUND((C54/C62),2)</f>
        <v>5.59</v>
      </c>
      <c r="T50" s="73" t="s">
        <v>125</v>
      </c>
      <c r="U50" s="72">
        <f>ROUND((E54/E62),2)</f>
        <v>6</v>
      </c>
      <c r="V50" s="73" t="s">
        <v>125</v>
      </c>
      <c r="W50" s="72">
        <f>ROUND((G54/G62),2)</f>
        <v>5.75</v>
      </c>
      <c r="X50" s="73" t="s">
        <v>125</v>
      </c>
      <c r="Y50" s="72">
        <f>ROUND((I54/I62),2)</f>
        <v>5.44</v>
      </c>
      <c r="Z50" s="73" t="s">
        <v>125</v>
      </c>
      <c r="AA50" s="72">
        <f>ROUND((K54/K62),2)</f>
        <v>5.51</v>
      </c>
      <c r="AB50" s="73" t="s">
        <v>125</v>
      </c>
      <c r="AC50" s="72">
        <f>ROUND(AVERAGE(S50:AB50),2)</f>
        <v>5.66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90.444999999999993</v>
      </c>
      <c r="E52" s="65">
        <f>AVERAGE(E22:E23)</f>
        <v>84.64</v>
      </c>
      <c r="G52" s="65">
        <f>AVERAGE(G22:G23)</f>
        <v>93.460000000000008</v>
      </c>
      <c r="I52" s="65">
        <f>AVERAGE(I22:I23)</f>
        <v>82.965000000000003</v>
      </c>
      <c r="K52" s="65">
        <f>AVERAGE(K22:K23)</f>
        <v>87.164999999999992</v>
      </c>
      <c r="M52" s="65">
        <f>AVERAGE(M22:M23)</f>
        <v>84.245000000000005</v>
      </c>
      <c r="Q52" s="66" t="s">
        <v>127</v>
      </c>
      <c r="R52" s="66"/>
      <c r="S52" s="72">
        <f>ROUND(((C60/C54)*100),2)</f>
        <v>15.73</v>
      </c>
      <c r="T52" s="73" t="s">
        <v>4</v>
      </c>
      <c r="U52" s="72">
        <f>ROUND(((E60/E54)*100),2)</f>
        <v>9.6199999999999992</v>
      </c>
      <c r="V52" s="73" t="s">
        <v>4</v>
      </c>
      <c r="W52" s="72">
        <f>ROUND(((G60/G54)*100),2)</f>
        <v>12.37</v>
      </c>
      <c r="X52" s="73" t="s">
        <v>4</v>
      </c>
      <c r="Y52" s="72">
        <f>ROUND(((I60/I54)*100),2)</f>
        <v>10.5</v>
      </c>
      <c r="Z52" s="73" t="s">
        <v>4</v>
      </c>
      <c r="AA52" s="72">
        <f>ROUND(((K60/K54)*100),2)</f>
        <v>9.0299999999999994</v>
      </c>
      <c r="AB52" s="73" t="s">
        <v>4</v>
      </c>
      <c r="AC52" s="72">
        <f>ROUND(AVERAGE(S52:AB52),2)</f>
        <v>11.45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45166600000</v>
      </c>
      <c r="E54" s="65">
        <f>+E19+E12</f>
        <v>42973400000</v>
      </c>
      <c r="G54" s="65">
        <f>+G19+G12</f>
        <v>39734800000</v>
      </c>
      <c r="I54" s="65">
        <f>+I19+I12</f>
        <v>36068500000</v>
      </c>
      <c r="K54" s="65">
        <f>+K19+K12</f>
        <v>33551800000</v>
      </c>
      <c r="M54" s="65">
        <f>+M19+M12</f>
        <v>29563800000</v>
      </c>
      <c r="Q54" s="79" t="s">
        <v>128</v>
      </c>
      <c r="R54" s="79"/>
      <c r="S54" s="72">
        <f>S33</f>
        <v>62.64</v>
      </c>
      <c r="T54" s="73" t="s">
        <v>4</v>
      </c>
      <c r="U54" s="72">
        <f>U33</f>
        <v>62.99</v>
      </c>
      <c r="V54" s="73" t="s">
        <v>4</v>
      </c>
      <c r="W54" s="72">
        <f>W33</f>
        <v>62.45</v>
      </c>
      <c r="X54" s="73" t="s">
        <v>4</v>
      </c>
      <c r="Y54" s="72">
        <f>Y33</f>
        <v>61.65</v>
      </c>
      <c r="Z54" s="73" t="s">
        <v>4</v>
      </c>
      <c r="AA54" s="72">
        <f>AA33</f>
        <v>62.02</v>
      </c>
      <c r="AB54" s="73" t="s">
        <v>4</v>
      </c>
      <c r="AC54" s="72">
        <f>ROUND(AVERAGE(S54:AB54),2)</f>
        <v>62.35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72110400000</v>
      </c>
      <c r="E56" s="65">
        <f>SUM(E50,E19)</f>
        <v>68220100000</v>
      </c>
      <c r="G56" s="65">
        <f>SUM(G50,G19)</f>
        <v>63628200000</v>
      </c>
      <c r="I56" s="65">
        <f>SUM(I50,I19)</f>
        <v>58501700000</v>
      </c>
      <c r="K56" s="65">
        <f>SUM(K50,K19)</f>
        <v>54102700000</v>
      </c>
      <c r="M56" s="65">
        <f>SUM(M50,M19)</f>
        <v>49477000000</v>
      </c>
    </row>
    <row r="57" spans="1:30" x14ac:dyDescent="0.2">
      <c r="C57" s="65"/>
      <c r="E57" s="65"/>
      <c r="G57" s="65"/>
      <c r="I57" s="65"/>
      <c r="K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M58" s="65">
        <f>SUM(M13,M17)</f>
        <v>0</v>
      </c>
    </row>
    <row r="59" spans="1:30" x14ac:dyDescent="0.2">
      <c r="C59" s="65"/>
      <c r="E59" s="65"/>
      <c r="G59" s="65"/>
      <c r="I59" s="65"/>
      <c r="K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7103600000</v>
      </c>
      <c r="E60" s="65">
        <f>ROUND(E41+E42-E28,3)</f>
        <v>4133800000</v>
      </c>
      <c r="G60" s="65">
        <f>ROUND(G41+G42-G28,3)</f>
        <v>4916600000</v>
      </c>
      <c r="I60" s="65">
        <f>ROUND(I41+I42-I28,3)</f>
        <v>3788800000</v>
      </c>
      <c r="K60" s="65">
        <f>ROUND(K41+K42-K28,3)</f>
        <v>3028500000</v>
      </c>
      <c r="M60" s="65">
        <f>ROUND(M41+M42-M28,3)</f>
        <v>3980000000</v>
      </c>
    </row>
    <row r="61" spans="1:30" x14ac:dyDescent="0.2">
      <c r="A61" s="82"/>
    </row>
    <row r="62" spans="1:30" x14ac:dyDescent="0.2">
      <c r="A62" s="54" t="s">
        <v>131</v>
      </c>
      <c r="B62" s="54" t="s">
        <v>121</v>
      </c>
      <c r="C62" s="65">
        <f>C44+C43+C34+C30</f>
        <v>8080600000</v>
      </c>
      <c r="E62" s="65">
        <f>E44+E43+E34+E30</f>
        <v>7160000000</v>
      </c>
      <c r="G62" s="65">
        <f>G44+G43+G34+G30</f>
        <v>6911500000</v>
      </c>
      <c r="I62" s="65">
        <f>I44+I43+I34+I30</f>
        <v>6628400000</v>
      </c>
      <c r="K62" s="65">
        <f>K44+K43+K34+K30</f>
        <v>6089100000</v>
      </c>
      <c r="M62" s="65">
        <f>M44+M43+M34+M30</f>
        <v>5495200000</v>
      </c>
    </row>
    <row r="81" spans="219:223" x14ac:dyDescent="0.2">
      <c r="HK81" s="84"/>
      <c r="HL81" s="84"/>
      <c r="HO81" s="54" t="s">
        <v>132</v>
      </c>
    </row>
  </sheetData>
  <mergeCells count="6">
    <mergeCell ref="AC25:AD25"/>
    <mergeCell ref="C6:M6"/>
    <mergeCell ref="C7:M7"/>
    <mergeCell ref="C8:M8"/>
    <mergeCell ref="W13:AB13"/>
    <mergeCell ref="AC24:AD24"/>
  </mergeCells>
  <printOptions horizontalCentered="1"/>
  <pageMargins left="0.75" right="0.75" top="1" bottom="1" header="0.5" footer="0.5"/>
  <pageSetup scale="36" orientation="landscape" horizontalDpi="300" verticalDpi="300" r:id="rId1"/>
  <headerFooter alignWithMargins="0">
    <oddHeader>&amp;R&amp;A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1ECD-9366-4F86-9F46-08E469AE7CB5}">
  <dimension ref="A1:HO81"/>
  <sheetViews>
    <sheetView view="pageBreakPreview" zoomScale="50" zoomScaleNormal="80" zoomScaleSheetLayoutView="50" workbookViewId="0"/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8" style="54" customWidth="1"/>
    <col min="4" max="4" width="2" style="54" customWidth="1"/>
    <col min="5" max="5" width="18" style="54" customWidth="1"/>
    <col min="6" max="6" width="2" style="54" customWidth="1"/>
    <col min="7" max="7" width="18" style="54" customWidth="1"/>
    <col min="8" max="8" width="2" style="54" customWidth="1"/>
    <col min="9" max="9" width="20" style="54" bestFit="1" customWidth="1"/>
    <col min="10" max="10" width="2.85546875" style="54" customWidth="1"/>
    <col min="11" max="11" width="20" style="54" bestFit="1" customWidth="1"/>
    <col min="12" max="12" width="2.85546875" style="54" customWidth="1"/>
    <col min="13" max="13" width="20.42578125" style="54" customWidth="1"/>
    <col min="14" max="16" width="3" style="54" customWidth="1"/>
    <col min="17" max="17" width="50.42578125" style="54" bestFit="1" customWidth="1"/>
    <col min="18" max="18" width="3" style="54" customWidth="1"/>
    <col min="19" max="19" width="15.140625" style="54" customWidth="1"/>
    <col min="20" max="20" width="3.5703125" style="54" customWidth="1"/>
    <col min="21" max="21" width="15.140625" style="54" customWidth="1"/>
    <col min="22" max="22" width="3.5703125" style="54" customWidth="1"/>
    <col min="23" max="23" width="14" style="54" customWidth="1"/>
    <col min="24" max="24" width="3.42578125" style="54" customWidth="1"/>
    <col min="25" max="25" width="14" style="54" bestFit="1" customWidth="1"/>
    <col min="26" max="26" width="2.42578125" style="54" bestFit="1" customWidth="1"/>
    <col min="27" max="27" width="14" style="54" bestFit="1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16384" width="8.7109375" style="54"/>
  </cols>
  <sheetData>
    <row r="1" spans="1:29" ht="16.5" customHeight="1" x14ac:dyDescent="0.2">
      <c r="A1" s="147"/>
    </row>
    <row r="2" spans="1:29" ht="16.5" customHeight="1" x14ac:dyDescent="0.2">
      <c r="A2" s="147"/>
      <c r="I2" s="166"/>
      <c r="K2" s="166"/>
    </row>
    <row r="3" spans="1:29" ht="16.5" customHeight="1" x14ac:dyDescent="0.2">
      <c r="A3" s="147"/>
      <c r="C3" s="147"/>
      <c r="E3" s="147"/>
      <c r="G3" s="147"/>
      <c r="I3" s="166"/>
      <c r="K3" s="166"/>
    </row>
    <row r="4" spans="1:29" ht="16.5" customHeight="1" thickBot="1" x14ac:dyDescent="0.25">
      <c r="A4" s="147"/>
      <c r="C4" s="147"/>
      <c r="E4" s="147"/>
      <c r="G4" s="147"/>
    </row>
    <row r="5" spans="1:29" ht="15" x14ac:dyDescent="0.35">
      <c r="A5" s="148" t="s">
        <v>136</v>
      </c>
    </row>
    <row r="6" spans="1:29" ht="15" customHeight="1" thickBot="1" x14ac:dyDescent="0.25">
      <c r="A6" s="149" t="s">
        <v>172</v>
      </c>
      <c r="C6" s="194" t="s">
        <v>213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60" t="str">
        <f>C6</f>
        <v>DUKE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4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211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50">
        <f>(76340+4349)*1000000</f>
        <v>80689000000</v>
      </c>
      <c r="E12" s="150">
        <f>(72452+2800)*1000000</f>
        <v>75252000000</v>
      </c>
      <c r="G12" s="150">
        <f>(67061+4154)*1000000</f>
        <v>71215000000</v>
      </c>
      <c r="I12" s="150">
        <f>60448000000+3387000000</f>
        <v>63835000000</v>
      </c>
      <c r="K12" s="150">
        <v>59863000000</v>
      </c>
      <c r="L12" s="150"/>
      <c r="M12" s="150">
        <v>58126000000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x14ac:dyDescent="0.2">
      <c r="A13" s="54" t="s">
        <v>60</v>
      </c>
      <c r="B13" s="54" t="s">
        <v>61</v>
      </c>
      <c r="C13" s="150">
        <f>(973)*1000000</f>
        <v>973000000</v>
      </c>
      <c r="E13" s="150">
        <f>(973+989)*1000000</f>
        <v>1962000000</v>
      </c>
      <c r="G13" s="150">
        <f>973000000+989000000</f>
        <v>1962000000</v>
      </c>
      <c r="I13" s="150">
        <f>973000000+989000000</f>
        <v>1962000000</v>
      </c>
      <c r="K13" s="150">
        <v>1962000000</v>
      </c>
      <c r="M13" s="150">
        <v>1962000000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C14" s="65"/>
      <c r="E14" s="65"/>
      <c r="G14" s="65"/>
      <c r="I14" s="65"/>
      <c r="K14" s="65"/>
      <c r="M14" s="65"/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65">
        <f>776*1000000</f>
        <v>776000000</v>
      </c>
      <c r="E15" s="65">
        <f>771*1000000</f>
        <v>771000000</v>
      </c>
      <c r="G15" s="65">
        <f>770*1000000</f>
        <v>770000000</v>
      </c>
      <c r="I15" s="65">
        <v>769000000</v>
      </c>
      <c r="K15" s="65">
        <v>769000000</v>
      </c>
      <c r="M15" s="65">
        <v>733321965</v>
      </c>
    </row>
    <row r="16" spans="1:29" x14ac:dyDescent="0.2">
      <c r="A16" s="54" t="s">
        <v>6</v>
      </c>
      <c r="B16" s="54" t="s">
        <v>67</v>
      </c>
      <c r="C16" s="153">
        <f>(50127-973)*1000000</f>
        <v>49154000000</v>
      </c>
      <c r="E16" s="153">
        <f>(49112-973-989)*1000000</f>
        <v>47150000000</v>
      </c>
      <c r="G16" s="153">
        <f>(49322-973-989)*1000000</f>
        <v>47360000000</v>
      </c>
      <c r="I16" s="153">
        <f>49296000000-973000000-989000000</f>
        <v>47334000000</v>
      </c>
      <c r="K16" s="153">
        <v>46002000000</v>
      </c>
      <c r="L16" s="153"/>
      <c r="M16" s="153">
        <v>44860000000</v>
      </c>
      <c r="Q16" s="66" t="s">
        <v>68</v>
      </c>
      <c r="R16" s="66"/>
      <c r="T16" s="66"/>
      <c r="V16" s="66"/>
      <c r="X16" s="66"/>
    </row>
    <row r="17" spans="1:30" x14ac:dyDescent="0.2">
      <c r="A17" s="54" t="s">
        <v>69</v>
      </c>
      <c r="B17" s="54" t="s">
        <v>66</v>
      </c>
      <c r="C17" s="65">
        <v>0</v>
      </c>
      <c r="E17" s="65">
        <v>0</v>
      </c>
      <c r="G17" s="65">
        <v>0</v>
      </c>
      <c r="I17" s="65">
        <v>0</v>
      </c>
      <c r="K17" s="65">
        <v>0</v>
      </c>
      <c r="M17" s="65">
        <v>0</v>
      </c>
      <c r="Q17" s="54" t="s">
        <v>70</v>
      </c>
      <c r="S17" s="69">
        <f>C50/1000000</f>
        <v>130816</v>
      </c>
      <c r="U17" s="69">
        <f>E50/1000000</f>
        <v>124364</v>
      </c>
      <c r="W17" s="69">
        <f>G50/1000000</f>
        <v>120537</v>
      </c>
      <c r="Y17" s="69">
        <f>I50/1000000</f>
        <v>113131</v>
      </c>
      <c r="AA17" s="69">
        <f>K50/1000000</f>
        <v>107827</v>
      </c>
      <c r="AB17" s="69"/>
    </row>
    <row r="18" spans="1:30" x14ac:dyDescent="0.2">
      <c r="C18" s="65"/>
      <c r="E18" s="65"/>
      <c r="G18" s="65"/>
      <c r="I18" s="65"/>
      <c r="K18" s="65"/>
      <c r="M18" s="65"/>
      <c r="Q18" s="54" t="s">
        <v>71</v>
      </c>
      <c r="S18" s="70">
        <f>C19/1000000</f>
        <v>3584</v>
      </c>
      <c r="U18" s="70">
        <f>E19/1000000</f>
        <v>4288</v>
      </c>
      <c r="W18" s="70">
        <f>G19/1000000</f>
        <v>3952</v>
      </c>
      <c r="Y18" s="70">
        <f>I19/1000000</f>
        <v>3304</v>
      </c>
      <c r="AA18" s="70">
        <f>K19/1000000</f>
        <v>2873</v>
      </c>
      <c r="AB18" s="69"/>
    </row>
    <row r="19" spans="1:30" x14ac:dyDescent="0.2">
      <c r="A19" s="54" t="s">
        <v>72</v>
      </c>
      <c r="B19" s="54" t="s">
        <v>73</v>
      </c>
      <c r="C19" s="153">
        <f>3584*1000000</f>
        <v>3584000000</v>
      </c>
      <c r="E19" s="153">
        <f>4288*1000000</f>
        <v>4288000000</v>
      </c>
      <c r="G19" s="153">
        <f>3952*1000000</f>
        <v>3952000000</v>
      </c>
      <c r="I19" s="153">
        <v>3304000000</v>
      </c>
      <c r="K19" s="153">
        <v>2873000000</v>
      </c>
      <c r="L19" s="153"/>
      <c r="M19" s="153">
        <v>3135000000</v>
      </c>
      <c r="Q19" s="54" t="s">
        <v>74</v>
      </c>
      <c r="S19" s="71">
        <f>SUM(S17:S18)</f>
        <v>134400</v>
      </c>
      <c r="U19" s="71">
        <f>SUM(U17:U18)</f>
        <v>128652</v>
      </c>
      <c r="W19" s="71">
        <f>SUM(W17:W18)</f>
        <v>124489</v>
      </c>
      <c r="Y19" s="71">
        <f>SUM(Y17:Y18)</f>
        <v>116435</v>
      </c>
      <c r="AA19" s="71">
        <f>SUM(AA17:AA18)</f>
        <v>110700</v>
      </c>
      <c r="AB19" s="69"/>
    </row>
    <row r="20" spans="1:30" x14ac:dyDescent="0.2">
      <c r="C20" s="65"/>
      <c r="E20" s="65"/>
      <c r="G20" s="65"/>
      <c r="I20" s="65"/>
      <c r="K20" s="65"/>
      <c r="M20" s="65"/>
    </row>
    <row r="21" spans="1:30" x14ac:dyDescent="0.2">
      <c r="A21" s="54" t="s">
        <v>75</v>
      </c>
      <c r="B21" s="54" t="s">
        <v>76</v>
      </c>
      <c r="C21" s="65">
        <v>5.7</v>
      </c>
      <c r="E21" s="65">
        <v>5.35</v>
      </c>
      <c r="G21" s="65">
        <v>4.74</v>
      </c>
      <c r="I21" s="65">
        <v>4.93</v>
      </c>
      <c r="K21" s="65">
        <v>1.71</v>
      </c>
      <c r="M21" s="65">
        <v>5.07</v>
      </c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54">
        <v>120.76</v>
      </c>
      <c r="E22" s="54">
        <v>105.66</v>
      </c>
      <c r="G22" s="54">
        <v>115.43</v>
      </c>
      <c r="I22" s="54">
        <v>107.93</v>
      </c>
      <c r="K22" s="54">
        <v>102.43</v>
      </c>
      <c r="M22" s="54">
        <v>97.17</v>
      </c>
      <c r="Q22" s="54" t="s">
        <v>80</v>
      </c>
      <c r="S22" s="72">
        <f>(ROUND((C30/(AVERAGE(C54,E54))*100),2))</f>
        <v>4.13</v>
      </c>
      <c r="T22" s="73" t="s">
        <v>4</v>
      </c>
      <c r="U22" s="72">
        <f>(ROUND((E30/(AVERAGE(E54,G54))*100),2))</f>
        <v>3.9</v>
      </c>
      <c r="V22" s="73" t="s">
        <v>4</v>
      </c>
      <c r="W22" s="72">
        <f>(ROUND((G30/(AVERAGE(G54,I54))*100),2))</f>
        <v>3.43</v>
      </c>
      <c r="X22" s="73" t="s">
        <v>4</v>
      </c>
      <c r="Y22" s="72">
        <f>(ROUND((I30/(AVERAGE(I54,K54))*100),2))</f>
        <v>3.51</v>
      </c>
      <c r="Z22" s="73" t="s">
        <v>4</v>
      </c>
      <c r="AA22" s="72">
        <f>(ROUND((K30/(AVERAGE(K54,M54))*100),2))</f>
        <v>3.49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90.65</v>
      </c>
      <c r="E23" s="54">
        <v>85.44</v>
      </c>
      <c r="G23" s="54">
        <v>85.97</v>
      </c>
      <c r="I23" s="54">
        <v>85.59</v>
      </c>
      <c r="K23" s="54">
        <v>64.150000000000006</v>
      </c>
      <c r="M23" s="54">
        <v>83.66</v>
      </c>
      <c r="Q23" s="54" t="s">
        <v>82</v>
      </c>
      <c r="S23" s="154">
        <f>(ROUND((C36/(AVERAGE(C58,E58))*100),2))</f>
        <v>7.22</v>
      </c>
      <c r="T23" s="154"/>
      <c r="U23" s="154">
        <f>(ROUND((E36/(AVERAGE(E58,G58))*100),2))</f>
        <v>5.4</v>
      </c>
      <c r="V23" s="154"/>
      <c r="W23" s="154">
        <f>(ROUND((G36/(AVERAGE(G58,I58))*100),2))</f>
        <v>5.4</v>
      </c>
      <c r="X23" s="154"/>
      <c r="Y23" s="154">
        <f>(ROUND((I36/(AVERAGE(I58,K58))*100),2))</f>
        <v>5.4</v>
      </c>
      <c r="Z23" s="154"/>
      <c r="AA23" s="154">
        <f>(ROUND((K36/(AVERAGE(K58,M58))*100),2))</f>
        <v>5.45</v>
      </c>
      <c r="AB23" s="154"/>
    </row>
    <row r="24" spans="1:30" x14ac:dyDescent="0.2">
      <c r="C24" s="65"/>
      <c r="E24" s="65"/>
      <c r="G24" s="65"/>
      <c r="I24" s="65"/>
      <c r="K24" s="65"/>
      <c r="M24" s="65"/>
      <c r="AC24" s="194" t="s">
        <v>1</v>
      </c>
      <c r="AD24" s="194"/>
    </row>
    <row r="25" spans="1:30" x14ac:dyDescent="0.2">
      <c r="C25" s="65"/>
      <c r="E25" s="65"/>
      <c r="G25" s="65"/>
      <c r="I25" s="65"/>
      <c r="K25" s="65"/>
      <c r="M25" s="65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65">
        <f>1.025+1.025+1.045+1.045</f>
        <v>4.1399999999999997</v>
      </c>
      <c r="E26" s="65">
        <v>4.0999999999999996</v>
      </c>
      <c r="G26" s="65">
        <v>3.98</v>
      </c>
      <c r="I26" s="65">
        <v>3.9</v>
      </c>
      <c r="K26" s="65">
        <v>3.82</v>
      </c>
      <c r="M26" s="65">
        <v>3.75</v>
      </c>
      <c r="Q26" s="54" t="s">
        <v>85</v>
      </c>
    </row>
    <row r="27" spans="1:30" x14ac:dyDescent="0.2">
      <c r="C27" s="65"/>
      <c r="E27" s="65"/>
      <c r="G27" s="65"/>
      <c r="I27" s="65"/>
      <c r="K27" s="65"/>
      <c r="M27" s="65"/>
      <c r="Q27" s="54" t="s">
        <v>86</v>
      </c>
      <c r="S27" s="72">
        <f>ROUND(((C12/C50)*100),2)</f>
        <v>61.68</v>
      </c>
      <c r="T27" s="73" t="s">
        <v>4</v>
      </c>
      <c r="U27" s="72">
        <f>ROUND(((E12/E50)*100),2)</f>
        <v>60.51</v>
      </c>
      <c r="V27" s="73" t="s">
        <v>4</v>
      </c>
      <c r="W27" s="72">
        <f>ROUND(((G12/G50)*100),2)</f>
        <v>59.08</v>
      </c>
      <c r="X27" s="73" t="s">
        <v>4</v>
      </c>
      <c r="Y27" s="72">
        <f>ROUND(((I12/I50)*100),2)</f>
        <v>56.43</v>
      </c>
      <c r="Z27" s="73" t="s">
        <v>4</v>
      </c>
      <c r="AA27" s="72">
        <f>ROUND(((K12/K50)*100),2)</f>
        <v>55.52</v>
      </c>
      <c r="AB27" s="73" t="s">
        <v>4</v>
      </c>
      <c r="AC27" s="72">
        <f>ROUND(AVERAGE(S27:AB27),2)</f>
        <v>58.64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5">
        <f>(201+233)*1000000</f>
        <v>434000000</v>
      </c>
      <c r="E28" s="65">
        <f>(201+198)*1000000</f>
        <v>399000000</v>
      </c>
      <c r="G28" s="65">
        <f>(118+197)*1000000</f>
        <v>315000000</v>
      </c>
      <c r="I28" s="65">
        <f>72000000+171000000</f>
        <v>243000000</v>
      </c>
      <c r="K28" s="65">
        <v>266000000</v>
      </c>
      <c r="M28" s="65">
        <v>298000000</v>
      </c>
      <c r="Q28" s="54" t="s">
        <v>88</v>
      </c>
      <c r="S28" s="72">
        <f>ROUND(((SUM(C13,C17)/C50)*100),2)+0.01</f>
        <v>0.75</v>
      </c>
      <c r="T28" s="73"/>
      <c r="U28" s="72">
        <f>ROUND(((SUM(E13,E17)/E50)*100),2)+0.01</f>
        <v>1.59</v>
      </c>
      <c r="V28" s="73"/>
      <c r="W28" s="72">
        <f>ROUND(((SUM(G13,G17)/G50)*100),2)+0.01</f>
        <v>1.64</v>
      </c>
      <c r="X28" s="73"/>
      <c r="Y28" s="72">
        <f>ROUND(((SUM(I13,I17)/I50)*100),2)</f>
        <v>1.73</v>
      </c>
      <c r="Z28" s="73"/>
      <c r="AA28" s="72">
        <f>ROUND(((SUM(K13,K17)/K50)*100),2)</f>
        <v>1.82</v>
      </c>
      <c r="AB28" s="73"/>
      <c r="AC28" s="72">
        <f>ROUND(AVERAGE(S28:AB28),2)</f>
        <v>1.51</v>
      </c>
      <c r="AD28" s="73"/>
    </row>
    <row r="29" spans="1:30" x14ac:dyDescent="0.2">
      <c r="C29" s="65"/>
      <c r="E29" s="65"/>
      <c r="G29" s="65"/>
      <c r="I29" s="65"/>
      <c r="K29" s="65"/>
      <c r="M29" s="65"/>
      <c r="Q29" s="54" t="s">
        <v>89</v>
      </c>
      <c r="S29" s="74">
        <f>ROUND(((C16/C50)*100),2)</f>
        <v>37.57</v>
      </c>
      <c r="T29" s="73"/>
      <c r="U29" s="74">
        <f>ROUND(((E16/E50)*100),2)</f>
        <v>37.909999999999997</v>
      </c>
      <c r="V29" s="73"/>
      <c r="W29" s="74">
        <f>ROUND(((G16/G50)*100),2)</f>
        <v>39.29</v>
      </c>
      <c r="X29" s="73"/>
      <c r="Y29" s="74">
        <f>ROUND(((I16/I50)*100),2)</f>
        <v>41.84</v>
      </c>
      <c r="Z29" s="73"/>
      <c r="AA29" s="74">
        <f>ROUND(((K16/K50)*100),2)</f>
        <v>42.66</v>
      </c>
      <c r="AB29" s="73"/>
      <c r="AC29" s="72">
        <f>ROUND(AVERAGE(S29:AB29),2)</f>
        <v>39.85</v>
      </c>
      <c r="AD29" s="73"/>
    </row>
    <row r="30" spans="1:30" x14ac:dyDescent="0.2">
      <c r="A30" s="54" t="s">
        <v>90</v>
      </c>
      <c r="B30" s="54" t="s">
        <v>91</v>
      </c>
      <c r="C30" s="153">
        <f>3384*1000000</f>
        <v>3384000000</v>
      </c>
      <c r="E30" s="153">
        <f>3014*1000000</f>
        <v>3014000000</v>
      </c>
      <c r="G30" s="153">
        <f>2439*1000000</f>
        <v>2439000000</v>
      </c>
      <c r="I30" s="153">
        <v>2280000000</v>
      </c>
      <c r="K30" s="153">
        <v>2162000000</v>
      </c>
      <c r="L30" s="153"/>
      <c r="M30" s="153">
        <v>2204000000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100.00999999999999</v>
      </c>
      <c r="V30" s="73" t="s">
        <v>4</v>
      </c>
      <c r="W30" s="75">
        <f>SUM(W27:W29)</f>
        <v>100.00999999999999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C31" s="65"/>
      <c r="E31" s="65"/>
      <c r="G31" s="65"/>
      <c r="I31" s="65"/>
      <c r="K31" s="65"/>
      <c r="M31" s="65"/>
    </row>
    <row r="32" spans="1:30" x14ac:dyDescent="0.2">
      <c r="A32" s="54" t="s">
        <v>93</v>
      </c>
      <c r="B32" s="54" t="s">
        <v>94</v>
      </c>
      <c r="C32" s="153">
        <f>4614*1000000</f>
        <v>4614000000</v>
      </c>
      <c r="E32" s="153">
        <f>2874*1000000</f>
        <v>2874000000</v>
      </c>
      <c r="G32" s="153">
        <f>2455*1000000</f>
        <v>2455000000</v>
      </c>
      <c r="I32" s="153">
        <v>3579000000</v>
      </c>
      <c r="K32" s="153">
        <v>1082000000</v>
      </c>
      <c r="L32" s="153"/>
      <c r="M32" s="153">
        <v>3571000000</v>
      </c>
      <c r="Q32" s="54" t="s">
        <v>95</v>
      </c>
    </row>
    <row r="33" spans="1:30" x14ac:dyDescent="0.2">
      <c r="A33" s="76"/>
      <c r="B33" s="76"/>
      <c r="C33" s="78"/>
      <c r="D33" s="76"/>
      <c r="E33" s="78"/>
      <c r="F33" s="76"/>
      <c r="G33" s="78"/>
      <c r="H33" s="76"/>
      <c r="I33" s="78"/>
      <c r="J33" s="76"/>
      <c r="K33" s="78"/>
      <c r="L33" s="76"/>
      <c r="M33" s="78"/>
      <c r="Q33" s="54" t="s">
        <v>96</v>
      </c>
      <c r="S33" s="72">
        <f>ROUND((((C12+C19)/C56)*100),2)</f>
        <v>62.7</v>
      </c>
      <c r="T33" s="73" t="s">
        <v>4</v>
      </c>
      <c r="U33" s="72">
        <f>ROUND((((E12+E19)/E56)*100),2)</f>
        <v>61.83</v>
      </c>
      <c r="V33" s="73" t="s">
        <v>4</v>
      </c>
      <c r="W33" s="72">
        <f>ROUND((((G12+G19)/G56)*100),2)</f>
        <v>60.38</v>
      </c>
      <c r="X33" s="73" t="s">
        <v>4</v>
      </c>
      <c r="Y33" s="72">
        <f>ROUND((((I12+I19)/I56)*100),2)</f>
        <v>57.66</v>
      </c>
      <c r="Z33" s="73" t="s">
        <v>4</v>
      </c>
      <c r="AA33" s="72">
        <f>ROUND((((K12+K19)/K56)*100),2)</f>
        <v>56.67</v>
      </c>
      <c r="AB33" s="73" t="s">
        <v>4</v>
      </c>
      <c r="AC33" s="72">
        <f>ROUND(AVERAGE(S33:AB33),2)</f>
        <v>59.85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3">
        <f>4402*1000000</f>
        <v>4402000000</v>
      </c>
      <c r="E34" s="153">
        <f>2735*1000000</f>
        <v>2735000000</v>
      </c>
      <c r="G34" s="153">
        <f>2444*1000000</f>
        <v>2444000000</v>
      </c>
      <c r="I34" s="153">
        <v>3802000000</v>
      </c>
      <c r="K34" s="153">
        <v>1270000000</v>
      </c>
      <c r="M34" s="153">
        <v>3707000000</v>
      </c>
      <c r="Q34" s="54" t="s">
        <v>88</v>
      </c>
      <c r="S34" s="72">
        <f>ROUND((((SUM(C13,C17))/C56)*100),2)</f>
        <v>0.72</v>
      </c>
      <c r="T34" s="73"/>
      <c r="U34" s="72">
        <f>ROUND((((SUM(E13,E17))/E56)*100),2)</f>
        <v>1.53</v>
      </c>
      <c r="V34" s="73"/>
      <c r="W34" s="72">
        <f>ROUND((((SUM(G13,G17))/G56)*100),2)</f>
        <v>1.58</v>
      </c>
      <c r="X34" s="73"/>
      <c r="Y34" s="72">
        <f>ROUND((((SUM(I13,I17))/I56)*100),2)</f>
        <v>1.69</v>
      </c>
      <c r="Z34" s="73"/>
      <c r="AA34" s="72">
        <f>ROUND((((SUM(K13,K17))/K56)*100),2)</f>
        <v>1.77</v>
      </c>
      <c r="AB34" s="73"/>
      <c r="AC34" s="72">
        <f>ROUND(AVERAGE(S34:AB34),2)</f>
        <v>1.46</v>
      </c>
      <c r="AD34" s="73"/>
    </row>
    <row r="35" spans="1:30" x14ac:dyDescent="0.2">
      <c r="C35" s="65"/>
      <c r="E35" s="65"/>
      <c r="G35" s="65"/>
      <c r="I35" s="65"/>
      <c r="K35" s="65"/>
      <c r="M35" s="65"/>
      <c r="Q35" s="54" t="s">
        <v>89</v>
      </c>
      <c r="S35" s="74">
        <f>ROUND((((C16)/C56)*100),2)-0.01</f>
        <v>36.56</v>
      </c>
      <c r="T35" s="73"/>
      <c r="U35" s="74">
        <f>ROUND((((E16)/E56)*100),2)-0.01</f>
        <v>36.64</v>
      </c>
      <c r="V35" s="73"/>
      <c r="W35" s="74">
        <f>ROUND((((G16)/G56)*100),2)-0.01</f>
        <v>38.03</v>
      </c>
      <c r="X35" s="73"/>
      <c r="Y35" s="74">
        <f>ROUND((((I16)/I56)*100),2)</f>
        <v>40.65</v>
      </c>
      <c r="Z35" s="73"/>
      <c r="AA35" s="74">
        <f>ROUND((((K16)/K56)*100),2)-0.01</f>
        <v>41.550000000000004</v>
      </c>
      <c r="AB35" s="73"/>
      <c r="AC35" s="72">
        <f>ROUND(AVERAGE(S35:AB35),2)</f>
        <v>38.69</v>
      </c>
      <c r="AD35" s="73"/>
    </row>
    <row r="36" spans="1:30" x14ac:dyDescent="0.2">
      <c r="A36" s="54" t="s">
        <v>99</v>
      </c>
      <c r="B36" s="54" t="s">
        <v>100</v>
      </c>
      <c r="C36" s="65">
        <v>106000000</v>
      </c>
      <c r="E36" s="65">
        <v>106000000</v>
      </c>
      <c r="G36" s="65">
        <v>106000000</v>
      </c>
      <c r="I36" s="65">
        <v>106000000</v>
      </c>
      <c r="K36" s="65">
        <v>107000000</v>
      </c>
      <c r="M36" s="65">
        <v>41000000</v>
      </c>
      <c r="Q36" s="54" t="s">
        <v>92</v>
      </c>
      <c r="S36" s="75">
        <f>SUM(S33:S35)</f>
        <v>99.98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99.990000000000009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99.990000000000009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C37" s="65"/>
      <c r="E37" s="65"/>
      <c r="G37" s="65"/>
      <c r="I37" s="65"/>
      <c r="K37" s="65"/>
      <c r="M37" s="65"/>
    </row>
    <row r="38" spans="1:30" x14ac:dyDescent="0.2">
      <c r="A38" s="54" t="s">
        <v>101</v>
      </c>
      <c r="B38" s="54" t="s">
        <v>102</v>
      </c>
      <c r="C38" s="153">
        <f>3204*1000000</f>
        <v>3204000000</v>
      </c>
      <c r="E38" s="153">
        <f>3138*1000000</f>
        <v>3138000000</v>
      </c>
      <c r="G38" s="153">
        <f>3073*1000000</f>
        <v>3073000000</v>
      </c>
      <c r="I38" s="153">
        <v>3008000000</v>
      </c>
      <c r="K38" s="153">
        <v>2815000000</v>
      </c>
      <c r="L38" s="153"/>
      <c r="M38" s="153">
        <v>2735000000</v>
      </c>
    </row>
    <row r="39" spans="1:30" x14ac:dyDescent="0.2">
      <c r="C39" s="65"/>
      <c r="E39" s="65"/>
      <c r="G39" s="65"/>
      <c r="I39" s="65"/>
      <c r="K39" s="65"/>
      <c r="M39" s="65"/>
    </row>
    <row r="40" spans="1:30" x14ac:dyDescent="0.2">
      <c r="A40" s="54" t="s">
        <v>103</v>
      </c>
      <c r="B40" s="54" t="s">
        <v>104</v>
      </c>
      <c r="C40" s="65">
        <f>4614*1000000</f>
        <v>4614000000</v>
      </c>
      <c r="E40" s="65">
        <f>2874*1000000</f>
        <v>2874000000</v>
      </c>
      <c r="G40" s="65">
        <f>2455*1000000</f>
        <v>2455000000</v>
      </c>
      <c r="I40" s="65">
        <v>3579000000</v>
      </c>
      <c r="K40" s="65">
        <v>1082000000</v>
      </c>
      <c r="M40" s="65">
        <v>3571000000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5">
        <f>12328*1000000</f>
        <v>12328000000</v>
      </c>
      <c r="E41" s="65">
        <f>9878*1000000</f>
        <v>9878000000</v>
      </c>
      <c r="G41" s="65">
        <f>5927*1000000</f>
        <v>5927000000</v>
      </c>
      <c r="I41" s="65">
        <v>8290000000</v>
      </c>
      <c r="K41" s="65">
        <v>8856000000</v>
      </c>
      <c r="M41" s="65">
        <v>8209000000</v>
      </c>
      <c r="Q41" s="66"/>
      <c r="R41" s="66"/>
    </row>
    <row r="42" spans="1:30" x14ac:dyDescent="0.2">
      <c r="A42" s="54" t="s">
        <v>108</v>
      </c>
      <c r="B42" s="54" t="s">
        <v>109</v>
      </c>
      <c r="C42" s="150">
        <f>(-23-212+885+1329+32-11)*1000000</f>
        <v>2000000000</v>
      </c>
      <c r="E42" s="150">
        <f>(443-706-267-800+126-26)*1000000</f>
        <v>-1230000000</v>
      </c>
      <c r="G42" s="150">
        <f>(-788-476-1498+805+10-153)*1000000</f>
        <v>-2100000000</v>
      </c>
      <c r="I42" s="150">
        <f>(-297-34-1136+249+284-13)*1000000</f>
        <v>-947000000</v>
      </c>
      <c r="K42" s="150">
        <v>309000000</v>
      </c>
      <c r="M42" s="150">
        <v>-250000000</v>
      </c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5">
        <f>5793*1000000</f>
        <v>5793000000</v>
      </c>
      <c r="E43" s="65">
        <f>5253*1000000</f>
        <v>5253000000</v>
      </c>
      <c r="G43" s="65">
        <f>5086*1000000</f>
        <v>5086000000</v>
      </c>
      <c r="I43" s="65">
        <v>4990000000</v>
      </c>
      <c r="K43" s="65">
        <v>4705000000</v>
      </c>
      <c r="M43" s="65">
        <v>4548000000</v>
      </c>
      <c r="Q43" s="54" t="s">
        <v>113</v>
      </c>
      <c r="S43" s="72">
        <f>ROUND(C21/C52,4)*100</f>
        <v>5.3900000000000006</v>
      </c>
      <c r="T43" s="73" t="s">
        <v>4</v>
      </c>
      <c r="U43" s="72">
        <f>ROUND(E21/E52,4)*100</f>
        <v>5.6000000000000005</v>
      </c>
      <c r="V43" s="73" t="s">
        <v>4</v>
      </c>
      <c r="W43" s="72">
        <f>ROUND(G21/G52,4)*100</f>
        <v>4.71</v>
      </c>
      <c r="X43" s="73" t="s">
        <v>4</v>
      </c>
      <c r="Y43" s="72">
        <f>ROUND(I21/I52,4)*100</f>
        <v>5.0999999999999996</v>
      </c>
      <c r="Z43" s="73" t="s">
        <v>4</v>
      </c>
      <c r="AA43" s="72">
        <f>ROUND(K21/K52,4)*100</f>
        <v>2.0500000000000003</v>
      </c>
      <c r="AB43" s="73" t="s">
        <v>4</v>
      </c>
      <c r="AC43" s="72">
        <f>ROUND(AVERAGE(S43:AB43),2)</f>
        <v>4.57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5">
        <v>590000000</v>
      </c>
      <c r="E44" s="65">
        <v>438000000</v>
      </c>
      <c r="G44" s="65">
        <v>300000000</v>
      </c>
      <c r="I44" s="65">
        <v>192000000</v>
      </c>
      <c r="K44" s="65">
        <v>-236000000</v>
      </c>
      <c r="M44" s="65">
        <v>519000000</v>
      </c>
      <c r="Q44" s="54" t="s">
        <v>116</v>
      </c>
      <c r="S44" s="72">
        <f>(ROUND((C52/(AVERAGE(C48,E48))*100),2))</f>
        <v>169.81</v>
      </c>
      <c r="U44" s="72">
        <f>(ROUND((E52/(AVERAGE(E48,G48))*100),2))</f>
        <v>155.80000000000001</v>
      </c>
      <c r="W44" s="72">
        <f>(ROUND((G52/(AVERAGE(G48,I48))*100),2))</f>
        <v>163.66</v>
      </c>
      <c r="Y44" s="72">
        <f>(ROUND((I52/(AVERAGE(I48,K48))*100),2))</f>
        <v>159.44</v>
      </c>
      <c r="AA44" s="72">
        <f>(ROUND((K52/(AVERAGE(K48,M48))*100),2))</f>
        <v>137.68</v>
      </c>
      <c r="AC44" s="72">
        <f>ROUND(AVERAGE(S44:AB44),2)</f>
        <v>157.28</v>
      </c>
    </row>
    <row r="45" spans="1:30" x14ac:dyDescent="0.2">
      <c r="C45" s="65"/>
      <c r="E45" s="65"/>
      <c r="G45" s="65"/>
      <c r="I45" s="65"/>
      <c r="K45" s="65"/>
      <c r="M45" s="65"/>
      <c r="Q45" s="54" t="s">
        <v>117</v>
      </c>
      <c r="S45" s="72">
        <f>ROUND(((+C26/C52)*100),2)</f>
        <v>3.92</v>
      </c>
      <c r="U45" s="72">
        <f>ROUND(((+E26/E52)*100),2)</f>
        <v>4.29</v>
      </c>
      <c r="W45" s="72">
        <f>ROUND(((+G26/G52)*100),2)</f>
        <v>3.95</v>
      </c>
      <c r="Y45" s="72">
        <f>ROUND(((+I26/I52)*100),2)</f>
        <v>4.03</v>
      </c>
      <c r="AA45" s="72">
        <f>ROUND(((+K26/K52)*100),2)</f>
        <v>4.59</v>
      </c>
      <c r="AC45" s="72">
        <f>ROUND(AVERAGE(S45:AB45),2)</f>
        <v>4.16</v>
      </c>
    </row>
    <row r="46" spans="1:30" x14ac:dyDescent="0.2">
      <c r="A46" s="54" t="s">
        <v>118</v>
      </c>
      <c r="C46" s="65"/>
      <c r="E46" s="65"/>
      <c r="G46" s="65"/>
      <c r="I46" s="65"/>
      <c r="K46" s="65"/>
      <c r="M46" s="65"/>
      <c r="Q46" s="54" t="s">
        <v>119</v>
      </c>
      <c r="S46" s="72">
        <f>ROUND(((+C38/C34)*100),2)</f>
        <v>72.790000000000006</v>
      </c>
      <c r="U46" s="72">
        <f>ROUND(((+E38/E34)*100),2)</f>
        <v>114.73</v>
      </c>
      <c r="W46" s="72">
        <f>ROUND(((+G38/G34)*100),2)</f>
        <v>125.74</v>
      </c>
      <c r="Y46" s="72">
        <f>ROUND(((+I38/I34)*100),2)</f>
        <v>79.12</v>
      </c>
      <c r="AA46" s="72">
        <f>ROUND(((+K38/K34)*100),2)</f>
        <v>221.65</v>
      </c>
      <c r="AC46" s="72">
        <f>ROUND(AVERAGE(S46:AB46),2)</f>
        <v>122.81</v>
      </c>
    </row>
    <row r="47" spans="1:30" x14ac:dyDescent="0.2">
      <c r="C47" s="65"/>
      <c r="E47" s="65"/>
      <c r="G47" s="65"/>
      <c r="I47" s="65"/>
      <c r="K47" s="65"/>
      <c r="M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63.342783505154642</v>
      </c>
      <c r="E48" s="65">
        <f>E16/E15</f>
        <v>61.154345006485087</v>
      </c>
      <c r="G48" s="65">
        <f>G16/G15</f>
        <v>61.506493506493506</v>
      </c>
      <c r="I48" s="65">
        <f>I16/I15</f>
        <v>61.55266579973992</v>
      </c>
      <c r="K48" s="65">
        <f>K16/K15</f>
        <v>59.820546163849151</v>
      </c>
      <c r="L48" s="65"/>
      <c r="M48" s="65">
        <f>M16/M15</f>
        <v>61.17367560373021</v>
      </c>
      <c r="Q48" s="66" t="s">
        <v>122</v>
      </c>
      <c r="R48" s="66"/>
      <c r="S48" s="72">
        <f>ROUND(((C34/AVERAGE(C16,E16))*100),2)</f>
        <v>9.14</v>
      </c>
      <c r="T48" s="54" t="s">
        <v>4</v>
      </c>
      <c r="U48" s="72">
        <f>ROUND(((E34/AVERAGE(E16,G16))*100),2)</f>
        <v>5.79</v>
      </c>
      <c r="V48" s="54" t="s">
        <v>4</v>
      </c>
      <c r="W48" s="72">
        <f>ROUND(((G34/AVERAGE(G16,I16))*100),2)</f>
        <v>5.16</v>
      </c>
      <c r="X48" s="54" t="s">
        <v>4</v>
      </c>
      <c r="Y48" s="72">
        <f>ROUND(((I34/AVERAGE(I16,K16))*100),2)</f>
        <v>8.15</v>
      </c>
      <c r="Z48" s="54" t="s">
        <v>4</v>
      </c>
      <c r="AA48" s="72">
        <f>ROUND(((K34/AVERAGE(K16,M16))*100),2)</f>
        <v>2.8</v>
      </c>
      <c r="AB48" s="54" t="s">
        <v>4</v>
      </c>
      <c r="AC48" s="72">
        <f>ROUND(AVERAGE(S48:AB48),2)</f>
        <v>6.21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130816000000</v>
      </c>
      <c r="E50" s="65">
        <f>SUM(E12:E13,E16:E17)</f>
        <v>124364000000</v>
      </c>
      <c r="G50" s="65">
        <f>SUM(G12:G13,G16:G17)</f>
        <v>120537000000</v>
      </c>
      <c r="I50" s="65">
        <f>SUM(I12:I13,I16:I17)</f>
        <v>113131000000</v>
      </c>
      <c r="K50" s="65">
        <f>SUM(K12:K13,K16:K17)</f>
        <v>107827000000</v>
      </c>
      <c r="L50" s="65"/>
      <c r="M50" s="65">
        <f>SUM(M12:M13,M16:M17)</f>
        <v>104948000000</v>
      </c>
      <c r="Q50" s="66" t="s">
        <v>124</v>
      </c>
      <c r="R50" s="66"/>
      <c r="S50" s="72">
        <f>ROUND((C54/C62),2)</f>
        <v>5.95</v>
      </c>
      <c r="T50" s="73" t="s">
        <v>125</v>
      </c>
      <c r="U50" s="72">
        <f>ROUND((E54/E62),2)</f>
        <v>6.95</v>
      </c>
      <c r="V50" s="73" t="s">
        <v>125</v>
      </c>
      <c r="W50" s="72">
        <f>ROUND((G54/G62),2)</f>
        <v>7.32</v>
      </c>
      <c r="X50" s="73" t="s">
        <v>125</v>
      </c>
      <c r="Y50" s="72">
        <f>ROUND((I54/I62),2)</f>
        <v>5.96</v>
      </c>
      <c r="Z50" s="73" t="s">
        <v>125</v>
      </c>
      <c r="AA50" s="72">
        <f>ROUND((K54/K62),2)</f>
        <v>7.94</v>
      </c>
      <c r="AB50" s="73" t="s">
        <v>125</v>
      </c>
      <c r="AC50" s="72">
        <f>ROUND(AVERAGE(S50:AB50),2)</f>
        <v>6.82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105.70500000000001</v>
      </c>
      <c r="E52" s="65">
        <f>AVERAGE(E22:E23)</f>
        <v>95.55</v>
      </c>
      <c r="G52" s="65">
        <f>AVERAGE(G22:G23)</f>
        <v>100.7</v>
      </c>
      <c r="I52" s="65">
        <f>AVERAGE(I22:I23)</f>
        <v>96.76</v>
      </c>
      <c r="K52" s="65">
        <f>AVERAGE(K22:K23)</f>
        <v>83.29</v>
      </c>
      <c r="L52" s="65"/>
      <c r="M52" s="65">
        <f>AVERAGE(M22:M23)</f>
        <v>90.414999999999992</v>
      </c>
      <c r="Q52" s="66" t="s">
        <v>127</v>
      </c>
      <c r="R52" s="66"/>
      <c r="S52" s="72">
        <f>ROUND(((C60/C54)*100),2)</f>
        <v>16.489999999999998</v>
      </c>
      <c r="T52" s="73" t="s">
        <v>4</v>
      </c>
      <c r="U52" s="72">
        <f>ROUND(((E60/E54)*100),2)</f>
        <v>10.37</v>
      </c>
      <c r="V52" s="73" t="s">
        <v>4</v>
      </c>
      <c r="W52" s="72">
        <f>ROUND(((G60/G54)*100),2)</f>
        <v>4.67</v>
      </c>
      <c r="X52" s="73" t="s">
        <v>4</v>
      </c>
      <c r="Y52" s="72">
        <f>ROUND(((I60/I54)*100),2)</f>
        <v>10.58</v>
      </c>
      <c r="Z52" s="73" t="s">
        <v>4</v>
      </c>
      <c r="AA52" s="72">
        <f>ROUND(((K60/K54)*100),2)</f>
        <v>14.18</v>
      </c>
      <c r="AB52" s="73" t="s">
        <v>4</v>
      </c>
      <c r="AC52" s="72">
        <f>ROUND(AVERAGE(S52:AB52),2)</f>
        <v>11.26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84273000000</v>
      </c>
      <c r="E54" s="65">
        <f>+E19+E12</f>
        <v>79540000000</v>
      </c>
      <c r="G54" s="65">
        <f>+G19+G12</f>
        <v>75167000000</v>
      </c>
      <c r="I54" s="65">
        <f>+I19+I12</f>
        <v>67139000000</v>
      </c>
      <c r="K54" s="65">
        <f>+K19+K12</f>
        <v>62736000000</v>
      </c>
      <c r="L54" s="65"/>
      <c r="M54" s="65">
        <f>+M19+M12</f>
        <v>61261000000</v>
      </c>
      <c r="Q54" s="79" t="s">
        <v>128</v>
      </c>
      <c r="R54" s="79"/>
      <c r="S54" s="72">
        <f>S33</f>
        <v>62.7</v>
      </c>
      <c r="T54" s="73" t="s">
        <v>4</v>
      </c>
      <c r="U54" s="72">
        <f>U33</f>
        <v>61.83</v>
      </c>
      <c r="V54" s="73" t="s">
        <v>4</v>
      </c>
      <c r="W54" s="72">
        <f>W33</f>
        <v>60.38</v>
      </c>
      <c r="X54" s="73" t="s">
        <v>4</v>
      </c>
      <c r="Y54" s="72">
        <f>Y33</f>
        <v>57.66</v>
      </c>
      <c r="Z54" s="73" t="s">
        <v>4</v>
      </c>
      <c r="AA54" s="72">
        <f>AA33</f>
        <v>56.67</v>
      </c>
      <c r="AB54" s="73" t="s">
        <v>4</v>
      </c>
      <c r="AC54" s="72">
        <f>ROUND(AVERAGE(S54:AB54),2)</f>
        <v>59.85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134400000000</v>
      </c>
      <c r="E56" s="65">
        <f>SUM(E50,E19)</f>
        <v>128652000000</v>
      </c>
      <c r="G56" s="65">
        <f>SUM(G50,G19)</f>
        <v>124489000000</v>
      </c>
      <c r="I56" s="65">
        <f>SUM(I50,I19)</f>
        <v>116435000000</v>
      </c>
      <c r="K56" s="65">
        <f>SUM(K50,K19)</f>
        <v>110700000000</v>
      </c>
      <c r="L56" s="65"/>
      <c r="M56" s="65">
        <f>SUM(M50,M19)</f>
        <v>108083000000</v>
      </c>
    </row>
    <row r="57" spans="1:30" x14ac:dyDescent="0.2">
      <c r="C57" s="65"/>
      <c r="E57" s="65"/>
      <c r="G57" s="65"/>
      <c r="I57" s="65"/>
      <c r="K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973000000</v>
      </c>
      <c r="E58" s="65">
        <f>SUM(E13,E17)</f>
        <v>1962000000</v>
      </c>
      <c r="G58" s="65">
        <f>SUM(G13,G17)</f>
        <v>1962000000</v>
      </c>
      <c r="I58" s="65">
        <f>SUM(I13,I17)</f>
        <v>1962000000</v>
      </c>
      <c r="K58" s="65">
        <f>SUM(K13,K17)</f>
        <v>1962000000</v>
      </c>
      <c r="L58" s="65"/>
      <c r="M58" s="65">
        <f>SUM(M13,M17)</f>
        <v>1962000000</v>
      </c>
    </row>
    <row r="59" spans="1:30" x14ac:dyDescent="0.2">
      <c r="C59" s="65"/>
      <c r="E59" s="65"/>
      <c r="G59" s="65"/>
      <c r="I59" s="65"/>
      <c r="K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13894000000</v>
      </c>
      <c r="E60" s="65">
        <f>ROUND(E41+E42-E28,3)</f>
        <v>8249000000</v>
      </c>
      <c r="G60" s="65">
        <f>ROUND(G41+G42-G28,3)</f>
        <v>3512000000</v>
      </c>
      <c r="I60" s="65">
        <f>ROUND(I41+I42-I28,3)</f>
        <v>7100000000</v>
      </c>
      <c r="K60" s="65">
        <f>ROUND(K41+K42-K28,3)</f>
        <v>8899000000</v>
      </c>
      <c r="L60" s="65"/>
      <c r="M60" s="65">
        <f>ROUND(M41+M42-M28,3)</f>
        <v>7661000000</v>
      </c>
    </row>
    <row r="61" spans="1:30" x14ac:dyDescent="0.2">
      <c r="A61" s="82"/>
    </row>
    <row r="62" spans="1:30" x14ac:dyDescent="0.2">
      <c r="A62" s="54" t="s">
        <v>131</v>
      </c>
      <c r="B62" s="54" t="s">
        <v>121</v>
      </c>
      <c r="C62" s="65">
        <f>C44+C43+C34+C30</f>
        <v>14169000000</v>
      </c>
      <c r="E62" s="65">
        <f>E44+E43+E34+E30</f>
        <v>11440000000</v>
      </c>
      <c r="G62" s="65">
        <f>G44+G43+G34+G30</f>
        <v>10269000000</v>
      </c>
      <c r="I62" s="65">
        <f>I44+I43+I34+I30</f>
        <v>11264000000</v>
      </c>
      <c r="K62" s="65">
        <f>K44+K43+K34+K30</f>
        <v>7901000000</v>
      </c>
      <c r="M62" s="65">
        <f>M44+M43+M34+M30</f>
        <v>10978000000</v>
      </c>
    </row>
    <row r="81" spans="219:223" x14ac:dyDescent="0.2">
      <c r="HK81" s="84"/>
      <c r="HL81" s="84"/>
      <c r="HO81" s="54" t="s">
        <v>132</v>
      </c>
    </row>
  </sheetData>
  <mergeCells count="6">
    <mergeCell ref="AC25:AD25"/>
    <mergeCell ref="C6:M6"/>
    <mergeCell ref="C7:M7"/>
    <mergeCell ref="C8:M8"/>
    <mergeCell ref="W13:AB13"/>
    <mergeCell ref="AC24:AD24"/>
  </mergeCells>
  <pageMargins left="0.7" right="0.7" top="0.75" bottom="0.75" header="0.3" footer="0.3"/>
  <pageSetup scale="25" orientation="portrait" r:id="rId1"/>
  <headerFooter>
    <oddHeader>&amp;R&amp;A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B70E-6132-4A71-91B9-75E189001457}">
  <sheetPr>
    <pageSetUpPr fitToPage="1"/>
  </sheetPr>
  <dimension ref="A1:HO81"/>
  <sheetViews>
    <sheetView view="pageBreakPreview" zoomScale="60" zoomScaleNormal="60" workbookViewId="0"/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8" style="54" customWidth="1"/>
    <col min="4" max="4" width="2.5703125" style="54" customWidth="1"/>
    <col min="5" max="5" width="18" style="54" customWidth="1"/>
    <col min="6" max="6" width="2.5703125" style="54" customWidth="1"/>
    <col min="7" max="7" width="16.5703125" style="54" bestFit="1" customWidth="1"/>
    <col min="8" max="8" width="2.5703125" style="54" customWidth="1"/>
    <col min="9" max="9" width="16.85546875" style="54" bestFit="1" customWidth="1"/>
    <col min="10" max="10" width="3.140625" style="54" customWidth="1"/>
    <col min="11" max="11" width="16.85546875" style="54" bestFit="1" customWidth="1"/>
    <col min="12" max="12" width="3.140625" style="54" customWidth="1"/>
    <col min="13" max="13" width="16.85546875" style="54" bestFit="1" customWidth="1"/>
    <col min="14" max="16" width="3" style="54" customWidth="1"/>
    <col min="17" max="17" width="49.42578125" style="54" customWidth="1"/>
    <col min="18" max="18" width="3" style="54" customWidth="1"/>
    <col min="19" max="19" width="12.85546875" style="54" customWidth="1"/>
    <col min="20" max="20" width="3" style="54" customWidth="1"/>
    <col min="21" max="21" width="12.85546875" style="54" customWidth="1"/>
    <col min="22" max="22" width="3" style="54" customWidth="1"/>
    <col min="23" max="23" width="13" style="54" customWidth="1"/>
    <col min="24" max="24" width="3.42578125" style="54" customWidth="1"/>
    <col min="25" max="25" width="11.140625" style="54" bestFit="1" customWidth="1"/>
    <col min="26" max="26" width="2.42578125" style="54" bestFit="1" customWidth="1"/>
    <col min="27" max="27" width="11.140625" style="54" bestFit="1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16384" width="8.7109375" style="54"/>
  </cols>
  <sheetData>
    <row r="1" spans="1:29" ht="16.5" customHeight="1" x14ac:dyDescent="0.2">
      <c r="A1" s="147"/>
    </row>
    <row r="2" spans="1:29" ht="16.5" customHeight="1" x14ac:dyDescent="0.2">
      <c r="A2" s="147"/>
    </row>
    <row r="3" spans="1:29" ht="16.5" customHeight="1" x14ac:dyDescent="0.2">
      <c r="A3" s="147"/>
      <c r="C3" s="147"/>
      <c r="E3" s="147"/>
      <c r="G3" s="147"/>
    </row>
    <row r="4" spans="1:29" ht="16.5" customHeight="1" thickBot="1" x14ac:dyDescent="0.25">
      <c r="A4" s="147"/>
      <c r="C4" s="147"/>
      <c r="E4" s="147"/>
      <c r="G4" s="147"/>
    </row>
    <row r="5" spans="1:29" ht="15" x14ac:dyDescent="0.35">
      <c r="A5" s="148" t="s">
        <v>136</v>
      </c>
    </row>
    <row r="6" spans="1:29" ht="15" customHeight="1" thickBot="1" x14ac:dyDescent="0.25">
      <c r="A6" s="149" t="s">
        <v>180</v>
      </c>
      <c r="C6" s="194" t="s">
        <v>214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196" t="str">
        <f>C6</f>
        <v>Edison International</v>
      </c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4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141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50">
        <f>(2049+33534)*1000000</f>
        <v>35583000000</v>
      </c>
      <c r="E12" s="150">
        <f>(2697+30316)*1000000</f>
        <v>33013000000</v>
      </c>
      <c r="G12" s="150">
        <f>(2614+27025)*1000000</f>
        <v>29639000000</v>
      </c>
      <c r="I12" s="150">
        <f>(1077+24170)*1000000</f>
        <v>25247000000</v>
      </c>
      <c r="K12" s="150">
        <f>(1029+19632)*1000000</f>
        <v>20661000000</v>
      </c>
      <c r="M12" s="150">
        <v>18343000000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ht="15" customHeight="1" x14ac:dyDescent="0.2">
      <c r="A13" s="54" t="s">
        <v>60</v>
      </c>
      <c r="B13" s="54" t="s">
        <v>61</v>
      </c>
      <c r="C13" s="161">
        <f>2175*1000000</f>
        <v>2175000000</v>
      </c>
      <c r="E13" s="161">
        <f>2443*1000000</f>
        <v>2443000000</v>
      </c>
      <c r="G13" s="161">
        <f>1901*1000000</f>
        <v>1901000000</v>
      </c>
      <c r="I13" s="161">
        <f>1901*1000000</f>
        <v>1901000000</v>
      </c>
      <c r="K13" s="161">
        <f>1901*1000000</f>
        <v>1901000000</v>
      </c>
      <c r="M13" s="161">
        <v>2193000000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151">
        <v>384784719</v>
      </c>
      <c r="E15" s="151">
        <v>383924912</v>
      </c>
      <c r="G15" s="151">
        <v>382208498</v>
      </c>
      <c r="I15" s="151">
        <v>380378145</v>
      </c>
      <c r="K15" s="151">
        <v>378907147</v>
      </c>
      <c r="M15" s="151">
        <v>361985133</v>
      </c>
    </row>
    <row r="16" spans="1:29" x14ac:dyDescent="0.2">
      <c r="A16" s="54" t="s">
        <v>6</v>
      </c>
      <c r="B16" s="54" t="s">
        <v>67</v>
      </c>
      <c r="C16" s="153">
        <f>(15565-1645)*1000000</f>
        <v>13920000000</v>
      </c>
      <c r="E16" s="153">
        <f>(15501-1673)*1000000</f>
        <v>13828000000</v>
      </c>
      <c r="G16" s="153">
        <f>(15621-1978)*1000000</f>
        <v>13643000000</v>
      </c>
      <c r="I16" s="153">
        <f>(15888-1977)*1000000</f>
        <v>13911000000</v>
      </c>
      <c r="K16" s="153">
        <f>14048*1000000</f>
        <v>14048000000</v>
      </c>
      <c r="M16" s="153">
        <v>13303000000</v>
      </c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C17" s="54">
        <v>0</v>
      </c>
      <c r="E17" s="54">
        <v>0</v>
      </c>
      <c r="G17" s="54">
        <v>0</v>
      </c>
      <c r="I17" s="54">
        <v>0</v>
      </c>
      <c r="K17" s="54">
        <v>0</v>
      </c>
      <c r="M17" s="54">
        <v>0</v>
      </c>
      <c r="Q17" s="54" t="s">
        <v>70</v>
      </c>
      <c r="S17" s="69">
        <f>C50/1000000</f>
        <v>51678</v>
      </c>
      <c r="U17" s="69">
        <f>E50/1000000</f>
        <v>49284</v>
      </c>
      <c r="W17" s="69">
        <f>G50/1000000</f>
        <v>45183</v>
      </c>
      <c r="Y17" s="69">
        <f>I50/1000000</f>
        <v>41059</v>
      </c>
      <c r="AA17" s="69">
        <f>K50/1000000</f>
        <v>36610</v>
      </c>
      <c r="AB17" s="69"/>
    </row>
    <row r="18" spans="1:30" x14ac:dyDescent="0.2">
      <c r="Q18" s="54" t="s">
        <v>71</v>
      </c>
      <c r="S18" s="70">
        <f>C19/1000000</f>
        <v>998</v>
      </c>
      <c r="U18" s="70">
        <f>E19/1000000</f>
        <v>1077</v>
      </c>
      <c r="W18" s="70">
        <f>G19/1000000</f>
        <v>2015</v>
      </c>
      <c r="Y18" s="70">
        <f>I19/1000000</f>
        <v>2354</v>
      </c>
      <c r="AA18" s="70">
        <f>K19/1000000</f>
        <v>2398</v>
      </c>
      <c r="AB18" s="69"/>
    </row>
    <row r="19" spans="1:30" x14ac:dyDescent="0.2">
      <c r="A19" s="54" t="s">
        <v>72</v>
      </c>
      <c r="B19" s="54" t="s">
        <v>73</v>
      </c>
      <c r="C19" s="153">
        <f>998*1000000</f>
        <v>998000000</v>
      </c>
      <c r="E19" s="153">
        <f>1077*1000000</f>
        <v>1077000000</v>
      </c>
      <c r="G19" s="153">
        <f>2015*1000000</f>
        <v>2015000000</v>
      </c>
      <c r="I19" s="153">
        <f>2354*1000000</f>
        <v>2354000000</v>
      </c>
      <c r="K19" s="153">
        <f>2398*1000000</f>
        <v>2398000000</v>
      </c>
      <c r="M19" s="153">
        <v>550000000</v>
      </c>
      <c r="Q19" s="54" t="s">
        <v>74</v>
      </c>
      <c r="S19" s="71">
        <f>SUM(S17:S18)</f>
        <v>52676</v>
      </c>
      <c r="U19" s="71">
        <f>SUM(U17:U18)</f>
        <v>50361</v>
      </c>
      <c r="W19" s="71">
        <f>SUM(W17:W18)</f>
        <v>47198</v>
      </c>
      <c r="Y19" s="71">
        <f>SUM(Y17:Y18)</f>
        <v>43413</v>
      </c>
      <c r="AA19" s="71">
        <f>SUM(AA17:AA18)</f>
        <v>39008</v>
      </c>
      <c r="AB19" s="69"/>
    </row>
    <row r="21" spans="1:30" x14ac:dyDescent="0.2">
      <c r="A21" s="54" t="s">
        <v>75</v>
      </c>
      <c r="B21" s="54" t="s">
        <v>76</v>
      </c>
      <c r="C21" s="65">
        <v>3.31</v>
      </c>
      <c r="E21" s="65">
        <v>3.11</v>
      </c>
      <c r="G21" s="65">
        <v>1.6</v>
      </c>
      <c r="I21" s="65">
        <v>2</v>
      </c>
      <c r="K21" s="65">
        <v>1.98</v>
      </c>
      <c r="M21" s="65">
        <v>3.77</v>
      </c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54">
        <v>88.36</v>
      </c>
      <c r="E22" s="54">
        <v>74.19</v>
      </c>
      <c r="G22" s="54">
        <v>72.75</v>
      </c>
      <c r="I22" s="54">
        <v>68.44</v>
      </c>
      <c r="K22" s="54">
        <v>78.2</v>
      </c>
      <c r="M22" s="54">
        <v>76.36</v>
      </c>
      <c r="Q22" s="54" t="s">
        <v>80</v>
      </c>
      <c r="S22" s="72">
        <f>(ROUND((C30/(AVERAGE(C54,E54))*100),2))</f>
        <v>5.29</v>
      </c>
      <c r="T22" s="73" t="s">
        <v>4</v>
      </c>
      <c r="U22" s="72">
        <f>(ROUND((E30/(AVERAGE(E54,G54))*100),2))</f>
        <v>4.9000000000000004</v>
      </c>
      <c r="V22" s="73" t="s">
        <v>4</v>
      </c>
      <c r="W22" s="72">
        <f>(ROUND((G30/(AVERAGE(G54,I54))*100),2))</f>
        <v>3.95</v>
      </c>
      <c r="X22" s="73" t="s">
        <v>4</v>
      </c>
      <c r="Y22" s="72">
        <f>(ROUND((I30/(AVERAGE(I54,K54))*100),2))</f>
        <v>3.65</v>
      </c>
      <c r="Z22" s="73" t="s">
        <v>4</v>
      </c>
      <c r="AA22" s="72">
        <f>(ROUND((K30/(AVERAGE(K54,M54))*100),2))</f>
        <v>4.3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64.41</v>
      </c>
      <c r="E23" s="54">
        <v>60.69</v>
      </c>
      <c r="G23" s="54">
        <v>54.94</v>
      </c>
      <c r="I23" s="54">
        <v>53.99</v>
      </c>
      <c r="K23" s="54">
        <v>44.47</v>
      </c>
      <c r="M23" s="54">
        <v>53.51</v>
      </c>
      <c r="Q23" s="54" t="s">
        <v>82</v>
      </c>
      <c r="S23" s="154">
        <f>(ROUND((C36/(AVERAGE(C58,E58))*100),2))</f>
        <v>7.58</v>
      </c>
      <c r="T23" s="73"/>
      <c r="U23" s="154">
        <f>(ROUND((E36/(AVERAGE(E58,G58))*100),2))</f>
        <v>5.66</v>
      </c>
      <c r="V23" s="73"/>
      <c r="W23" s="154">
        <f>(ROUND((G36/(AVERAGE(G58,I58))*100),2))</f>
        <v>5.63</v>
      </c>
      <c r="X23" s="73"/>
      <c r="Y23" s="154">
        <f>(ROUND((I36/(AVERAGE(I58,K58))*100),2))</f>
        <v>5.58</v>
      </c>
      <c r="Z23" s="73"/>
      <c r="AA23" s="154">
        <f>(ROUND((K36/(AVERAGE(K58,M58))*100),2))</f>
        <v>6.45</v>
      </c>
      <c r="AB23" s="73"/>
    </row>
    <row r="24" spans="1:30" x14ac:dyDescent="0.2">
      <c r="AC24" s="194" t="s">
        <v>1</v>
      </c>
      <c r="AD24" s="194"/>
    </row>
    <row r="25" spans="1:30" x14ac:dyDescent="0.2"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66</v>
      </c>
      <c r="C26" s="54">
        <v>3.33</v>
      </c>
      <c r="E26" s="54">
        <v>3.12</v>
      </c>
      <c r="G26" s="54">
        <v>2.8374999999999999</v>
      </c>
      <c r="I26" s="54">
        <v>2.6875</v>
      </c>
      <c r="K26" s="54">
        <v>2.5749999999999997</v>
      </c>
      <c r="M26" s="54">
        <v>2.4750000000000001</v>
      </c>
      <c r="Q26" s="54" t="s">
        <v>85</v>
      </c>
    </row>
    <row r="27" spans="1:30" x14ac:dyDescent="0.2">
      <c r="Q27" s="54" t="s">
        <v>86</v>
      </c>
      <c r="S27" s="72">
        <f>ROUND(((C12/C50)*100),2)</f>
        <v>68.86</v>
      </c>
      <c r="T27" s="73" t="s">
        <v>4</v>
      </c>
      <c r="U27" s="72">
        <f>ROUND(((E12/E50)*100),2)</f>
        <v>66.989999999999995</v>
      </c>
      <c r="V27" s="73" t="s">
        <v>4</v>
      </c>
      <c r="W27" s="72">
        <f>ROUND(((G12/G50)*100),2)</f>
        <v>65.599999999999994</v>
      </c>
      <c r="X27" s="73" t="s">
        <v>4</v>
      </c>
      <c r="Y27" s="72">
        <f>ROUND(((I12/I50)*100),2)</f>
        <v>61.49</v>
      </c>
      <c r="Z27" s="73" t="s">
        <v>4</v>
      </c>
      <c r="AA27" s="72">
        <f>ROUND(((K12/K50)*100),2)</f>
        <v>56.44</v>
      </c>
      <c r="AB27" s="73" t="s">
        <v>4</v>
      </c>
      <c r="AC27" s="72">
        <f>ROUND(AVERAGE(S27:AB27),2)</f>
        <v>63.88</v>
      </c>
      <c r="AD27" s="73" t="s">
        <v>4</v>
      </c>
    </row>
    <row r="28" spans="1:30" x14ac:dyDescent="0.2">
      <c r="A28" s="54" t="s">
        <v>87</v>
      </c>
      <c r="B28" s="54" t="s">
        <v>87</v>
      </c>
      <c r="C28" s="161">
        <f>(187+82)*1000000</f>
        <v>269000000</v>
      </c>
      <c r="E28" s="161">
        <f>(157+74)*1000000</f>
        <v>231000000</v>
      </c>
      <c r="G28" s="161">
        <f>(137+53)*1000000</f>
        <v>190000000</v>
      </c>
      <c r="I28" s="161">
        <f>(118+50)*1000000</f>
        <v>168000000</v>
      </c>
      <c r="K28" s="161">
        <f>(121+53)*1000000</f>
        <v>174000000</v>
      </c>
      <c r="M28" s="161">
        <v>164000000</v>
      </c>
      <c r="Q28" s="54" t="s">
        <v>88</v>
      </c>
      <c r="S28" s="72">
        <f>ROUND(((SUM(C13,C17)/C50)*100),2)</f>
        <v>4.21</v>
      </c>
      <c r="T28" s="73"/>
      <c r="U28" s="72">
        <f>ROUND(((SUM(E13,E17)/E50)*100),2)</f>
        <v>4.96</v>
      </c>
      <c r="V28" s="73"/>
      <c r="W28" s="72">
        <f>ROUND(((SUM(G13,G17)/G50)*100),2)</f>
        <v>4.21</v>
      </c>
      <c r="X28" s="73"/>
      <c r="Y28" s="72">
        <f>ROUND(((SUM(I13,I17)/I50)*100),2)</f>
        <v>4.63</v>
      </c>
      <c r="Z28" s="73"/>
      <c r="AA28" s="72">
        <f>ROUND(((SUM(K13,K17)/K50)*100),2)</f>
        <v>5.19</v>
      </c>
      <c r="AB28" s="73"/>
      <c r="AC28" s="72">
        <f>ROUND(AVERAGE(S28:AB28),2)</f>
        <v>4.6399999999999997</v>
      </c>
      <c r="AD28" s="73"/>
    </row>
    <row r="29" spans="1:30" x14ac:dyDescent="0.2">
      <c r="Q29" s="54" t="s">
        <v>89</v>
      </c>
      <c r="S29" s="74">
        <f>ROUND(((C16/C50)*100),2)</f>
        <v>26.94</v>
      </c>
      <c r="T29" s="73"/>
      <c r="U29" s="74">
        <f>ROUND(((E16/E50)*100),2)</f>
        <v>28.06</v>
      </c>
      <c r="V29" s="73"/>
      <c r="W29" s="74">
        <f>ROUND(((G16/G50)*100),2)</f>
        <v>30.19</v>
      </c>
      <c r="X29" s="73"/>
      <c r="Y29" s="74">
        <f>ROUND(((I16/I50)*100),2)</f>
        <v>33.880000000000003</v>
      </c>
      <c r="Z29" s="73"/>
      <c r="AA29" s="74">
        <f>ROUND(((K16/K50)*100),2)</f>
        <v>38.369999999999997</v>
      </c>
      <c r="AB29" s="73"/>
      <c r="AC29" s="72">
        <f>ROUND(AVERAGE(S29:AB29),2)</f>
        <v>31.49</v>
      </c>
      <c r="AD29" s="73"/>
    </row>
    <row r="30" spans="1:30" x14ac:dyDescent="0.2">
      <c r="A30" s="54" t="s">
        <v>90</v>
      </c>
      <c r="B30" s="54" t="s">
        <v>91</v>
      </c>
      <c r="C30" s="161">
        <f>1869*1000000</f>
        <v>1869000000</v>
      </c>
      <c r="E30" s="161">
        <f>1612*1000000</f>
        <v>1612000000</v>
      </c>
      <c r="G30" s="161">
        <f>1169*1000000</f>
        <v>1169000000</v>
      </c>
      <c r="I30" s="161">
        <f>925*1000000</f>
        <v>925000000</v>
      </c>
      <c r="K30" s="161">
        <f>902*1000000</f>
        <v>902000000</v>
      </c>
      <c r="M30" s="161">
        <v>841000000</v>
      </c>
      <c r="Q30" s="54" t="s">
        <v>92</v>
      </c>
      <c r="S30" s="75">
        <f>SUM(S27:S29)</f>
        <v>100.00999999999999</v>
      </c>
      <c r="T30" s="73" t="s">
        <v>4</v>
      </c>
      <c r="U30" s="75">
        <f>SUM(U27:U29)</f>
        <v>100.00999999999999</v>
      </c>
      <c r="V30" s="73" t="s">
        <v>4</v>
      </c>
      <c r="W30" s="75">
        <f>SUM(W27:W29)</f>
        <v>99.999999999999986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100.00999999999999</v>
      </c>
      <c r="AD30" s="73" t="s">
        <v>4</v>
      </c>
    </row>
    <row r="32" spans="1:30" x14ac:dyDescent="0.2">
      <c r="A32" s="54" t="s">
        <v>93</v>
      </c>
      <c r="B32" s="54" t="s">
        <v>94</v>
      </c>
      <c r="C32" s="153">
        <f>1546*1000000</f>
        <v>1546000000</v>
      </c>
      <c r="E32" s="153">
        <f>1407*1000000</f>
        <v>1407000000</v>
      </c>
      <c r="G32" s="153">
        <f>824*1000000</f>
        <v>824000000</v>
      </c>
      <c r="I32" s="153">
        <f>925*1000000</f>
        <v>925000000</v>
      </c>
      <c r="K32" s="153">
        <f>871*1000000</f>
        <v>871000000</v>
      </c>
      <c r="M32" s="153">
        <v>1405000000</v>
      </c>
      <c r="Q32" s="54" t="s">
        <v>95</v>
      </c>
    </row>
    <row r="33" spans="1:30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Q33" s="54" t="s">
        <v>96</v>
      </c>
      <c r="S33" s="72">
        <f>ROUND((((C12+C19)/C56)*100),2)</f>
        <v>69.45</v>
      </c>
      <c r="T33" s="73" t="s">
        <v>4</v>
      </c>
      <c r="U33" s="72">
        <f>ROUND((((E12+E19)/E56)*100),2)</f>
        <v>67.69</v>
      </c>
      <c r="V33" s="73" t="s">
        <v>4</v>
      </c>
      <c r="W33" s="72">
        <f>ROUND((((G12+G19)/G56)*100),2)</f>
        <v>67.069999999999993</v>
      </c>
      <c r="X33" s="73" t="s">
        <v>4</v>
      </c>
      <c r="Y33" s="72">
        <f>ROUND((((I12+I19)/I56)*100),2)</f>
        <v>63.58</v>
      </c>
      <c r="Z33" s="73" t="s">
        <v>4</v>
      </c>
      <c r="AA33" s="72">
        <f>ROUND((((K12+K19)/K56)*100),2)</f>
        <v>59.11</v>
      </c>
      <c r="AB33" s="73" t="s">
        <v>4</v>
      </c>
      <c r="AC33" s="72">
        <f>ROUND(AVERAGE(S33:AB33),2)</f>
        <v>65.38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3">
        <f>1284*1000000</f>
        <v>1284000000</v>
      </c>
      <c r="E34" s="153">
        <f>1197*1000000</f>
        <v>1197000000</v>
      </c>
      <c r="G34" s="153">
        <f>612*1000000</f>
        <v>612000000</v>
      </c>
      <c r="I34" s="153">
        <f>759*1000000</f>
        <v>759000000</v>
      </c>
      <c r="K34" s="153">
        <f>739*1000000</f>
        <v>739000000</v>
      </c>
      <c r="M34" s="153">
        <v>1284000000</v>
      </c>
      <c r="Q34" s="54" t="s">
        <v>88</v>
      </c>
      <c r="S34" s="72">
        <f>ROUND((((SUM(C13,C17))/C56)*100),2)</f>
        <v>4.13</v>
      </c>
      <c r="T34" s="73"/>
      <c r="U34" s="72">
        <f>ROUND((((SUM(E13,E17))/E56)*100),2)</f>
        <v>4.8499999999999996</v>
      </c>
      <c r="V34" s="73"/>
      <c r="W34" s="72">
        <f>ROUND((((SUM(G13,G17))/G56)*100),2)</f>
        <v>4.03</v>
      </c>
      <c r="X34" s="73"/>
      <c r="Y34" s="72">
        <f>ROUND((((SUM(I13,I17))/I56)*100),2)</f>
        <v>4.38</v>
      </c>
      <c r="Z34" s="73"/>
      <c r="AA34" s="72">
        <f>ROUND((((SUM(K13,K17))/K56)*100),2)</f>
        <v>4.87</v>
      </c>
      <c r="AB34" s="73"/>
      <c r="AC34" s="72">
        <f>ROUND(AVERAGE(S34:AB34),2)</f>
        <v>4.45</v>
      </c>
      <c r="AD34" s="73"/>
    </row>
    <row r="35" spans="1:30" x14ac:dyDescent="0.2">
      <c r="Q35" s="54" t="s">
        <v>89</v>
      </c>
      <c r="S35" s="74">
        <f>ROUND((((C16)/C56)*100),2)</f>
        <v>26.43</v>
      </c>
      <c r="T35" s="73"/>
      <c r="U35" s="74">
        <f>ROUND((((E16)/E56)*100),2)</f>
        <v>27.46</v>
      </c>
      <c r="V35" s="73"/>
      <c r="W35" s="74">
        <f>ROUND((((G16)/G56)*100),2)</f>
        <v>28.91</v>
      </c>
      <c r="X35" s="73"/>
      <c r="Y35" s="74">
        <f>ROUND((((I16)/I56)*100),2)+0.01</f>
        <v>32.049999999999997</v>
      </c>
      <c r="Z35" s="73"/>
      <c r="AA35" s="74">
        <f>ROUND((((K16)/K56)*100),2)</f>
        <v>36.01</v>
      </c>
      <c r="AB35" s="73"/>
      <c r="AC35" s="72">
        <f>ROUND(AVERAGE(S35:AB35),2)</f>
        <v>30.17</v>
      </c>
      <c r="AD35" s="73"/>
    </row>
    <row r="36" spans="1:30" x14ac:dyDescent="0.2">
      <c r="A36" s="54" t="s">
        <v>99</v>
      </c>
      <c r="B36" s="54" t="s">
        <v>100</v>
      </c>
      <c r="C36" s="151">
        <f>175*1000000</f>
        <v>175000000</v>
      </c>
      <c r="E36" s="151">
        <f>123*1000000</f>
        <v>123000000</v>
      </c>
      <c r="G36" s="151">
        <f>107*1000000</f>
        <v>107000000</v>
      </c>
      <c r="I36" s="151">
        <v>106000000</v>
      </c>
      <c r="K36" s="151">
        <v>132000000</v>
      </c>
      <c r="M36" s="151">
        <v>121000000</v>
      </c>
      <c r="Q36" s="54" t="s">
        <v>92</v>
      </c>
      <c r="S36" s="75">
        <f>SUM(S33:S35)</f>
        <v>100.00999999999999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100.00999999999999</v>
      </c>
      <c r="X36" s="73" t="s">
        <v>4</v>
      </c>
      <c r="Y36" s="75">
        <f>SUM(Y33:Y35)</f>
        <v>100.00999999999999</v>
      </c>
      <c r="Z36" s="73" t="s">
        <v>4</v>
      </c>
      <c r="AA36" s="75">
        <f>SUM(AA33:AA35)</f>
        <v>99.99</v>
      </c>
      <c r="AB36" s="73" t="s">
        <v>4</v>
      </c>
      <c r="AC36" s="75">
        <f>SUM(AC33:AC35)</f>
        <v>100</v>
      </c>
      <c r="AD36" s="73" t="s">
        <v>4</v>
      </c>
    </row>
    <row r="38" spans="1:30" x14ac:dyDescent="0.2">
      <c r="A38" s="54" t="s">
        <v>101</v>
      </c>
      <c r="B38" s="54" t="s">
        <v>102</v>
      </c>
      <c r="C38" s="151">
        <f>1221*1000000</f>
        <v>1221000000</v>
      </c>
      <c r="E38" s="151">
        <f>1147*1000000</f>
        <v>1147000000</v>
      </c>
      <c r="G38" s="151">
        <f>1083*1000000</f>
        <v>1083000000</v>
      </c>
      <c r="I38" s="151">
        <v>1021000000</v>
      </c>
      <c r="K38" s="151">
        <v>965000000</v>
      </c>
      <c r="M38" s="153">
        <v>849000000</v>
      </c>
    </row>
    <row r="40" spans="1:30" x14ac:dyDescent="0.2">
      <c r="A40" s="54" t="s">
        <v>103</v>
      </c>
      <c r="B40" s="54" t="s">
        <v>104</v>
      </c>
      <c r="C40" s="153">
        <f>C32</f>
        <v>1546000000</v>
      </c>
      <c r="E40" s="153">
        <f>E32</f>
        <v>1407000000</v>
      </c>
      <c r="G40" s="153">
        <f>G32</f>
        <v>824000000</v>
      </c>
      <c r="I40" s="153">
        <f>I32</f>
        <v>925000000</v>
      </c>
      <c r="K40" s="153">
        <f>K32</f>
        <v>871000000</v>
      </c>
      <c r="M40" s="153">
        <f>M32</f>
        <v>1405000000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151">
        <f>5014*1000000</f>
        <v>5014000000</v>
      </c>
      <c r="E41" s="151">
        <f>3401*1000000</f>
        <v>3401000000</v>
      </c>
      <c r="G41" s="151">
        <f>3216*1000000</f>
        <v>3216000000</v>
      </c>
      <c r="I41" s="151">
        <f>11*1000000</f>
        <v>11000000</v>
      </c>
      <c r="K41" s="151">
        <f>1263*1000000</f>
        <v>1263000000</v>
      </c>
      <c r="M41" s="153">
        <v>-307000000</v>
      </c>
      <c r="Q41" s="66"/>
      <c r="R41" s="66"/>
    </row>
    <row r="42" spans="1:30" x14ac:dyDescent="0.2">
      <c r="A42" s="54" t="s">
        <v>108</v>
      </c>
      <c r="B42" s="54" t="s">
        <v>109</v>
      </c>
      <c r="C42" s="65">
        <f>(-278-14+53-43-42+28+1219+83-397+140)*1000000</f>
        <v>749000000</v>
      </c>
      <c r="E42" s="65">
        <f>(-349-63-408+9+185+576-36-410-4)*1000000</f>
        <v>-500000000</v>
      </c>
      <c r="G42" s="65">
        <f>(-252-58+367+18+322-51-390-56+48)*1000000</f>
        <v>-52000000</v>
      </c>
      <c r="I42" s="65">
        <f>(-514-21+138+13-333-720+708-2648-123)*1000000</f>
        <v>-3500000000</v>
      </c>
      <c r="K42" s="65">
        <f>(-283-43+87+113+4-1799+932-56-6)*1000000</f>
        <v>-1051000000</v>
      </c>
      <c r="M42" s="65">
        <f>(-76-83+288+88-13)*1000000</f>
        <v>204000000</v>
      </c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153">
        <f>2866*1000000</f>
        <v>2866000000</v>
      </c>
      <c r="E43" s="153">
        <f>2635*1000000</f>
        <v>2635000000</v>
      </c>
      <c r="G43" s="153">
        <f>2561*1000000</f>
        <v>2561000000</v>
      </c>
      <c r="I43" s="153">
        <f>2218*1000000</f>
        <v>2218000000</v>
      </c>
      <c r="K43" s="153">
        <f>1967*1000000</f>
        <v>1967000000</v>
      </c>
      <c r="M43" s="153">
        <v>1730000000</v>
      </c>
      <c r="Q43" s="54" t="s">
        <v>113</v>
      </c>
      <c r="S43" s="72">
        <f>ROUND(C21/C52,4)*100</f>
        <v>4.33</v>
      </c>
      <c r="T43" s="73" t="s">
        <v>4</v>
      </c>
      <c r="U43" s="72">
        <f>ROUND(E21/E52,4)*100</f>
        <v>4.6100000000000003</v>
      </c>
      <c r="V43" s="73" t="s">
        <v>4</v>
      </c>
      <c r="W43" s="72">
        <f>ROUND(G21/G52,4)*100</f>
        <v>2.5100000000000002</v>
      </c>
      <c r="X43" s="73" t="s">
        <v>4</v>
      </c>
      <c r="Y43" s="72">
        <f>ROUND(I21/I52,4)*100</f>
        <v>3.27</v>
      </c>
      <c r="Z43" s="73" t="s">
        <v>4</v>
      </c>
      <c r="AA43" s="72">
        <f>ROUND(K21/K52,4)*100</f>
        <v>3.2300000000000004</v>
      </c>
      <c r="AB43" s="73" t="s">
        <v>4</v>
      </c>
      <c r="AC43" s="72">
        <f>ROUND(AVERAGE(S43:AB43),2)</f>
        <v>3.59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151">
        <f>17*1000000</f>
        <v>17000000</v>
      </c>
      <c r="E44" s="151">
        <f>108*1000000</f>
        <v>108000000</v>
      </c>
      <c r="G44" s="151">
        <f>-162*1000000</f>
        <v>-162000000</v>
      </c>
      <c r="I44" s="151">
        <f>-136*1000000</f>
        <v>-136000000</v>
      </c>
      <c r="K44" s="151">
        <f>-305*1000000</f>
        <v>-305000000</v>
      </c>
      <c r="M44" s="151">
        <v>-278000000</v>
      </c>
      <c r="Q44" s="54" t="s">
        <v>116</v>
      </c>
      <c r="S44" s="72">
        <f>(ROUND((C52/(AVERAGE(C48,E48))*100),2))</f>
        <v>211.61</v>
      </c>
      <c r="U44" s="72">
        <f>(ROUND((E52/(AVERAGE(E48,G48))*100),2))</f>
        <v>188.08</v>
      </c>
      <c r="W44" s="72">
        <f>(ROUND((G52/(AVERAGE(G48,I48))*100),2))</f>
        <v>176.69</v>
      </c>
      <c r="Y44" s="72">
        <f>(ROUND((I52/(AVERAGE(I48,K48))*100),2))</f>
        <v>166.24</v>
      </c>
      <c r="AA44" s="72">
        <f>(ROUND((K52/(AVERAGE(K48,M48))*100),2))</f>
        <v>166.16</v>
      </c>
      <c r="AC44" s="72">
        <f>ROUND(AVERAGE(S44:AB44),2)</f>
        <v>181.76</v>
      </c>
    </row>
    <row r="45" spans="1:30" x14ac:dyDescent="0.2">
      <c r="Q45" s="54" t="s">
        <v>117</v>
      </c>
      <c r="S45" s="72">
        <f>ROUND(((+C26/C52)*100),2)</f>
        <v>4.3600000000000003</v>
      </c>
      <c r="U45" s="72">
        <f>ROUND(((+E26/E52)*100),2)</f>
        <v>4.63</v>
      </c>
      <c r="W45" s="72">
        <f>ROUND(((+G26/G52)*100),2)</f>
        <v>4.4400000000000004</v>
      </c>
      <c r="Y45" s="72">
        <f>ROUND(((+I26/I52)*100),2)</f>
        <v>4.3899999999999997</v>
      </c>
      <c r="AA45" s="72">
        <f>ROUND(((+K26/K52)*100),2)</f>
        <v>4.2</v>
      </c>
      <c r="AC45" s="72">
        <f>ROUND(AVERAGE(S45:AB45),2)</f>
        <v>4.4000000000000004</v>
      </c>
    </row>
    <row r="46" spans="1:30" x14ac:dyDescent="0.2">
      <c r="A46" s="54" t="s">
        <v>118</v>
      </c>
      <c r="Q46" s="54" t="s">
        <v>119</v>
      </c>
      <c r="S46" s="72">
        <f>ROUND(((+C38/C34)*100),2)</f>
        <v>95.09</v>
      </c>
      <c r="U46" s="72">
        <f>ROUND(((+E38/E34)*100),2)</f>
        <v>95.82</v>
      </c>
      <c r="W46" s="72">
        <f>ROUND(((+G38/G34)*100),2)</f>
        <v>176.96</v>
      </c>
      <c r="Y46" s="72">
        <f>ROUND(((+I38/I34)*100),2)</f>
        <v>134.52000000000001</v>
      </c>
      <c r="AA46" s="72">
        <f>ROUND(((+K38/K34)*100),2)</f>
        <v>130.58000000000001</v>
      </c>
      <c r="AC46" s="72">
        <f>ROUND(AVERAGE(S46:AB46),2)</f>
        <v>126.59</v>
      </c>
    </row>
    <row r="47" spans="1:30" x14ac:dyDescent="0.2"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36.176072782141851</v>
      </c>
      <c r="E48" s="65">
        <f>E16/E15</f>
        <v>36.017459580742184</v>
      </c>
      <c r="G48" s="65">
        <f>G16/G15</f>
        <v>35.695177033975838</v>
      </c>
      <c r="I48" s="65">
        <f>I16/I15</f>
        <v>36.571501761753424</v>
      </c>
      <c r="K48" s="65">
        <f>K16/K15</f>
        <v>37.075046251370921</v>
      </c>
      <c r="L48" s="65"/>
      <c r="M48" s="65">
        <f>M16/M15</f>
        <v>36.750128077773844</v>
      </c>
      <c r="Q48" s="66" t="s">
        <v>122</v>
      </c>
      <c r="R48" s="66"/>
      <c r="S48" s="72">
        <f>ROUND(((C34/AVERAGE(C16,E16))*100),2)</f>
        <v>9.25</v>
      </c>
      <c r="T48" s="54" t="s">
        <v>4</v>
      </c>
      <c r="U48" s="72">
        <f>ROUND(((E34/AVERAGE(E16,G16))*100),2)</f>
        <v>8.7100000000000009</v>
      </c>
      <c r="V48" s="54" t="s">
        <v>4</v>
      </c>
      <c r="W48" s="72">
        <f>ROUND(((G34/AVERAGE(G16,I16))*100),2)</f>
        <v>4.4400000000000004</v>
      </c>
      <c r="X48" s="54" t="s">
        <v>4</v>
      </c>
      <c r="Y48" s="72">
        <f>ROUND(((I34/AVERAGE(I16,K16))*100),2)</f>
        <v>5.43</v>
      </c>
      <c r="Z48" s="54" t="s">
        <v>4</v>
      </c>
      <c r="AA48" s="72">
        <f>ROUND(((K34/AVERAGE(K16,M16))*100),2)</f>
        <v>5.4</v>
      </c>
      <c r="AB48" s="54" t="s">
        <v>4</v>
      </c>
      <c r="AC48" s="72">
        <f>ROUND(AVERAGE(S48:AB48),2)</f>
        <v>6.65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L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51678000000</v>
      </c>
      <c r="E50" s="65">
        <f>SUM(E12:E13,E16:E17)</f>
        <v>49284000000</v>
      </c>
      <c r="G50" s="65">
        <f>SUM(G12:G13,G16:G17)</f>
        <v>45183000000</v>
      </c>
      <c r="I50" s="65">
        <f>SUM(I12:I13,I16:I17)</f>
        <v>41059000000</v>
      </c>
      <c r="K50" s="65">
        <f>SUM(K12:K13,K16:K17)</f>
        <v>36610000000</v>
      </c>
      <c r="L50" s="65"/>
      <c r="M50" s="65">
        <f>SUM(M12:M13,M16:M17)</f>
        <v>33839000000</v>
      </c>
      <c r="Q50" s="66" t="s">
        <v>124</v>
      </c>
      <c r="R50" s="66"/>
      <c r="S50" s="72">
        <f>ROUND((C54/C62),2)</f>
        <v>6.06</v>
      </c>
      <c r="T50" s="73" t="s">
        <v>125</v>
      </c>
      <c r="U50" s="72">
        <f>ROUND((E54/E62),2)</f>
        <v>6.14</v>
      </c>
      <c r="V50" s="73" t="s">
        <v>125</v>
      </c>
      <c r="W50" s="72">
        <f>ROUND((G54/G62),2)</f>
        <v>7.57</v>
      </c>
      <c r="X50" s="73" t="s">
        <v>125</v>
      </c>
      <c r="Y50" s="72">
        <f>ROUND((I54/I62),2)</f>
        <v>7.33</v>
      </c>
      <c r="Z50" s="73" t="s">
        <v>125</v>
      </c>
      <c r="AA50" s="72">
        <f>ROUND((K54/K62),2)</f>
        <v>6.98</v>
      </c>
      <c r="AB50" s="73" t="s">
        <v>125</v>
      </c>
      <c r="AC50" s="72">
        <f>ROUND(AVERAGE(S50:AB50),2)</f>
        <v>6.82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L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76.384999999999991</v>
      </c>
      <c r="E52" s="65">
        <f>AVERAGE(E22:E23)</f>
        <v>67.44</v>
      </c>
      <c r="G52" s="65">
        <f>AVERAGE(G22:G23)</f>
        <v>63.844999999999999</v>
      </c>
      <c r="I52" s="65">
        <f>AVERAGE(I22:I23)</f>
        <v>61.215000000000003</v>
      </c>
      <c r="K52" s="65">
        <f>AVERAGE(K22:K23)</f>
        <v>61.335000000000001</v>
      </c>
      <c r="L52" s="65"/>
      <c r="M52" s="65">
        <f>AVERAGE(M22:M23)</f>
        <v>64.935000000000002</v>
      </c>
      <c r="Q52" s="66" t="s">
        <v>127</v>
      </c>
      <c r="R52" s="66"/>
      <c r="S52" s="72">
        <f>ROUND(((C60/C54)*100),2)</f>
        <v>15.02</v>
      </c>
      <c r="T52" s="73" t="s">
        <v>4</v>
      </c>
      <c r="U52" s="72">
        <f>ROUND(((E60/E54)*100),2)</f>
        <v>7.83</v>
      </c>
      <c r="V52" s="73" t="s">
        <v>4</v>
      </c>
      <c r="W52" s="72">
        <f>ROUND(((G60/G54)*100),2)</f>
        <v>9.4</v>
      </c>
      <c r="X52" s="73" t="s">
        <v>4</v>
      </c>
      <c r="Y52" s="72">
        <f>ROUND(((I60/I54)*100),2)</f>
        <v>-13.25</v>
      </c>
      <c r="Z52" s="73" t="s">
        <v>4</v>
      </c>
      <c r="AA52" s="72">
        <f>ROUND(((K60/K54)*100),2)</f>
        <v>0.16</v>
      </c>
      <c r="AB52" s="73" t="s">
        <v>4</v>
      </c>
      <c r="AC52" s="72">
        <f>ROUND(AVERAGE(S52:AB52),2)</f>
        <v>3.83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L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36581000000</v>
      </c>
      <c r="E54" s="65">
        <f>+E19+E12</f>
        <v>34090000000</v>
      </c>
      <c r="G54" s="65">
        <f>+G19+G12</f>
        <v>31654000000</v>
      </c>
      <c r="I54" s="65">
        <f>+I19+I12</f>
        <v>27601000000</v>
      </c>
      <c r="K54" s="65">
        <f>+K19+K12</f>
        <v>23059000000</v>
      </c>
      <c r="L54" s="81"/>
      <c r="M54" s="65">
        <f>+M19+M12</f>
        <v>18893000000</v>
      </c>
      <c r="Q54" s="79" t="s">
        <v>128</v>
      </c>
      <c r="R54" s="79"/>
      <c r="S54" s="72">
        <f>S33</f>
        <v>69.45</v>
      </c>
      <c r="T54" s="73" t="s">
        <v>4</v>
      </c>
      <c r="U54" s="72">
        <f>U33</f>
        <v>67.69</v>
      </c>
      <c r="V54" s="73" t="s">
        <v>4</v>
      </c>
      <c r="W54" s="72">
        <f>W33</f>
        <v>67.069999999999993</v>
      </c>
      <c r="X54" s="73" t="s">
        <v>4</v>
      </c>
      <c r="Y54" s="72">
        <f>Y33</f>
        <v>63.58</v>
      </c>
      <c r="Z54" s="73" t="s">
        <v>4</v>
      </c>
      <c r="AA54" s="72">
        <f>AA33</f>
        <v>59.11</v>
      </c>
      <c r="AB54" s="73" t="s">
        <v>4</v>
      </c>
      <c r="AC54" s="72">
        <f>ROUND(AVERAGE(S54:AB54),2)</f>
        <v>65.38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L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52676000000</v>
      </c>
      <c r="E56" s="65">
        <f>SUM(E50,E19)</f>
        <v>50361000000</v>
      </c>
      <c r="G56" s="65">
        <f>SUM(G50,G19)</f>
        <v>47198000000</v>
      </c>
      <c r="I56" s="65">
        <f>SUM(I50,I19)</f>
        <v>43413000000</v>
      </c>
      <c r="K56" s="65">
        <f>SUM(K50,K19)</f>
        <v>39008000000</v>
      </c>
      <c r="L56" s="65"/>
      <c r="M56" s="65">
        <f>SUM(M50,M19)</f>
        <v>34389000000</v>
      </c>
    </row>
    <row r="57" spans="1:30" x14ac:dyDescent="0.2">
      <c r="C57" s="65"/>
      <c r="E57" s="65"/>
      <c r="G57" s="65"/>
      <c r="I57" s="65"/>
      <c r="K57" s="65"/>
      <c r="L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2175000000</v>
      </c>
      <c r="E58" s="65">
        <f>SUM(E13,E17)</f>
        <v>2443000000</v>
      </c>
      <c r="G58" s="65">
        <f>SUM(G13,G17)</f>
        <v>1901000000</v>
      </c>
      <c r="I58" s="65">
        <f>SUM(I13,I17)</f>
        <v>1901000000</v>
      </c>
      <c r="K58" s="65">
        <f>SUM(K13,K17)</f>
        <v>1901000000</v>
      </c>
      <c r="L58" s="65"/>
      <c r="M58" s="65">
        <f>SUM(M13,M17)</f>
        <v>2193000000</v>
      </c>
    </row>
    <row r="59" spans="1:30" x14ac:dyDescent="0.2">
      <c r="C59" s="65"/>
      <c r="E59" s="65"/>
      <c r="G59" s="65"/>
      <c r="I59" s="65"/>
      <c r="K59" s="65"/>
      <c r="L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5494000000</v>
      </c>
      <c r="E60" s="65">
        <f>ROUND(E41+E42-E28,3)</f>
        <v>2670000000</v>
      </c>
      <c r="G60" s="65">
        <f>ROUND(G41+G42-G28,3)</f>
        <v>2974000000</v>
      </c>
      <c r="I60" s="65">
        <f>ROUND(I41+I42-I28,3)</f>
        <v>-3657000000</v>
      </c>
      <c r="K60" s="65">
        <f>ROUND(K41+K42-K28,3)</f>
        <v>38000000</v>
      </c>
      <c r="L60" s="65"/>
      <c r="M60" s="65">
        <f>ROUND(M41+M42-M28,3)</f>
        <v>-267000000</v>
      </c>
    </row>
    <row r="61" spans="1:30" x14ac:dyDescent="0.2">
      <c r="A61" s="82"/>
    </row>
    <row r="62" spans="1:30" x14ac:dyDescent="0.2">
      <c r="A62" s="54" t="s">
        <v>131</v>
      </c>
      <c r="B62" s="54" t="s">
        <v>121</v>
      </c>
      <c r="C62" s="65">
        <f>C44+C43+C34+C30</f>
        <v>6036000000</v>
      </c>
      <c r="E62" s="65">
        <f>E44+E43+E34+E30</f>
        <v>5552000000</v>
      </c>
      <c r="G62" s="65">
        <f>G44+G43+G34+G30</f>
        <v>4180000000</v>
      </c>
      <c r="I62" s="65">
        <f>I44+I43+I34+I30</f>
        <v>3766000000</v>
      </c>
      <c r="K62" s="65">
        <f>K44+K43+K34+K30</f>
        <v>3303000000</v>
      </c>
      <c r="M62" s="65">
        <f>M44+M43+M34+M30</f>
        <v>3577000000</v>
      </c>
    </row>
    <row r="64" spans="1:30" x14ac:dyDescent="0.2">
      <c r="M64" s="160"/>
    </row>
    <row r="81" spans="219:223" x14ac:dyDescent="0.2">
      <c r="HK81" s="84"/>
      <c r="HL81" s="84"/>
      <c r="HO81" s="54" t="s">
        <v>132</v>
      </c>
    </row>
  </sheetData>
  <mergeCells count="7">
    <mergeCell ref="AC25:AD25"/>
    <mergeCell ref="C6:M6"/>
    <mergeCell ref="Q6:AC6"/>
    <mergeCell ref="C7:M7"/>
    <mergeCell ref="C8:M8"/>
    <mergeCell ref="W13:AB13"/>
    <mergeCell ref="AC24:AD24"/>
  </mergeCells>
  <printOptions horizontalCentered="1"/>
  <pageMargins left="0.75" right="0.75" top="1" bottom="1" header="0.5" footer="0.5"/>
  <pageSetup scale="37" orientation="landscape" horizontalDpi="300" verticalDpi="300" r:id="rId1"/>
  <headerFooter alignWithMargins="0">
    <oddHeader>&amp;R&amp;A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F365E-4667-4522-BBC2-32D9290872B4}">
  <dimension ref="A1:HO81"/>
  <sheetViews>
    <sheetView view="pageBreakPreview" zoomScale="60" zoomScaleNormal="60" workbookViewId="0"/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8" style="54" customWidth="1"/>
    <col min="4" max="4" width="3" style="54" customWidth="1"/>
    <col min="5" max="5" width="18" style="54" customWidth="1"/>
    <col min="6" max="6" width="3" style="54" customWidth="1"/>
    <col min="7" max="7" width="16.5703125" style="54" bestFit="1" customWidth="1"/>
    <col min="8" max="8" width="3" style="54" customWidth="1"/>
    <col min="9" max="9" width="18.5703125" style="54" customWidth="1"/>
    <col min="10" max="10" width="3" style="54" customWidth="1"/>
    <col min="11" max="11" width="18.5703125" style="54" customWidth="1"/>
    <col min="12" max="12" width="3" style="54" customWidth="1"/>
    <col min="13" max="13" width="17.5703125" style="54" customWidth="1"/>
    <col min="14" max="16" width="3" style="54" customWidth="1"/>
    <col min="17" max="17" width="50.42578125" style="54" bestFit="1" customWidth="1"/>
    <col min="18" max="18" width="3" style="54" customWidth="1"/>
    <col min="19" max="19" width="14.85546875" style="54" customWidth="1"/>
    <col min="20" max="20" width="2.7109375" style="54" customWidth="1"/>
    <col min="21" max="21" width="12.7109375" style="54" customWidth="1"/>
    <col min="22" max="22" width="2.85546875" style="54" customWidth="1"/>
    <col min="23" max="23" width="13.140625" style="54" customWidth="1"/>
    <col min="24" max="24" width="3.42578125" style="54" customWidth="1"/>
    <col min="25" max="25" width="11.140625" style="54" customWidth="1"/>
    <col min="26" max="26" width="2.42578125" style="54" bestFit="1" customWidth="1"/>
    <col min="27" max="27" width="11.5703125" style="54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16384" width="8.7109375" style="54"/>
  </cols>
  <sheetData>
    <row r="1" spans="1:29" ht="16.350000000000001" customHeight="1" x14ac:dyDescent="0.2">
      <c r="A1" s="147"/>
    </row>
    <row r="2" spans="1:29" ht="16.350000000000001" customHeight="1" x14ac:dyDescent="0.2">
      <c r="A2" s="147"/>
    </row>
    <row r="3" spans="1:29" ht="16.350000000000001" customHeight="1" x14ac:dyDescent="0.2">
      <c r="A3" s="147"/>
      <c r="C3" s="147"/>
      <c r="E3" s="147"/>
    </row>
    <row r="4" spans="1:29" ht="16.350000000000001" customHeight="1" thickBot="1" x14ac:dyDescent="0.25">
      <c r="A4" s="147"/>
      <c r="C4" s="147"/>
      <c r="E4" s="147"/>
    </row>
    <row r="5" spans="1:29" ht="15" x14ac:dyDescent="0.35">
      <c r="A5" s="148" t="s">
        <v>136</v>
      </c>
    </row>
    <row r="6" spans="1:29" ht="14.85" customHeight="1" thickBot="1" x14ac:dyDescent="0.25">
      <c r="A6" s="149" t="s">
        <v>182</v>
      </c>
      <c r="C6" s="194" t="s">
        <v>215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60" t="str">
        <f>C6</f>
        <v>Entergy Corp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2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141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53">
        <f>(26613505+1378090)*1000</f>
        <v>27991595000</v>
      </c>
      <c r="E12" s="153">
        <f>(23008839+2099057)*1000</f>
        <v>25107896000</v>
      </c>
      <c r="G12" s="153">
        <f>(23623512+2309037)*1000</f>
        <v>25932549000</v>
      </c>
      <c r="I12" s="153">
        <f>(24841572+1039329)*1000</f>
        <v>25880901000</v>
      </c>
      <c r="K12" s="153">
        <f>(21205761+1164015)*1000</f>
        <v>22369776000</v>
      </c>
      <c r="M12" s="153">
        <v>17873655000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ht="15" customHeight="1" x14ac:dyDescent="0.2">
      <c r="A13" s="54" t="s">
        <v>60</v>
      </c>
      <c r="B13" s="54" t="s">
        <v>61</v>
      </c>
      <c r="C13" s="151">
        <f>(219410+101076)*1000</f>
        <v>320486000</v>
      </c>
      <c r="E13" s="151">
        <f>(219410+120459)*1000</f>
        <v>339869000</v>
      </c>
      <c r="G13" s="151">
        <f>(219410+97907)*1000</f>
        <v>317317000</v>
      </c>
      <c r="I13" s="151">
        <f>219410000+68110</f>
        <v>219478110</v>
      </c>
      <c r="K13" s="151">
        <f>219410000+35000000</f>
        <v>254410000</v>
      </c>
      <c r="M13" s="151">
        <f>219410000+35000000</f>
        <v>254410000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151">
        <f>561950696-132370280</f>
        <v>429580416</v>
      </c>
      <c r="E15" s="151">
        <f>280975348-68126778</f>
        <v>212848570</v>
      </c>
      <c r="G15" s="151">
        <f>279653929-68477429</f>
        <v>211176500</v>
      </c>
      <c r="I15" s="151">
        <f>271965510-69312326</f>
        <v>202653184</v>
      </c>
      <c r="K15" s="151">
        <f>270035180-69790346</f>
        <v>200244834</v>
      </c>
      <c r="M15" s="151">
        <v>199726738</v>
      </c>
    </row>
    <row r="16" spans="1:29" x14ac:dyDescent="0.2">
      <c r="A16" s="54" t="s">
        <v>6</v>
      </c>
      <c r="B16" s="54" t="s">
        <v>67</v>
      </c>
      <c r="C16" s="153">
        <f>15083908*1000</f>
        <v>15083908000</v>
      </c>
      <c r="E16" s="153">
        <f>14622647*1000</f>
        <v>14622647000</v>
      </c>
      <c r="G16" s="153">
        <f>12966985*1000</f>
        <v>12966985000</v>
      </c>
      <c r="I16" s="153">
        <f>11637284*1000</f>
        <v>11637284000</v>
      </c>
      <c r="K16" s="153">
        <f>10926142*1000</f>
        <v>10926142000</v>
      </c>
      <c r="M16" s="153">
        <v>10223675000</v>
      </c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C17" s="54">
        <v>0</v>
      </c>
      <c r="E17" s="54">
        <v>0</v>
      </c>
      <c r="G17" s="54">
        <v>0</v>
      </c>
      <c r="I17" s="54">
        <v>0</v>
      </c>
      <c r="K17" s="54">
        <v>0</v>
      </c>
      <c r="M17" s="54">
        <v>0</v>
      </c>
      <c r="Q17" s="54" t="s">
        <v>70</v>
      </c>
      <c r="S17" s="69">
        <f>C50/1000000</f>
        <v>43395.989000000001</v>
      </c>
      <c r="U17" s="69">
        <f>E50/1000000</f>
        <v>40070.411999999997</v>
      </c>
      <c r="W17" s="69">
        <f>G50/1000000</f>
        <v>39216.851000000002</v>
      </c>
      <c r="Y17" s="69">
        <f>I50/1000000</f>
        <v>37737.663110000001</v>
      </c>
      <c r="AA17" s="69">
        <f>K50/1000000</f>
        <v>33550.328000000001</v>
      </c>
      <c r="AB17" s="69"/>
    </row>
    <row r="18" spans="1:30" x14ac:dyDescent="0.2">
      <c r="Q18" s="54" t="s">
        <v>71</v>
      </c>
      <c r="S18" s="70">
        <f>C19/1000000</f>
        <v>927.29100000000005</v>
      </c>
      <c r="U18" s="70">
        <f>E19/1000000</f>
        <v>1138.171</v>
      </c>
      <c r="W18" s="70">
        <f>G19/1000000</f>
        <v>827.62099999999998</v>
      </c>
      <c r="Y18" s="70">
        <f>I19/1000000</f>
        <v>1201.1769999999999</v>
      </c>
      <c r="AA18" s="70">
        <f>K19/1000000</f>
        <v>1627.489</v>
      </c>
      <c r="AB18" s="69"/>
    </row>
    <row r="19" spans="1:30" x14ac:dyDescent="0.2">
      <c r="A19" s="54" t="s">
        <v>72</v>
      </c>
      <c r="B19" s="54" t="s">
        <v>73</v>
      </c>
      <c r="C19" s="153">
        <f>927291*1000</f>
        <v>927291000</v>
      </c>
      <c r="E19" s="153">
        <f>1138171*1000</f>
        <v>1138171000</v>
      </c>
      <c r="G19" s="153">
        <f>827621*1000</f>
        <v>827621000</v>
      </c>
      <c r="I19" s="153">
        <f>1201177*1000</f>
        <v>1201177000</v>
      </c>
      <c r="K19" s="153">
        <f>1627489*1000</f>
        <v>1627489000</v>
      </c>
      <c r="M19" s="153">
        <v>1946727000</v>
      </c>
      <c r="Q19" s="54" t="s">
        <v>74</v>
      </c>
      <c r="S19" s="71">
        <f>SUM(S17:S18)</f>
        <v>44323.28</v>
      </c>
      <c r="U19" s="71">
        <f>SUM(U17:U18)</f>
        <v>41208.582999999999</v>
      </c>
      <c r="W19" s="71">
        <f>SUM(W17:W18)</f>
        <v>40044.472000000002</v>
      </c>
      <c r="Y19" s="71">
        <f>SUM(Y17:Y18)</f>
        <v>38938.840110000005</v>
      </c>
      <c r="AA19" s="71">
        <f>SUM(AA17:AA18)</f>
        <v>35177.817000000003</v>
      </c>
      <c r="AB19" s="69"/>
    </row>
    <row r="21" spans="1:30" x14ac:dyDescent="0.2">
      <c r="A21" s="54" t="s">
        <v>75</v>
      </c>
      <c r="B21" s="54" t="s">
        <v>76</v>
      </c>
      <c r="C21" s="65">
        <v>2.4700000000000002</v>
      </c>
      <c r="E21" s="65">
        <v>11.1</v>
      </c>
      <c r="G21" s="65">
        <v>5.37</v>
      </c>
      <c r="I21" s="65">
        <v>5.54</v>
      </c>
      <c r="K21" s="65">
        <v>6.9</v>
      </c>
      <c r="M21" s="65">
        <v>6.3</v>
      </c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54">
        <v>78.2</v>
      </c>
      <c r="E22" s="54">
        <v>112.5</v>
      </c>
      <c r="G22" s="54">
        <v>125.84</v>
      </c>
      <c r="I22" s="54">
        <v>114.83</v>
      </c>
      <c r="K22" s="54">
        <v>134.78</v>
      </c>
      <c r="M22" s="54">
        <v>121.56</v>
      </c>
      <c r="Q22" s="54" t="s">
        <v>80</v>
      </c>
      <c r="S22" s="72">
        <f>(ROUND((C30/(AVERAGE(C54,E54))*100),2))</f>
        <v>4.3600000000000003</v>
      </c>
      <c r="T22" s="73" t="s">
        <v>4</v>
      </c>
      <c r="U22" s="72">
        <f>(ROUND((E30/(AVERAGE(E54,G54))*100),2))</f>
        <v>3.95</v>
      </c>
      <c r="V22" s="73" t="s">
        <v>4</v>
      </c>
      <c r="W22" s="72">
        <f>(ROUND((G30/(AVERAGE(G54,I54))*100),2))</f>
        <v>3.49</v>
      </c>
      <c r="X22" s="73" t="s">
        <v>4</v>
      </c>
      <c r="Y22" s="72">
        <f>(ROUND((I30/(AVERAGE(I54,K54))*100),2))</f>
        <v>3.38</v>
      </c>
      <c r="Z22" s="73" t="s">
        <v>4</v>
      </c>
      <c r="AA22" s="72">
        <f>(ROUND((K30/(AVERAGE(K54,M54))*100),2))</f>
        <v>3.82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48.6</v>
      </c>
      <c r="E23" s="54">
        <v>88.87</v>
      </c>
      <c r="G23" s="54">
        <v>96.58</v>
      </c>
      <c r="I23" s="54">
        <v>86.81</v>
      </c>
      <c r="K23" s="54">
        <v>78.180000000000007</v>
      </c>
      <c r="M23" s="54">
        <v>84</v>
      </c>
      <c r="Q23" s="54" t="s">
        <v>82</v>
      </c>
      <c r="S23" s="154">
        <f>(ROUND((C36/(AVERAGE(C58,E58))*100),2))</f>
        <v>5.55</v>
      </c>
      <c r="T23" s="73"/>
      <c r="U23" s="154">
        <f>(ROUND((E36/(AVERAGE(E58,G58))*100),2))</f>
        <v>5.57</v>
      </c>
      <c r="V23" s="73"/>
      <c r="W23" s="154">
        <f>(ROUND((G36/(AVERAGE(G58,I58))*100),2))</f>
        <v>6.83</v>
      </c>
      <c r="X23" s="73"/>
      <c r="Y23" s="154">
        <f>(ROUND((I36/(AVERAGE(I58,K58))*100),2))</f>
        <v>7.73</v>
      </c>
      <c r="Z23" s="73"/>
      <c r="AA23" s="154">
        <f>(ROUND((K36/(AVERAGE(K58,M58))*100),2))</f>
        <v>7.2</v>
      </c>
      <c r="AB23" s="73"/>
    </row>
    <row r="24" spans="1:30" x14ac:dyDescent="0.2">
      <c r="AC24" s="194" t="s">
        <v>1</v>
      </c>
      <c r="AD24" s="194"/>
    </row>
    <row r="25" spans="1:30" x14ac:dyDescent="0.2"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66</v>
      </c>
      <c r="C26" s="54">
        <f>1.13*3+1.2</f>
        <v>4.59</v>
      </c>
      <c r="E26" s="54">
        <v>4.34</v>
      </c>
      <c r="G26" s="54">
        <v>4.0999999999999996</v>
      </c>
      <c r="I26" s="54">
        <v>3.86</v>
      </c>
      <c r="K26" s="54">
        <v>3.74</v>
      </c>
      <c r="M26" s="54">
        <v>3.66</v>
      </c>
      <c r="Q26" s="54" t="s">
        <v>85</v>
      </c>
    </row>
    <row r="27" spans="1:30" x14ac:dyDescent="0.2">
      <c r="Q27" s="54" t="s">
        <v>86</v>
      </c>
      <c r="S27" s="72">
        <f>ROUND(((C12/C50)*100),2)</f>
        <v>64.5</v>
      </c>
      <c r="T27" s="73" t="s">
        <v>4</v>
      </c>
      <c r="U27" s="72">
        <f>ROUND(((E12/E50)*100),2)</f>
        <v>62.66</v>
      </c>
      <c r="V27" s="73" t="s">
        <v>4</v>
      </c>
      <c r="W27" s="72">
        <f>ROUND(((G12/G50)*100),2)</f>
        <v>66.13</v>
      </c>
      <c r="X27" s="73" t="s">
        <v>4</v>
      </c>
      <c r="Y27" s="72">
        <f>ROUND(((I12/I50)*100),2)-0.01</f>
        <v>68.569999999999993</v>
      </c>
      <c r="Z27" s="73" t="s">
        <v>4</v>
      </c>
      <c r="AA27" s="72">
        <f>ROUND(((K12/K50)*100),2)</f>
        <v>66.680000000000007</v>
      </c>
      <c r="AB27" s="73" t="s">
        <v>4</v>
      </c>
      <c r="AC27" s="72">
        <f>ROUND(AVERAGE(S27:AB27),2)</f>
        <v>65.709999999999994</v>
      </c>
      <c r="AD27" s="73" t="s">
        <v>4</v>
      </c>
    </row>
    <row r="28" spans="1:30" x14ac:dyDescent="0.2">
      <c r="A28" s="54" t="s">
        <v>87</v>
      </c>
      <c r="B28" s="54" t="s">
        <v>87</v>
      </c>
      <c r="C28" s="151">
        <f>(52768+133046)*1000</f>
        <v>185814000</v>
      </c>
      <c r="E28" s="151">
        <f>(39758+98493)*1000</f>
        <v>138251000</v>
      </c>
      <c r="G28" s="151">
        <f>(27823+72832)*1000</f>
        <v>100655000</v>
      </c>
      <c r="I28" s="151">
        <f>(29018+70473)*1000</f>
        <v>99491000</v>
      </c>
      <c r="K28" s="151">
        <f>(52318+119430)*1000</f>
        <v>171748000</v>
      </c>
      <c r="M28" s="151">
        <f>64957000+144862000</f>
        <v>209819000</v>
      </c>
      <c r="Q28" s="54" t="s">
        <v>88</v>
      </c>
      <c r="S28" s="72">
        <f>ROUND(((SUM(C13,C17)/C50)*100),2)</f>
        <v>0.74</v>
      </c>
      <c r="T28" s="73"/>
      <c r="U28" s="72">
        <f>ROUND(((SUM(E13,E17)/E50)*100),2)</f>
        <v>0.85</v>
      </c>
      <c r="V28" s="73"/>
      <c r="W28" s="72">
        <f>ROUND(((SUM(G13,G17)/G50)*100),2)</f>
        <v>0.81</v>
      </c>
      <c r="X28" s="73"/>
      <c r="Y28" s="72">
        <f>ROUND(((SUM(I13,I17)/I50)*100),2)</f>
        <v>0.57999999999999996</v>
      </c>
      <c r="Z28" s="73"/>
      <c r="AA28" s="72">
        <f>ROUND(((SUM(K13,K17)/K50)*100),2)</f>
        <v>0.76</v>
      </c>
      <c r="AB28" s="73"/>
      <c r="AC28" s="72">
        <f>ROUND(AVERAGE(S28:AB28),2)</f>
        <v>0.75</v>
      </c>
      <c r="AD28" s="73"/>
    </row>
    <row r="29" spans="1:30" x14ac:dyDescent="0.2">
      <c r="Q29" s="54" t="s">
        <v>89</v>
      </c>
      <c r="S29" s="74">
        <f>ROUND(((C16/C50)*100),2)</f>
        <v>34.76</v>
      </c>
      <c r="T29" s="73"/>
      <c r="U29" s="74">
        <f>ROUND(((E16/E50)*100),2)</f>
        <v>36.49</v>
      </c>
      <c r="V29" s="73"/>
      <c r="W29" s="74">
        <f>ROUND(((G16/G50)*100),2)</f>
        <v>33.06</v>
      </c>
      <c r="X29" s="73"/>
      <c r="Y29" s="74">
        <f>ROUND(((I16/I50)*100),2)</f>
        <v>30.84</v>
      </c>
      <c r="Z29" s="73"/>
      <c r="AA29" s="74">
        <f>ROUND(((K16/K50)*100),2)</f>
        <v>32.57</v>
      </c>
      <c r="AB29" s="73"/>
      <c r="AC29" s="72">
        <f>ROUND(AVERAGE(S29:AB29),2)</f>
        <v>33.54</v>
      </c>
      <c r="AD29" s="73"/>
    </row>
    <row r="30" spans="1:30" x14ac:dyDescent="0.2">
      <c r="A30" s="54" t="s">
        <v>90</v>
      </c>
      <c r="B30" s="54" t="s">
        <v>91</v>
      </c>
      <c r="C30" s="151">
        <f>1203588*1000</f>
        <v>1203588000</v>
      </c>
      <c r="E30" s="151">
        <f>1046164*1000</f>
        <v>1046164000</v>
      </c>
      <c r="G30" s="151">
        <f>940060*1000</f>
        <v>940060000</v>
      </c>
      <c r="I30" s="151">
        <f>863712*1000</f>
        <v>863712000</v>
      </c>
      <c r="K30" s="151">
        <f>837981*1000</f>
        <v>837981000</v>
      </c>
      <c r="M30" s="151">
        <v>807382000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99.99</v>
      </c>
      <c r="Z30" s="73" t="s">
        <v>4</v>
      </c>
      <c r="AA30" s="75">
        <f>SUM(AA27:AA29)</f>
        <v>100.01000000000002</v>
      </c>
      <c r="AB30" s="73" t="s">
        <v>4</v>
      </c>
      <c r="AC30" s="75">
        <f>SUM(AC27:AC29)</f>
        <v>100</v>
      </c>
      <c r="AD30" s="73" t="s">
        <v>4</v>
      </c>
    </row>
    <row r="32" spans="1:30" x14ac:dyDescent="0.2">
      <c r="A32" s="54" t="s">
        <v>93</v>
      </c>
      <c r="B32" s="54" t="s">
        <v>94</v>
      </c>
      <c r="C32" s="153">
        <f>1061184*1000</f>
        <v>1061184000</v>
      </c>
      <c r="E32" s="153">
        <f>2362310*1000</f>
        <v>2362310000</v>
      </c>
      <c r="G32" s="153">
        <f>1097138*1000</f>
        <v>1097138000</v>
      </c>
      <c r="I32" s="153">
        <f>1118719*1000</f>
        <v>1118719000</v>
      </c>
      <c r="K32" s="153">
        <f>1406653*1000</f>
        <v>1406653000</v>
      </c>
      <c r="M32" s="153">
        <v>1258244000</v>
      </c>
      <c r="Q32" s="54" t="s">
        <v>95</v>
      </c>
    </row>
    <row r="33" spans="1:30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Q33" s="54" t="s">
        <v>96</v>
      </c>
      <c r="S33" s="72">
        <f>ROUND((((C12+C19)/C56)*100),2)</f>
        <v>65.25</v>
      </c>
      <c r="T33" s="73" t="s">
        <v>4</v>
      </c>
      <c r="U33" s="72">
        <f>ROUND((((E12+E19)/E56)*100),2)</f>
        <v>63.69</v>
      </c>
      <c r="V33" s="73" t="s">
        <v>4</v>
      </c>
      <c r="W33" s="72">
        <f>ROUND((((G12+G19)/G56)*100),2)</f>
        <v>66.83</v>
      </c>
      <c r="X33" s="73" t="s">
        <v>4</v>
      </c>
      <c r="Y33" s="72">
        <f>ROUND((((I12+I19)/I56)*100),2)</f>
        <v>69.55</v>
      </c>
      <c r="Z33" s="73" t="s">
        <v>4</v>
      </c>
      <c r="AA33" s="72">
        <f>ROUND((((K12+K19)/K56)*100),2)</f>
        <v>68.22</v>
      </c>
      <c r="AB33" s="73" t="s">
        <v>4</v>
      </c>
      <c r="AC33" s="72">
        <f>ROUND(AVERAGE(S33:AB33),2)</f>
        <v>66.709999999999994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3">
        <f>1055590*1000</f>
        <v>1055590000</v>
      </c>
      <c r="E34" s="153">
        <f>2356536*1000</f>
        <v>2356536000</v>
      </c>
      <c r="G34" s="153">
        <f>1103166*1000</f>
        <v>1103166000</v>
      </c>
      <c r="I34" s="153">
        <f>1118492*1000</f>
        <v>1118492000</v>
      </c>
      <c r="K34" s="153">
        <f>1388334*1000</f>
        <v>1388334000</v>
      </c>
      <c r="M34" s="161">
        <v>1241226000</v>
      </c>
      <c r="Q34" s="54" t="s">
        <v>88</v>
      </c>
      <c r="S34" s="72">
        <f>ROUND((((SUM(C13,C17))/C56)*100),2)</f>
        <v>0.72</v>
      </c>
      <c r="T34" s="73"/>
      <c r="U34" s="72">
        <f>ROUND((((SUM(E13,E17))/E56)*100),2)</f>
        <v>0.82</v>
      </c>
      <c r="V34" s="73"/>
      <c r="W34" s="72">
        <f>ROUND((((SUM(G13,G17))/G56)*100),2)</f>
        <v>0.79</v>
      </c>
      <c r="X34" s="73"/>
      <c r="Y34" s="72">
        <f>ROUND((((SUM(I13,I17))/I56)*100),2)</f>
        <v>0.56000000000000005</v>
      </c>
      <c r="Z34" s="73"/>
      <c r="AA34" s="72">
        <f>ROUND((((SUM(K13,K17))/K56)*100),2)</f>
        <v>0.72</v>
      </c>
      <c r="AB34" s="73"/>
      <c r="AC34" s="72">
        <f>ROUND(AVERAGE(S34:AB34),2)</f>
        <v>0.72</v>
      </c>
      <c r="AD34" s="73"/>
    </row>
    <row r="35" spans="1:30" x14ac:dyDescent="0.2">
      <c r="Q35" s="54" t="s">
        <v>89</v>
      </c>
      <c r="S35" s="74">
        <f>ROUND((((C16)/C56)*100),2)</f>
        <v>34.03</v>
      </c>
      <c r="T35" s="73"/>
      <c r="U35" s="74">
        <f>ROUND((((E16)/E56)*100),2)</f>
        <v>35.479999999999997</v>
      </c>
      <c r="V35" s="73"/>
      <c r="W35" s="74">
        <f>ROUND((((G16)/G56)*100),2)</f>
        <v>32.380000000000003</v>
      </c>
      <c r="X35" s="73"/>
      <c r="Y35" s="74">
        <f>ROUND((((I16)/I56)*100),2)</f>
        <v>29.89</v>
      </c>
      <c r="Z35" s="73"/>
      <c r="AA35" s="74">
        <f>ROUND((((K16)/K56)*100),2)</f>
        <v>31.06</v>
      </c>
      <c r="AB35" s="73"/>
      <c r="AC35" s="72">
        <f>ROUND(AVERAGE(S35:AB35),2)</f>
        <v>32.57</v>
      </c>
      <c r="AD35" s="73"/>
    </row>
    <row r="36" spans="1:30" x14ac:dyDescent="0.2">
      <c r="A36" s="54" t="s">
        <v>99</v>
      </c>
      <c r="B36" s="54" t="s">
        <v>100</v>
      </c>
      <c r="C36" s="151">
        <f>18319*1000</f>
        <v>18319000</v>
      </c>
      <c r="E36" s="151">
        <f>18319*1000</f>
        <v>18319000</v>
      </c>
      <c r="G36" s="151">
        <f>18319*1000</f>
        <v>18319000</v>
      </c>
      <c r="I36" s="151">
        <f>18319*1000</f>
        <v>18319000</v>
      </c>
      <c r="K36" s="151">
        <f>18319*1000</f>
        <v>18319000</v>
      </c>
      <c r="M36" s="151">
        <v>17018000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99.989999999999981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8" spans="1:30" x14ac:dyDescent="0.2">
      <c r="A38" s="54" t="s">
        <v>101</v>
      </c>
      <c r="B38" s="54" t="s">
        <v>102</v>
      </c>
      <c r="C38" s="153">
        <f>981659*1000</f>
        <v>981659000</v>
      </c>
      <c r="E38" s="153">
        <f>918193*1000</f>
        <v>918193000</v>
      </c>
      <c r="G38" s="153">
        <f>841677*1000</f>
        <v>841677000</v>
      </c>
      <c r="I38" s="153">
        <f>775122*1000</f>
        <v>775122000</v>
      </c>
      <c r="K38" s="153">
        <f>748342*1000</f>
        <v>748342000</v>
      </c>
      <c r="M38" s="153">
        <v>711573000</v>
      </c>
    </row>
    <row r="40" spans="1:30" x14ac:dyDescent="0.2">
      <c r="A40" s="54" t="s">
        <v>103</v>
      </c>
      <c r="B40" s="54" t="s">
        <v>104</v>
      </c>
      <c r="C40" s="153">
        <f>C32</f>
        <v>1061184000</v>
      </c>
      <c r="E40" s="153">
        <f>E32</f>
        <v>2362310000</v>
      </c>
      <c r="G40" s="153">
        <f>G32</f>
        <v>1097138000</v>
      </c>
      <c r="I40" s="153">
        <f>I32</f>
        <v>1118719000</v>
      </c>
      <c r="K40" s="153">
        <f>K32</f>
        <v>1406653000</v>
      </c>
      <c r="M40" s="153">
        <f>M32</f>
        <v>1258244000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5">
        <f>4488510*1000</f>
        <v>4488510000</v>
      </c>
      <c r="E41" s="65">
        <f>4294328*1000</f>
        <v>4294328000</v>
      </c>
      <c r="G41" s="65">
        <f>2585490*1000</f>
        <v>2585490000</v>
      </c>
      <c r="I41" s="65">
        <f>2300713*1000</f>
        <v>2300713000</v>
      </c>
      <c r="K41" s="65">
        <f>2689866*1000</f>
        <v>2689866000</v>
      </c>
      <c r="M41" s="65">
        <v>2816627000</v>
      </c>
      <c r="Q41" s="66"/>
      <c r="R41" s="66"/>
    </row>
    <row r="42" spans="1:30" x14ac:dyDescent="0.2">
      <c r="A42" s="54" t="s">
        <v>108</v>
      </c>
      <c r="B42" s="54" t="s">
        <v>109</v>
      </c>
      <c r="C42" s="65">
        <f>(3056+21898+111839+22893+45357+182578-19177)*1000</f>
        <v>368444000</v>
      </c>
      <c r="E42" s="65">
        <f>(101801-45166-135048+10122+18933+759361-210038)*1000</f>
        <v>499965000</v>
      </c>
      <c r="G42" s="65">
        <f>(-157267+6943-102013+4263+4113-393746-157235)*1000</f>
        <v>-794942000</v>
      </c>
      <c r="I42" s="65">
        <f>(-84629+18359+269797-21183-10640-466050-55883)*1000</f>
        <v>-350229000</v>
      </c>
      <c r="K42" s="65">
        <f>(-139296-27458+137457+207556+7662-49484-143451)*1000</f>
        <v>-7014000</v>
      </c>
      <c r="M42" s="65">
        <f>(-101227-28173-71898-20784+937+172146-3108)*1000</f>
        <v>-52107000</v>
      </c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153">
        <f>2013168*1000</f>
        <v>2013168000</v>
      </c>
      <c r="E43" s="153">
        <f>1845003*1000</f>
        <v>1845003000</v>
      </c>
      <c r="G43" s="153">
        <f>1761023*1000</f>
        <v>1761023000</v>
      </c>
      <c r="I43" s="153">
        <f>1684286*1000</f>
        <v>1684286000</v>
      </c>
      <c r="K43" s="153">
        <f>1613086*1000</f>
        <v>1613086000</v>
      </c>
      <c r="M43" s="153">
        <v>1480016000</v>
      </c>
      <c r="Q43" s="54" t="s">
        <v>113</v>
      </c>
      <c r="S43" s="72">
        <f>ROUND(C21/C52,4)*100</f>
        <v>3.9</v>
      </c>
      <c r="T43" s="73" t="s">
        <v>4</v>
      </c>
      <c r="U43" s="72">
        <f>ROUND(E21/E52,4)*100</f>
        <v>11.020000000000001</v>
      </c>
      <c r="V43" s="73" t="s">
        <v>4</v>
      </c>
      <c r="W43" s="72">
        <f>ROUND(G21/G52,4)*100</f>
        <v>4.83</v>
      </c>
      <c r="X43" s="73" t="s">
        <v>4</v>
      </c>
      <c r="Y43" s="72">
        <f>ROUND(I21/I52,4)*100</f>
        <v>5.4899999999999993</v>
      </c>
      <c r="Z43" s="73" t="s">
        <v>4</v>
      </c>
      <c r="AA43" s="72">
        <f>ROUND(K21/K52,4)*100</f>
        <v>6.4799999999999995</v>
      </c>
      <c r="AB43" s="73" t="s">
        <v>4</v>
      </c>
      <c r="AC43" s="72">
        <f>ROUND(AVERAGE(S43:AB43),2)</f>
        <v>6.34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161">
        <f>381027*1000</f>
        <v>381027000</v>
      </c>
      <c r="E44" s="161">
        <f>-690535*1000</f>
        <v>-690535000</v>
      </c>
      <c r="G44" s="161">
        <f>-38978*1000</f>
        <v>-38978000</v>
      </c>
      <c r="I44" s="161">
        <f>191374*1000</f>
        <v>191374000</v>
      </c>
      <c r="K44" s="161">
        <f>-121506*1000</f>
        <v>-121506000</v>
      </c>
      <c r="M44" s="161">
        <v>-169825000</v>
      </c>
      <c r="Q44" s="54" t="s">
        <v>116</v>
      </c>
      <c r="S44" s="72">
        <f>(ROUND((C52/(AVERAGE(C48,E48))*100),2))</f>
        <v>122.14</v>
      </c>
      <c r="U44" s="72">
        <f>(ROUND((E52/(AVERAGE(E48,G48))*100),2))</f>
        <v>154.78</v>
      </c>
      <c r="W44" s="72">
        <f>(ROUND((G52/(AVERAGE(G48,I48))*100),2))</f>
        <v>187.18</v>
      </c>
      <c r="Y44" s="72">
        <f>(ROUND((I52/(AVERAGE(I48,K48))*100),2))</f>
        <v>180.05</v>
      </c>
      <c r="AA44" s="72">
        <f>(ROUND((K52/(AVERAGE(K48,M48))*100),2))</f>
        <v>201.38</v>
      </c>
      <c r="AC44" s="72">
        <f>ROUND(AVERAGE(S44:AB44),2)</f>
        <v>169.11</v>
      </c>
    </row>
    <row r="45" spans="1:30" x14ac:dyDescent="0.2">
      <c r="Q45" s="54" t="s">
        <v>117</v>
      </c>
      <c r="S45" s="72">
        <f>ROUND(((+C26/C52)*100),2)</f>
        <v>7.24</v>
      </c>
      <c r="U45" s="72">
        <f>ROUND(((+E26/E52)*100),2)</f>
        <v>4.3099999999999996</v>
      </c>
      <c r="W45" s="72">
        <f>ROUND(((+G26/G52)*100),2)</f>
        <v>3.69</v>
      </c>
      <c r="Y45" s="72">
        <f>ROUND(((+I26/I52)*100),2)</f>
        <v>3.83</v>
      </c>
      <c r="AA45" s="72">
        <f>ROUND(((+K26/K52)*100),2)</f>
        <v>3.51</v>
      </c>
      <c r="AC45" s="72">
        <f>ROUND(AVERAGE(S45:AB45),2)</f>
        <v>4.5199999999999996</v>
      </c>
    </row>
    <row r="46" spans="1:30" x14ac:dyDescent="0.2">
      <c r="A46" s="54" t="s">
        <v>118</v>
      </c>
      <c r="Q46" s="54" t="s">
        <v>119</v>
      </c>
      <c r="S46" s="72">
        <f>ROUND(((+C38/C34)*100),2)</f>
        <v>93</v>
      </c>
      <c r="U46" s="72">
        <f>ROUND(((+E38/E34)*100),2)</f>
        <v>38.96</v>
      </c>
      <c r="W46" s="72">
        <f>ROUND(((+G38/G34)*100),2)</f>
        <v>76.3</v>
      </c>
      <c r="Y46" s="72">
        <f>ROUND(((+I38/I34)*100),2)</f>
        <v>69.3</v>
      </c>
      <c r="AA46" s="72">
        <f>ROUND(((+K38/K34)*100),2)</f>
        <v>53.9</v>
      </c>
      <c r="AC46" s="72">
        <f>ROUND(AVERAGE(S46:AB46),2)</f>
        <v>66.290000000000006</v>
      </c>
    </row>
    <row r="47" spans="1:30" x14ac:dyDescent="0.2"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35.11311837828287</v>
      </c>
      <c r="E48" s="65">
        <f>E16/E15</f>
        <v>68.699766223470519</v>
      </c>
      <c r="G48" s="65">
        <f>G16/G15</f>
        <v>61.403541587250473</v>
      </c>
      <c r="I48" s="65">
        <f>I16/I15</f>
        <v>57.424629459559839</v>
      </c>
      <c r="K48" s="65">
        <f>K16/K15</f>
        <v>54.563914492795355</v>
      </c>
      <c r="L48" s="65"/>
      <c r="M48" s="65">
        <f>M16/M15</f>
        <v>51.188314105445414</v>
      </c>
      <c r="Q48" s="66" t="s">
        <v>122</v>
      </c>
      <c r="R48" s="66"/>
      <c r="S48" s="72">
        <f>ROUND(((C34/AVERAGE(C16,E16))*100),2)</f>
        <v>7.11</v>
      </c>
      <c r="T48" s="54" t="s">
        <v>4</v>
      </c>
      <c r="U48" s="72">
        <f>ROUND(((E34/AVERAGE(E16,G16))*100),2)</f>
        <v>17.079999999999998</v>
      </c>
      <c r="V48" s="54" t="s">
        <v>4</v>
      </c>
      <c r="W48" s="72">
        <f>ROUND(((G34/AVERAGE(G16,I16))*100),2)</f>
        <v>8.9700000000000006</v>
      </c>
      <c r="X48" s="54" t="s">
        <v>4</v>
      </c>
      <c r="Y48" s="72">
        <f>ROUND(((I34/AVERAGE(I16,K16))*100),2)</f>
        <v>9.91</v>
      </c>
      <c r="Z48" s="54" t="s">
        <v>4</v>
      </c>
      <c r="AA48" s="72">
        <f>ROUND(((K34/AVERAGE(K16,M16))*100),2)</f>
        <v>13.13</v>
      </c>
      <c r="AB48" s="54" t="s">
        <v>4</v>
      </c>
      <c r="AC48" s="72">
        <f>ROUND(AVERAGE(S48:AB48),2)</f>
        <v>11.24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L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43395989000</v>
      </c>
      <c r="E50" s="65">
        <f>SUM(E12:E13,E16:E17)</f>
        <v>40070412000</v>
      </c>
      <c r="G50" s="65">
        <f>SUM(G12:G13,G16:G17)</f>
        <v>39216851000</v>
      </c>
      <c r="I50" s="65">
        <f>SUM(I12:I13,I16:I17)</f>
        <v>37737663110</v>
      </c>
      <c r="K50" s="65">
        <f>SUM(K12:K13,K16:K17)</f>
        <v>33550328000</v>
      </c>
      <c r="L50" s="65"/>
      <c r="M50" s="65">
        <f>SUM(M12:M13,M16:M17)</f>
        <v>28351740000</v>
      </c>
      <c r="Q50" s="66" t="s">
        <v>124</v>
      </c>
      <c r="R50" s="66"/>
      <c r="S50" s="72">
        <f>ROUND((C54/C62),2)</f>
        <v>6.21</v>
      </c>
      <c r="T50" s="73" t="s">
        <v>125</v>
      </c>
      <c r="U50" s="72">
        <f>ROUND((E54/E62),2)</f>
        <v>5.76</v>
      </c>
      <c r="V50" s="73" t="s">
        <v>125</v>
      </c>
      <c r="W50" s="72">
        <f>ROUND((G54/G62),2)</f>
        <v>7.11</v>
      </c>
      <c r="X50" s="73" t="s">
        <v>125</v>
      </c>
      <c r="Y50" s="72">
        <f>ROUND((I54/I62),2)</f>
        <v>7.02</v>
      </c>
      <c r="Z50" s="73" t="s">
        <v>125</v>
      </c>
      <c r="AA50" s="72">
        <f>ROUND((K54/K62),2)</f>
        <v>6.45</v>
      </c>
      <c r="AB50" s="73" t="s">
        <v>125</v>
      </c>
      <c r="AC50" s="72">
        <f>ROUND(AVERAGE(S50:AB50),2)</f>
        <v>6.51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L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63.400000000000006</v>
      </c>
      <c r="E52" s="65">
        <f>AVERAGE(E22:E23)</f>
        <v>100.685</v>
      </c>
      <c r="G52" s="65">
        <f>AVERAGE(G22:G23)</f>
        <v>111.21000000000001</v>
      </c>
      <c r="I52" s="65">
        <f>AVERAGE(I22:I23)</f>
        <v>100.82</v>
      </c>
      <c r="K52" s="65">
        <f>AVERAGE(K22:K23)</f>
        <v>106.48</v>
      </c>
      <c r="L52" s="65"/>
      <c r="M52" s="65">
        <f>AVERAGE(M22:M23)</f>
        <v>102.78</v>
      </c>
      <c r="Q52" s="66" t="s">
        <v>127</v>
      </c>
      <c r="R52" s="66"/>
      <c r="S52" s="72">
        <f>ROUND(((C60/C54)*100),2)</f>
        <v>16.149999999999999</v>
      </c>
      <c r="T52" s="73" t="s">
        <v>4</v>
      </c>
      <c r="U52" s="72">
        <f>ROUND(((E60/E54)*100),2)</f>
        <v>17.739999999999998</v>
      </c>
      <c r="V52" s="73" t="s">
        <v>4</v>
      </c>
      <c r="W52" s="72">
        <f>ROUND(((G60/G54)*100),2)</f>
        <v>6.31</v>
      </c>
      <c r="X52" s="73" t="s">
        <v>4</v>
      </c>
      <c r="Y52" s="72">
        <f>ROUND(((I60/I54)*100),2)</f>
        <v>6.83</v>
      </c>
      <c r="Z52" s="73" t="s">
        <v>4</v>
      </c>
      <c r="AA52" s="72">
        <f>ROUND(((K60/K54)*100),2)</f>
        <v>10.46</v>
      </c>
      <c r="AB52" s="73" t="s">
        <v>4</v>
      </c>
      <c r="AC52" s="72">
        <f>ROUND(AVERAGE(S52:AB52),2)</f>
        <v>11.5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L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B54" s="54" t="s">
        <v>121</v>
      </c>
      <c r="C54" s="65">
        <f>+C19+C12</f>
        <v>28918886000</v>
      </c>
      <c r="E54" s="65">
        <f>+E19+E12</f>
        <v>26246067000</v>
      </c>
      <c r="G54" s="65">
        <f>+G19+G12</f>
        <v>26760170000</v>
      </c>
      <c r="I54" s="65">
        <f>+I19+I12</f>
        <v>27082078000</v>
      </c>
      <c r="K54" s="65">
        <f>+K19+K12</f>
        <v>23997265000</v>
      </c>
      <c r="L54" s="81"/>
      <c r="M54" s="65">
        <f>+M19+M12</f>
        <v>19820382000</v>
      </c>
      <c r="Q54" s="79" t="s">
        <v>128</v>
      </c>
      <c r="R54" s="79"/>
      <c r="S54" s="72">
        <f>S33</f>
        <v>65.25</v>
      </c>
      <c r="T54" s="73" t="s">
        <v>4</v>
      </c>
      <c r="U54" s="72">
        <f>U33</f>
        <v>63.69</v>
      </c>
      <c r="V54" s="73" t="s">
        <v>4</v>
      </c>
      <c r="W54" s="72">
        <f>W33</f>
        <v>66.83</v>
      </c>
      <c r="X54" s="73" t="s">
        <v>4</v>
      </c>
      <c r="Y54" s="72">
        <f>Y33</f>
        <v>69.55</v>
      </c>
      <c r="Z54" s="73" t="s">
        <v>4</v>
      </c>
      <c r="AA54" s="72">
        <f>AA33</f>
        <v>68.22</v>
      </c>
      <c r="AB54" s="73" t="s">
        <v>4</v>
      </c>
      <c r="AC54" s="72">
        <f>ROUND(AVERAGE(S54:AB54),2)</f>
        <v>66.709999999999994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L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44323280000</v>
      </c>
      <c r="E56" s="65">
        <f>SUM(E50,E19)</f>
        <v>41208583000</v>
      </c>
      <c r="G56" s="65">
        <f>SUM(G50,G19)</f>
        <v>40044472000</v>
      </c>
      <c r="I56" s="65">
        <f>SUM(I50,I19)</f>
        <v>38938840110</v>
      </c>
      <c r="K56" s="65">
        <f>SUM(K50,K19)</f>
        <v>35177817000</v>
      </c>
      <c r="L56" s="65"/>
      <c r="M56" s="65">
        <f>SUM(M50,M19)</f>
        <v>30298467000</v>
      </c>
    </row>
    <row r="57" spans="1:30" x14ac:dyDescent="0.2">
      <c r="C57" s="65"/>
      <c r="E57" s="65"/>
      <c r="G57" s="65"/>
      <c r="I57" s="65"/>
      <c r="K57" s="65"/>
      <c r="L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320486000</v>
      </c>
      <c r="E58" s="65">
        <f>SUM(E13,E17)</f>
        <v>339869000</v>
      </c>
      <c r="G58" s="65">
        <f>SUM(G13,G17)</f>
        <v>317317000</v>
      </c>
      <c r="I58" s="65">
        <f>SUM(I13,I17)</f>
        <v>219478110</v>
      </c>
      <c r="K58" s="65">
        <f>SUM(K13,K17)</f>
        <v>254410000</v>
      </c>
      <c r="L58" s="65"/>
      <c r="M58" s="65">
        <f>SUM(M13,M17)</f>
        <v>254410000</v>
      </c>
    </row>
    <row r="59" spans="1:30" x14ac:dyDescent="0.2">
      <c r="C59" s="65"/>
      <c r="E59" s="65"/>
      <c r="G59" s="65"/>
      <c r="I59" s="65"/>
      <c r="K59" s="65"/>
      <c r="L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4671140000</v>
      </c>
      <c r="E60" s="65">
        <f>ROUND(E41+E42-E28,3)</f>
        <v>4656042000</v>
      </c>
      <c r="G60" s="65">
        <f>ROUND(G41+G42-G28,3)</f>
        <v>1689893000</v>
      </c>
      <c r="I60" s="65">
        <f>ROUND(I41+I42-I28,3)</f>
        <v>1850993000</v>
      </c>
      <c r="K60" s="65">
        <f>ROUND(K41+K42-K28,3)</f>
        <v>2511104000</v>
      </c>
      <c r="L60" s="65"/>
      <c r="M60" s="65">
        <f>ROUND(M41+M42-M28,3)</f>
        <v>2554701000</v>
      </c>
    </row>
    <row r="61" spans="1:30" x14ac:dyDescent="0.2">
      <c r="A61" s="82"/>
      <c r="L61" s="65"/>
    </row>
    <row r="62" spans="1:30" x14ac:dyDescent="0.2">
      <c r="A62" s="54" t="s">
        <v>131</v>
      </c>
      <c r="B62" s="54" t="s">
        <v>121</v>
      </c>
      <c r="C62" s="65">
        <f>C44+C43+C34+C30</f>
        <v>4653373000</v>
      </c>
      <c r="E62" s="65">
        <f>E44+E43+E34+E30</f>
        <v>4557168000</v>
      </c>
      <c r="G62" s="65">
        <f>G44+G43+G34+G30</f>
        <v>3765271000</v>
      </c>
      <c r="I62" s="65">
        <f>I44+I43+I34+I30</f>
        <v>3857864000</v>
      </c>
      <c r="K62" s="65">
        <f>K44+K43+K34+K30</f>
        <v>3717895000</v>
      </c>
      <c r="L62" s="65"/>
      <c r="M62" s="65">
        <f>M44+M43+M34+M30</f>
        <v>3358799000</v>
      </c>
    </row>
    <row r="81" spans="219:223" x14ac:dyDescent="0.2">
      <c r="HK81" s="84"/>
      <c r="HL81" s="84"/>
      <c r="HO81" s="54" t="s">
        <v>132</v>
      </c>
    </row>
  </sheetData>
  <mergeCells count="6">
    <mergeCell ref="AC25:AD25"/>
    <mergeCell ref="C6:M6"/>
    <mergeCell ref="C7:M7"/>
    <mergeCell ref="C8:M8"/>
    <mergeCell ref="W13:AB13"/>
    <mergeCell ref="AC24:AD24"/>
  </mergeCells>
  <pageMargins left="0.7" right="0.7" top="0.75" bottom="0.75" header="0.3" footer="0.3"/>
  <pageSetup scale="26" orientation="portrait" r:id="rId1"/>
  <headerFooter>
    <oddHeader>&amp;R&amp;A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D471-640A-4B51-97E2-877EEA7C5489}">
  <dimension ref="A1:HO81"/>
  <sheetViews>
    <sheetView view="pageBreakPreview" zoomScale="60" zoomScaleNormal="60" workbookViewId="0"/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8" style="54" customWidth="1"/>
    <col min="4" max="4" width="2" style="54" customWidth="1"/>
    <col min="5" max="5" width="18" style="54" customWidth="1"/>
    <col min="6" max="6" width="2" style="54" customWidth="1"/>
    <col min="7" max="7" width="17" style="54" bestFit="1" customWidth="1"/>
    <col min="8" max="8" width="2" style="54" customWidth="1"/>
    <col min="9" max="9" width="17.85546875" style="54" customWidth="1"/>
    <col min="10" max="10" width="1.85546875" style="54" customWidth="1"/>
    <col min="11" max="11" width="17.85546875" style="54" customWidth="1"/>
    <col min="12" max="12" width="1.85546875" style="54" customWidth="1"/>
    <col min="13" max="13" width="17.5703125" style="54" customWidth="1"/>
    <col min="14" max="16" width="3" style="54" customWidth="1"/>
    <col min="17" max="17" width="50.42578125" style="54" bestFit="1" customWidth="1"/>
    <col min="18" max="18" width="3" style="54" customWidth="1"/>
    <col min="19" max="19" width="14.7109375" style="54" customWidth="1"/>
    <col min="20" max="20" width="3.5703125" style="54" customWidth="1"/>
    <col min="21" max="21" width="12.7109375" style="54" customWidth="1"/>
    <col min="22" max="22" width="4" style="54" customWidth="1"/>
    <col min="23" max="23" width="13.140625" style="54" customWidth="1"/>
    <col min="24" max="24" width="3.42578125" style="54" customWidth="1"/>
    <col min="25" max="25" width="13.140625" style="54" customWidth="1"/>
    <col min="26" max="26" width="2.42578125" style="54" bestFit="1" customWidth="1"/>
    <col min="27" max="27" width="13.140625" style="54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16384" width="8.7109375" style="54"/>
  </cols>
  <sheetData>
    <row r="1" spans="1:29" ht="16.350000000000001" customHeight="1" x14ac:dyDescent="0.2">
      <c r="A1" s="147"/>
    </row>
    <row r="2" spans="1:29" ht="16.350000000000001" customHeight="1" x14ac:dyDescent="0.2">
      <c r="A2" s="147"/>
    </row>
    <row r="3" spans="1:29" ht="16.350000000000001" customHeight="1" x14ac:dyDescent="0.2">
      <c r="A3" s="147"/>
      <c r="C3" s="147"/>
      <c r="E3" s="147"/>
    </row>
    <row r="4" spans="1:29" ht="16.350000000000001" customHeight="1" thickBot="1" x14ac:dyDescent="0.25">
      <c r="A4" s="147"/>
      <c r="C4" s="147"/>
      <c r="E4" s="147"/>
    </row>
    <row r="5" spans="1:29" ht="15" x14ac:dyDescent="0.35">
      <c r="A5" s="148" t="s">
        <v>136</v>
      </c>
    </row>
    <row r="6" spans="1:29" ht="14.85" customHeight="1" thickBot="1" x14ac:dyDescent="0.25">
      <c r="A6" s="149" t="s">
        <v>188</v>
      </c>
      <c r="C6" s="194" t="s">
        <v>216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196" t="str">
        <f>C6</f>
        <v>Evergy, Inc.</v>
      </c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4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141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53">
        <f>(11809.2+651.7)*1000000</f>
        <v>12460900000.000002</v>
      </c>
      <c r="E12" s="153">
        <f>(11053.3+800)*1000000</f>
        <v>11853300000</v>
      </c>
      <c r="G12" s="153">
        <f>(9905.7+439.1)*1000000</f>
        <v>10344800000.000002</v>
      </c>
      <c r="I12" s="153">
        <f>(9297.9+389.3)*1000000</f>
        <v>9687199999.9999981</v>
      </c>
      <c r="K12" s="153">
        <v>9646100000</v>
      </c>
      <c r="M12" s="153">
        <v>9199700000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ht="15" customHeight="1" x14ac:dyDescent="0.2">
      <c r="A13" s="54" t="s">
        <v>60</v>
      </c>
      <c r="B13" s="54" t="s">
        <v>61</v>
      </c>
      <c r="C13" s="54">
        <v>0</v>
      </c>
      <c r="E13" s="54">
        <v>0</v>
      </c>
      <c r="G13" s="54">
        <v>0</v>
      </c>
      <c r="I13" s="54">
        <v>0</v>
      </c>
      <c r="K13" s="54">
        <v>0</v>
      </c>
      <c r="M13" s="54">
        <v>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152">
        <v>229983615</v>
      </c>
      <c r="E15" s="152">
        <v>229729296</v>
      </c>
      <c r="G15" s="64">
        <v>229546105</v>
      </c>
      <c r="I15" s="64">
        <v>229299900</v>
      </c>
      <c r="K15" s="64">
        <v>226836670</v>
      </c>
      <c r="M15" s="64">
        <v>226641443</v>
      </c>
    </row>
    <row r="16" spans="1:29" x14ac:dyDescent="0.2">
      <c r="A16" s="54" t="s">
        <v>6</v>
      </c>
      <c r="B16" s="54" t="s">
        <v>67</v>
      </c>
      <c r="C16" s="153">
        <f>9955*1000000</f>
        <v>9955000000</v>
      </c>
      <c r="E16" s="153">
        <f>9663.1*1000000</f>
        <v>9663100000</v>
      </c>
      <c r="G16" s="153">
        <f>9483.7*1000000</f>
        <v>9483700000</v>
      </c>
      <c r="I16" s="153">
        <f>9244.4*1000000</f>
        <v>9244400000</v>
      </c>
      <c r="K16" s="153">
        <v>8733400000</v>
      </c>
      <c r="M16" s="153">
        <v>8571900000</v>
      </c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Q17" s="54" t="s">
        <v>70</v>
      </c>
      <c r="S17" s="69">
        <f>C50/1000000</f>
        <v>22415.9</v>
      </c>
      <c r="U17" s="69">
        <f>E50/1000000</f>
        <v>21516.400000000001</v>
      </c>
      <c r="W17" s="69">
        <f>G50/1000000</f>
        <v>19828.5</v>
      </c>
      <c r="Y17" s="69">
        <f>I50/1000000</f>
        <v>18931.599999999999</v>
      </c>
      <c r="AA17" s="69">
        <f>K50/1000000</f>
        <v>18379.5</v>
      </c>
    </row>
    <row r="18" spans="1:30" x14ac:dyDescent="0.2">
      <c r="Q18" s="54" t="s">
        <v>71</v>
      </c>
      <c r="S18" s="70">
        <f>C19/1000000</f>
        <v>1207.5999999999999</v>
      </c>
      <c r="U18" s="70">
        <f>E19/1000000</f>
        <v>951.8</v>
      </c>
      <c r="W18" s="70">
        <f>G19/1000000</f>
        <v>1332.3</v>
      </c>
      <c r="Y18" s="70">
        <f>I19/1000000</f>
        <v>1159.3</v>
      </c>
      <c r="AA18" s="70">
        <f>K19/1000000</f>
        <v>315</v>
      </c>
    </row>
    <row r="19" spans="1:30" x14ac:dyDescent="0.2">
      <c r="A19" s="54" t="s">
        <v>72</v>
      </c>
      <c r="B19" s="54" t="s">
        <v>73</v>
      </c>
      <c r="C19" s="153">
        <f>1207.6*1000000</f>
        <v>1207600000</v>
      </c>
      <c r="E19" s="153">
        <f>951.8*1000000</f>
        <v>951800000</v>
      </c>
      <c r="G19" s="153">
        <f>1332.3*1000000</f>
        <v>1332300000</v>
      </c>
      <c r="I19" s="153">
        <v>1159300000</v>
      </c>
      <c r="K19" s="153">
        <v>315000000</v>
      </c>
      <c r="M19" s="153">
        <v>900900000</v>
      </c>
      <c r="Q19" s="54" t="s">
        <v>74</v>
      </c>
      <c r="S19" s="71">
        <f>SUM(S17:S18)</f>
        <v>23623.5</v>
      </c>
      <c r="U19" s="71">
        <f>SUM(U17:U18)</f>
        <v>22468.2</v>
      </c>
      <c r="W19" s="71">
        <f>SUM(W17:W18)</f>
        <v>21160.799999999999</v>
      </c>
      <c r="Y19" s="71">
        <f>SUM(Y17:Y18)</f>
        <v>20090.899999999998</v>
      </c>
      <c r="AA19" s="71">
        <f>SUM(AA17:AA18)</f>
        <v>18694.5</v>
      </c>
    </row>
    <row r="21" spans="1:30" x14ac:dyDescent="0.2">
      <c r="A21" s="54" t="s">
        <v>75</v>
      </c>
      <c r="B21" s="54" t="s">
        <v>76</v>
      </c>
      <c r="C21" s="147">
        <v>3.79</v>
      </c>
      <c r="E21" s="147">
        <v>3.17</v>
      </c>
      <c r="G21" s="65">
        <v>3.27</v>
      </c>
      <c r="I21" s="65">
        <v>3.83</v>
      </c>
      <c r="K21" s="65">
        <v>2.72</v>
      </c>
      <c r="M21" s="65">
        <v>2.79</v>
      </c>
      <c r="Q21" s="66" t="s">
        <v>77</v>
      </c>
      <c r="R21" s="66"/>
      <c r="T21" s="66"/>
      <c r="V21" s="66"/>
      <c r="X21" s="66"/>
      <c r="Z21" s="66"/>
      <c r="AB21" s="66"/>
    </row>
    <row r="22" spans="1:30" x14ac:dyDescent="0.2">
      <c r="A22" s="54" t="s">
        <v>78</v>
      </c>
      <c r="B22" s="54" t="s">
        <v>79</v>
      </c>
      <c r="C22" s="54">
        <v>65</v>
      </c>
      <c r="E22" s="54">
        <v>64.78</v>
      </c>
      <c r="G22" s="54">
        <v>72.62</v>
      </c>
      <c r="I22" s="54">
        <v>69.260000000000005</v>
      </c>
      <c r="K22" s="54">
        <v>73.91</v>
      </c>
      <c r="M22" s="54">
        <v>67.31</v>
      </c>
      <c r="Q22" s="54" t="s">
        <v>80</v>
      </c>
      <c r="S22" s="72">
        <f>(ROUND((C30/(AVERAGE(C54,E54))*100),2))</f>
        <v>4.25</v>
      </c>
      <c r="T22" s="73" t="s">
        <v>4</v>
      </c>
      <c r="U22" s="72">
        <f>(ROUND((E30/(AVERAGE(E54,G54))*100),2))</f>
        <v>4.3</v>
      </c>
      <c r="V22" s="73" t="s">
        <v>4</v>
      </c>
      <c r="W22" s="72">
        <f>(ROUND((G30/(AVERAGE(G54,I54))*100),2))</f>
        <v>3.59</v>
      </c>
      <c r="X22" s="73" t="s">
        <v>4</v>
      </c>
      <c r="Y22" s="72">
        <f>(ROUND((I30/(AVERAGE(I54,K54))*100),2))</f>
        <v>3.58</v>
      </c>
      <c r="Z22" s="73" t="s">
        <v>4</v>
      </c>
      <c r="AA22" s="72">
        <f>(ROUND((K30/(AVERAGE(K54,M54))*100),2))</f>
        <v>3.83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48.62</v>
      </c>
      <c r="E23" s="54">
        <v>48.05</v>
      </c>
      <c r="G23" s="54">
        <v>55.11</v>
      </c>
      <c r="I23" s="54">
        <v>52.41</v>
      </c>
      <c r="K23" s="54">
        <v>44.92</v>
      </c>
      <c r="M23" s="54">
        <v>54.84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AC24" s="194" t="s">
        <v>1</v>
      </c>
      <c r="AD24" s="194"/>
    </row>
    <row r="25" spans="1:30" x14ac:dyDescent="0.2"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66</v>
      </c>
      <c r="C26" s="54">
        <v>2.5950000000000002</v>
      </c>
      <c r="E26" s="54">
        <v>2.48</v>
      </c>
      <c r="G26" s="54">
        <v>2.33</v>
      </c>
      <c r="I26" s="54">
        <v>2.1779999999999999</v>
      </c>
      <c r="K26" s="54">
        <v>2.0499999999999998</v>
      </c>
      <c r="M26" s="54">
        <v>1.93</v>
      </c>
      <c r="Q26" s="54" t="s">
        <v>85</v>
      </c>
    </row>
    <row r="27" spans="1:30" x14ac:dyDescent="0.2">
      <c r="Q27" s="54" t="s">
        <v>86</v>
      </c>
      <c r="S27" s="72">
        <f>ROUND(((C12/C50)*100),2)</f>
        <v>55.59</v>
      </c>
      <c r="T27" s="73" t="s">
        <v>4</v>
      </c>
      <c r="U27" s="72">
        <f>ROUND(((E12/E50)*100),2)</f>
        <v>55.09</v>
      </c>
      <c r="V27" s="73" t="s">
        <v>4</v>
      </c>
      <c r="W27" s="72">
        <f>ROUND(((G12/G50)*100),2)</f>
        <v>52.17</v>
      </c>
      <c r="X27" s="73" t="s">
        <v>4</v>
      </c>
      <c r="Y27" s="72">
        <f>ROUND(((I12/I50)*100),2)</f>
        <v>51.17</v>
      </c>
      <c r="Z27" s="73" t="s">
        <v>4</v>
      </c>
      <c r="AA27" s="72">
        <f>ROUND(((K12/K50)*100),2)</f>
        <v>52.48</v>
      </c>
      <c r="AB27" s="73" t="s">
        <v>4</v>
      </c>
      <c r="AC27" s="72">
        <f>ROUND(AVERAGE(S27:AB27),2)</f>
        <v>53.3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5">
        <f>(61.4)*1000000</f>
        <v>61400000</v>
      </c>
      <c r="E28" s="65">
        <f>(50.1)*1000000</f>
        <v>50100000</v>
      </c>
      <c r="G28" s="65">
        <f>(38.3)*1000000</f>
        <v>38300000</v>
      </c>
      <c r="I28" s="65">
        <v>44100000</v>
      </c>
      <c r="K28" s="65">
        <v>33700000</v>
      </c>
      <c r="M28" s="65">
        <v>17000000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M29" s="54">
        <v>2.2000000000000002</v>
      </c>
      <c r="Q29" s="54" t="s">
        <v>89</v>
      </c>
      <c r="S29" s="74">
        <f>ROUND(((C16/C50)*100),2)</f>
        <v>44.41</v>
      </c>
      <c r="T29" s="73"/>
      <c r="U29" s="74">
        <f>ROUND(((E16/E50)*100),2)</f>
        <v>44.91</v>
      </c>
      <c r="V29" s="73"/>
      <c r="W29" s="74">
        <f>ROUND(((G16/G50)*100),2)</f>
        <v>47.83</v>
      </c>
      <c r="X29" s="73"/>
      <c r="Y29" s="74">
        <f>ROUND(((I16/I50)*100),2)</f>
        <v>48.83</v>
      </c>
      <c r="Z29" s="73"/>
      <c r="AA29" s="74">
        <f>ROUND(((K16/K50)*100),2)</f>
        <v>47.52</v>
      </c>
      <c r="AB29" s="73"/>
      <c r="AC29" s="72">
        <f>ROUND(AVERAGE(S29:AB29),2)</f>
        <v>46.7</v>
      </c>
      <c r="AD29" s="73"/>
    </row>
    <row r="30" spans="1:30" x14ac:dyDescent="0.2">
      <c r="A30" s="54" t="s">
        <v>90</v>
      </c>
      <c r="B30" s="54" t="s">
        <v>91</v>
      </c>
      <c r="C30" s="151">
        <f>563.1*1000000</f>
        <v>563100000</v>
      </c>
      <c r="E30" s="151">
        <f>525.8*1000000</f>
        <v>525799999.99999994</v>
      </c>
      <c r="G30" s="151">
        <f>404*1000000</f>
        <v>404000000</v>
      </c>
      <c r="I30" s="151">
        <v>372600000</v>
      </c>
      <c r="K30" s="151">
        <v>383900000</v>
      </c>
      <c r="M30" s="151">
        <v>374000000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2" spans="1:30" x14ac:dyDescent="0.2">
      <c r="A32" s="54" t="s">
        <v>93</v>
      </c>
      <c r="B32" s="54" t="s">
        <v>94</v>
      </c>
      <c r="C32" s="153">
        <f>885.8*1000000</f>
        <v>885800000</v>
      </c>
      <c r="E32" s="153">
        <f>743.6*1000000</f>
        <v>743600000</v>
      </c>
      <c r="G32" s="153">
        <f>765*1000000</f>
        <v>765000000</v>
      </c>
      <c r="I32" s="153">
        <v>891900000</v>
      </c>
      <c r="K32" s="153">
        <v>630000000</v>
      </c>
      <c r="M32" s="153">
        <v>685600000</v>
      </c>
      <c r="Q32" s="54" t="s">
        <v>95</v>
      </c>
    </row>
    <row r="33" spans="1:30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Q33" s="54" t="s">
        <v>96</v>
      </c>
      <c r="S33" s="72">
        <f>ROUND((((C12+C19)/C56)*100),2)</f>
        <v>57.86</v>
      </c>
      <c r="T33" s="73" t="s">
        <v>4</v>
      </c>
      <c r="U33" s="72">
        <f>ROUND((((E12+E19)/E56)*100),2)</f>
        <v>56.99</v>
      </c>
      <c r="V33" s="73" t="s">
        <v>4</v>
      </c>
      <c r="W33" s="72">
        <f>ROUND((((G12+G19)/G56)*100),2)</f>
        <v>55.18</v>
      </c>
      <c r="X33" s="73" t="s">
        <v>4</v>
      </c>
      <c r="Y33" s="72">
        <f>ROUND((((I12+I19)/I56)*100),2)</f>
        <v>53.99</v>
      </c>
      <c r="Z33" s="73" t="s">
        <v>4</v>
      </c>
      <c r="AA33" s="72">
        <f>ROUND((((K12+K19)/K56)*100),2)</f>
        <v>53.28</v>
      </c>
      <c r="AB33" s="73" t="s">
        <v>4</v>
      </c>
      <c r="AC33" s="72">
        <f>ROUND(AVERAGE(S33:AB33),2)</f>
        <v>55.46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3">
        <f>873.5*1000000</f>
        <v>873500000</v>
      </c>
      <c r="E34" s="153">
        <f>731.3*1000000</f>
        <v>731300000</v>
      </c>
      <c r="G34" s="153">
        <f>752.7*1000000</f>
        <v>752700000</v>
      </c>
      <c r="I34" s="153">
        <v>879700000</v>
      </c>
      <c r="K34" s="153">
        <v>618300000</v>
      </c>
      <c r="M34" s="153">
        <v>669900000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Q35" s="54" t="s">
        <v>89</v>
      </c>
      <c r="S35" s="74">
        <f>ROUND((((C16)/C56)*100),2)</f>
        <v>42.14</v>
      </c>
      <c r="T35" s="73"/>
      <c r="U35" s="74">
        <f>ROUND((((E16)/E56)*100),2)</f>
        <v>43.01</v>
      </c>
      <c r="V35" s="73"/>
      <c r="W35" s="74">
        <f>ROUND((((G16)/G56)*100),2)</f>
        <v>44.82</v>
      </c>
      <c r="X35" s="73"/>
      <c r="Y35" s="74">
        <f>ROUND((((I16)/I56)*100),2)</f>
        <v>46.01</v>
      </c>
      <c r="Z35" s="73"/>
      <c r="AA35" s="74">
        <f>ROUND((((K16)/K56)*100),2)</f>
        <v>46.72</v>
      </c>
      <c r="AB35" s="73"/>
      <c r="AC35" s="72">
        <f>ROUND(AVERAGE(S35:AB35),2)</f>
        <v>44.54</v>
      </c>
      <c r="AD35" s="73"/>
    </row>
    <row r="36" spans="1:30" x14ac:dyDescent="0.2">
      <c r="A36" s="54" t="s">
        <v>99</v>
      </c>
      <c r="B36" s="54" t="s">
        <v>100</v>
      </c>
      <c r="C36" s="54">
        <v>0</v>
      </c>
      <c r="E36" s="54">
        <v>0</v>
      </c>
      <c r="G36" s="54">
        <v>0</v>
      </c>
      <c r="I36" s="54">
        <v>0</v>
      </c>
      <c r="K36" s="54">
        <v>0</v>
      </c>
      <c r="M36" s="54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8" spans="1:30" x14ac:dyDescent="0.2">
      <c r="A38" s="54" t="s">
        <v>101</v>
      </c>
      <c r="B38" s="54" t="s">
        <v>102</v>
      </c>
      <c r="C38" s="153">
        <f>596.7*1000000</f>
        <v>596700000</v>
      </c>
      <c r="E38" s="153">
        <f>569.6*1000000</f>
        <v>569600000</v>
      </c>
      <c r="G38" s="153">
        <f>534.8*1000000</f>
        <v>534799999.99999994</v>
      </c>
      <c r="I38" s="153">
        <v>497900000</v>
      </c>
      <c r="K38" s="153">
        <v>465000000</v>
      </c>
      <c r="M38" s="153">
        <v>462500000</v>
      </c>
    </row>
    <row r="40" spans="1:30" x14ac:dyDescent="0.2">
      <c r="A40" s="54" t="s">
        <v>103</v>
      </c>
      <c r="B40" s="54" t="s">
        <v>104</v>
      </c>
      <c r="C40" s="153">
        <f>C32</f>
        <v>885800000</v>
      </c>
      <c r="E40" s="153">
        <f>E32</f>
        <v>743600000</v>
      </c>
      <c r="G40" s="153">
        <f>G32</f>
        <v>765000000</v>
      </c>
      <c r="I40" s="153">
        <f>I32</f>
        <v>891900000</v>
      </c>
      <c r="K40" s="54">
        <v>630000000</v>
      </c>
      <c r="M40" s="54">
        <v>685600000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153">
        <f>1983.7*1000000</f>
        <v>1983700000</v>
      </c>
      <c r="E41" s="153">
        <f>1980.2*1000000</f>
        <v>1980200000</v>
      </c>
      <c r="G41" s="153">
        <f>1801.9*1000000</f>
        <v>1801900000</v>
      </c>
      <c r="I41" s="153">
        <v>1351700000</v>
      </c>
      <c r="K41" s="153">
        <v>1753800000</v>
      </c>
      <c r="M41" s="153">
        <v>1749000000</v>
      </c>
      <c r="Q41" s="66"/>
      <c r="R41" s="66"/>
    </row>
    <row r="42" spans="1:30" x14ac:dyDescent="0.2">
      <c r="A42" s="54" t="s">
        <v>108</v>
      </c>
      <c r="B42" s="54" t="s">
        <v>109</v>
      </c>
      <c r="C42" s="153">
        <f>(16.7-59-89.2+156.5+46+2.7-80.7)*1000000</f>
        <v>-7000000</v>
      </c>
      <c r="E42" s="153">
        <f>(54.5+17-102.4+136.6-47.2-8.6-43.8)*1000000</f>
        <v>6099999.999999987</v>
      </c>
      <c r="G42" s="153">
        <f>(-59.8-40-105.6-3.1+2.1+32.2+0.8)*1000000</f>
        <v>-173399999.99999997</v>
      </c>
      <c r="I42" s="153">
        <f>(69.9+41-61.6-299.8-55.1+41.4-19.4)*1000000</f>
        <v>-283600000</v>
      </c>
      <c r="K42" s="65">
        <v>10799999.999999996</v>
      </c>
      <c r="M42" s="65">
        <v>25500000</v>
      </c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153">
        <f>1114*1000000</f>
        <v>1114000000</v>
      </c>
      <c r="E43" s="153">
        <f>1076.5*1000000</f>
        <v>1076500000</v>
      </c>
      <c r="G43" s="153">
        <f>929.4*1000000</f>
        <v>929400000</v>
      </c>
      <c r="I43" s="153">
        <v>896400000</v>
      </c>
      <c r="K43" s="153">
        <v>880100000</v>
      </c>
      <c r="M43" s="153">
        <v>861700000</v>
      </c>
      <c r="Q43" s="54" t="s">
        <v>113</v>
      </c>
      <c r="S43" s="72">
        <f>ROUND(C21/C52,4)*100</f>
        <v>6.67</v>
      </c>
      <c r="T43" s="73" t="s">
        <v>4</v>
      </c>
      <c r="U43" s="72">
        <f>ROUND(E21/E52,4)*100</f>
        <v>5.62</v>
      </c>
      <c r="V43" s="73" t="s">
        <v>4</v>
      </c>
      <c r="W43" s="72">
        <f>ROUND(G21/G52,4)*100</f>
        <v>5.12</v>
      </c>
      <c r="X43" s="73" t="s">
        <v>4</v>
      </c>
      <c r="Y43" s="72">
        <f>ROUND(I21/I52,4)*100</f>
        <v>6.3</v>
      </c>
      <c r="Z43" s="73" t="s">
        <v>4</v>
      </c>
      <c r="AA43" s="72">
        <f>ROUND(K21/K52,4)*100</f>
        <v>4.58</v>
      </c>
      <c r="AB43" s="73" t="s">
        <v>4</v>
      </c>
      <c r="AC43" s="72">
        <f>ROUND(AVERAGE(S43:AB43),2)</f>
        <v>5.66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151">
        <f>30*1000000</f>
        <v>30000000</v>
      </c>
      <c r="E44" s="151">
        <f>15.6*1000000</f>
        <v>15600000</v>
      </c>
      <c r="G44" s="151">
        <f>47.5*1000000</f>
        <v>47500000</v>
      </c>
      <c r="I44" s="151">
        <v>117400000</v>
      </c>
      <c r="K44" s="151">
        <v>102200000</v>
      </c>
      <c r="M44" s="151">
        <v>97000000</v>
      </c>
      <c r="Q44" s="54" t="s">
        <v>116</v>
      </c>
      <c r="S44" s="72">
        <f>(ROUND((C52/(AVERAGE(C48,E48))*100),2))</f>
        <v>133.12</v>
      </c>
      <c r="U44" s="72">
        <f>(ROUND((E52/(AVERAGE(E48,G48))*100),2))</f>
        <v>135.32</v>
      </c>
      <c r="W44" s="72">
        <f>(ROUND((G52/(AVERAGE(G48,I48))*100),2))</f>
        <v>156.47</v>
      </c>
      <c r="Y44" s="72">
        <f>(ROUND((I52/(AVERAGE(I48,K48))*100),2))</f>
        <v>154.37</v>
      </c>
      <c r="AA44" s="72">
        <f>(ROUND((K52/(AVERAGE(K48,M48))*100),2))</f>
        <v>155.69999999999999</v>
      </c>
      <c r="AC44" s="72">
        <f>ROUND(AVERAGE(S44:AB44),2)</f>
        <v>147</v>
      </c>
    </row>
    <row r="45" spans="1:30" x14ac:dyDescent="0.2">
      <c r="Q45" s="54" t="s">
        <v>117</v>
      </c>
      <c r="S45" s="72">
        <f>ROUND(((+C26/C52)*100),2)</f>
        <v>4.57</v>
      </c>
      <c r="U45" s="72">
        <f>ROUND(((+E26/E52)*100),2)</f>
        <v>4.4000000000000004</v>
      </c>
      <c r="W45" s="72">
        <f>ROUND(((+G26/G52)*100),2)</f>
        <v>3.65</v>
      </c>
      <c r="Y45" s="72">
        <f>ROUND(((+I26/I52)*100),2)</f>
        <v>3.58</v>
      </c>
      <c r="AA45" s="72">
        <f>ROUND(((+K26/K52)*100),2)</f>
        <v>3.45</v>
      </c>
      <c r="AC45" s="72">
        <f>ROUND(AVERAGE(S45:AB45),2)</f>
        <v>3.93</v>
      </c>
    </row>
    <row r="46" spans="1:30" x14ac:dyDescent="0.2">
      <c r="A46" s="54" t="s">
        <v>118</v>
      </c>
      <c r="Q46" s="54" t="s">
        <v>119</v>
      </c>
      <c r="S46" s="72">
        <f>ROUND(((+C38/C34)*100),2)</f>
        <v>68.31</v>
      </c>
      <c r="U46" s="72">
        <f>ROUND(((+E38/E34)*100),2)</f>
        <v>77.89</v>
      </c>
      <c r="W46" s="72">
        <f>ROUND(((+G38/G34)*100),2)</f>
        <v>71.05</v>
      </c>
      <c r="Y46" s="72">
        <f>ROUND(((+I38/I34)*100),2)</f>
        <v>56.6</v>
      </c>
      <c r="AA46" s="72">
        <f>ROUND(((+K38/K34)*100),2)</f>
        <v>75.209999999999994</v>
      </c>
      <c r="AC46" s="72">
        <f>ROUND(AVERAGE(S46:AB46),2)</f>
        <v>69.81</v>
      </c>
    </row>
    <row r="47" spans="1:30" x14ac:dyDescent="0.2"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43.285692330734086</v>
      </c>
      <c r="E48" s="65">
        <f>E16/E15</f>
        <v>42.062985297269179</v>
      </c>
      <c r="G48" s="65">
        <f>G16/G15</f>
        <v>41.315011640036325</v>
      </c>
      <c r="I48" s="65">
        <f>I16/I15</f>
        <v>40.315761149481531</v>
      </c>
      <c r="K48" s="65">
        <f>K16/K15</f>
        <v>38.500829693893849</v>
      </c>
      <c r="M48" s="65">
        <f>M16/M15</f>
        <v>37.821414682750671</v>
      </c>
      <c r="Q48" s="66" t="s">
        <v>122</v>
      </c>
      <c r="R48" s="66"/>
      <c r="S48" s="72">
        <f>ROUND(((C34/AVERAGE(C16,E16))*100),2)</f>
        <v>8.91</v>
      </c>
      <c r="T48" s="54" t="s">
        <v>4</v>
      </c>
      <c r="U48" s="72">
        <f>ROUND(((E34/AVERAGE(E16,G16))*100),2)</f>
        <v>7.64</v>
      </c>
      <c r="V48" s="54" t="s">
        <v>4</v>
      </c>
      <c r="W48" s="72">
        <f>ROUND(((G34/AVERAGE(G16,I16))*100),2)</f>
        <v>8.0399999999999991</v>
      </c>
      <c r="X48" s="54" t="s">
        <v>4</v>
      </c>
      <c r="Y48" s="72">
        <f>ROUND(((I34/AVERAGE(I16,K16))*100),2)</f>
        <v>9.7899999999999991</v>
      </c>
      <c r="Z48" s="54" t="s">
        <v>4</v>
      </c>
      <c r="AA48" s="72">
        <f>ROUND(((K34/AVERAGE(K16,M16))*100),2)</f>
        <v>7.15</v>
      </c>
      <c r="AB48" s="54" t="s">
        <v>4</v>
      </c>
      <c r="AC48" s="72">
        <f>ROUND(AVERAGE(S48:AB48),2)</f>
        <v>8.31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22415900000</v>
      </c>
      <c r="E50" s="65">
        <f>SUM(E12:E13,E16:E17)</f>
        <v>21516400000</v>
      </c>
      <c r="G50" s="65">
        <f>SUM(G12:G13,G16:G17)</f>
        <v>19828500000</v>
      </c>
      <c r="I50" s="65">
        <f>SUM(I12:I13,I16:I17)</f>
        <v>18931600000</v>
      </c>
      <c r="K50" s="65">
        <f>SUM(K12:K13,K16:K17)</f>
        <v>18379500000</v>
      </c>
      <c r="M50" s="65">
        <f>SUM(M12:M13,M16:M17)</f>
        <v>17771600000</v>
      </c>
      <c r="Q50" s="66" t="s">
        <v>124</v>
      </c>
      <c r="R50" s="66"/>
      <c r="S50" s="72">
        <f>ROUND((C54/C62),2)</f>
        <v>5.3</v>
      </c>
      <c r="T50" s="73" t="s">
        <v>125</v>
      </c>
      <c r="U50" s="72">
        <f>ROUND((E54/E62),2)</f>
        <v>5.45</v>
      </c>
      <c r="V50" s="73" t="s">
        <v>125</v>
      </c>
      <c r="W50" s="72">
        <f>ROUND((G54/G62),2)</f>
        <v>5.47</v>
      </c>
      <c r="X50" s="73" t="s">
        <v>125</v>
      </c>
      <c r="Y50" s="72">
        <f>ROUND((I54/I62),2)</f>
        <v>4.79</v>
      </c>
      <c r="Z50" s="73" t="s">
        <v>125</v>
      </c>
      <c r="AA50" s="72">
        <f>ROUND((K54/K62),2)</f>
        <v>5.0199999999999996</v>
      </c>
      <c r="AB50" s="73" t="s">
        <v>125</v>
      </c>
      <c r="AC50" s="72">
        <f>ROUND(AVERAGE(S50:AB50),2)</f>
        <v>5.21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56.81</v>
      </c>
      <c r="E52" s="65">
        <f>AVERAGE(E22:E23)</f>
        <v>56.414999999999999</v>
      </c>
      <c r="G52" s="65">
        <f>AVERAGE(G22:G23)</f>
        <v>63.865000000000002</v>
      </c>
      <c r="I52" s="65">
        <f>AVERAGE(I22:I23)</f>
        <v>60.835000000000001</v>
      </c>
      <c r="K52" s="65">
        <f>AVERAGE(K22:K23)</f>
        <v>59.414999999999999</v>
      </c>
      <c r="M52" s="65">
        <f>AVERAGE(M22:M23)</f>
        <v>61.075000000000003</v>
      </c>
      <c r="Q52" s="66" t="s">
        <v>127</v>
      </c>
      <c r="R52" s="66"/>
      <c r="S52" s="72">
        <f>ROUND(((C60/C54)*100),2)</f>
        <v>14.01</v>
      </c>
      <c r="T52" s="73" t="s">
        <v>4</v>
      </c>
      <c r="U52" s="72">
        <f>ROUND(((E60/E54)*100),2)</f>
        <v>15.12</v>
      </c>
      <c r="V52" s="73" t="s">
        <v>4</v>
      </c>
      <c r="W52" s="72">
        <f>ROUND(((G60/G54)*100),2)</f>
        <v>13.62</v>
      </c>
      <c r="X52" s="73" t="s">
        <v>4</v>
      </c>
      <c r="Y52" s="72">
        <f>ROUND(((I60/I54)*100),2)</f>
        <v>9.44</v>
      </c>
      <c r="Z52" s="73" t="s">
        <v>4</v>
      </c>
      <c r="AA52" s="72">
        <f>ROUND(((K60/K54)*100),2)</f>
        <v>17.38</v>
      </c>
      <c r="AB52" s="73" t="s">
        <v>4</v>
      </c>
      <c r="AC52" s="72">
        <f>ROUND(AVERAGE(S52:AB52),2)</f>
        <v>13.91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13668500000.000002</v>
      </c>
      <c r="E54" s="81">
        <f>+E19+E12</f>
        <v>12805100000</v>
      </c>
      <c r="G54" s="81">
        <f>+G19+G12</f>
        <v>11677100000.000002</v>
      </c>
      <c r="I54" s="81">
        <f>+I19+I12</f>
        <v>10846499999.999998</v>
      </c>
      <c r="K54" s="81">
        <f>+K19+K12</f>
        <v>9961100000</v>
      </c>
      <c r="M54" s="81">
        <f>+M19+M12</f>
        <v>10100600000</v>
      </c>
      <c r="Q54" s="79" t="s">
        <v>128</v>
      </c>
      <c r="R54" s="79"/>
      <c r="S54" s="72">
        <f>S33</f>
        <v>57.86</v>
      </c>
      <c r="T54" s="73" t="s">
        <v>4</v>
      </c>
      <c r="U54" s="72">
        <f>U33</f>
        <v>56.99</v>
      </c>
      <c r="V54" s="73" t="s">
        <v>4</v>
      </c>
      <c r="W54" s="72">
        <f>W33</f>
        <v>55.18</v>
      </c>
      <c r="X54" s="73" t="s">
        <v>4</v>
      </c>
      <c r="Y54" s="72">
        <f>Y33</f>
        <v>53.99</v>
      </c>
      <c r="Z54" s="73" t="s">
        <v>4</v>
      </c>
      <c r="AA54" s="72">
        <f>AA33</f>
        <v>53.28</v>
      </c>
      <c r="AB54" s="73" t="s">
        <v>4</v>
      </c>
      <c r="AC54" s="72">
        <f>ROUND(AVERAGE(S54:AB54),2)</f>
        <v>55.46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23623500000</v>
      </c>
      <c r="E56" s="65">
        <f>SUM(E50,E19)</f>
        <v>22468200000</v>
      </c>
      <c r="G56" s="65">
        <f>SUM(G50,G19)</f>
        <v>21160800000</v>
      </c>
      <c r="I56" s="65">
        <f>SUM(I50,I19)</f>
        <v>20090900000</v>
      </c>
      <c r="K56" s="65">
        <f>SUM(K50,K19)</f>
        <v>18694500000</v>
      </c>
      <c r="M56" s="65">
        <f>SUM(M50,M19)</f>
        <v>18672500000</v>
      </c>
    </row>
    <row r="57" spans="1:30" x14ac:dyDescent="0.2">
      <c r="C57" s="65"/>
      <c r="E57" s="65"/>
      <c r="G57" s="65"/>
      <c r="I57" s="65"/>
      <c r="K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M58" s="65">
        <f>SUM(M13,M17)</f>
        <v>0</v>
      </c>
    </row>
    <row r="59" spans="1:30" x14ac:dyDescent="0.2">
      <c r="C59" s="65"/>
      <c r="E59" s="65"/>
      <c r="G59" s="65"/>
      <c r="I59" s="65"/>
      <c r="K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1915300000</v>
      </c>
      <c r="E60" s="65">
        <f>ROUND(E41+E42-E28,3)</f>
        <v>1936200000</v>
      </c>
      <c r="G60" s="65">
        <f>ROUND(G41+G42-G28,3)</f>
        <v>1590200000</v>
      </c>
      <c r="I60" s="65">
        <f>ROUND(I41+I42-I28,3)</f>
        <v>1024000000</v>
      </c>
      <c r="K60" s="65">
        <f>ROUND(K41+K42-K28,3)</f>
        <v>1730900000</v>
      </c>
      <c r="M60" s="65">
        <f>ROUND(M41+M42-M28,3)</f>
        <v>1757500000</v>
      </c>
    </row>
    <row r="61" spans="1:30" x14ac:dyDescent="0.2">
      <c r="A61" s="82"/>
    </row>
    <row r="62" spans="1:30" x14ac:dyDescent="0.2">
      <c r="A62" s="54" t="s">
        <v>131</v>
      </c>
      <c r="B62" s="54" t="s">
        <v>121</v>
      </c>
      <c r="C62" s="65">
        <f>C44+C43+C34+C30</f>
        <v>2580600000</v>
      </c>
      <c r="E62" s="167">
        <f>E44+E43+E34+E30</f>
        <v>2349200000</v>
      </c>
      <c r="G62" s="167">
        <f>G44+G43+G34+G30</f>
        <v>2133600000</v>
      </c>
      <c r="I62" s="167">
        <f>I44+I43+I34+I30</f>
        <v>2266100000</v>
      </c>
      <c r="K62" s="167">
        <f>K44+K43+K34+K30</f>
        <v>1984500000</v>
      </c>
      <c r="M62" s="167">
        <f>M44+M43+M34+M30</f>
        <v>2002600000</v>
      </c>
    </row>
    <row r="81" spans="219:223" x14ac:dyDescent="0.2">
      <c r="HK81" s="84"/>
      <c r="HL81" s="84"/>
      <c r="HO81" s="54" t="s">
        <v>132</v>
      </c>
    </row>
  </sheetData>
  <mergeCells count="7">
    <mergeCell ref="AC25:AD25"/>
    <mergeCell ref="C6:M6"/>
    <mergeCell ref="Q6:AC6"/>
    <mergeCell ref="C7:M7"/>
    <mergeCell ref="C8:M8"/>
    <mergeCell ref="W13:AB13"/>
    <mergeCell ref="AC24:AD24"/>
  </mergeCells>
  <pageMargins left="0.7" right="0.7" top="0.75" bottom="0.75" header="0.3" footer="0.3"/>
  <pageSetup scale="27" orientation="portrait" r:id="rId1"/>
  <headerFooter>
    <oddHeader>&amp;R&amp;A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208F-6E86-4987-901F-C82DEC4871D9}">
  <sheetPr>
    <pageSetUpPr fitToPage="1"/>
  </sheetPr>
  <dimension ref="A1:HO81"/>
  <sheetViews>
    <sheetView view="pageBreakPreview" zoomScale="60" zoomScaleNormal="60" workbookViewId="0"/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8" style="54" customWidth="1"/>
    <col min="4" max="4" width="3.140625" style="54" customWidth="1"/>
    <col min="5" max="5" width="18" style="54" customWidth="1"/>
    <col min="6" max="6" width="3.140625" style="54" customWidth="1"/>
    <col min="7" max="7" width="15.7109375" style="54" customWidth="1"/>
    <col min="8" max="8" width="3.140625" style="54" customWidth="1"/>
    <col min="9" max="9" width="17.5703125" style="54" customWidth="1"/>
    <col min="10" max="10" width="3.140625" style="54" customWidth="1"/>
    <col min="11" max="11" width="17.5703125" style="54" customWidth="1"/>
    <col min="12" max="12" width="3.140625" style="54" customWidth="1"/>
    <col min="13" max="13" width="17.28515625" style="54" customWidth="1"/>
    <col min="14" max="16" width="3" style="54" customWidth="1"/>
    <col min="17" max="17" width="50.42578125" style="54" customWidth="1"/>
    <col min="18" max="18" width="3" style="54" customWidth="1"/>
    <col min="19" max="19" width="14" style="54" customWidth="1"/>
    <col min="20" max="20" width="3.42578125" style="54" customWidth="1"/>
    <col min="21" max="21" width="13.140625" style="54" customWidth="1"/>
    <col min="22" max="22" width="4.140625" style="54" customWidth="1"/>
    <col min="23" max="23" width="13.140625" style="54" customWidth="1"/>
    <col min="24" max="24" width="3.42578125" style="54" customWidth="1"/>
    <col min="25" max="25" width="10.42578125" style="54" bestFit="1" customWidth="1"/>
    <col min="26" max="26" width="2.42578125" style="54" bestFit="1" customWidth="1"/>
    <col min="27" max="27" width="10.42578125" style="54" bestFit="1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16384" width="8.7109375" style="54"/>
  </cols>
  <sheetData>
    <row r="1" spans="1:29" ht="16.350000000000001" customHeight="1" x14ac:dyDescent="0.2">
      <c r="A1" s="147"/>
    </row>
    <row r="2" spans="1:29" ht="16.350000000000001" customHeight="1" x14ac:dyDescent="0.2">
      <c r="A2" s="147"/>
    </row>
    <row r="3" spans="1:29" ht="16.350000000000001" customHeight="1" x14ac:dyDescent="0.2">
      <c r="A3" s="147"/>
      <c r="C3" s="147"/>
      <c r="E3" s="147"/>
      <c r="G3" s="147"/>
    </row>
    <row r="4" spans="1:29" ht="16.350000000000001" customHeight="1" thickBot="1" x14ac:dyDescent="0.25">
      <c r="A4" s="147"/>
      <c r="C4" s="147"/>
      <c r="E4" s="147"/>
      <c r="G4" s="147"/>
    </row>
    <row r="5" spans="1:29" ht="15" x14ac:dyDescent="0.35">
      <c r="A5" s="148" t="s">
        <v>136</v>
      </c>
    </row>
    <row r="6" spans="1:29" ht="14.85" customHeight="1" thickBot="1" x14ac:dyDescent="0.25">
      <c r="A6" s="149" t="s">
        <v>191</v>
      </c>
      <c r="C6" s="194" t="s">
        <v>217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60" t="str">
        <f>C6</f>
        <v>IDACORP, Inc.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2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211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52">
        <f>(3053777+19885)*1000</f>
        <v>3073662000</v>
      </c>
      <c r="E12" s="152">
        <f>(2775790+49800)*1000</f>
        <v>2825590000</v>
      </c>
      <c r="G12" s="151">
        <v>2194145000</v>
      </c>
      <c r="I12" s="150">
        <f>2000640*1000</f>
        <v>2000640000</v>
      </c>
      <c r="K12" s="150">
        <f>2000414*1000</f>
        <v>2000414000</v>
      </c>
      <c r="M12" s="150">
        <v>1836659000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ht="15" customHeight="1" x14ac:dyDescent="0.2">
      <c r="A13" s="54" t="s">
        <v>60</v>
      </c>
      <c r="B13" s="54" t="s">
        <v>61</v>
      </c>
      <c r="C13" s="65">
        <v>0</v>
      </c>
      <c r="E13" s="65">
        <v>0</v>
      </c>
      <c r="G13" s="65">
        <v>0</v>
      </c>
      <c r="I13" s="65">
        <v>0</v>
      </c>
      <c r="K13" s="65">
        <v>0</v>
      </c>
      <c r="L13" s="65"/>
      <c r="M13" s="65">
        <v>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C14" s="151"/>
      <c r="E14" s="151"/>
      <c r="G14" s="151"/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168">
        <f>53962*1000</f>
        <v>53962000</v>
      </c>
      <c r="E15" s="168">
        <v>50615237</v>
      </c>
      <c r="G15" s="151">
        <v>50561892</v>
      </c>
      <c r="I15" s="160">
        <v>50516479</v>
      </c>
      <c r="K15" s="160">
        <v>50461885</v>
      </c>
      <c r="M15" s="160">
        <v>50420017</v>
      </c>
    </row>
    <row r="16" spans="1:29" x14ac:dyDescent="0.2">
      <c r="A16" s="54" t="s">
        <v>6</v>
      </c>
      <c r="B16" s="54" t="s">
        <v>67</v>
      </c>
      <c r="C16" s="151">
        <f>3330954*1000</f>
        <v>3330954000</v>
      </c>
      <c r="E16" s="151">
        <f>2907569*1000</f>
        <v>2907569000</v>
      </c>
      <c r="G16" s="151">
        <v>2807239000</v>
      </c>
      <c r="I16" s="153">
        <f>2668436*1000</f>
        <v>2668436000</v>
      </c>
      <c r="K16" s="153">
        <f>2559980*1000</f>
        <v>2559980000</v>
      </c>
      <c r="M16" s="153">
        <v>2464628000</v>
      </c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C17" s="65">
        <v>0</v>
      </c>
      <c r="E17" s="65">
        <v>0</v>
      </c>
      <c r="G17" s="65">
        <v>0</v>
      </c>
      <c r="I17" s="65">
        <v>0</v>
      </c>
      <c r="K17" s="65">
        <v>0</v>
      </c>
      <c r="L17" s="65"/>
      <c r="M17" s="65">
        <v>0</v>
      </c>
      <c r="Q17" s="54" t="s">
        <v>70</v>
      </c>
      <c r="S17" s="69">
        <f>C50/1000000</f>
        <v>6404.616</v>
      </c>
      <c r="U17" s="69">
        <f>E50/1000000</f>
        <v>5733.1589999999997</v>
      </c>
      <c r="W17" s="69">
        <f>G50/1000000</f>
        <v>5001.384</v>
      </c>
      <c r="Y17" s="69">
        <f>I50/1000000</f>
        <v>4669.076</v>
      </c>
      <c r="AA17" s="69">
        <f>K50/1000000</f>
        <v>4560.3940000000002</v>
      </c>
      <c r="AB17" s="69"/>
    </row>
    <row r="18" spans="1:30" x14ac:dyDescent="0.2">
      <c r="C18" s="151"/>
      <c r="E18" s="151"/>
      <c r="G18" s="151"/>
      <c r="I18" s="65"/>
      <c r="K18" s="65"/>
      <c r="L18" s="65"/>
      <c r="M18" s="65"/>
      <c r="Q18" s="54" t="s">
        <v>71</v>
      </c>
      <c r="S18" s="70">
        <f>C19/1000000</f>
        <v>0</v>
      </c>
      <c r="U18" s="70">
        <f>E19/1000000</f>
        <v>0</v>
      </c>
      <c r="W18" s="70">
        <f>G19/1000000</f>
        <v>0</v>
      </c>
      <c r="Y18" s="70">
        <f>I19/1000000</f>
        <v>0</v>
      </c>
      <c r="AA18" s="70">
        <f>K19/1000000</f>
        <v>0</v>
      </c>
      <c r="AB18" s="69"/>
    </row>
    <row r="19" spans="1:30" x14ac:dyDescent="0.2">
      <c r="A19" s="54" t="s">
        <v>72</v>
      </c>
      <c r="B19" s="54" t="s">
        <v>73</v>
      </c>
      <c r="C19" s="65">
        <v>0</v>
      </c>
      <c r="E19" s="65">
        <v>0</v>
      </c>
      <c r="G19" s="65">
        <v>0</v>
      </c>
      <c r="I19" s="65">
        <v>0</v>
      </c>
      <c r="K19" s="65">
        <v>0</v>
      </c>
      <c r="L19" s="65"/>
      <c r="M19" s="65">
        <v>0</v>
      </c>
      <c r="Q19" s="54" t="s">
        <v>74</v>
      </c>
      <c r="S19" s="71">
        <f>SUM(S17:S18)</f>
        <v>6404.616</v>
      </c>
      <c r="U19" s="71">
        <f>SUM(U17:U18)</f>
        <v>5733.1589999999997</v>
      </c>
      <c r="W19" s="71">
        <f>SUM(W17:W18)</f>
        <v>5001.384</v>
      </c>
      <c r="Y19" s="71">
        <f>SUM(Y17:Y18)</f>
        <v>4669.076</v>
      </c>
      <c r="AA19" s="71">
        <f>SUM(AA17:AA18)</f>
        <v>4560.3940000000002</v>
      </c>
      <c r="AB19" s="69"/>
    </row>
    <row r="20" spans="1:30" x14ac:dyDescent="0.2">
      <c r="C20" s="151"/>
      <c r="E20" s="151"/>
      <c r="G20" s="151"/>
    </row>
    <row r="21" spans="1:30" x14ac:dyDescent="0.2">
      <c r="A21" s="54" t="s">
        <v>75</v>
      </c>
      <c r="B21" s="54" t="s">
        <v>76</v>
      </c>
      <c r="C21" s="169">
        <v>5.5</v>
      </c>
      <c r="E21" s="147">
        <v>5.14</v>
      </c>
      <c r="G21" s="151">
        <v>5.1100000000000003</v>
      </c>
      <c r="I21" s="65">
        <v>4.8499999999999996</v>
      </c>
      <c r="K21" s="65">
        <v>4.6900000000000004</v>
      </c>
      <c r="M21" s="65">
        <v>4.6100000000000003</v>
      </c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170">
        <v>118.96</v>
      </c>
      <c r="E22" s="170">
        <v>112.88</v>
      </c>
      <c r="G22" s="170">
        <v>118.47</v>
      </c>
      <c r="I22" s="54">
        <v>113.31</v>
      </c>
      <c r="K22" s="54">
        <v>113.18</v>
      </c>
      <c r="M22" s="54">
        <v>113.25</v>
      </c>
      <c r="Q22" s="54" t="s">
        <v>80</v>
      </c>
      <c r="S22" s="72">
        <f>(ROUND((C30/(AVERAGE(C54,E54))*100),2))</f>
        <v>5.55</v>
      </c>
      <c r="T22" s="73" t="s">
        <v>4</v>
      </c>
      <c r="U22" s="72">
        <f>(ROUND((E30/(AVERAGE(E54,G54))*100),2))</f>
        <v>5.44</v>
      </c>
      <c r="V22" s="73" t="s">
        <v>4</v>
      </c>
      <c r="W22" s="72">
        <f>(ROUND((G30/(AVERAGE(G54,I54))*100),2))</f>
        <v>4.92</v>
      </c>
      <c r="X22" s="73" t="s">
        <v>4</v>
      </c>
      <c r="Y22" s="72">
        <f>(ROUND((I30/(AVERAGE(I54,K54))*100),2))</f>
        <v>4.93</v>
      </c>
      <c r="Z22" s="73" t="s">
        <v>4</v>
      </c>
      <c r="AA22" s="72">
        <f>(ROUND((K30/(AVERAGE(K54,M54))*100),2))</f>
        <v>5.16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170">
        <v>86.94</v>
      </c>
      <c r="E23" s="170">
        <v>89.52</v>
      </c>
      <c r="G23" s="170">
        <v>94.7</v>
      </c>
      <c r="I23" s="54">
        <v>86.14</v>
      </c>
      <c r="K23" s="54">
        <v>74.34</v>
      </c>
      <c r="M23" s="54">
        <v>89.94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C24" s="151"/>
      <c r="E24" s="151"/>
      <c r="G24" s="151"/>
      <c r="AC24" s="194" t="s">
        <v>1</v>
      </c>
      <c r="AD24" s="194"/>
    </row>
    <row r="25" spans="1:30" x14ac:dyDescent="0.2">
      <c r="C25" s="151"/>
      <c r="E25" s="151"/>
      <c r="G25" s="151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66</v>
      </c>
      <c r="C26" s="147">
        <v>3.35</v>
      </c>
      <c r="E26" s="147">
        <v>3.2</v>
      </c>
      <c r="G26" s="151">
        <v>3.04</v>
      </c>
      <c r="I26" s="54">
        <v>2.88</v>
      </c>
      <c r="K26" s="54">
        <v>2.72</v>
      </c>
      <c r="M26" s="54">
        <v>2.56</v>
      </c>
      <c r="Q26" s="54" t="s">
        <v>85</v>
      </c>
    </row>
    <row r="27" spans="1:30" x14ac:dyDescent="0.2">
      <c r="C27" s="151"/>
      <c r="E27" s="151"/>
      <c r="G27" s="151"/>
      <c r="Q27" s="54" t="s">
        <v>86</v>
      </c>
      <c r="S27" s="72">
        <f>ROUND(((C12/C50)*100),2)</f>
        <v>47.99</v>
      </c>
      <c r="T27" s="73" t="s">
        <v>4</v>
      </c>
      <c r="U27" s="72">
        <f>ROUND(((E12/E50)*100),2)</f>
        <v>49.29</v>
      </c>
      <c r="V27" s="73" t="s">
        <v>4</v>
      </c>
      <c r="W27" s="72">
        <f>ROUND(((G12/G50)*100),2)</f>
        <v>43.87</v>
      </c>
      <c r="X27" s="73" t="s">
        <v>4</v>
      </c>
      <c r="Y27" s="72">
        <f>ROUND(((I12/I50)*100),2)</f>
        <v>42.85</v>
      </c>
      <c r="Z27" s="73" t="s">
        <v>4</v>
      </c>
      <c r="AA27" s="72">
        <f>ROUND(((K12/K50)*100),2)</f>
        <v>43.86</v>
      </c>
      <c r="AB27" s="73" t="s">
        <v>4</v>
      </c>
      <c r="AC27" s="72">
        <f>ROUND(AVERAGE(S27:AB27),2)</f>
        <v>45.57</v>
      </c>
      <c r="AD27" s="73" t="s">
        <v>4</v>
      </c>
    </row>
    <row r="28" spans="1:30" x14ac:dyDescent="0.2">
      <c r="A28" s="54" t="s">
        <v>87</v>
      </c>
      <c r="B28" s="54" t="s">
        <v>87</v>
      </c>
      <c r="C28" s="151">
        <f>(53238+27785)*1000</f>
        <v>81023000</v>
      </c>
      <c r="E28" s="151">
        <f>(43221+20012)*1000</f>
        <v>63233000</v>
      </c>
      <c r="G28" s="151">
        <f>(37285+13914)*1000</f>
        <v>51199000</v>
      </c>
      <c r="I28" s="161">
        <f>31537000+11993000</f>
        <v>43530000</v>
      </c>
      <c r="K28" s="161">
        <f>29551000+11578000</f>
        <v>41129000</v>
      </c>
      <c r="M28" s="161">
        <f>27112000+10703000</f>
        <v>37815000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Q29" s="54" t="s">
        <v>89</v>
      </c>
      <c r="S29" s="74">
        <f>ROUND(((C16/C50)*100),2)</f>
        <v>52.01</v>
      </c>
      <c r="T29" s="73"/>
      <c r="U29" s="74">
        <f>ROUND(((E16/E50)*100),2)</f>
        <v>50.71</v>
      </c>
      <c r="V29" s="73"/>
      <c r="W29" s="74">
        <f>ROUND(((G16/G50)*100),2)</f>
        <v>56.13</v>
      </c>
      <c r="X29" s="73"/>
      <c r="Y29" s="74">
        <f>ROUND(((I16/I50)*100),2)</f>
        <v>57.15</v>
      </c>
      <c r="Z29" s="73"/>
      <c r="AA29" s="74">
        <f>ROUND(((K16/K50)*100),2)</f>
        <v>56.14</v>
      </c>
      <c r="AB29" s="73"/>
      <c r="AC29" s="72">
        <f>ROUND(AVERAGE(S29:AB29),2)</f>
        <v>54.43</v>
      </c>
      <c r="AD29" s="73"/>
    </row>
    <row r="30" spans="1:30" x14ac:dyDescent="0.2">
      <c r="A30" s="54" t="s">
        <v>90</v>
      </c>
      <c r="B30" s="54" t="s">
        <v>91</v>
      </c>
      <c r="C30" s="171">
        <f>(139196+24454)*1000</f>
        <v>163650000</v>
      </c>
      <c r="E30" s="171">
        <f>(116216+20253)*1000</f>
        <v>136469000</v>
      </c>
      <c r="G30" s="171">
        <f>(87259+16030)*1000</f>
        <v>103289000</v>
      </c>
      <c r="I30" s="151">
        <f>(84145+14546)*1000</f>
        <v>98691000</v>
      </c>
      <c r="K30" s="151">
        <f>(84251+14753)*1000</f>
        <v>99004000</v>
      </c>
      <c r="M30" s="151">
        <f>82457000+14721000</f>
        <v>97178000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2" spans="1:30" x14ac:dyDescent="0.2">
      <c r="A32" s="54" t="s">
        <v>93</v>
      </c>
      <c r="B32" s="54" t="s">
        <v>94</v>
      </c>
      <c r="C32" s="153">
        <f>289951*1000</f>
        <v>289951000</v>
      </c>
      <c r="E32" s="153">
        <f>261893*1000</f>
        <v>261893000</v>
      </c>
      <c r="G32" s="153">
        <f>259560*1000</f>
        <v>259560000</v>
      </c>
      <c r="I32" s="153">
        <f>245872*1000</f>
        <v>245872000</v>
      </c>
      <c r="K32" s="153">
        <f>237968*1000</f>
        <v>237968000</v>
      </c>
      <c r="M32" s="153">
        <v>233328000</v>
      </c>
      <c r="Q32" s="54" t="s">
        <v>95</v>
      </c>
    </row>
    <row r="33" spans="1:30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Q33" s="54" t="s">
        <v>96</v>
      </c>
      <c r="S33" s="72">
        <f>ROUND((((C12+C19)/C56)*100),2)</f>
        <v>47.99</v>
      </c>
      <c r="T33" s="73" t="s">
        <v>4</v>
      </c>
      <c r="U33" s="72">
        <f>ROUND((((E12+E19)/E56)*100),2)</f>
        <v>49.29</v>
      </c>
      <c r="V33" s="73" t="s">
        <v>4</v>
      </c>
      <c r="W33" s="72">
        <f>ROUND((((G12+G19)/G56)*100),2)</f>
        <v>43.87</v>
      </c>
      <c r="X33" s="73" t="s">
        <v>4</v>
      </c>
      <c r="Y33" s="72">
        <f>ROUND((((I12+I19)/I56)*100),2)</f>
        <v>42.85</v>
      </c>
      <c r="Z33" s="73" t="s">
        <v>4</v>
      </c>
      <c r="AA33" s="72">
        <f>ROUND((((K12+K19)/K56)*100),2)</f>
        <v>43.86</v>
      </c>
      <c r="AB33" s="73" t="s">
        <v>4</v>
      </c>
      <c r="AC33" s="72">
        <f>ROUND(AVERAGE(S33:AB33),2)</f>
        <v>45.57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2">
        <f>289174*1000</f>
        <v>289174000</v>
      </c>
      <c r="E34" s="152">
        <f>261195*1000</f>
        <v>261195000</v>
      </c>
      <c r="G34" s="152">
        <f>258982*1000</f>
        <v>258982000</v>
      </c>
      <c r="I34" s="153">
        <f>245550*1000</f>
        <v>245550000</v>
      </c>
      <c r="K34" s="153">
        <f>237417*1000</f>
        <v>237417000</v>
      </c>
      <c r="M34" s="153">
        <v>232854000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Q35" s="54" t="s">
        <v>89</v>
      </c>
      <c r="S35" s="74">
        <f>ROUND((((C16)/C56)*100),2)</f>
        <v>52.01</v>
      </c>
      <c r="T35" s="73"/>
      <c r="U35" s="74">
        <f>ROUND((((E16)/E56)*100),2)</f>
        <v>50.71</v>
      </c>
      <c r="V35" s="73"/>
      <c r="W35" s="74">
        <f>ROUND((((G16)/G56)*100),2)</f>
        <v>56.13</v>
      </c>
      <c r="X35" s="73"/>
      <c r="Y35" s="74">
        <f>ROUND((((I16)/I56)*100),2)</f>
        <v>57.15</v>
      </c>
      <c r="Z35" s="73"/>
      <c r="AA35" s="74">
        <f>ROUND((((K16)/K56)*100),2)</f>
        <v>56.14</v>
      </c>
      <c r="AB35" s="73"/>
      <c r="AC35" s="72">
        <f>ROUND(AVERAGE(S35:AB35),2)</f>
        <v>54.43</v>
      </c>
      <c r="AD35" s="73"/>
    </row>
    <row r="36" spans="1:30" x14ac:dyDescent="0.2">
      <c r="A36" s="54" t="s">
        <v>99</v>
      </c>
      <c r="B36" s="54" t="s">
        <v>100</v>
      </c>
      <c r="C36" s="54">
        <v>0</v>
      </c>
      <c r="E36" s="54">
        <v>0</v>
      </c>
      <c r="G36" s="54">
        <v>0</v>
      </c>
      <c r="I36" s="54">
        <v>0</v>
      </c>
      <c r="K36" s="54">
        <v>0</v>
      </c>
      <c r="M36" s="54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8" spans="1:30" x14ac:dyDescent="0.2">
      <c r="A38" s="54" t="s">
        <v>101</v>
      </c>
      <c r="B38" s="54" t="s">
        <v>102</v>
      </c>
      <c r="C38" s="153">
        <f>176565*1000</f>
        <v>176565000</v>
      </c>
      <c r="E38" s="153">
        <f>163545*1000</f>
        <v>163545000</v>
      </c>
      <c r="G38" s="153">
        <f>154287*1000</f>
        <v>154287000</v>
      </c>
      <c r="I38" s="153">
        <f>146119*1000</f>
        <v>146119000</v>
      </c>
      <c r="K38" s="153">
        <f>137813*1000</f>
        <v>137813000</v>
      </c>
      <c r="M38" s="153">
        <v>129677000</v>
      </c>
    </row>
    <row r="39" spans="1:30" x14ac:dyDescent="0.2">
      <c r="I39" s="83"/>
      <c r="K39" s="83"/>
      <c r="L39" s="83"/>
      <c r="M39" s="83"/>
    </row>
    <row r="40" spans="1:30" x14ac:dyDescent="0.2">
      <c r="A40" s="54" t="s">
        <v>103</v>
      </c>
      <c r="B40" s="54" t="s">
        <v>104</v>
      </c>
      <c r="C40" s="153">
        <f>C32</f>
        <v>289951000</v>
      </c>
      <c r="E40" s="153">
        <f>E32</f>
        <v>261893000</v>
      </c>
      <c r="G40" s="153">
        <f>G32</f>
        <v>259560000</v>
      </c>
      <c r="I40" s="153">
        <f>I32</f>
        <v>245872000</v>
      </c>
      <c r="K40" s="153">
        <f>237968*1000</f>
        <v>237968000</v>
      </c>
      <c r="L40" s="83"/>
      <c r="M40" s="65">
        <v>233328000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152">
        <f>594417*1000</f>
        <v>594417000</v>
      </c>
      <c r="E41" s="152">
        <f>267027*1000</f>
        <v>267027000</v>
      </c>
      <c r="G41" s="152">
        <f>351285*1000</f>
        <v>351285000</v>
      </c>
      <c r="I41" s="65">
        <f>363264*1000</f>
        <v>363264000</v>
      </c>
      <c r="K41" s="65">
        <f>388131*1000</f>
        <v>388131000</v>
      </c>
      <c r="M41" s="65">
        <v>366625000</v>
      </c>
      <c r="Q41" s="66"/>
      <c r="R41" s="66"/>
    </row>
    <row r="42" spans="1:30" x14ac:dyDescent="0.2">
      <c r="A42" s="54" t="s">
        <v>108</v>
      </c>
      <c r="B42" s="54" t="s">
        <v>109</v>
      </c>
      <c r="C42" s="152">
        <f>(31434-8931-84261+16939+10769+32138)*1000</f>
        <v>-1912000</v>
      </c>
      <c r="E42" s="152">
        <f>(-17628-3220-53243-81244-12551+10712)*1000</f>
        <v>-157174000</v>
      </c>
      <c r="G42" s="171">
        <f>(-81545-2156-11626+112602-4628+22951)*1000</f>
        <v>35598000</v>
      </c>
      <c r="I42" s="65">
        <f>(-6697+17700-17885-8327+3102-10764+3358)*1000</f>
        <v>-19513000</v>
      </c>
      <c r="K42" s="65">
        <f>(-374-356+8950+4910+7996-5546+2034)*1000</f>
        <v>17614000</v>
      </c>
      <c r="M42" s="65">
        <f>(-5996-9526+742-8820-799-4375+555)*1000</f>
        <v>-28219000</v>
      </c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171">
        <f>223410*1000</f>
        <v>223410000</v>
      </c>
      <c r="E43" s="171">
        <f>195341*1000</f>
        <v>195341000</v>
      </c>
      <c r="G43" s="171">
        <f>170077*1000</f>
        <v>170077000</v>
      </c>
      <c r="I43" s="65">
        <f>175555*1000</f>
        <v>175555000</v>
      </c>
      <c r="K43" s="65">
        <f>171648*1000</f>
        <v>171648000</v>
      </c>
      <c r="M43" s="65">
        <v>169210000</v>
      </c>
      <c r="Q43" s="54" t="s">
        <v>113</v>
      </c>
      <c r="S43" s="72">
        <f>ROUND(C21/C52,4)*100</f>
        <v>5.34</v>
      </c>
      <c r="T43" s="73" t="s">
        <v>4</v>
      </c>
      <c r="U43" s="72">
        <f>ROUND(E21/E52,4)*100</f>
        <v>5.08</v>
      </c>
      <c r="V43" s="73" t="s">
        <v>4</v>
      </c>
      <c r="W43" s="72">
        <f>ROUND(G21/G52,4)*100</f>
        <v>4.79</v>
      </c>
      <c r="X43" s="73" t="s">
        <v>4</v>
      </c>
      <c r="Y43" s="72">
        <f>ROUND(I21/I52,4)*100</f>
        <v>4.8599999999999994</v>
      </c>
      <c r="Z43" s="73" t="s">
        <v>4</v>
      </c>
      <c r="AA43" s="72">
        <f>ROUND(K21/K52,4)*100</f>
        <v>5</v>
      </c>
      <c r="AB43" s="73" t="s">
        <v>4</v>
      </c>
      <c r="AC43" s="72">
        <f>ROUND(AVERAGE(S43:AB43),2)</f>
        <v>5.01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171">
        <f>15053*1000</f>
        <v>15053000</v>
      </c>
      <c r="E44" s="171">
        <f>27296*1000</f>
        <v>27296000</v>
      </c>
      <c r="G44" s="171">
        <f>37844*1000</f>
        <v>37844000</v>
      </c>
      <c r="I44" s="65">
        <f>36912*1000</f>
        <v>36912000</v>
      </c>
      <c r="K44" s="65">
        <f>28700*1000</f>
        <v>28700000</v>
      </c>
      <c r="L44" s="65"/>
      <c r="M44" s="65">
        <v>24507000</v>
      </c>
      <c r="Q44" s="54" t="s">
        <v>116</v>
      </c>
      <c r="S44" s="72">
        <f>(ROUND((C52/(AVERAGE(C48,E48))*100),2))</f>
        <v>172.78</v>
      </c>
      <c r="U44" s="72">
        <f>(ROUND((E52/(AVERAGE(E48,G48))*100),2))</f>
        <v>179.17</v>
      </c>
      <c r="W44" s="72">
        <f>(ROUND((G52/(AVERAGE(G48,I48))*100),2))</f>
        <v>196.75</v>
      </c>
      <c r="Y44" s="72">
        <f>(ROUND((I52/(AVERAGE(I48,K48))*100),2))</f>
        <v>192.6</v>
      </c>
      <c r="AA44" s="72">
        <f>(ROUND((K52/(AVERAGE(K48,M48))*100),2))</f>
        <v>188.25</v>
      </c>
      <c r="AC44" s="72">
        <f>ROUND(AVERAGE(S44:AB44),2)</f>
        <v>185.91</v>
      </c>
    </row>
    <row r="45" spans="1:30" x14ac:dyDescent="0.2">
      <c r="Q45" s="54" t="s">
        <v>117</v>
      </c>
      <c r="S45" s="72">
        <f>ROUND(((+C26/C52)*100),2)</f>
        <v>3.25</v>
      </c>
      <c r="U45" s="72">
        <f>ROUND(((+E26/E52)*100),2)</f>
        <v>3.16</v>
      </c>
      <c r="W45" s="72">
        <f>ROUND(((+G26/G52)*100),2)</f>
        <v>2.85</v>
      </c>
      <c r="Y45" s="72">
        <f>ROUND(((+I26/I52)*100),2)</f>
        <v>2.89</v>
      </c>
      <c r="AA45" s="72">
        <f>ROUND(((+K26/K52)*100),2)</f>
        <v>2.9</v>
      </c>
      <c r="AC45" s="72">
        <f>ROUND(AVERAGE(S45:AB45),2)</f>
        <v>3.01</v>
      </c>
    </row>
    <row r="46" spans="1:30" x14ac:dyDescent="0.2">
      <c r="A46" s="54" t="s">
        <v>118</v>
      </c>
      <c r="Q46" s="54" t="s">
        <v>119</v>
      </c>
      <c r="S46" s="72">
        <f>ROUND(((+C38/C34)*100),2)</f>
        <v>61.06</v>
      </c>
      <c r="U46" s="72">
        <f>ROUND(((+E38/E34)*100),2)</f>
        <v>62.61</v>
      </c>
      <c r="W46" s="72">
        <f>ROUND(((+G38/G34)*100),2)</f>
        <v>59.57</v>
      </c>
      <c r="Y46" s="72">
        <f>ROUND(((+I38/I34)*100),2)</f>
        <v>59.51</v>
      </c>
      <c r="AA46" s="72">
        <f>ROUND(((+K38/K34)*100),2)</f>
        <v>58.05</v>
      </c>
      <c r="AC46" s="72">
        <f>ROUND(AVERAGE(S46:AB46),2)</f>
        <v>60.16</v>
      </c>
    </row>
    <row r="47" spans="1:30" x14ac:dyDescent="0.2"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61.727771394685149</v>
      </c>
      <c r="E48" s="65">
        <f>E16/E15</f>
        <v>57.444539872449873</v>
      </c>
      <c r="G48" s="65">
        <f>G16/G15</f>
        <v>55.520845620254875</v>
      </c>
      <c r="I48" s="65">
        <f>I16/I15</f>
        <v>52.823079771652338</v>
      </c>
      <c r="K48" s="65">
        <f>K16/K15</f>
        <v>50.730962586910891</v>
      </c>
      <c r="L48" s="65"/>
      <c r="M48" s="65">
        <f>M16/M15</f>
        <v>48.881935125091289</v>
      </c>
      <c r="Q48" s="66" t="s">
        <v>122</v>
      </c>
      <c r="R48" s="66"/>
      <c r="S48" s="72">
        <f>ROUND(((C34/AVERAGE(C16,E16))*100),2)</f>
        <v>9.27</v>
      </c>
      <c r="T48" s="54" t="s">
        <v>4</v>
      </c>
      <c r="U48" s="72">
        <f>ROUND(((E34/AVERAGE(E16,G16))*100),2)</f>
        <v>9.14</v>
      </c>
      <c r="V48" s="54" t="s">
        <v>4</v>
      </c>
      <c r="W48" s="72">
        <f>ROUND(((G34/AVERAGE(G16,I16))*100),2)</f>
        <v>9.4600000000000009</v>
      </c>
      <c r="X48" s="54" t="s">
        <v>4</v>
      </c>
      <c r="Y48" s="72">
        <f>ROUND(((I34/AVERAGE(I16,K16))*100),2)</f>
        <v>9.39</v>
      </c>
      <c r="Z48" s="54" t="s">
        <v>4</v>
      </c>
      <c r="AA48" s="72">
        <f>ROUND(((K34/AVERAGE(K16,M16))*100),2)</f>
        <v>9.4499999999999993</v>
      </c>
      <c r="AB48" s="54" t="s">
        <v>4</v>
      </c>
      <c r="AC48" s="72">
        <f>ROUND(AVERAGE(S48:AB48),2)</f>
        <v>9.34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L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6404616000</v>
      </c>
      <c r="E50" s="65">
        <f>SUM(E12:E13,E16:E17)</f>
        <v>5733159000</v>
      </c>
      <c r="G50" s="65">
        <f>SUM(G12:G13,G16:G17)</f>
        <v>5001384000</v>
      </c>
      <c r="I50" s="65">
        <f>SUM(I12:I13,I16:I17)</f>
        <v>4669076000</v>
      </c>
      <c r="K50" s="65">
        <f>SUM(K12:K13,K16:K17)</f>
        <v>4560394000</v>
      </c>
      <c r="L50" s="65"/>
      <c r="M50" s="65">
        <f>SUM(M12:M13,M16:M17)</f>
        <v>4301287000</v>
      </c>
      <c r="Q50" s="66" t="s">
        <v>124</v>
      </c>
      <c r="R50" s="66"/>
      <c r="S50" s="72">
        <f>ROUND((C54/C62),2)</f>
        <v>4.45</v>
      </c>
      <c r="T50" s="73" t="s">
        <v>125</v>
      </c>
      <c r="U50" s="72">
        <f>ROUND((E54/E62),2)</f>
        <v>4.5599999999999996</v>
      </c>
      <c r="V50" s="73" t="s">
        <v>125</v>
      </c>
      <c r="W50" s="72">
        <f>ROUND((G54/G62),2)</f>
        <v>3.85</v>
      </c>
      <c r="X50" s="73" t="s">
        <v>125</v>
      </c>
      <c r="Y50" s="72">
        <f>ROUND((I54/I62),2)</f>
        <v>3.59</v>
      </c>
      <c r="Z50" s="73" t="s">
        <v>125</v>
      </c>
      <c r="AA50" s="72">
        <f>ROUND((K54/K62),2)</f>
        <v>3.73</v>
      </c>
      <c r="AB50" s="73" t="s">
        <v>125</v>
      </c>
      <c r="AC50" s="72">
        <f>ROUND(AVERAGE(S50:AB50),2)</f>
        <v>4.04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L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102.94999999999999</v>
      </c>
      <c r="E52" s="65">
        <f>AVERAGE(E22:E23)</f>
        <v>101.19999999999999</v>
      </c>
      <c r="G52" s="65">
        <f>AVERAGE(G22:G23)</f>
        <v>106.58500000000001</v>
      </c>
      <c r="I52" s="65">
        <f>AVERAGE(I22:I23)</f>
        <v>99.724999999999994</v>
      </c>
      <c r="K52" s="65">
        <f>AVERAGE(K22:K23)</f>
        <v>93.76</v>
      </c>
      <c r="L52" s="65"/>
      <c r="M52" s="65">
        <f>AVERAGE(M22:M23)</f>
        <v>101.595</v>
      </c>
      <c r="Q52" s="66" t="s">
        <v>127</v>
      </c>
      <c r="R52" s="66"/>
      <c r="S52" s="72">
        <f>ROUND(((C60/C54)*100),2)</f>
        <v>16.64</v>
      </c>
      <c r="T52" s="73" t="s">
        <v>4</v>
      </c>
      <c r="U52" s="72">
        <f>ROUND(((E60/E54)*100),2)</f>
        <v>1.65</v>
      </c>
      <c r="V52" s="73" t="s">
        <v>4</v>
      </c>
      <c r="W52" s="72">
        <f>ROUND(((G60/G54)*100),2)</f>
        <v>15.3</v>
      </c>
      <c r="X52" s="73" t="s">
        <v>4</v>
      </c>
      <c r="Y52" s="72">
        <f>ROUND(((I60/I54)*100),2)</f>
        <v>15.01</v>
      </c>
      <c r="Z52" s="73" t="s">
        <v>4</v>
      </c>
      <c r="AA52" s="72">
        <f>ROUND(((K60/K54)*100),2)</f>
        <v>18.23</v>
      </c>
      <c r="AB52" s="73" t="s">
        <v>4</v>
      </c>
      <c r="AC52" s="72">
        <f>ROUND(AVERAGE(S52:AB52),2)</f>
        <v>13.37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L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3073662000</v>
      </c>
      <c r="E54" s="65">
        <f>+E19+E12</f>
        <v>2825590000</v>
      </c>
      <c r="G54" s="65">
        <f>+G19+G12</f>
        <v>2194145000</v>
      </c>
      <c r="I54" s="65">
        <f>+I19+I12</f>
        <v>2000640000</v>
      </c>
      <c r="K54" s="65">
        <f>+K19+K12</f>
        <v>2000414000</v>
      </c>
      <c r="L54" s="81"/>
      <c r="M54" s="65">
        <f>+M19+M12</f>
        <v>1836659000</v>
      </c>
      <c r="Q54" s="79" t="s">
        <v>128</v>
      </c>
      <c r="R54" s="79"/>
      <c r="S54" s="72">
        <f>S33</f>
        <v>47.99</v>
      </c>
      <c r="T54" s="73" t="s">
        <v>4</v>
      </c>
      <c r="U54" s="72">
        <f>U33</f>
        <v>49.29</v>
      </c>
      <c r="V54" s="73" t="s">
        <v>4</v>
      </c>
      <c r="W54" s="72">
        <f>W33</f>
        <v>43.87</v>
      </c>
      <c r="X54" s="73" t="s">
        <v>4</v>
      </c>
      <c r="Y54" s="72">
        <f>Y33</f>
        <v>42.85</v>
      </c>
      <c r="Z54" s="73" t="s">
        <v>4</v>
      </c>
      <c r="AA54" s="72">
        <f>AA33</f>
        <v>43.86</v>
      </c>
      <c r="AB54" s="73" t="s">
        <v>4</v>
      </c>
      <c r="AC54" s="72">
        <f>ROUND(AVERAGE(S54:AB54),2)</f>
        <v>45.57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L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6404616000</v>
      </c>
      <c r="E56" s="65">
        <f>SUM(E50,E19)</f>
        <v>5733159000</v>
      </c>
      <c r="G56" s="65">
        <f>SUM(G50,G19)</f>
        <v>5001384000</v>
      </c>
      <c r="I56" s="65">
        <f>SUM(I50,I19)</f>
        <v>4669076000</v>
      </c>
      <c r="K56" s="65">
        <f>SUM(K50,K19)</f>
        <v>4560394000</v>
      </c>
      <c r="L56" s="65"/>
      <c r="M56" s="65">
        <f>SUM(M50,M19)</f>
        <v>4301287000</v>
      </c>
    </row>
    <row r="57" spans="1:30" x14ac:dyDescent="0.2">
      <c r="C57" s="65"/>
      <c r="E57" s="65"/>
      <c r="G57" s="65"/>
      <c r="I57" s="65"/>
      <c r="K57" s="65"/>
      <c r="L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L58" s="65"/>
      <c r="M58" s="65">
        <f>SUM(M13,M17)</f>
        <v>0</v>
      </c>
    </row>
    <row r="59" spans="1:30" x14ac:dyDescent="0.2">
      <c r="C59" s="65"/>
      <c r="E59" s="65"/>
      <c r="G59" s="65"/>
      <c r="I59" s="65"/>
      <c r="K59" s="65"/>
      <c r="L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511482000</v>
      </c>
      <c r="E60" s="65">
        <f>ROUND(E41+E42-E28,3)</f>
        <v>46620000</v>
      </c>
      <c r="G60" s="65">
        <f>ROUND(G41+G42-G28,3)</f>
        <v>335684000</v>
      </c>
      <c r="I60" s="65">
        <f>ROUND(I41+I42-I28,3)</f>
        <v>300221000</v>
      </c>
      <c r="K60" s="65">
        <f>ROUND(K41+K42-K28,3)</f>
        <v>364616000</v>
      </c>
      <c r="L60" s="65"/>
      <c r="M60" s="65">
        <f>ROUND(M41+M42-M28,3)</f>
        <v>300591000</v>
      </c>
    </row>
    <row r="61" spans="1:30" x14ac:dyDescent="0.2">
      <c r="A61" s="82"/>
      <c r="L61" s="65"/>
    </row>
    <row r="62" spans="1:30" x14ac:dyDescent="0.2">
      <c r="A62" s="54" t="s">
        <v>131</v>
      </c>
      <c r="B62" s="54" t="s">
        <v>121</v>
      </c>
      <c r="C62" s="65">
        <f>C44+C43+C34+C30</f>
        <v>691287000</v>
      </c>
      <c r="E62" s="65">
        <f>E44+E43+E34+E30</f>
        <v>620301000</v>
      </c>
      <c r="G62" s="65">
        <f>G44+G43+G34+G30</f>
        <v>570192000</v>
      </c>
      <c r="I62" s="65">
        <f>I44+I43+I34+I30</f>
        <v>556708000</v>
      </c>
      <c r="K62" s="65">
        <f>K44+K43+K34+K30</f>
        <v>536769000</v>
      </c>
      <c r="L62" s="65"/>
      <c r="M62" s="65">
        <f>M44+M43+M34+M30</f>
        <v>523749000</v>
      </c>
    </row>
    <row r="81" spans="219:223" x14ac:dyDescent="0.2">
      <c r="HK81" s="84"/>
      <c r="HL81" s="84"/>
      <c r="HO81" s="54" t="s">
        <v>132</v>
      </c>
    </row>
  </sheetData>
  <mergeCells count="6">
    <mergeCell ref="AC25:AD25"/>
    <mergeCell ref="C6:M6"/>
    <mergeCell ref="C7:M7"/>
    <mergeCell ref="C8:M8"/>
    <mergeCell ref="W13:AB13"/>
    <mergeCell ref="AC24:AD24"/>
  </mergeCells>
  <printOptions horizontalCentered="1"/>
  <pageMargins left="0.75" right="0.75" top="1" bottom="1" header="0.5" footer="0.5"/>
  <pageSetup scale="36" orientation="landscape" horizontalDpi="300" verticalDpi="300" r:id="rId1"/>
  <headerFooter alignWithMargins="0">
    <oddHeader>&amp;R&amp;A
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7216-BF66-481E-92B5-78583965C1EF}">
  <dimension ref="A1:HQ154"/>
  <sheetViews>
    <sheetView zoomScale="85" zoomScaleNormal="85" workbookViewId="0"/>
  </sheetViews>
  <sheetFormatPr defaultColWidth="9" defaultRowHeight="12.75" x14ac:dyDescent="0.2"/>
  <cols>
    <col min="1" max="1" width="36.28515625" style="54" customWidth="1"/>
    <col min="2" max="2" width="15.28515625" style="54" bestFit="1" customWidth="1"/>
    <col min="3" max="3" width="19" style="54" customWidth="1"/>
    <col min="4" max="4" width="2.7109375" style="54" customWidth="1"/>
    <col min="5" max="5" width="19" style="54" customWidth="1"/>
    <col min="6" max="6" width="2.7109375" style="54" customWidth="1"/>
    <col min="7" max="7" width="16.28515625" style="54" bestFit="1" customWidth="1"/>
    <col min="8" max="8" width="2.7109375" style="54" customWidth="1"/>
    <col min="9" max="9" width="17.28515625" style="54" customWidth="1"/>
    <col min="10" max="10" width="3" style="54" customWidth="1"/>
    <col min="11" max="11" width="17.28515625" style="54" customWidth="1"/>
    <col min="12" max="12" width="3" style="54" customWidth="1"/>
    <col min="13" max="13" width="18" style="54" customWidth="1"/>
    <col min="14" max="16" width="3" style="54" customWidth="1"/>
    <col min="17" max="17" width="54" style="54" customWidth="1"/>
    <col min="18" max="18" width="3" style="54" customWidth="1"/>
    <col min="19" max="19" width="14" style="54" customWidth="1"/>
    <col min="20" max="20" width="4.5703125" style="54" customWidth="1"/>
    <col min="21" max="21" width="14" style="54" customWidth="1"/>
    <col min="22" max="22" width="4.5703125" style="54" customWidth="1"/>
    <col min="23" max="23" width="14.28515625" style="54" customWidth="1"/>
    <col min="24" max="24" width="4" style="54" customWidth="1"/>
    <col min="25" max="25" width="13.7109375" style="54" customWidth="1"/>
    <col min="26" max="26" width="3.5703125" style="54" customWidth="1"/>
    <col min="27" max="27" width="10.7109375" style="54" bestFit="1" customWidth="1"/>
    <col min="28" max="28" width="2.5703125" style="54" bestFit="1" customWidth="1"/>
    <col min="29" max="29" width="10.7109375" style="54" bestFit="1" customWidth="1"/>
    <col min="30" max="30" width="2.5703125" style="54" customWidth="1"/>
    <col min="31" max="31" width="10.5703125" style="54" customWidth="1"/>
    <col min="32" max="32" width="2.5703125" style="54" customWidth="1"/>
    <col min="33" max="33" width="9" style="54"/>
    <col min="34" max="34" width="4.28515625" style="54" customWidth="1"/>
    <col min="35" max="35" width="3.5703125" style="54" customWidth="1"/>
    <col min="36" max="36" width="22.28515625" style="54" customWidth="1"/>
    <col min="37" max="16384" width="9" style="54"/>
  </cols>
  <sheetData>
    <row r="1" spans="1:31" ht="16.5" customHeight="1" x14ac:dyDescent="0.2">
      <c r="A1" s="147"/>
    </row>
    <row r="2" spans="1:31" ht="16.5" customHeight="1" x14ac:dyDescent="0.2">
      <c r="A2" s="147"/>
      <c r="G2" s="147"/>
    </row>
    <row r="3" spans="1:31" ht="16.5" customHeight="1" x14ac:dyDescent="0.2">
      <c r="A3" s="147"/>
      <c r="C3" s="147"/>
      <c r="E3" s="147"/>
      <c r="G3" s="147"/>
    </row>
    <row r="4" spans="1:31" ht="16.5" customHeight="1" thickBot="1" x14ac:dyDescent="0.25">
      <c r="A4" s="147"/>
      <c r="C4" s="147"/>
      <c r="E4" s="147"/>
      <c r="I4" s="178"/>
      <c r="K4" s="178"/>
    </row>
    <row r="5" spans="1:31" ht="15" x14ac:dyDescent="0.35">
      <c r="A5" s="148" t="s">
        <v>136</v>
      </c>
    </row>
    <row r="6" spans="1:31" ht="15" customHeight="1" thickBot="1" x14ac:dyDescent="0.25">
      <c r="A6" s="149" t="s">
        <v>223</v>
      </c>
      <c r="I6" s="194" t="s">
        <v>238</v>
      </c>
      <c r="J6" s="194"/>
      <c r="K6" s="194"/>
      <c r="L6" s="194"/>
      <c r="M6" s="194"/>
      <c r="N6" s="194"/>
      <c r="O6" s="194"/>
      <c r="Q6" s="60" t="str">
        <f>I6</f>
        <v>Northwestern Corp.</v>
      </c>
      <c r="R6" s="60"/>
      <c r="S6" s="60"/>
      <c r="T6" s="60"/>
      <c r="U6" s="60"/>
      <c r="V6" s="60"/>
      <c r="W6" s="60"/>
      <c r="X6" s="60"/>
      <c r="Y6" s="60"/>
      <c r="Z6" s="61"/>
      <c r="AA6" s="61"/>
      <c r="AB6" s="62"/>
      <c r="AC6" s="61"/>
      <c r="AD6" s="61"/>
      <c r="AE6" s="61"/>
    </row>
    <row r="7" spans="1:31" ht="14.25" customHeight="1" x14ac:dyDescent="0.2">
      <c r="I7" s="195" t="s">
        <v>54</v>
      </c>
      <c r="J7" s="195"/>
      <c r="K7" s="195"/>
      <c r="L7" s="195"/>
      <c r="M7" s="195"/>
      <c r="N7" s="195"/>
      <c r="O7" s="195"/>
      <c r="Q7" s="61" t="str">
        <f>I7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14.25" customHeight="1" x14ac:dyDescent="0.2">
      <c r="I8" s="194" t="s">
        <v>138</v>
      </c>
      <c r="J8" s="194"/>
      <c r="K8" s="194"/>
      <c r="L8" s="194"/>
      <c r="M8" s="194"/>
      <c r="N8" s="194"/>
      <c r="O8" s="194"/>
      <c r="Q8" s="62" t="str">
        <f>I8</f>
        <v>2019 - 2024, Inclusive</v>
      </c>
      <c r="R8" s="62"/>
      <c r="S8" s="62"/>
      <c r="T8" s="62"/>
      <c r="U8" s="62"/>
      <c r="V8" s="62"/>
      <c r="W8" s="62"/>
      <c r="X8" s="62"/>
      <c r="Y8" s="62"/>
      <c r="Z8" s="61"/>
      <c r="AA8" s="61"/>
      <c r="AB8" s="62"/>
      <c r="AC8" s="61"/>
      <c r="AD8" s="61"/>
      <c r="AE8" s="61"/>
    </row>
    <row r="9" spans="1:31" ht="15.75" x14ac:dyDescent="0.25">
      <c r="D9" s="179"/>
      <c r="F9" s="179"/>
      <c r="Q9" s="61"/>
      <c r="R9" s="61"/>
      <c r="S9" s="61"/>
      <c r="T9" s="61"/>
      <c r="U9" s="61"/>
      <c r="V9" s="61"/>
      <c r="W9" s="61"/>
      <c r="X9" s="61"/>
      <c r="Y9" s="61"/>
      <c r="Z9" s="61"/>
      <c r="AA9" s="62"/>
      <c r="AB9" s="62"/>
      <c r="AC9" s="61"/>
      <c r="AD9" s="61"/>
      <c r="AE9" s="61"/>
    </row>
    <row r="10" spans="1:31" x14ac:dyDescent="0.2">
      <c r="B10" s="54" t="s">
        <v>211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O10" s="63"/>
      <c r="AA10" s="62"/>
      <c r="AB10" s="62"/>
      <c r="AC10" s="61"/>
      <c r="AD10" s="61"/>
    </row>
    <row r="11" spans="1:31" x14ac:dyDescent="0.2">
      <c r="A11" s="54" t="s">
        <v>57</v>
      </c>
    </row>
    <row r="12" spans="1:31" x14ac:dyDescent="0.2">
      <c r="A12" s="54" t="s">
        <v>58</v>
      </c>
      <c r="B12" s="54" t="s">
        <v>59</v>
      </c>
      <c r="C12" s="150">
        <f>(2695343+299950)*1000</f>
        <v>2995293000</v>
      </c>
      <c r="E12" s="150">
        <f>(2684635+99950)*1000</f>
        <v>2784585000</v>
      </c>
      <c r="G12" s="150">
        <f>(2474357+144525)*1000</f>
        <v>2618882000</v>
      </c>
      <c r="I12" s="150">
        <f>(2875+2541478)*1000</f>
        <v>2544353000</v>
      </c>
      <c r="K12" s="150">
        <f>(2668+2315261)*1000</f>
        <v>2317929000</v>
      </c>
      <c r="M12" s="150">
        <v>2233281000</v>
      </c>
      <c r="O12" s="150"/>
      <c r="S12" s="63"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  <c r="AC12" s="63">
        <f>M10</f>
        <v>2019</v>
      </c>
      <c r="AD12" s="63"/>
    </row>
    <row r="13" spans="1:31" ht="15" customHeight="1" x14ac:dyDescent="0.2">
      <c r="A13" s="54" t="s">
        <v>60</v>
      </c>
      <c r="B13" s="54" t="s">
        <v>61</v>
      </c>
      <c r="C13" s="150">
        <v>0</v>
      </c>
      <c r="E13" s="150">
        <v>0</v>
      </c>
      <c r="G13" s="54">
        <v>0</v>
      </c>
      <c r="I13" s="54">
        <v>0</v>
      </c>
      <c r="K13" s="54">
        <v>0</v>
      </c>
      <c r="M13" s="54">
        <v>0</v>
      </c>
      <c r="Y13" s="195" t="s">
        <v>62</v>
      </c>
      <c r="Z13" s="195"/>
      <c r="AA13" s="195"/>
      <c r="AB13" s="195"/>
      <c r="AC13" s="195"/>
      <c r="AD13" s="195"/>
      <c r="AE13" s="61" t="s">
        <v>63</v>
      </c>
    </row>
    <row r="14" spans="1:31" x14ac:dyDescent="0.2">
      <c r="C14" s="65"/>
      <c r="E14" s="65"/>
      <c r="Q14" s="66" t="s">
        <v>64</v>
      </c>
      <c r="R14" s="66"/>
      <c r="S14" s="66"/>
      <c r="T14" s="66"/>
      <c r="U14" s="66"/>
      <c r="V14" s="66"/>
      <c r="W14" s="66"/>
      <c r="X14" s="66"/>
      <c r="Z14" s="66"/>
    </row>
    <row r="15" spans="1:31" x14ac:dyDescent="0.2">
      <c r="A15" s="54" t="s">
        <v>65</v>
      </c>
      <c r="B15" s="54" t="s">
        <v>66</v>
      </c>
      <c r="C15" s="152">
        <v>64810932</v>
      </c>
      <c r="E15" s="152">
        <v>64761919</v>
      </c>
      <c r="G15" s="151">
        <v>63278307</v>
      </c>
      <c r="I15" s="151">
        <v>57606252</v>
      </c>
      <c r="K15" s="151">
        <v>54144775</v>
      </c>
      <c r="M15" s="151">
        <v>53999189</v>
      </c>
      <c r="O15" s="151"/>
    </row>
    <row r="16" spans="1:31" x14ac:dyDescent="0.2">
      <c r="A16" s="54" t="s">
        <v>6</v>
      </c>
      <c r="B16" s="54" t="s">
        <v>67</v>
      </c>
      <c r="C16" s="153">
        <f>1000*2857700</f>
        <v>2857700000</v>
      </c>
      <c r="E16" s="153">
        <f>1000*(2785314)</f>
        <v>2785314000</v>
      </c>
      <c r="G16" s="153">
        <f>2665183*1000</f>
        <v>2665183000</v>
      </c>
      <c r="I16" s="153">
        <f>2339713*1000</f>
        <v>2339713000</v>
      </c>
      <c r="K16" s="153">
        <f>2079095*1000</f>
        <v>2079095000</v>
      </c>
      <c r="M16" s="153">
        <v>2039094000</v>
      </c>
      <c r="O16" s="153"/>
      <c r="Q16" s="66" t="s">
        <v>68</v>
      </c>
      <c r="R16" s="66"/>
      <c r="S16" s="66"/>
      <c r="T16" s="66"/>
      <c r="U16" s="66"/>
      <c r="V16" s="66"/>
      <c r="W16" s="66"/>
      <c r="X16" s="66"/>
      <c r="Z16" s="66"/>
    </row>
    <row r="17" spans="1:32" x14ac:dyDescent="0.2">
      <c r="A17" s="54" t="s">
        <v>69</v>
      </c>
      <c r="B17" s="54" t="s">
        <v>66</v>
      </c>
      <c r="C17" s="153">
        <v>0</v>
      </c>
      <c r="E17" s="153">
        <v>0</v>
      </c>
      <c r="G17" s="54">
        <v>0</v>
      </c>
      <c r="I17" s="54">
        <v>0</v>
      </c>
      <c r="K17" s="54">
        <v>0</v>
      </c>
      <c r="M17" s="54">
        <v>0</v>
      </c>
      <c r="Q17" s="54" t="s">
        <v>70</v>
      </c>
      <c r="S17" s="69">
        <f>C50/1000000</f>
        <v>5852.9930000000004</v>
      </c>
      <c r="U17" s="69">
        <f>E50/1000000</f>
        <v>5569.8990000000003</v>
      </c>
      <c r="W17" s="69">
        <f>G50/1000000</f>
        <v>5284.0649999999996</v>
      </c>
      <c r="Y17" s="69">
        <f>I50/1000000</f>
        <v>4884.0659999999998</v>
      </c>
      <c r="AA17" s="69">
        <f>K50/1000000</f>
        <v>4397.0240000000003</v>
      </c>
      <c r="AB17" s="69"/>
      <c r="AC17" s="69">
        <f>M50/1000000</f>
        <v>4272.375</v>
      </c>
      <c r="AD17" s="69"/>
    </row>
    <row r="18" spans="1:32" x14ac:dyDescent="0.2">
      <c r="C18" s="65"/>
      <c r="E18" s="65"/>
      <c r="Q18" s="54" t="s">
        <v>71</v>
      </c>
      <c r="S18" s="70">
        <f>C19/1000000</f>
        <v>100</v>
      </c>
      <c r="U18" s="70">
        <f>E19/1000000</f>
        <v>0</v>
      </c>
      <c r="W18" s="70">
        <f>G19/1000000</f>
        <v>0</v>
      </c>
      <c r="Y18" s="70">
        <f>I19/1000000</f>
        <v>0</v>
      </c>
      <c r="AA18" s="70">
        <f>K19/1000000</f>
        <v>100</v>
      </c>
      <c r="AB18" s="69"/>
      <c r="AC18" s="70">
        <f>M19/1000000</f>
        <v>0</v>
      </c>
      <c r="AD18" s="69"/>
    </row>
    <row r="19" spans="1:32" x14ac:dyDescent="0.2">
      <c r="A19" s="54" t="s">
        <v>72</v>
      </c>
      <c r="B19" s="54" t="s">
        <v>73</v>
      </c>
      <c r="C19" s="153">
        <f>100000*1000</f>
        <v>100000000</v>
      </c>
      <c r="E19" s="153">
        <v>0</v>
      </c>
      <c r="G19" s="153">
        <v>0</v>
      </c>
      <c r="I19" s="153">
        <v>0</v>
      </c>
      <c r="K19" s="153">
        <f>100000*1000</f>
        <v>100000000</v>
      </c>
      <c r="M19" s="153">
        <v>0</v>
      </c>
      <c r="O19" s="153"/>
      <c r="Q19" s="54" t="s">
        <v>74</v>
      </c>
      <c r="S19" s="71">
        <f>SUM(S17:S18)</f>
        <v>5952.9930000000004</v>
      </c>
      <c r="U19" s="71">
        <f>SUM(U17:U18)</f>
        <v>5569.8990000000003</v>
      </c>
      <c r="W19" s="71">
        <f>SUM(W17:W18)</f>
        <v>5284.0649999999996</v>
      </c>
      <c r="Y19" s="71">
        <f>SUM(Y17:Y18)</f>
        <v>4884.0659999999998</v>
      </c>
      <c r="AA19" s="71">
        <f>SUM(AA17:AA18)</f>
        <v>4497.0240000000003</v>
      </c>
      <c r="AB19" s="69"/>
      <c r="AC19" s="71">
        <f>SUM(AC17:AC18)</f>
        <v>4272.375</v>
      </c>
      <c r="AD19" s="69"/>
    </row>
    <row r="20" spans="1:32" x14ac:dyDescent="0.2">
      <c r="C20" s="65"/>
      <c r="E20" s="65"/>
    </row>
    <row r="21" spans="1:32" x14ac:dyDescent="0.2">
      <c r="A21" s="54" t="s">
        <v>75</v>
      </c>
      <c r="B21" s="54" t="s">
        <v>76</v>
      </c>
      <c r="C21" s="65"/>
      <c r="E21" s="65">
        <v>3.22</v>
      </c>
      <c r="G21" s="65">
        <v>3.25</v>
      </c>
      <c r="I21" s="65">
        <v>3.6</v>
      </c>
      <c r="K21" s="65">
        <v>3.06</v>
      </c>
      <c r="M21" s="65">
        <v>3.98</v>
      </c>
      <c r="O21" s="65"/>
      <c r="Q21" s="66" t="s">
        <v>77</v>
      </c>
      <c r="R21" s="66"/>
      <c r="T21" s="66"/>
      <c r="V21" s="66"/>
      <c r="X21" s="66"/>
      <c r="Z21" s="66"/>
    </row>
    <row r="22" spans="1:32" x14ac:dyDescent="0.2">
      <c r="A22" s="54" t="s">
        <v>78</v>
      </c>
      <c r="B22" s="54" t="s">
        <v>79</v>
      </c>
      <c r="E22" s="54">
        <v>61.07</v>
      </c>
      <c r="G22" s="54">
        <v>62.72</v>
      </c>
      <c r="I22" s="54">
        <v>70.33</v>
      </c>
      <c r="K22" s="54">
        <v>80.22</v>
      </c>
      <c r="M22" s="54">
        <v>76.05</v>
      </c>
      <c r="Q22" s="54" t="s">
        <v>80</v>
      </c>
      <c r="S22" s="72">
        <f>(ROUND((C30/(AVERAGE(C54,E54))*100),2))</f>
        <v>0</v>
      </c>
      <c r="T22" s="73" t="s">
        <v>4</v>
      </c>
      <c r="U22" s="72">
        <f>(ROUND((E30/(AVERAGE(E54,G54))*100),2))</f>
        <v>4.24</v>
      </c>
      <c r="V22" s="73" t="s">
        <v>4</v>
      </c>
      <c r="W22" s="72">
        <f>(ROUND((G30/(AVERAGE(G54,I54))*100),2))</f>
        <v>3.88</v>
      </c>
      <c r="X22" s="73" t="s">
        <v>4</v>
      </c>
      <c r="Y22" s="72">
        <f>(ROUND((I30/(AVERAGE(I54,K54))*100),2))</f>
        <v>3.78</v>
      </c>
      <c r="Z22" s="73" t="s">
        <v>4</v>
      </c>
      <c r="AA22" s="72">
        <f>(ROUND((K30/(AVERAGE(K54,M54))*100),2))</f>
        <v>4.16</v>
      </c>
      <c r="AB22" s="73" t="s">
        <v>4</v>
      </c>
      <c r="AC22" s="72">
        <f>(ROUND((M30/(AVERAGE(M54,O54))*100),2))</f>
        <v>4.26</v>
      </c>
      <c r="AD22" s="73" t="s">
        <v>4</v>
      </c>
      <c r="AE22" s="58"/>
    </row>
    <row r="23" spans="1:32" x14ac:dyDescent="0.2">
      <c r="A23" s="54" t="s">
        <v>81</v>
      </c>
      <c r="B23" s="54" t="s">
        <v>79</v>
      </c>
      <c r="E23" s="54">
        <v>46.55</v>
      </c>
      <c r="G23" s="54">
        <v>49.28</v>
      </c>
      <c r="I23" s="54">
        <v>54.47</v>
      </c>
      <c r="K23" s="54">
        <v>48.01</v>
      </c>
      <c r="M23" s="54">
        <v>58.03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  <c r="AC23" s="72"/>
      <c r="AD23" s="73"/>
    </row>
    <row r="24" spans="1:32" x14ac:dyDescent="0.2">
      <c r="C24" s="65"/>
      <c r="E24" s="65"/>
      <c r="AE24" s="194" t="s">
        <v>1</v>
      </c>
      <c r="AF24" s="194"/>
    </row>
    <row r="25" spans="1:32" x14ac:dyDescent="0.2">
      <c r="C25" s="65"/>
      <c r="E25" s="65"/>
      <c r="Q25" s="66" t="s">
        <v>83</v>
      </c>
      <c r="R25" s="66"/>
      <c r="AE25" s="194" t="s">
        <v>2</v>
      </c>
      <c r="AF25" s="194"/>
    </row>
    <row r="26" spans="1:32" x14ac:dyDescent="0.2">
      <c r="A26" s="54" t="s">
        <v>84</v>
      </c>
      <c r="B26" s="54" t="s">
        <v>79</v>
      </c>
      <c r="C26" s="64"/>
      <c r="E26" s="64">
        <v>2.56</v>
      </c>
      <c r="G26" s="54">
        <v>2.52</v>
      </c>
      <c r="I26" s="54">
        <v>2.48</v>
      </c>
      <c r="K26" s="54">
        <v>2.4</v>
      </c>
      <c r="M26" s="54">
        <v>2.2999999999999998</v>
      </c>
      <c r="Q26" s="54" t="s">
        <v>85</v>
      </c>
    </row>
    <row r="27" spans="1:32" x14ac:dyDescent="0.2">
      <c r="C27" s="65"/>
      <c r="E27" s="65"/>
      <c r="Q27" s="54" t="s">
        <v>86</v>
      </c>
      <c r="S27" s="72">
        <f>ROUND(((C12/C50)*100),2)</f>
        <v>51.18</v>
      </c>
      <c r="T27" s="73" t="s">
        <v>4</v>
      </c>
      <c r="U27" s="72">
        <f>ROUND(((E12/E50)*100),2)</f>
        <v>49.99</v>
      </c>
      <c r="V27" s="73" t="s">
        <v>4</v>
      </c>
      <c r="W27" s="72">
        <f>ROUND(((G12/G50)*100),2)</f>
        <v>49.56</v>
      </c>
      <c r="X27" s="73" t="s">
        <v>4</v>
      </c>
      <c r="Y27" s="72">
        <f>ROUND(((I12/I50)*100),2)</f>
        <v>52.09</v>
      </c>
      <c r="Z27" s="73" t="s">
        <v>4</v>
      </c>
      <c r="AA27" s="72">
        <f>ROUND(((K12/K50)*100),2)</f>
        <v>52.72</v>
      </c>
      <c r="AB27" s="73" t="s">
        <v>4</v>
      </c>
      <c r="AC27" s="72">
        <f>ROUND(((M12/M50)*100),2)</f>
        <v>52.27</v>
      </c>
      <c r="AD27" s="73" t="s">
        <v>4</v>
      </c>
      <c r="AE27" s="72">
        <f>ROUND(AVERAGE(U27:AD27),2)</f>
        <v>51.33</v>
      </c>
      <c r="AF27" s="73" t="s">
        <v>4</v>
      </c>
    </row>
    <row r="28" spans="1:32" x14ac:dyDescent="0.2">
      <c r="A28" s="54" t="s">
        <v>87</v>
      </c>
      <c r="B28" s="54" t="s">
        <v>87</v>
      </c>
      <c r="C28" s="65"/>
      <c r="E28" s="65">
        <f>24.3*1000000</f>
        <v>24300000</v>
      </c>
      <c r="G28" s="151">
        <f>20.2*1000000</f>
        <v>20200000</v>
      </c>
      <c r="I28" s="151">
        <f>15.9*1000000</f>
        <v>15900000</v>
      </c>
      <c r="K28" s="151">
        <f>9.8*1000000</f>
        <v>9800000</v>
      </c>
      <c r="M28" s="151">
        <v>8200000</v>
      </c>
      <c r="O28" s="151"/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ROUND(((SUM(M13,M17)/M50)*100),2)</f>
        <v>0</v>
      </c>
      <c r="AD28" s="73"/>
      <c r="AE28" s="72">
        <f t="shared" ref="AE28:AE29" si="0">ROUND(AVERAGE(U28:AD28),2)</f>
        <v>0</v>
      </c>
      <c r="AF28" s="73"/>
    </row>
    <row r="29" spans="1:32" x14ac:dyDescent="0.2">
      <c r="C29" s="65"/>
      <c r="E29" s="65"/>
      <c r="Q29" s="54" t="s">
        <v>89</v>
      </c>
      <c r="S29" s="74">
        <f>ROUND(((C16/C50)*100),2)</f>
        <v>48.82</v>
      </c>
      <c r="T29" s="73"/>
      <c r="U29" s="74">
        <f>ROUND(((E16/E50)*100),2)</f>
        <v>50.01</v>
      </c>
      <c r="V29" s="73"/>
      <c r="W29" s="74">
        <f>ROUND(((G16/G50)*100),2)</f>
        <v>50.44</v>
      </c>
      <c r="X29" s="73"/>
      <c r="Y29" s="74">
        <f>ROUND(((I16/I50)*100),2)</f>
        <v>47.91</v>
      </c>
      <c r="Z29" s="73"/>
      <c r="AA29" s="74">
        <f>ROUND(((K16/K50)*100),2)</f>
        <v>47.28</v>
      </c>
      <c r="AB29" s="73"/>
      <c r="AC29" s="74">
        <f>ROUND(((M16/M50)*100),2)</f>
        <v>47.73</v>
      </c>
      <c r="AD29" s="73"/>
      <c r="AE29" s="72">
        <f t="shared" si="0"/>
        <v>48.67</v>
      </c>
      <c r="AF29" s="73"/>
    </row>
    <row r="30" spans="1:32" x14ac:dyDescent="0.2">
      <c r="A30" s="54" t="s">
        <v>90</v>
      </c>
      <c r="B30" s="54" t="s">
        <v>91</v>
      </c>
      <c r="C30" s="153"/>
      <c r="E30" s="153">
        <f>114617*1000</f>
        <v>114617000</v>
      </c>
      <c r="G30" s="151">
        <f>100110*1000</f>
        <v>100110000</v>
      </c>
      <c r="I30" s="151">
        <f>93674*1000</f>
        <v>93674000</v>
      </c>
      <c r="K30" s="151">
        <f>96812*1000</f>
        <v>96812000</v>
      </c>
      <c r="M30" s="151">
        <v>95068000</v>
      </c>
      <c r="O30" s="151"/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  <c r="AE30" s="75">
        <f>SUM(AE27:AE29)</f>
        <v>100</v>
      </c>
      <c r="AF30" s="73" t="s">
        <v>4</v>
      </c>
    </row>
    <row r="31" spans="1:32" x14ac:dyDescent="0.2">
      <c r="C31" s="65"/>
      <c r="E31" s="65"/>
    </row>
    <row r="32" spans="1:32" x14ac:dyDescent="0.2">
      <c r="A32" s="54" t="s">
        <v>93</v>
      </c>
      <c r="B32" s="54" t="s">
        <v>94</v>
      </c>
      <c r="C32" s="153"/>
      <c r="E32" s="153">
        <f>194131*1000</f>
        <v>194131000</v>
      </c>
      <c r="G32" s="153">
        <f>183008*1000</f>
        <v>183008000</v>
      </c>
      <c r="I32" s="153">
        <f>186840*1000</f>
        <v>186840000</v>
      </c>
      <c r="K32" s="153">
        <f>155215*1000</f>
        <v>155215000</v>
      </c>
      <c r="M32" s="153">
        <v>202120000</v>
      </c>
      <c r="O32" s="153"/>
      <c r="Q32" s="54" t="s">
        <v>95</v>
      </c>
    </row>
    <row r="33" spans="1:32" x14ac:dyDescent="0.2">
      <c r="A33" s="76"/>
      <c r="B33" s="76"/>
      <c r="C33" s="78"/>
      <c r="D33" s="76"/>
      <c r="E33" s="78"/>
      <c r="F33" s="76"/>
      <c r="G33" s="76"/>
      <c r="H33" s="76"/>
      <c r="I33" s="76"/>
      <c r="J33" s="76"/>
      <c r="K33" s="76"/>
      <c r="L33" s="76"/>
      <c r="M33" s="76"/>
      <c r="N33" s="76"/>
      <c r="O33" s="76"/>
      <c r="Q33" s="54" t="s">
        <v>96</v>
      </c>
      <c r="S33" s="72">
        <f>ROUND((((C12+C19)/C56)*100),2)</f>
        <v>52</v>
      </c>
      <c r="T33" s="73" t="s">
        <v>4</v>
      </c>
      <c r="U33" s="72">
        <f>ROUND((((E12+E19)/E56)*100),2)</f>
        <v>49.99</v>
      </c>
      <c r="V33" s="73" t="s">
        <v>4</v>
      </c>
      <c r="W33" s="72">
        <f>ROUND((((G12+G19)/G56)*100),2)</f>
        <v>49.56</v>
      </c>
      <c r="X33" s="73" t="s">
        <v>4</v>
      </c>
      <c r="Y33" s="72">
        <f>ROUND((((I12+I19)/I56)*100),2)</f>
        <v>52.09</v>
      </c>
      <c r="Z33" s="73" t="s">
        <v>4</v>
      </c>
      <c r="AA33" s="72">
        <f>ROUND((((K12+K19)/K56)*100),2)</f>
        <v>53.77</v>
      </c>
      <c r="AB33" s="73" t="s">
        <v>4</v>
      </c>
      <c r="AC33" s="72">
        <f>ROUND((((M12+M19)/M56)*100),2)</f>
        <v>52.27</v>
      </c>
      <c r="AD33" s="73" t="s">
        <v>4</v>
      </c>
      <c r="AE33" s="72">
        <f>ROUND(AVERAGE(U33:AD33),2)</f>
        <v>51.54</v>
      </c>
      <c r="AF33" s="73" t="s">
        <v>4</v>
      </c>
    </row>
    <row r="34" spans="1:32" x14ac:dyDescent="0.2">
      <c r="A34" s="54" t="s">
        <v>97</v>
      </c>
      <c r="B34" s="54" t="s">
        <v>98</v>
      </c>
      <c r="C34" s="153"/>
      <c r="E34" s="153">
        <f>194131*1000</f>
        <v>194131000</v>
      </c>
      <c r="G34" s="153">
        <f>G32</f>
        <v>183008000</v>
      </c>
      <c r="I34" s="153">
        <f>I32</f>
        <v>186840000</v>
      </c>
      <c r="K34" s="153">
        <f>K32</f>
        <v>155215000</v>
      </c>
      <c r="M34" s="153">
        <f>M32</f>
        <v>202120000</v>
      </c>
      <c r="O34" s="153"/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ROUND((((SUM(M13,M17))/M56)*100),2)</f>
        <v>0</v>
      </c>
      <c r="AD34" s="73"/>
      <c r="AE34" s="72">
        <f t="shared" ref="AE34:AE35" si="1">ROUND(AVERAGE(U34:AD34),2)</f>
        <v>0</v>
      </c>
      <c r="AF34" s="73"/>
    </row>
    <row r="35" spans="1:32" x14ac:dyDescent="0.2">
      <c r="C35" s="65"/>
      <c r="E35" s="65"/>
      <c r="Q35" s="54" t="s">
        <v>89</v>
      </c>
      <c r="S35" s="74">
        <f>ROUND((((C16)/C56)*100),2)</f>
        <v>48</v>
      </c>
      <c r="T35" s="73"/>
      <c r="U35" s="74">
        <f>ROUND((((E16)/E56)*100),2)</f>
        <v>50.01</v>
      </c>
      <c r="V35" s="73"/>
      <c r="W35" s="74">
        <f>ROUND((((G16)/G56)*100),2)</f>
        <v>50.44</v>
      </c>
      <c r="X35" s="73"/>
      <c r="Y35" s="74">
        <f>ROUND((((I16)/I56)*100),2)</f>
        <v>47.91</v>
      </c>
      <c r="Z35" s="73"/>
      <c r="AA35" s="74">
        <f>ROUND((((K16)/K56)*100),2)</f>
        <v>46.23</v>
      </c>
      <c r="AB35" s="73"/>
      <c r="AC35" s="74">
        <f>ROUND((((M16)/M56)*100),2)</f>
        <v>47.73</v>
      </c>
      <c r="AD35" s="73"/>
      <c r="AE35" s="72">
        <f t="shared" si="1"/>
        <v>48.46</v>
      </c>
      <c r="AF35" s="73"/>
    </row>
    <row r="36" spans="1:32" x14ac:dyDescent="0.2">
      <c r="A36" s="54" t="s">
        <v>99</v>
      </c>
      <c r="B36" s="54" t="s">
        <v>100</v>
      </c>
      <c r="C36" s="153"/>
      <c r="E36" s="153">
        <v>0</v>
      </c>
      <c r="G36" s="54">
        <v>0</v>
      </c>
      <c r="I36" s="54">
        <v>0</v>
      </c>
      <c r="K36" s="54">
        <v>0</v>
      </c>
      <c r="M36" s="54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  <c r="AE36" s="75">
        <f>SUM(AE33:AE35)</f>
        <v>100</v>
      </c>
      <c r="AF36" s="73" t="s">
        <v>4</v>
      </c>
    </row>
    <row r="37" spans="1:32" x14ac:dyDescent="0.2">
      <c r="C37" s="65"/>
      <c r="E37" s="65"/>
    </row>
    <row r="38" spans="1:32" x14ac:dyDescent="0.2">
      <c r="A38" s="54" t="s">
        <v>101</v>
      </c>
      <c r="B38" s="54" t="s">
        <v>102</v>
      </c>
      <c r="C38" s="152"/>
      <c r="E38" s="152">
        <f>1000*154050</f>
        <v>154050000</v>
      </c>
      <c r="G38" s="153">
        <f>140062*1000</f>
        <v>140062000</v>
      </c>
      <c r="I38" s="153">
        <f>128483*1000</f>
        <v>128483000</v>
      </c>
      <c r="K38" s="153">
        <f>120350*1000</f>
        <v>120350000</v>
      </c>
      <c r="M38" s="153">
        <v>115127000</v>
      </c>
      <c r="O38" s="153"/>
    </row>
    <row r="39" spans="1:32" x14ac:dyDescent="0.2">
      <c r="C39" s="65"/>
      <c r="E39" s="65"/>
    </row>
    <row r="40" spans="1:32" x14ac:dyDescent="0.2">
      <c r="A40" s="54" t="s">
        <v>103</v>
      </c>
      <c r="B40" s="54" t="s">
        <v>104</v>
      </c>
      <c r="C40" s="153"/>
      <c r="E40" s="153">
        <f>E32</f>
        <v>194131000</v>
      </c>
      <c r="G40" s="153">
        <f>G32</f>
        <v>183008000</v>
      </c>
      <c r="I40" s="153">
        <f>I32</f>
        <v>186840000</v>
      </c>
      <c r="K40" s="153">
        <f>K32</f>
        <v>155215000</v>
      </c>
      <c r="M40" s="153">
        <f>M32</f>
        <v>202120000</v>
      </c>
      <c r="O40" s="153"/>
      <c r="Q40" s="66" t="s">
        <v>105</v>
      </c>
      <c r="R40" s="66"/>
      <c r="S40" s="66"/>
      <c r="T40" s="66"/>
      <c r="U40" s="66"/>
      <c r="V40" s="66"/>
    </row>
    <row r="41" spans="1:32" x14ac:dyDescent="0.2">
      <c r="A41" s="54" t="s">
        <v>106</v>
      </c>
      <c r="B41" s="54" t="s">
        <v>107</v>
      </c>
      <c r="C41" s="65"/>
      <c r="E41" s="65">
        <f>489231*1000</f>
        <v>489231000</v>
      </c>
      <c r="G41" s="65">
        <f>307242*1000</f>
        <v>307242000</v>
      </c>
      <c r="I41" s="65">
        <f>219978*1000</f>
        <v>219978000</v>
      </c>
      <c r="K41" s="65">
        <f>352149*1000</f>
        <v>352149000</v>
      </c>
      <c r="M41" s="65">
        <v>296720000</v>
      </c>
      <c r="O41" s="65"/>
      <c r="Q41" s="66"/>
      <c r="R41" s="66"/>
      <c r="S41" s="66"/>
      <c r="T41" s="66"/>
      <c r="U41" s="66"/>
      <c r="V41" s="66"/>
    </row>
    <row r="42" spans="1:32" x14ac:dyDescent="0.2">
      <c r="A42" s="54" t="s">
        <v>108</v>
      </c>
      <c r="B42" s="54" t="s">
        <v>109</v>
      </c>
      <c r="C42" s="150"/>
      <c r="E42" s="150">
        <f>(32695-7180+2644-54722-3377+105588+39957)*1000</f>
        <v>115605000</v>
      </c>
      <c r="G42" s="65">
        <f>(-46282-26744-3833+50537+16846-20512-7034)*1000</f>
        <v>-37022000</v>
      </c>
      <c r="I42" s="65">
        <f>(-30442-19604-6835+7494+26055-69616-27674)*1000</f>
        <v>-120622000</v>
      </c>
      <c r="K42" s="65">
        <f>(-824-7085-3477+16043+5909+14749+22773)*1000</f>
        <v>48088000</v>
      </c>
      <c r="M42" s="65">
        <f>(-5032-3110-3140-1821-16023-16028-7796-11680-6528)*1000</f>
        <v>-71158000</v>
      </c>
      <c r="O42" s="65"/>
      <c r="Q42" s="66" t="s">
        <v>110</v>
      </c>
      <c r="R42" s="66"/>
      <c r="S42" s="66"/>
      <c r="T42" s="66"/>
      <c r="U42" s="66"/>
      <c r="V42" s="66"/>
    </row>
    <row r="43" spans="1:32" x14ac:dyDescent="0.2">
      <c r="A43" s="54" t="s">
        <v>111</v>
      </c>
      <c r="B43" s="54" t="s">
        <v>112</v>
      </c>
      <c r="C43" s="65"/>
      <c r="E43" s="65">
        <f>210474*1000</f>
        <v>210474000</v>
      </c>
      <c r="G43" s="65">
        <f>195020*1000</f>
        <v>195020000</v>
      </c>
      <c r="I43" s="65">
        <f>187467*1000</f>
        <v>187467000</v>
      </c>
      <c r="K43" s="65">
        <f>179644*1000</f>
        <v>179644000</v>
      </c>
      <c r="M43" s="65">
        <v>172923000</v>
      </c>
      <c r="O43" s="65"/>
      <c r="Q43" s="54" t="s">
        <v>113</v>
      </c>
      <c r="S43" s="72"/>
      <c r="T43" s="73" t="s">
        <v>4</v>
      </c>
      <c r="U43" s="72">
        <f>ROUND(E21/E52,4)*100</f>
        <v>5.9799999999999995</v>
      </c>
      <c r="V43" s="73" t="s">
        <v>4</v>
      </c>
      <c r="W43" s="72">
        <f>ROUND(G21/G52,4)*100</f>
        <v>5.8000000000000007</v>
      </c>
      <c r="X43" s="73" t="s">
        <v>4</v>
      </c>
      <c r="Y43" s="72">
        <f>ROUND(I21/I52,4)*100</f>
        <v>5.7700000000000005</v>
      </c>
      <c r="Z43" s="73" t="s">
        <v>4</v>
      </c>
      <c r="AA43" s="72">
        <f>ROUND(K21/K52,4)*100</f>
        <v>4.7699999999999996</v>
      </c>
      <c r="AB43" s="73" t="s">
        <v>4</v>
      </c>
      <c r="AC43" s="72">
        <f>ROUND(M21/M52,4)*100</f>
        <v>5.94</v>
      </c>
      <c r="AD43" s="73" t="s">
        <v>4</v>
      </c>
      <c r="AE43" s="72">
        <f>ROUND(AVERAGE(U43:AD43),2)</f>
        <v>5.65</v>
      </c>
      <c r="AF43" s="73" t="s">
        <v>4</v>
      </c>
    </row>
    <row r="44" spans="1:32" x14ac:dyDescent="0.2">
      <c r="A44" s="54" t="s">
        <v>114</v>
      </c>
      <c r="B44" s="54" t="s">
        <v>115</v>
      </c>
      <c r="C44" s="65"/>
      <c r="E44" s="65">
        <f>-7539*1000</f>
        <v>-7539000</v>
      </c>
      <c r="G44" s="151">
        <f>605*1000</f>
        <v>605000</v>
      </c>
      <c r="I44" s="151">
        <f>-3419*1000</f>
        <v>-3419000</v>
      </c>
      <c r="K44" s="151">
        <f>10970*1000</f>
        <v>10970000</v>
      </c>
      <c r="M44" s="151">
        <v>19925000</v>
      </c>
      <c r="O44" s="151"/>
      <c r="Q44" s="54" t="s">
        <v>116</v>
      </c>
      <c r="S44" s="72"/>
      <c r="U44" s="72">
        <f>(ROUND((E52/(AVERAGE(E48,G48))*100),2))</f>
        <v>126.42</v>
      </c>
      <c r="W44" s="72">
        <f>(ROUND((G52/(AVERAGE(G48,I48))*100),2))</f>
        <v>135.37</v>
      </c>
      <c r="Y44" s="72">
        <f>(ROUND((I52/(AVERAGE(I48,K48))*100),2))</f>
        <v>157.94999999999999</v>
      </c>
      <c r="AA44" s="72">
        <f>(ROUND((K52/(AVERAGE(K48,M48))*100),2))</f>
        <v>168.37</v>
      </c>
      <c r="AC44" s="72">
        <f>(ROUND((M52/(AVERAGE(M48,O48))*100),2))</f>
        <v>177.54</v>
      </c>
      <c r="AE44" s="72">
        <f t="shared" ref="AE44:AE46" si="2">ROUND(AVERAGE(U44:AD44),2)</f>
        <v>153.13</v>
      </c>
    </row>
    <row r="45" spans="1:32" x14ac:dyDescent="0.2">
      <c r="C45" s="65"/>
      <c r="E45" s="65"/>
      <c r="Q45" s="54" t="s">
        <v>117</v>
      </c>
      <c r="S45" s="72"/>
      <c r="U45" s="72">
        <f>ROUND(((+E26/E52)*100),2)</f>
        <v>4.76</v>
      </c>
      <c r="W45" s="72">
        <f>ROUND(((+G26/G52)*100),2)</f>
        <v>4.5</v>
      </c>
      <c r="Y45" s="72">
        <f>ROUND(((+I26/I52)*100),2)</f>
        <v>3.97</v>
      </c>
      <c r="AA45" s="72">
        <f>ROUND(((+K26/K52)*100),2)</f>
        <v>3.74</v>
      </c>
      <c r="AC45" s="72">
        <f>ROUND(((+M26/M52)*100),2)</f>
        <v>3.43</v>
      </c>
      <c r="AE45" s="72">
        <f t="shared" si="2"/>
        <v>4.08</v>
      </c>
    </row>
    <row r="46" spans="1:32" x14ac:dyDescent="0.2">
      <c r="A46" s="54" t="s">
        <v>118</v>
      </c>
      <c r="C46" s="65"/>
      <c r="E46" s="65"/>
      <c r="Q46" s="54" t="s">
        <v>119</v>
      </c>
      <c r="S46" s="72"/>
      <c r="U46" s="72">
        <f>ROUND(((+E38/E34)*100),2)</f>
        <v>79.349999999999994</v>
      </c>
      <c r="W46" s="72">
        <f>ROUND(((+G38/G34)*100),2)</f>
        <v>76.53</v>
      </c>
      <c r="Y46" s="72">
        <f>ROUND(((+I38/I34)*100),2)</f>
        <v>68.77</v>
      </c>
      <c r="AA46" s="72">
        <f>ROUND(((+K38/K34)*100),2)</f>
        <v>77.540000000000006</v>
      </c>
      <c r="AC46" s="72">
        <f>ROUND(((+M38/M34)*100),2)</f>
        <v>56.96</v>
      </c>
      <c r="AE46" s="72">
        <f t="shared" si="2"/>
        <v>71.83</v>
      </c>
    </row>
    <row r="47" spans="1:32" x14ac:dyDescent="0.2">
      <c r="C47" s="65"/>
      <c r="E47" s="65"/>
      <c r="S47" s="72"/>
      <c r="U47" s="72"/>
      <c r="W47" s="72"/>
      <c r="Y47" s="72"/>
      <c r="AA47" s="72"/>
      <c r="AC47" s="72"/>
      <c r="AE47" s="72"/>
    </row>
    <row r="48" spans="1:32" x14ac:dyDescent="0.2">
      <c r="A48" s="54" t="s">
        <v>120</v>
      </c>
      <c r="B48" s="54" t="s">
        <v>121</v>
      </c>
      <c r="C48" s="65">
        <f>C16/C15</f>
        <v>44.092870011497446</v>
      </c>
      <c r="E48" s="65">
        <f>E16/E15</f>
        <v>43.008515544451363</v>
      </c>
      <c r="G48" s="65">
        <f>G16/G15</f>
        <v>42.118430886591199</v>
      </c>
      <c r="I48" s="65">
        <f>I16/I15</f>
        <v>40.615608875231111</v>
      </c>
      <c r="K48" s="65">
        <f>K16/K15</f>
        <v>38.398811334981076</v>
      </c>
      <c r="L48" s="65"/>
      <c r="M48" s="65">
        <f>M16/M15</f>
        <v>37.761567122795121</v>
      </c>
      <c r="N48" s="65"/>
      <c r="O48" s="65"/>
      <c r="Q48" s="66" t="s">
        <v>122</v>
      </c>
      <c r="R48" s="66"/>
      <c r="S48" s="72"/>
      <c r="T48" s="54" t="s">
        <v>4</v>
      </c>
      <c r="U48" s="72">
        <f>ROUND(((E34/AVERAGE(E16,G16))*100),2)</f>
        <v>7.12</v>
      </c>
      <c r="V48" s="54" t="s">
        <v>4</v>
      </c>
      <c r="W48" s="72">
        <f>ROUND(((G34/AVERAGE(G16,I16))*100),2)</f>
        <v>7.31</v>
      </c>
      <c r="X48" s="54" t="s">
        <v>4</v>
      </c>
      <c r="Y48" s="72">
        <f>ROUND(((I34/AVERAGE(I16,K16))*100),2)</f>
        <v>8.4600000000000009</v>
      </c>
      <c r="Z48" s="54" t="s">
        <v>4</v>
      </c>
      <c r="AA48" s="72">
        <f>ROUND(((K34/AVERAGE(K16,M16))*100),2)</f>
        <v>7.54</v>
      </c>
      <c r="AB48" s="54" t="s">
        <v>4</v>
      </c>
      <c r="AC48" s="72">
        <f>ROUND(((M34/AVERAGE(M16,O16))*100),2)</f>
        <v>9.91</v>
      </c>
      <c r="AD48" s="54" t="s">
        <v>4</v>
      </c>
      <c r="AE48" s="72">
        <f>ROUND(AVERAGE(U48:AD48),2)</f>
        <v>8.07</v>
      </c>
      <c r="AF48" s="54" t="s">
        <v>4</v>
      </c>
    </row>
    <row r="49" spans="1:32" x14ac:dyDescent="0.2">
      <c r="C49" s="65"/>
      <c r="E49" s="65"/>
      <c r="G49" s="65"/>
      <c r="I49" s="65"/>
      <c r="K49" s="65"/>
      <c r="L49" s="65"/>
      <c r="M49" s="65"/>
      <c r="N49" s="65"/>
      <c r="O49" s="65"/>
      <c r="S49" s="72"/>
      <c r="U49" s="72"/>
      <c r="W49" s="72"/>
      <c r="Y49" s="72"/>
      <c r="AA49" s="72"/>
      <c r="AC49" s="72"/>
      <c r="AE49" s="73"/>
    </row>
    <row r="50" spans="1:32" x14ac:dyDescent="0.2">
      <c r="A50" s="54" t="s">
        <v>123</v>
      </c>
      <c r="B50" s="54" t="s">
        <v>121</v>
      </c>
      <c r="C50" s="65">
        <f>SUM(C12:C13,C16:C17)</f>
        <v>5852993000</v>
      </c>
      <c r="E50" s="65">
        <f>SUM(E12:E13,E16:E17)</f>
        <v>5569899000</v>
      </c>
      <c r="G50" s="65">
        <f>SUM(G12:G13,G16:G17)</f>
        <v>5284065000</v>
      </c>
      <c r="I50" s="65">
        <f>SUM(I12:I13,I16:I17)</f>
        <v>4884066000</v>
      </c>
      <c r="K50" s="65">
        <f>SUM(K12:K13,K16:K17)</f>
        <v>4397024000</v>
      </c>
      <c r="L50" s="65"/>
      <c r="M50" s="65">
        <f>SUM(M12:M13,M16:M17)</f>
        <v>4272375000</v>
      </c>
      <c r="N50" s="65"/>
      <c r="O50" s="65"/>
      <c r="Q50" s="66" t="s">
        <v>124</v>
      </c>
      <c r="R50" s="66"/>
      <c r="S50" s="72"/>
      <c r="T50" s="73" t="s">
        <v>125</v>
      </c>
      <c r="U50" s="72">
        <f>ROUND((E54/E62),2)</f>
        <v>5.44</v>
      </c>
      <c r="V50" s="73" t="s">
        <v>125</v>
      </c>
      <c r="W50" s="72">
        <f>ROUND((G54/G62),2)</f>
        <v>5.47</v>
      </c>
      <c r="X50" s="73" t="s">
        <v>125</v>
      </c>
      <c r="Y50" s="72">
        <f>ROUND((I54/I62),2)</f>
        <v>5.48</v>
      </c>
      <c r="Z50" s="73" t="s">
        <v>125</v>
      </c>
      <c r="AA50" s="72">
        <f>ROUND((K54/K62),2)</f>
        <v>5.46</v>
      </c>
      <c r="AB50" s="73" t="s">
        <v>125</v>
      </c>
      <c r="AC50" s="72">
        <f>ROUND((M54/M62),2)</f>
        <v>4.5599999999999996</v>
      </c>
      <c r="AD50" s="73" t="s">
        <v>125</v>
      </c>
      <c r="AE50" s="72">
        <f>ROUND(AVERAGE(U50:AD50),2)</f>
        <v>5.28</v>
      </c>
      <c r="AF50" s="54" t="s">
        <v>125</v>
      </c>
    </row>
    <row r="51" spans="1:32" x14ac:dyDescent="0.2">
      <c r="C51" s="65"/>
      <c r="E51" s="65"/>
      <c r="G51" s="65"/>
      <c r="I51" s="65"/>
      <c r="K51" s="65"/>
      <c r="L51" s="65"/>
      <c r="M51" s="65"/>
      <c r="N51" s="65"/>
      <c r="O51" s="65"/>
      <c r="Q51" s="66"/>
      <c r="R51" s="66"/>
      <c r="S51" s="72"/>
      <c r="U51" s="72"/>
      <c r="W51" s="72"/>
      <c r="Y51" s="72"/>
      <c r="AA51" s="72"/>
      <c r="AC51" s="72"/>
      <c r="AE51" s="72"/>
    </row>
    <row r="52" spans="1:32" x14ac:dyDescent="0.2">
      <c r="A52" s="54" t="s">
        <v>126</v>
      </c>
      <c r="B52" s="54" t="s">
        <v>121</v>
      </c>
      <c r="C52" s="65"/>
      <c r="E52" s="65">
        <f>AVERAGE(E22:E23)</f>
        <v>53.81</v>
      </c>
      <c r="G52" s="65">
        <f>AVERAGE(G22:G23)</f>
        <v>56</v>
      </c>
      <c r="I52" s="65">
        <f>AVERAGE(I22:I23)</f>
        <v>62.4</v>
      </c>
      <c r="K52" s="65">
        <f>AVERAGE(K22:K23)</f>
        <v>64.114999999999995</v>
      </c>
      <c r="L52" s="65"/>
      <c r="M52" s="65">
        <f>AVERAGE(M22:M23)</f>
        <v>67.039999999999992</v>
      </c>
      <c r="N52" s="65"/>
      <c r="O52" s="65"/>
      <c r="Q52" s="66" t="s">
        <v>127</v>
      </c>
      <c r="R52" s="66"/>
      <c r="S52" s="72"/>
      <c r="T52" s="73" t="s">
        <v>4</v>
      </c>
      <c r="U52" s="72">
        <f>ROUND(((E60/E54)*100),2)</f>
        <v>20.85</v>
      </c>
      <c r="V52" s="73" t="s">
        <v>4</v>
      </c>
      <c r="W52" s="72">
        <f>ROUND(((G60/G54)*100),2)</f>
        <v>9.5500000000000007</v>
      </c>
      <c r="X52" s="73" t="s">
        <v>4</v>
      </c>
      <c r="Y52" s="72">
        <f>ROUND(((I60/I54)*100),2)</f>
        <v>3.28</v>
      </c>
      <c r="Z52" s="73" t="s">
        <v>4</v>
      </c>
      <c r="AA52" s="72">
        <f>ROUND(((K60/K54)*100),2)</f>
        <v>16.149999999999999</v>
      </c>
      <c r="AB52" s="73" t="s">
        <v>4</v>
      </c>
      <c r="AC52" s="72">
        <f>ROUND(((M60/M54)*100),2)</f>
        <v>9.73</v>
      </c>
      <c r="AD52" s="73" t="s">
        <v>4</v>
      </c>
      <c r="AE52" s="72">
        <f>ROUND(AVERAGE(U52:AD52),2)</f>
        <v>11.91</v>
      </c>
      <c r="AF52" s="54" t="s">
        <v>4</v>
      </c>
    </row>
    <row r="53" spans="1:32" x14ac:dyDescent="0.2">
      <c r="C53" s="65"/>
      <c r="E53" s="65"/>
      <c r="G53" s="65"/>
      <c r="I53" s="65"/>
      <c r="K53" s="65"/>
      <c r="L53" s="65"/>
      <c r="M53" s="65"/>
      <c r="N53" s="65"/>
      <c r="O53" s="65"/>
      <c r="Q53" s="79"/>
      <c r="R53" s="79"/>
      <c r="S53" s="72"/>
      <c r="U53" s="72"/>
      <c r="W53" s="72"/>
      <c r="Y53" s="72"/>
      <c r="AA53" s="72"/>
      <c r="AC53" s="72"/>
    </row>
    <row r="54" spans="1:32" x14ac:dyDescent="0.2">
      <c r="A54" s="54" t="s">
        <v>13</v>
      </c>
      <c r="C54" s="65">
        <f>+C19+C12</f>
        <v>3095293000</v>
      </c>
      <c r="E54" s="65">
        <f>+E19+E12</f>
        <v>2784585000</v>
      </c>
      <c r="G54" s="65">
        <f>+G19+G12</f>
        <v>2618882000</v>
      </c>
      <c r="I54" s="65">
        <f>+I19+I12</f>
        <v>2544353000</v>
      </c>
      <c r="K54" s="65">
        <f>+K19+K12</f>
        <v>2417929000</v>
      </c>
      <c r="L54" s="81"/>
      <c r="M54" s="65">
        <f>+M19+M12</f>
        <v>2233281000</v>
      </c>
      <c r="N54" s="81"/>
      <c r="O54" s="65"/>
      <c r="Q54" s="79" t="s">
        <v>128</v>
      </c>
      <c r="R54" s="79"/>
      <c r="S54" s="72">
        <f>S33</f>
        <v>52</v>
      </c>
      <c r="T54" s="73" t="s">
        <v>4</v>
      </c>
      <c r="U54" s="72">
        <f>U33</f>
        <v>49.99</v>
      </c>
      <c r="V54" s="73" t="s">
        <v>4</v>
      </c>
      <c r="W54" s="72">
        <f>W33</f>
        <v>49.56</v>
      </c>
      <c r="X54" s="73" t="s">
        <v>4</v>
      </c>
      <c r="Y54" s="72">
        <f>Y33</f>
        <v>52.09</v>
      </c>
      <c r="Z54" s="73" t="s">
        <v>4</v>
      </c>
      <c r="AA54" s="72">
        <f>AA33</f>
        <v>53.77</v>
      </c>
      <c r="AB54" s="73" t="s">
        <v>4</v>
      </c>
      <c r="AC54" s="72">
        <f>AC33</f>
        <v>52.27</v>
      </c>
      <c r="AD54" s="73" t="s">
        <v>4</v>
      </c>
      <c r="AE54" s="72">
        <f>ROUND(AVERAGE(U54:AD54),2)</f>
        <v>51.54</v>
      </c>
      <c r="AF54" s="73" t="s">
        <v>4</v>
      </c>
    </row>
    <row r="55" spans="1:32" x14ac:dyDescent="0.2">
      <c r="C55" s="65"/>
      <c r="E55" s="65"/>
      <c r="G55" s="65"/>
      <c r="I55" s="65"/>
      <c r="K55" s="65"/>
      <c r="L55" s="65"/>
      <c r="M55" s="65"/>
      <c r="N55" s="65"/>
      <c r="O55" s="65"/>
    </row>
    <row r="56" spans="1:32" x14ac:dyDescent="0.2">
      <c r="A56" s="54" t="s">
        <v>14</v>
      </c>
      <c r="B56" s="54" t="s">
        <v>121</v>
      </c>
      <c r="C56" s="65">
        <f>SUM(C50,C19)</f>
        <v>5952993000</v>
      </c>
      <c r="E56" s="65">
        <f>SUM(E50,E19)</f>
        <v>5569899000</v>
      </c>
      <c r="G56" s="65">
        <f>SUM(G50,G19)</f>
        <v>5284065000</v>
      </c>
      <c r="I56" s="65">
        <f>SUM(I50,I19)</f>
        <v>4884066000</v>
      </c>
      <c r="K56" s="65">
        <f>SUM(K50,K19)</f>
        <v>4497024000</v>
      </c>
      <c r="L56" s="65"/>
      <c r="M56" s="65">
        <f>SUM(M50,M19)</f>
        <v>4272375000</v>
      </c>
      <c r="N56" s="65"/>
      <c r="O56" s="65"/>
    </row>
    <row r="57" spans="1:32" x14ac:dyDescent="0.2">
      <c r="C57" s="65"/>
      <c r="E57" s="65"/>
      <c r="G57" s="65"/>
      <c r="I57" s="65"/>
      <c r="K57" s="65"/>
      <c r="L57" s="65"/>
      <c r="M57" s="65"/>
      <c r="N57" s="65"/>
      <c r="O57" s="65"/>
    </row>
    <row r="58" spans="1:32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L58" s="65"/>
      <c r="M58" s="65">
        <f>SUM(M13,M17)</f>
        <v>0</v>
      </c>
      <c r="N58" s="65"/>
      <c r="O58" s="65"/>
    </row>
    <row r="59" spans="1:32" x14ac:dyDescent="0.2">
      <c r="C59" s="65"/>
      <c r="E59" s="65"/>
      <c r="G59" s="65"/>
      <c r="I59" s="65"/>
      <c r="K59" s="65"/>
      <c r="L59" s="65"/>
      <c r="M59" s="65"/>
      <c r="N59" s="65"/>
      <c r="O59" s="65"/>
    </row>
    <row r="60" spans="1:32" x14ac:dyDescent="0.2">
      <c r="A60" s="82" t="s">
        <v>130</v>
      </c>
      <c r="B60" s="54" t="s">
        <v>121</v>
      </c>
      <c r="C60" s="65"/>
      <c r="E60" s="65">
        <f>ROUND(E41+E42-E28,3)</f>
        <v>580536000</v>
      </c>
      <c r="G60" s="65">
        <f>ROUND(G41+G42-G28,3)</f>
        <v>250020000</v>
      </c>
      <c r="I60" s="65">
        <f>ROUND(I41+I42-I28,3)</f>
        <v>83456000</v>
      </c>
      <c r="K60" s="65">
        <f>ROUND(K41+K42-K28,3)</f>
        <v>390437000</v>
      </c>
      <c r="L60" s="65"/>
      <c r="M60" s="65">
        <f>ROUND(M41+M42-M28,3)</f>
        <v>217362000</v>
      </c>
      <c r="N60" s="65"/>
      <c r="O60" s="65"/>
    </row>
    <row r="61" spans="1:32" x14ac:dyDescent="0.2">
      <c r="A61" s="82"/>
      <c r="L61" s="65"/>
      <c r="N61" s="65"/>
    </row>
    <row r="62" spans="1:32" x14ac:dyDescent="0.2">
      <c r="A62" s="54" t="s">
        <v>131</v>
      </c>
      <c r="B62" s="54" t="s">
        <v>121</v>
      </c>
      <c r="C62" s="65"/>
      <c r="E62" s="65">
        <f>E44+E43+E34+E30</f>
        <v>511683000</v>
      </c>
      <c r="G62" s="65">
        <f>G44+G43+G34+G30</f>
        <v>478743000</v>
      </c>
      <c r="I62" s="65">
        <f>I44+I43+I34+I30</f>
        <v>464562000</v>
      </c>
      <c r="K62" s="65">
        <f>K44+K43+K34+K30</f>
        <v>442641000</v>
      </c>
      <c r="L62" s="65"/>
      <c r="M62" s="65">
        <f>M44+M43+M34+M30</f>
        <v>490036000</v>
      </c>
      <c r="N62" s="65"/>
      <c r="O62" s="65"/>
    </row>
    <row r="63" spans="1:32" x14ac:dyDescent="0.2">
      <c r="O63" s="83"/>
    </row>
    <row r="64" spans="1:32" x14ac:dyDescent="0.2">
      <c r="O64" s="83"/>
    </row>
    <row r="71" spans="15:15" x14ac:dyDescent="0.2">
      <c r="O71" s="83"/>
    </row>
    <row r="81" spans="15:225" x14ac:dyDescent="0.2">
      <c r="HM81" s="84"/>
      <c r="HN81" s="84"/>
      <c r="HQ81" s="54" t="s">
        <v>132</v>
      </c>
    </row>
    <row r="94" spans="15:225" x14ac:dyDescent="0.2">
      <c r="O94" s="83"/>
    </row>
    <row r="95" spans="15:225" x14ac:dyDescent="0.2">
      <c r="O95" s="83"/>
    </row>
    <row r="96" spans="15:225" x14ac:dyDescent="0.2">
      <c r="O96" s="83"/>
    </row>
    <row r="97" spans="15:15" x14ac:dyDescent="0.2">
      <c r="O97" s="83"/>
    </row>
    <row r="98" spans="15:15" x14ac:dyDescent="0.2">
      <c r="O98" s="83"/>
    </row>
    <row r="99" spans="15:15" x14ac:dyDescent="0.2">
      <c r="O99" s="83"/>
    </row>
    <row r="100" spans="15:15" x14ac:dyDescent="0.2">
      <c r="O100" s="83"/>
    </row>
    <row r="101" spans="15:15" x14ac:dyDescent="0.2">
      <c r="O101" s="83"/>
    </row>
    <row r="102" spans="15:15" x14ac:dyDescent="0.2">
      <c r="O102" s="83"/>
    </row>
    <row r="103" spans="15:15" x14ac:dyDescent="0.2">
      <c r="O103" s="83"/>
    </row>
    <row r="104" spans="15:15" x14ac:dyDescent="0.2">
      <c r="O104" s="83"/>
    </row>
    <row r="105" spans="15:15" x14ac:dyDescent="0.2">
      <c r="O105" s="83"/>
    </row>
    <row r="106" spans="15:15" x14ac:dyDescent="0.2">
      <c r="O106" s="83"/>
    </row>
    <row r="107" spans="15:15" x14ac:dyDescent="0.2">
      <c r="O107" s="83"/>
    </row>
    <row r="108" spans="15:15" x14ac:dyDescent="0.2">
      <c r="O108" s="83"/>
    </row>
    <row r="109" spans="15:15" x14ac:dyDescent="0.2">
      <c r="O109" s="83"/>
    </row>
    <row r="110" spans="15:15" x14ac:dyDescent="0.2">
      <c r="O110" s="83"/>
    </row>
    <row r="111" spans="15:15" x14ac:dyDescent="0.2">
      <c r="O111" s="83"/>
    </row>
    <row r="112" spans="15:15" x14ac:dyDescent="0.2">
      <c r="O112" s="83"/>
    </row>
    <row r="113" spans="15:15" x14ac:dyDescent="0.2">
      <c r="O113" s="83"/>
    </row>
    <row r="114" spans="15:15" x14ac:dyDescent="0.2">
      <c r="O114" s="83"/>
    </row>
    <row r="115" spans="15:15" x14ac:dyDescent="0.2">
      <c r="O115" s="83"/>
    </row>
    <row r="116" spans="15:15" x14ac:dyDescent="0.2">
      <c r="O116" s="83"/>
    </row>
    <row r="117" spans="15:15" x14ac:dyDescent="0.2">
      <c r="O117" s="83"/>
    </row>
    <row r="118" spans="15:15" x14ac:dyDescent="0.2">
      <c r="O118" s="83"/>
    </row>
    <row r="119" spans="15:15" x14ac:dyDescent="0.2">
      <c r="O119" s="83"/>
    </row>
    <row r="120" spans="15:15" x14ac:dyDescent="0.2">
      <c r="O120" s="83"/>
    </row>
    <row r="121" spans="15:15" x14ac:dyDescent="0.2">
      <c r="O121" s="83"/>
    </row>
    <row r="122" spans="15:15" x14ac:dyDescent="0.2">
      <c r="O122" s="83"/>
    </row>
    <row r="123" spans="15:15" x14ac:dyDescent="0.2">
      <c r="O123" s="83"/>
    </row>
    <row r="124" spans="15:15" x14ac:dyDescent="0.2">
      <c r="O124" s="83"/>
    </row>
    <row r="125" spans="15:15" x14ac:dyDescent="0.2">
      <c r="O125" s="83"/>
    </row>
    <row r="126" spans="15:15" x14ac:dyDescent="0.2">
      <c r="O126" s="83"/>
    </row>
    <row r="127" spans="15:15" x14ac:dyDescent="0.2">
      <c r="O127" s="83"/>
    </row>
    <row r="128" spans="15:15" x14ac:dyDescent="0.2">
      <c r="O128" s="83"/>
    </row>
    <row r="129" spans="15:15" x14ac:dyDescent="0.2">
      <c r="O129" s="83"/>
    </row>
    <row r="130" spans="15:15" x14ac:dyDescent="0.2">
      <c r="O130" s="83"/>
    </row>
    <row r="131" spans="15:15" x14ac:dyDescent="0.2">
      <c r="O131" s="83"/>
    </row>
    <row r="132" spans="15:15" x14ac:dyDescent="0.2">
      <c r="O132" s="83"/>
    </row>
    <row r="133" spans="15:15" x14ac:dyDescent="0.2">
      <c r="O133" s="83"/>
    </row>
    <row r="134" spans="15:15" x14ac:dyDescent="0.2">
      <c r="O134" s="83"/>
    </row>
    <row r="135" spans="15:15" x14ac:dyDescent="0.2">
      <c r="O135" s="83"/>
    </row>
    <row r="136" spans="15:15" x14ac:dyDescent="0.2">
      <c r="O136" s="83"/>
    </row>
    <row r="137" spans="15:15" x14ac:dyDescent="0.2">
      <c r="O137" s="83"/>
    </row>
    <row r="138" spans="15:15" x14ac:dyDescent="0.2">
      <c r="O138" s="83"/>
    </row>
    <row r="139" spans="15:15" x14ac:dyDescent="0.2">
      <c r="O139" s="83"/>
    </row>
    <row r="140" spans="15:15" x14ac:dyDescent="0.2">
      <c r="O140" s="83"/>
    </row>
    <row r="141" spans="15:15" x14ac:dyDescent="0.2">
      <c r="O141" s="83"/>
    </row>
    <row r="142" spans="15:15" x14ac:dyDescent="0.2">
      <c r="O142" s="83"/>
    </row>
    <row r="143" spans="15:15" x14ac:dyDescent="0.2">
      <c r="O143" s="83"/>
    </row>
    <row r="144" spans="15:15" x14ac:dyDescent="0.2">
      <c r="O144" s="83"/>
    </row>
    <row r="145" spans="15:15" x14ac:dyDescent="0.2">
      <c r="O145" s="83"/>
    </row>
    <row r="146" spans="15:15" x14ac:dyDescent="0.2">
      <c r="O146" s="83"/>
    </row>
    <row r="147" spans="15:15" x14ac:dyDescent="0.2">
      <c r="O147" s="83"/>
    </row>
    <row r="148" spans="15:15" x14ac:dyDescent="0.2">
      <c r="O148" s="83"/>
    </row>
    <row r="149" spans="15:15" x14ac:dyDescent="0.2">
      <c r="O149" s="83"/>
    </row>
    <row r="150" spans="15:15" x14ac:dyDescent="0.2">
      <c r="O150" s="83"/>
    </row>
    <row r="151" spans="15:15" x14ac:dyDescent="0.2">
      <c r="O151" s="83"/>
    </row>
    <row r="152" spans="15:15" x14ac:dyDescent="0.2">
      <c r="O152" s="83"/>
    </row>
    <row r="153" spans="15:15" x14ac:dyDescent="0.2">
      <c r="O153" s="83"/>
    </row>
    <row r="154" spans="15:15" x14ac:dyDescent="0.2">
      <c r="O154" s="83"/>
    </row>
  </sheetData>
  <mergeCells count="6">
    <mergeCell ref="AE25:AF25"/>
    <mergeCell ref="I6:O6"/>
    <mergeCell ref="I7:O7"/>
    <mergeCell ref="I8:O8"/>
    <mergeCell ref="Y13:AD13"/>
    <mergeCell ref="AE24:AF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7524A-F2A3-4E80-886C-9AE3C0CED10B}">
  <dimension ref="A1:HO81"/>
  <sheetViews>
    <sheetView view="pageBreakPreview" zoomScale="70" zoomScaleNormal="80" zoomScaleSheetLayoutView="70" workbookViewId="0">
      <selection activeCell="O1" sqref="O1:O1048576"/>
    </sheetView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8" style="54" customWidth="1"/>
    <col min="4" max="4" width="3" style="54" customWidth="1"/>
    <col min="5" max="5" width="18" style="54" customWidth="1"/>
    <col min="6" max="6" width="3" style="54" customWidth="1"/>
    <col min="7" max="7" width="17.7109375" style="54" customWidth="1"/>
    <col min="8" max="8" width="3" style="54" customWidth="1"/>
    <col min="9" max="9" width="18.5703125" style="54" customWidth="1"/>
    <col min="10" max="10" width="2.85546875" style="54" customWidth="1"/>
    <col min="11" max="11" width="18.5703125" style="54" customWidth="1"/>
    <col min="12" max="12" width="2.85546875" style="54" customWidth="1"/>
    <col min="13" max="13" width="17.5703125" style="54" customWidth="1"/>
    <col min="14" max="16" width="3" style="54" customWidth="1"/>
    <col min="17" max="17" width="52.140625" style="54" customWidth="1"/>
    <col min="18" max="18" width="3" style="54" customWidth="1"/>
    <col min="19" max="19" width="14.7109375" style="54" customWidth="1"/>
    <col min="20" max="20" width="3.85546875" style="54" customWidth="1"/>
    <col min="21" max="21" width="13.42578125" style="54" customWidth="1"/>
    <col min="22" max="22" width="3.42578125" style="54" customWidth="1"/>
    <col min="23" max="23" width="13" style="54" customWidth="1"/>
    <col min="24" max="24" width="3.42578125" style="54" customWidth="1"/>
    <col min="25" max="25" width="10" style="54" bestFit="1" customWidth="1"/>
    <col min="26" max="26" width="2.42578125" style="54" bestFit="1" customWidth="1"/>
    <col min="27" max="27" width="10" style="54" bestFit="1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16384" width="8.7109375" style="54"/>
  </cols>
  <sheetData>
    <row r="1" spans="1:29" ht="16.5" customHeight="1" x14ac:dyDescent="0.2"/>
    <row r="2" spans="1:29" ht="16.5" customHeight="1" x14ac:dyDescent="0.2">
      <c r="G2" s="147"/>
    </row>
    <row r="3" spans="1:29" ht="16.5" customHeight="1" x14ac:dyDescent="0.2">
      <c r="C3" s="147"/>
      <c r="E3" s="147"/>
      <c r="G3" s="147"/>
    </row>
    <row r="4" spans="1:29" ht="16.5" customHeight="1" thickBot="1" x14ac:dyDescent="0.25">
      <c r="C4" s="147"/>
      <c r="E4" s="147"/>
    </row>
    <row r="5" spans="1:29" ht="15" x14ac:dyDescent="0.35">
      <c r="A5" s="56" t="s">
        <v>37</v>
      </c>
    </row>
    <row r="6" spans="1:29" ht="15" customHeight="1" thickBot="1" x14ac:dyDescent="0.25">
      <c r="A6" s="57" t="s">
        <v>196</v>
      </c>
      <c r="C6" s="194" t="s">
        <v>218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60" t="str">
        <f>C6</f>
        <v>OGE Energy Corp.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211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50">
        <f>(5020.9+32.4)*1000000</f>
        <v>5053299999.999999</v>
      </c>
      <c r="E12" s="150">
        <f>(4340.5+0)*1000000</f>
        <v>4340500000</v>
      </c>
      <c r="G12" s="150">
        <f>(999.9+3548.7)*1000000</f>
        <v>4548599999.999999</v>
      </c>
      <c r="I12" s="150">
        <f>4496.4*1000000</f>
        <v>4496400000</v>
      </c>
      <c r="K12" s="150">
        <f>3494.4*1000000</f>
        <v>3494400000</v>
      </c>
      <c r="M12" s="150">
        <v>3195200000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ht="15" customHeight="1" x14ac:dyDescent="0.2">
      <c r="A13" s="54" t="s">
        <v>60</v>
      </c>
      <c r="B13" s="54" t="s">
        <v>61</v>
      </c>
      <c r="C13" s="153">
        <v>0</v>
      </c>
      <c r="E13" s="153">
        <v>0</v>
      </c>
      <c r="G13" s="54">
        <v>0</v>
      </c>
      <c r="I13" s="54">
        <v>0</v>
      </c>
      <c r="K13" s="54">
        <v>0</v>
      </c>
      <c r="M13" s="54">
        <v>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C14" s="65"/>
      <c r="E14" s="65"/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151">
        <f>200.8*1000000</f>
        <v>200800000</v>
      </c>
      <c r="E15" s="151">
        <f>200.3*1000000</f>
        <v>200300000</v>
      </c>
      <c r="G15" s="151">
        <f>200.2*1000000</f>
        <v>200200000</v>
      </c>
      <c r="I15" s="151">
        <v>200100000</v>
      </c>
      <c r="K15" s="151">
        <v>200021161</v>
      </c>
      <c r="M15" s="151">
        <v>200177358</v>
      </c>
    </row>
    <row r="16" spans="1:29" x14ac:dyDescent="0.2">
      <c r="A16" s="54" t="s">
        <v>6</v>
      </c>
      <c r="B16" s="54" t="s">
        <v>67</v>
      </c>
      <c r="C16" s="153">
        <f>4640.9*1000000</f>
        <v>4640900000</v>
      </c>
      <c r="E16" s="153">
        <f>4511.6*1000000</f>
        <v>4511600000</v>
      </c>
      <c r="G16" s="153">
        <f>4413.4*1000000</f>
        <v>4413400000</v>
      </c>
      <c r="I16" s="153">
        <f>4056.3*1000000</f>
        <v>4056300000</v>
      </c>
      <c r="K16" s="153">
        <f>3631.8*1000000</f>
        <v>3631800000</v>
      </c>
      <c r="M16" s="153">
        <v>4139500000</v>
      </c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C17" s="153">
        <v>0</v>
      </c>
      <c r="E17" s="153">
        <v>0</v>
      </c>
      <c r="G17" s="54">
        <v>0</v>
      </c>
      <c r="I17" s="54">
        <v>0</v>
      </c>
      <c r="K17" s="54">
        <v>0</v>
      </c>
      <c r="M17" s="54">
        <v>0</v>
      </c>
      <c r="Q17" s="54" t="s">
        <v>70</v>
      </c>
      <c r="S17" s="69">
        <f>C50/1000000</f>
        <v>9694.2000000000007</v>
      </c>
      <c r="U17" s="69">
        <f>E50/1000000</f>
        <v>8852.1</v>
      </c>
      <c r="W17" s="69">
        <f>G50/1000000</f>
        <v>8962</v>
      </c>
      <c r="Y17" s="69">
        <f>I50/1000000</f>
        <v>8552.7000000000007</v>
      </c>
      <c r="AA17" s="69">
        <f>K50/1000000</f>
        <v>7126.2</v>
      </c>
      <c r="AB17" s="69"/>
    </row>
    <row r="18" spans="1:30" x14ac:dyDescent="0.2">
      <c r="C18" s="65"/>
      <c r="E18" s="65"/>
      <c r="Q18" s="54" t="s">
        <v>71</v>
      </c>
      <c r="S18" s="70">
        <f>C19/1000000</f>
        <v>469.3</v>
      </c>
      <c r="U18" s="70">
        <f>E19/1000000</f>
        <v>499.2</v>
      </c>
      <c r="W18" s="70">
        <f>G19/1000000</f>
        <v>0</v>
      </c>
      <c r="Y18" s="70">
        <f>I19/1000000</f>
        <v>486.9</v>
      </c>
      <c r="AA18" s="70">
        <f>K19/1000000</f>
        <v>95</v>
      </c>
      <c r="AB18" s="69"/>
    </row>
    <row r="19" spans="1:30" x14ac:dyDescent="0.2">
      <c r="A19" s="54" t="s">
        <v>72</v>
      </c>
      <c r="B19" s="54" t="s">
        <v>73</v>
      </c>
      <c r="C19" s="161">
        <f>1000000*469.3</f>
        <v>469300000</v>
      </c>
      <c r="E19" s="161">
        <f>1000000*499.2</f>
        <v>499200000</v>
      </c>
      <c r="G19" s="153">
        <v>0</v>
      </c>
      <c r="I19" s="153">
        <f>486.9*1000000</f>
        <v>486900000</v>
      </c>
      <c r="K19" s="153">
        <f>95*1000000</f>
        <v>95000000</v>
      </c>
      <c r="M19" s="153">
        <v>112000000</v>
      </c>
      <c r="Q19" s="54" t="s">
        <v>74</v>
      </c>
      <c r="S19" s="71">
        <f>SUM(S17:S18)</f>
        <v>10163.5</v>
      </c>
      <c r="U19" s="71">
        <f>SUM(U17:U18)</f>
        <v>9351.3000000000011</v>
      </c>
      <c r="W19" s="71">
        <f>SUM(W17:W18)</f>
        <v>8962</v>
      </c>
      <c r="Y19" s="71">
        <f>SUM(Y17:Y18)</f>
        <v>9039.6</v>
      </c>
      <c r="AA19" s="71">
        <f>SUM(AA17:AA18)</f>
        <v>7221.2</v>
      </c>
      <c r="AB19" s="69"/>
    </row>
    <row r="20" spans="1:30" x14ac:dyDescent="0.2">
      <c r="C20" s="65"/>
      <c r="E20" s="65"/>
    </row>
    <row r="21" spans="1:30" x14ac:dyDescent="0.2">
      <c r="A21" s="54" t="s">
        <v>75</v>
      </c>
      <c r="B21" s="54" t="s">
        <v>76</v>
      </c>
      <c r="C21" s="65">
        <v>2.19</v>
      </c>
      <c r="E21" s="65">
        <v>2.0699999999999998</v>
      </c>
      <c r="G21" s="65">
        <v>3.32</v>
      </c>
      <c r="I21" s="65">
        <v>3.68</v>
      </c>
      <c r="K21" s="65">
        <v>-0.87</v>
      </c>
      <c r="M21" s="65">
        <v>2.16</v>
      </c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54">
        <v>44.08</v>
      </c>
      <c r="E22" s="54">
        <v>40.22</v>
      </c>
      <c r="G22" s="54">
        <v>42.78</v>
      </c>
      <c r="I22" s="54">
        <v>38.380000000000003</v>
      </c>
      <c r="K22" s="54">
        <v>46.28</v>
      </c>
      <c r="M22" s="54">
        <v>45.43</v>
      </c>
      <c r="Q22" s="54" t="s">
        <v>80</v>
      </c>
      <c r="S22" s="72">
        <f>(ROUND((C30/(AVERAGE(C54,E54))*100),2))</f>
        <v>4.91</v>
      </c>
      <c r="T22" s="73" t="s">
        <v>4</v>
      </c>
      <c r="U22" s="72">
        <f>(ROUND((E30/(AVERAGE(E54,G54))*100),2))</f>
        <v>4.72</v>
      </c>
      <c r="V22" s="73" t="s">
        <v>4</v>
      </c>
      <c r="W22" s="72">
        <f>(ROUND((G30/(AVERAGE(G54,I54))*100),2))</f>
        <v>3.49</v>
      </c>
      <c r="X22" s="73" t="s">
        <v>4</v>
      </c>
      <c r="Y22" s="72">
        <f>(ROUND((I30/(AVERAGE(I54,K54))*100),2))</f>
        <v>3.69</v>
      </c>
      <c r="Z22" s="73" t="s">
        <v>4</v>
      </c>
      <c r="AA22" s="72">
        <f>(ROUND((K30/(AVERAGE(K54,M54))*100),2))</f>
        <v>4.6500000000000004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32.31</v>
      </c>
      <c r="E23" s="54">
        <v>31.94</v>
      </c>
      <c r="G23" s="54">
        <v>33.76</v>
      </c>
      <c r="I23" s="54">
        <v>29.27</v>
      </c>
      <c r="K23" s="54">
        <v>23.67</v>
      </c>
      <c r="M23" s="54">
        <v>38.26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C24" s="65"/>
      <c r="E24" s="65"/>
      <c r="AC24" s="194" t="s">
        <v>1</v>
      </c>
      <c r="AD24" s="194"/>
    </row>
    <row r="25" spans="1:30" x14ac:dyDescent="0.2">
      <c r="C25" s="65"/>
      <c r="E25" s="65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66</v>
      </c>
      <c r="C26" s="65">
        <v>1.6789000000000001</v>
      </c>
      <c r="E26" s="65">
        <v>1.6728000000000001</v>
      </c>
      <c r="G26" s="54">
        <v>1.6482000000000001</v>
      </c>
      <c r="I26" s="54">
        <v>1.625</v>
      </c>
      <c r="K26" s="54">
        <v>1.58</v>
      </c>
      <c r="M26" s="54">
        <v>1.5049999999999999</v>
      </c>
      <c r="Q26" s="54" t="s">
        <v>85</v>
      </c>
    </row>
    <row r="27" spans="1:30" x14ac:dyDescent="0.2">
      <c r="C27" s="65"/>
      <c r="E27" s="65"/>
      <c r="Q27" s="54" t="s">
        <v>86</v>
      </c>
      <c r="S27" s="72">
        <f>ROUND(((C12/C50)*100),2)</f>
        <v>52.13</v>
      </c>
      <c r="T27" s="73" t="s">
        <v>4</v>
      </c>
      <c r="U27" s="72">
        <f>ROUND(((E12/E50)*100),2)</f>
        <v>49.03</v>
      </c>
      <c r="V27" s="73" t="s">
        <v>4</v>
      </c>
      <c r="W27" s="72">
        <f>ROUND(((G12/G50)*100),2)</f>
        <v>50.75</v>
      </c>
      <c r="X27" s="73" t="s">
        <v>4</v>
      </c>
      <c r="Y27" s="72">
        <f>ROUND(((I12/I50)*100),2)</f>
        <v>52.57</v>
      </c>
      <c r="Z27" s="73" t="s">
        <v>4</v>
      </c>
      <c r="AA27" s="72">
        <f>ROUND(((K12/K50)*100),2)</f>
        <v>49.04</v>
      </c>
      <c r="AB27" s="73" t="s">
        <v>4</v>
      </c>
      <c r="AC27" s="72">
        <f>ROUND(AVERAGE(S27:AB27),2)</f>
        <v>50.7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5">
        <f>(14.6+25.5)*1000000</f>
        <v>40100000</v>
      </c>
      <c r="E28" s="65">
        <f>(7.1+19.4)*1000000</f>
        <v>26500000</v>
      </c>
      <c r="G28" s="151">
        <f>(6.9+4)*1000000</f>
        <v>10900000</v>
      </c>
      <c r="I28" s="151">
        <f>(3.5+6.7)*1000000</f>
        <v>10200000</v>
      </c>
      <c r="K28" s="151">
        <f>(1.9+4.8)*1000000</f>
        <v>6699999.9999999991</v>
      </c>
      <c r="M28" s="151">
        <f>(2.8+4.5)*1000000</f>
        <v>7300000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C29" s="65"/>
      <c r="E29" s="65"/>
      <c r="Q29" s="54" t="s">
        <v>89</v>
      </c>
      <c r="S29" s="74">
        <f>ROUND(((C16/C50)*100),2)</f>
        <v>47.87</v>
      </c>
      <c r="T29" s="73"/>
      <c r="U29" s="74">
        <f>ROUND(((E16/E50)*100),2)</f>
        <v>50.97</v>
      </c>
      <c r="V29" s="73"/>
      <c r="W29" s="74">
        <f>ROUND(((G16/G50)*100),2)</f>
        <v>49.25</v>
      </c>
      <c r="X29" s="73"/>
      <c r="Y29" s="74">
        <f>ROUND(((I16/I50)*100),2)</f>
        <v>47.43</v>
      </c>
      <c r="Z29" s="73"/>
      <c r="AA29" s="74">
        <f>ROUND(((K16/K50)*100),2)</f>
        <v>50.96</v>
      </c>
      <c r="AB29" s="73"/>
      <c r="AC29" s="72">
        <f>ROUND(AVERAGE(S29:AB29),2)</f>
        <v>49.3</v>
      </c>
      <c r="AD29" s="73"/>
    </row>
    <row r="30" spans="1:30" x14ac:dyDescent="0.2">
      <c r="A30" s="54" t="s">
        <v>90</v>
      </c>
      <c r="B30" s="54" t="s">
        <v>91</v>
      </c>
      <c r="C30" s="153">
        <f>254.5*1000000</f>
        <v>254500000</v>
      </c>
      <c r="E30" s="153">
        <f>221.4*1000000</f>
        <v>221400000</v>
      </c>
      <c r="G30" s="151">
        <f>(166.3)*1000000</f>
        <v>166300000</v>
      </c>
      <c r="I30" s="151">
        <f>(158.3)*1000000</f>
        <v>158300000</v>
      </c>
      <c r="K30" s="151">
        <f>(152.8+7.6)*1000000</f>
        <v>160400000</v>
      </c>
      <c r="M30" s="151">
        <v>147900000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C31" s="65"/>
      <c r="E31" s="65"/>
    </row>
    <row r="32" spans="1:30" x14ac:dyDescent="0.2">
      <c r="A32" s="54" t="s">
        <v>93</v>
      </c>
      <c r="B32" s="54" t="s">
        <v>94</v>
      </c>
      <c r="C32" s="153">
        <f>441.5*1000000</f>
        <v>441500000</v>
      </c>
      <c r="E32" s="153">
        <f>416.8*1000000</f>
        <v>416800000</v>
      </c>
      <c r="G32" s="153">
        <f>665.7*1000000</f>
        <v>665700000</v>
      </c>
      <c r="I32" s="153">
        <f>737.3*1000000</f>
        <v>737300000</v>
      </c>
      <c r="K32" s="153">
        <f>-173.7*1000000</f>
        <v>-173700000</v>
      </c>
      <c r="M32" s="153">
        <v>433600000</v>
      </c>
      <c r="Q32" s="54" t="s">
        <v>95</v>
      </c>
    </row>
    <row r="33" spans="1:30" x14ac:dyDescent="0.2">
      <c r="A33" s="76"/>
      <c r="B33" s="76"/>
      <c r="C33" s="78"/>
      <c r="D33" s="76"/>
      <c r="E33" s="78"/>
      <c r="F33" s="76"/>
      <c r="H33" s="76"/>
      <c r="J33" s="76"/>
      <c r="L33" s="76"/>
      <c r="Q33" s="54" t="s">
        <v>96</v>
      </c>
      <c r="S33" s="72">
        <f>ROUND((((C12+C19)/C56)*100),2)</f>
        <v>54.34</v>
      </c>
      <c r="T33" s="73" t="s">
        <v>4</v>
      </c>
      <c r="U33" s="72">
        <f>ROUND((((E12+E19)/E56)*100),2)</f>
        <v>51.75</v>
      </c>
      <c r="V33" s="73" t="s">
        <v>4</v>
      </c>
      <c r="W33" s="72">
        <f>ROUND((((G12+G19)/G56)*100),2)</f>
        <v>50.75</v>
      </c>
      <c r="X33" s="73" t="s">
        <v>4</v>
      </c>
      <c r="Y33" s="72">
        <f>ROUND((((I12+I19)/I56)*100),2)</f>
        <v>55.13</v>
      </c>
      <c r="Z33" s="73" t="s">
        <v>4</v>
      </c>
      <c r="AA33" s="72">
        <f>ROUND((((K12+K19)/K56)*100),2)</f>
        <v>49.71</v>
      </c>
      <c r="AB33" s="73" t="s">
        <v>4</v>
      </c>
      <c r="AC33" s="72">
        <f>ROUND(AVERAGE(S33:AB33),2)</f>
        <v>52.34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3">
        <f>C32</f>
        <v>441500000</v>
      </c>
      <c r="E34" s="153">
        <f>E32</f>
        <v>416800000</v>
      </c>
      <c r="G34" s="153">
        <f>G32</f>
        <v>665700000</v>
      </c>
      <c r="I34" s="153">
        <f>I32</f>
        <v>737300000</v>
      </c>
      <c r="K34" s="153">
        <f>K32</f>
        <v>-173700000</v>
      </c>
      <c r="M34" s="153">
        <f>M32</f>
        <v>433600000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C35" s="65"/>
      <c r="E35" s="65"/>
      <c r="Q35" s="54" t="s">
        <v>89</v>
      </c>
      <c r="S35" s="74">
        <f>ROUND((((C16)/C56)*100),2)</f>
        <v>45.66</v>
      </c>
      <c r="T35" s="73"/>
      <c r="U35" s="74">
        <f>ROUND((((E16)/E56)*100),2)</f>
        <v>48.25</v>
      </c>
      <c r="V35" s="73"/>
      <c r="W35" s="74">
        <f>ROUND((((G16)/G56)*100),2)</f>
        <v>49.25</v>
      </c>
      <c r="X35" s="73"/>
      <c r="Y35" s="74">
        <f>ROUND((((I16)/I56)*100),2)</f>
        <v>44.87</v>
      </c>
      <c r="Z35" s="73"/>
      <c r="AA35" s="74">
        <f>ROUND((((K16)/K56)*100),2)</f>
        <v>50.29</v>
      </c>
      <c r="AB35" s="73"/>
      <c r="AC35" s="72">
        <f>ROUND(AVERAGE(S35:AB35),2)</f>
        <v>47.66</v>
      </c>
      <c r="AD35" s="73"/>
    </row>
    <row r="36" spans="1:30" x14ac:dyDescent="0.2">
      <c r="A36" s="54" t="s">
        <v>99</v>
      </c>
      <c r="B36" s="54" t="s">
        <v>100</v>
      </c>
      <c r="C36" s="65">
        <v>0</v>
      </c>
      <c r="E36" s="65">
        <v>0</v>
      </c>
      <c r="G36" s="54">
        <v>0</v>
      </c>
      <c r="I36" s="54">
        <v>0</v>
      </c>
      <c r="K36" s="54">
        <v>0</v>
      </c>
      <c r="M36" s="54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C37" s="65"/>
      <c r="E37" s="65"/>
    </row>
    <row r="38" spans="1:30" x14ac:dyDescent="0.2">
      <c r="A38" s="54" t="s">
        <v>101</v>
      </c>
      <c r="B38" s="54" t="s">
        <v>102</v>
      </c>
      <c r="C38" s="153">
        <f>339.5*1000000</f>
        <v>339500000</v>
      </c>
      <c r="E38" s="153">
        <f>334*1000000</f>
        <v>334000000</v>
      </c>
      <c r="G38" s="153">
        <f>330.2*1000000</f>
        <v>330200000</v>
      </c>
      <c r="I38" s="153">
        <f>324.9*1000000</f>
        <v>324900000</v>
      </c>
      <c r="K38" s="153">
        <f>314.9*1000000</f>
        <v>314900000</v>
      </c>
      <c r="M38" s="153">
        <v>299200000</v>
      </c>
    </row>
    <row r="39" spans="1:30" x14ac:dyDescent="0.2">
      <c r="C39" s="65"/>
      <c r="E39" s="65"/>
    </row>
    <row r="40" spans="1:30" x14ac:dyDescent="0.2">
      <c r="A40" s="54" t="s">
        <v>103</v>
      </c>
      <c r="B40" s="54" t="s">
        <v>104</v>
      </c>
      <c r="C40" s="153">
        <f>C32</f>
        <v>441500000</v>
      </c>
      <c r="E40" s="153">
        <f>E32</f>
        <v>416800000</v>
      </c>
      <c r="G40" s="153">
        <f>G32</f>
        <v>665700000</v>
      </c>
      <c r="I40" s="153">
        <f>I32</f>
        <v>737300000</v>
      </c>
      <c r="K40" s="153">
        <f>K32</f>
        <v>-173700000</v>
      </c>
      <c r="M40" s="153">
        <f>M32</f>
        <v>433600000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5">
        <f>812.8*1000000</f>
        <v>812800000</v>
      </c>
      <c r="E41" s="65">
        <f>1232.3*1000000</f>
        <v>1232300000</v>
      </c>
      <c r="G41" s="65">
        <f>843.1*1000000</f>
        <v>843100000</v>
      </c>
      <c r="I41" s="65">
        <f>-313.3*1000000</f>
        <v>-313300000</v>
      </c>
      <c r="K41" s="65">
        <f>712.8*1000000</f>
        <v>712800000</v>
      </c>
      <c r="M41" s="65">
        <v>681500000</v>
      </c>
      <c r="Q41" s="66"/>
      <c r="R41" s="66"/>
    </row>
    <row r="42" spans="1:30" x14ac:dyDescent="0.2">
      <c r="A42" s="54" t="s">
        <v>108</v>
      </c>
      <c r="B42" s="54" t="s">
        <v>109</v>
      </c>
      <c r="C42" s="150">
        <f>(-33.6+18.2+25.7-123.9-30.1-14.7+29.8)*1000000</f>
        <v>-128600000</v>
      </c>
      <c r="E42" s="150">
        <f>(42.8+2.5-122.8+535.4+44.6-136.3+36.7)*1000000</f>
        <v>402900000</v>
      </c>
      <c r="G42" s="65">
        <f>(-97-18.1-130.1-363-30.2+155.4+36.7)*1000000</f>
        <v>-446300000.00000012</v>
      </c>
      <c r="I42" s="65">
        <f>(-1.9+5.5-3.4-180.5-22.7+7.5+4.7)*1000000</f>
        <v>-190800000</v>
      </c>
      <c r="K42" s="65">
        <f>(3.1+2.8-8.9+63.3-16.8+59.8-26.8)*1000000</f>
        <v>76500000</v>
      </c>
      <c r="M42" s="65">
        <f>(18.8-1+4.2-33+5.1-34.5-38)*1000000</f>
        <v>-78400000</v>
      </c>
      <c r="Q42" s="66" t="s">
        <v>110</v>
      </c>
      <c r="R42" s="66"/>
      <c r="S42" s="66"/>
      <c r="T42" s="66"/>
      <c r="U42" s="66"/>
      <c r="V42" s="66"/>
      <c r="W42" s="66"/>
      <c r="X42" s="66"/>
    </row>
    <row r="43" spans="1:30" x14ac:dyDescent="0.2">
      <c r="A43" s="54" t="s">
        <v>111</v>
      </c>
      <c r="B43" s="54" t="s">
        <v>112</v>
      </c>
      <c r="C43" s="65">
        <f>539.5*1000000</f>
        <v>539500000</v>
      </c>
      <c r="E43" s="65">
        <f>506.6*1000000</f>
        <v>506600000</v>
      </c>
      <c r="G43" s="65">
        <f>460.9*1000000</f>
        <v>460900000</v>
      </c>
      <c r="I43" s="65">
        <f>416*1000000</f>
        <v>416000000</v>
      </c>
      <c r="K43" s="65">
        <f>391.3*1000000</f>
        <v>391300000</v>
      </c>
      <c r="M43" s="65">
        <v>355000000</v>
      </c>
      <c r="Q43" s="54" t="s">
        <v>113</v>
      </c>
      <c r="S43" s="72">
        <f>ROUND(C21/C52,4)*100</f>
        <v>5.7299999999999995</v>
      </c>
      <c r="T43" s="73" t="s">
        <v>4</v>
      </c>
      <c r="U43" s="72">
        <f>ROUND(E21/E52,4)*100</f>
        <v>5.74</v>
      </c>
      <c r="V43" s="73" t="s">
        <v>4</v>
      </c>
      <c r="W43" s="72">
        <f>ROUND(G21/G52,4)*100</f>
        <v>8.68</v>
      </c>
      <c r="X43" s="73" t="s">
        <v>4</v>
      </c>
      <c r="Y43" s="72">
        <f>ROUND(I21/I52,4)*100</f>
        <v>10.879999999999999</v>
      </c>
      <c r="Z43" s="73" t="s">
        <v>4</v>
      </c>
      <c r="AA43" s="72">
        <f>ROUND(K21/K52,4)*100</f>
        <v>-2.4899999999999998</v>
      </c>
      <c r="AB43" s="73" t="s">
        <v>4</v>
      </c>
      <c r="AC43" s="72">
        <f>ROUND(AVERAGE(S43:AB43),2)</f>
        <v>5.71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5">
        <f>79.1*1000000</f>
        <v>79100000</v>
      </c>
      <c r="E44" s="65">
        <f>56.2*1000000</f>
        <v>56200000</v>
      </c>
      <c r="G44" s="153">
        <f>123.6*1000000</f>
        <v>123600000</v>
      </c>
      <c r="I44" s="153">
        <f>141.2*1000000</f>
        <v>141200000</v>
      </c>
      <c r="K44" s="153">
        <f>-127.4*1000000</f>
        <v>-127400000</v>
      </c>
      <c r="M44" s="153">
        <v>29800000</v>
      </c>
      <c r="Q44" s="54" t="s">
        <v>116</v>
      </c>
      <c r="S44" s="72">
        <f>(ROUND((C52/(AVERAGE(C48,E48))*100),2))</f>
        <v>167.39</v>
      </c>
      <c r="U44" s="72">
        <f>(ROUND((E52/(AVERAGE(E48,G48))*100),2))</f>
        <v>161.91</v>
      </c>
      <c r="W44" s="72">
        <f>(ROUND((G52/(AVERAGE(G48,I48))*100),2))</f>
        <v>180.88</v>
      </c>
      <c r="Y44" s="72">
        <f>(ROUND((I52/(AVERAGE(I48,K48))*100),2))</f>
        <v>176.04</v>
      </c>
      <c r="AA44" s="72">
        <f>(ROUND((K52/(AVERAGE(K48,M48))*100),2))</f>
        <v>180.12</v>
      </c>
      <c r="AC44" s="72">
        <f>ROUND(AVERAGE(S44:AB44),2)</f>
        <v>173.27</v>
      </c>
    </row>
    <row r="45" spans="1:30" x14ac:dyDescent="0.2">
      <c r="C45" s="65"/>
      <c r="E45" s="65"/>
      <c r="Q45" s="54" t="s">
        <v>117</v>
      </c>
      <c r="S45" s="72">
        <f>ROUND(((+C26/C52)*100),2)</f>
        <v>4.4000000000000004</v>
      </c>
      <c r="U45" s="72">
        <f>ROUND(((+E26/E52)*100),2)</f>
        <v>4.6399999999999997</v>
      </c>
      <c r="W45" s="72">
        <f>ROUND(((+G26/G52)*100),2)</f>
        <v>4.3099999999999996</v>
      </c>
      <c r="Y45" s="72">
        <f>ROUND(((+I26/I52)*100),2)</f>
        <v>4.8</v>
      </c>
      <c r="AA45" s="72">
        <f>ROUND(((+K26/K52)*100),2)</f>
        <v>4.5199999999999996</v>
      </c>
      <c r="AC45" s="72">
        <f>ROUND(AVERAGE(S45:AB45),2)</f>
        <v>4.53</v>
      </c>
    </row>
    <row r="46" spans="1:30" x14ac:dyDescent="0.2">
      <c r="A46" s="54" t="s">
        <v>118</v>
      </c>
      <c r="C46" s="65"/>
      <c r="E46" s="65"/>
      <c r="Q46" s="54" t="s">
        <v>119</v>
      </c>
      <c r="S46" s="72">
        <f>ROUND(((+C38/C34)*100),2)</f>
        <v>76.900000000000006</v>
      </c>
      <c r="U46" s="72">
        <f>ROUND(((+E38/E34)*100),2)</f>
        <v>80.13</v>
      </c>
      <c r="W46" s="72">
        <f>ROUND(((+G38/G34)*100),2)</f>
        <v>49.6</v>
      </c>
      <c r="Y46" s="72">
        <f>ROUND(((+I38/I34)*100),2)</f>
        <v>44.07</v>
      </c>
      <c r="AA46" s="72">
        <f>ROUND(((+K38/K34)*100),2)</f>
        <v>-181.29</v>
      </c>
      <c r="AC46" s="72">
        <f>ROUND(AVERAGE(S46:AB46),2)</f>
        <v>13.88</v>
      </c>
    </row>
    <row r="47" spans="1:30" x14ac:dyDescent="0.2">
      <c r="C47" s="65"/>
      <c r="E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23.112051792828684</v>
      </c>
      <c r="E48" s="65">
        <f>E16/E15</f>
        <v>22.524213679480781</v>
      </c>
      <c r="G48" s="65">
        <f>G16/G15</f>
        <v>22.044955044955046</v>
      </c>
      <c r="I48" s="65">
        <f>I16/I15</f>
        <v>20.27136431784108</v>
      </c>
      <c r="K48" s="65">
        <f>K16/K15</f>
        <v>18.157078890268014</v>
      </c>
      <c r="L48" s="65"/>
      <c r="M48" s="65">
        <f>M16/M15</f>
        <v>20.679161925995647</v>
      </c>
      <c r="Q48" s="66" t="s">
        <v>122</v>
      </c>
      <c r="R48" s="66"/>
      <c r="S48" s="72">
        <f>ROUND(((C34/AVERAGE(C16,E16))*100),2)</f>
        <v>9.65</v>
      </c>
      <c r="T48" s="54" t="s">
        <v>4</v>
      </c>
      <c r="U48" s="72">
        <f>ROUND(((E34/AVERAGE(E16,G16))*100),2)</f>
        <v>9.34</v>
      </c>
      <c r="V48" s="54" t="s">
        <v>4</v>
      </c>
      <c r="W48" s="72">
        <f>ROUND(((G34/AVERAGE(G16,I16))*100),2)</f>
        <v>15.72</v>
      </c>
      <c r="X48" s="54" t="s">
        <v>4</v>
      </c>
      <c r="Y48" s="72">
        <f>ROUND(((I34/AVERAGE(I16,K16))*100),2)</f>
        <v>19.18</v>
      </c>
      <c r="Z48" s="54" t="s">
        <v>4</v>
      </c>
      <c r="AA48" s="72">
        <f>ROUND(((K34/AVERAGE(K16,M16))*100),2)</f>
        <v>-4.47</v>
      </c>
      <c r="AB48" s="54" t="s">
        <v>4</v>
      </c>
      <c r="AC48" s="72">
        <f>ROUND(AVERAGE(S48:AB48),2)</f>
        <v>9.8800000000000008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L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9694200000</v>
      </c>
      <c r="E50" s="65">
        <f>SUM(E12:E13,E16:E17)</f>
        <v>8852100000</v>
      </c>
      <c r="G50" s="65">
        <f>SUM(G12:G13,G16:G17)</f>
        <v>8962000000</v>
      </c>
      <c r="I50" s="65">
        <f>SUM(I12:I13,I16:I17)</f>
        <v>8552700000</v>
      </c>
      <c r="K50" s="65">
        <f>SUM(K12:K13,K16:K17)</f>
        <v>7126200000</v>
      </c>
      <c r="L50" s="65"/>
      <c r="M50" s="65">
        <f>SUM(M12:M13,M16:M17)</f>
        <v>7334700000</v>
      </c>
      <c r="Q50" s="66" t="s">
        <v>124</v>
      </c>
      <c r="R50" s="66"/>
      <c r="S50" s="72">
        <f>ROUND((C54/C62),2)</f>
        <v>4.2</v>
      </c>
      <c r="T50" s="73" t="s">
        <v>125</v>
      </c>
      <c r="U50" s="72">
        <f>ROUND((E54/E62),2)</f>
        <v>4.03</v>
      </c>
      <c r="V50" s="73" t="s">
        <v>125</v>
      </c>
      <c r="W50" s="72">
        <f>ROUND((G54/G62),2)</f>
        <v>3.21</v>
      </c>
      <c r="X50" s="73" t="s">
        <v>125</v>
      </c>
      <c r="Y50" s="72">
        <f>ROUND((I54/I62),2)</f>
        <v>3.43</v>
      </c>
      <c r="Z50" s="73" t="s">
        <v>125</v>
      </c>
      <c r="AA50" s="72">
        <f>ROUND((K54/K62),2)</f>
        <v>14.32</v>
      </c>
      <c r="AB50" s="73" t="s">
        <v>125</v>
      </c>
      <c r="AC50" s="72">
        <f>ROUND(AVERAGE(S50:AB50),2)</f>
        <v>5.84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L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38.195</v>
      </c>
      <c r="E52" s="65">
        <f>AVERAGE(E22:E23)</f>
        <v>36.08</v>
      </c>
      <c r="G52" s="65">
        <f>AVERAGE(G22:G23)</f>
        <v>38.269999999999996</v>
      </c>
      <c r="I52" s="65">
        <f>AVERAGE(I22:I23)</f>
        <v>33.825000000000003</v>
      </c>
      <c r="K52" s="65">
        <f>AVERAGE(K22:K23)</f>
        <v>34.975000000000001</v>
      </c>
      <c r="L52" s="65"/>
      <c r="M52" s="65">
        <f>AVERAGE(M22:M23)</f>
        <v>41.844999999999999</v>
      </c>
      <c r="Q52" s="66" t="s">
        <v>127</v>
      </c>
      <c r="R52" s="66"/>
      <c r="S52" s="72">
        <f>ROUND(((C60/C54)*100),2)</f>
        <v>11.66</v>
      </c>
      <c r="T52" s="73" t="s">
        <v>4</v>
      </c>
      <c r="U52" s="72">
        <f>ROUND(((E60/E54)*100),2)</f>
        <v>33.24</v>
      </c>
      <c r="V52" s="73" t="s">
        <v>4</v>
      </c>
      <c r="W52" s="72">
        <f>ROUND(((G60/G54)*100),2)</f>
        <v>8.48</v>
      </c>
      <c r="X52" s="73" t="s">
        <v>4</v>
      </c>
      <c r="Y52" s="72">
        <f>ROUND(((I60/I54)*100),2)</f>
        <v>-10.32</v>
      </c>
      <c r="Z52" s="73" t="s">
        <v>4</v>
      </c>
      <c r="AA52" s="72">
        <f>ROUND(((K60/K54)*100),2)</f>
        <v>21.8</v>
      </c>
      <c r="AB52" s="73" t="s">
        <v>4</v>
      </c>
      <c r="AC52" s="72">
        <f>ROUND(AVERAGE(S52:AB52),2)</f>
        <v>12.97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L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5522599999.999999</v>
      </c>
      <c r="E54" s="65">
        <f>+E19+E12</f>
        <v>4839700000</v>
      </c>
      <c r="G54" s="65">
        <f>+G19+G12</f>
        <v>4548599999.999999</v>
      </c>
      <c r="I54" s="65">
        <f>+I19+I12</f>
        <v>4983300000</v>
      </c>
      <c r="K54" s="65">
        <f>+K19+K12</f>
        <v>3589400000</v>
      </c>
      <c r="L54" s="81"/>
      <c r="M54" s="65">
        <f>+M19+M12</f>
        <v>3307200000</v>
      </c>
      <c r="Q54" s="79" t="s">
        <v>128</v>
      </c>
      <c r="R54" s="79"/>
      <c r="S54" s="72">
        <f>S33</f>
        <v>54.34</v>
      </c>
      <c r="T54" s="73" t="s">
        <v>4</v>
      </c>
      <c r="U54" s="72">
        <f>U33</f>
        <v>51.75</v>
      </c>
      <c r="V54" s="73" t="s">
        <v>4</v>
      </c>
      <c r="W54" s="72">
        <f>W33</f>
        <v>50.75</v>
      </c>
      <c r="X54" s="73" t="s">
        <v>4</v>
      </c>
      <c r="Y54" s="72">
        <f>Y33</f>
        <v>55.13</v>
      </c>
      <c r="Z54" s="73" t="s">
        <v>4</v>
      </c>
      <c r="AA54" s="72">
        <f>AA33</f>
        <v>49.71</v>
      </c>
      <c r="AB54" s="73" t="s">
        <v>4</v>
      </c>
      <c r="AC54" s="72">
        <f>ROUND(AVERAGE(S54:AB54),2)</f>
        <v>52.34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L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10163500000</v>
      </c>
      <c r="E56" s="65">
        <f>SUM(E50,E19)</f>
        <v>9351300000</v>
      </c>
      <c r="G56" s="65">
        <f>SUM(G50,G19)</f>
        <v>8962000000</v>
      </c>
      <c r="I56" s="65">
        <f>SUM(I50,I19)</f>
        <v>9039600000</v>
      </c>
      <c r="K56" s="65">
        <f>SUM(K50,K19)</f>
        <v>7221200000</v>
      </c>
      <c r="L56" s="65"/>
      <c r="M56" s="65">
        <f>SUM(M50,M19)</f>
        <v>7446700000</v>
      </c>
    </row>
    <row r="57" spans="1:30" x14ac:dyDescent="0.2">
      <c r="C57" s="65"/>
      <c r="E57" s="65"/>
      <c r="G57" s="65"/>
      <c r="I57" s="65"/>
      <c r="K57" s="65"/>
      <c r="L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L58" s="65"/>
      <c r="M58" s="65">
        <f>SUM(M13,M17)</f>
        <v>0</v>
      </c>
    </row>
    <row r="59" spans="1:30" x14ac:dyDescent="0.2">
      <c r="C59" s="65"/>
      <c r="E59" s="65"/>
      <c r="G59" s="65"/>
      <c r="I59" s="65"/>
      <c r="K59" s="65"/>
      <c r="L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644100000</v>
      </c>
      <c r="E60" s="65">
        <f>ROUND(E41+E42-E28,3)</f>
        <v>1608700000</v>
      </c>
      <c r="G60" s="65">
        <f>ROUND(G41+G42-G28,3)</f>
        <v>385900000</v>
      </c>
      <c r="I60" s="65">
        <f>ROUND(I41+I42-I28,3)</f>
        <v>-514300000</v>
      </c>
      <c r="K60" s="65">
        <f>ROUND(K41+K42-K28,3)</f>
        <v>782600000</v>
      </c>
      <c r="L60" s="65"/>
      <c r="M60" s="65">
        <f>ROUND(M41+M42-M28,3)</f>
        <v>595800000</v>
      </c>
    </row>
    <row r="61" spans="1:30" x14ac:dyDescent="0.2">
      <c r="A61" s="82"/>
    </row>
    <row r="62" spans="1:30" x14ac:dyDescent="0.2">
      <c r="A62" s="54" t="s">
        <v>131</v>
      </c>
      <c r="B62" s="54" t="s">
        <v>121</v>
      </c>
      <c r="C62" s="65">
        <f>C44+C43+C34+C30</f>
        <v>1314600000</v>
      </c>
      <c r="E62" s="65">
        <f>E44+E43+E34+E30</f>
        <v>1201000000</v>
      </c>
      <c r="G62" s="65">
        <f>G44+G43+G34+G30</f>
        <v>1416500000</v>
      </c>
      <c r="I62" s="65">
        <f>I44+I43+I34+I30</f>
        <v>1452800000</v>
      </c>
      <c r="K62" s="65">
        <f>K44+K43+K34+K30</f>
        <v>250600000</v>
      </c>
      <c r="M62" s="65">
        <f>M44+M43+M34+M30</f>
        <v>966300000</v>
      </c>
    </row>
    <row r="64" spans="1:30" x14ac:dyDescent="0.2">
      <c r="G64" s="167"/>
      <c r="I64" s="167"/>
      <c r="K64" s="167"/>
      <c r="M64" s="167"/>
    </row>
    <row r="81" spans="219:223" x14ac:dyDescent="0.2">
      <c r="HK81" s="84"/>
      <c r="HL81" s="84"/>
      <c r="HO81" s="54" t="s">
        <v>132</v>
      </c>
    </row>
  </sheetData>
  <mergeCells count="6">
    <mergeCell ref="AC25:AD25"/>
    <mergeCell ref="C6:M6"/>
    <mergeCell ref="C7:M7"/>
    <mergeCell ref="C8:M8"/>
    <mergeCell ref="W13:AB13"/>
    <mergeCell ref="AC24:AD24"/>
  </mergeCells>
  <pageMargins left="0.7" right="0.7" top="0.75" bottom="0.75" header="0.3" footer="0.3"/>
  <pageSetup scale="24" orientation="portrait" r:id="rId1"/>
  <headerFooter>
    <oddHeader>&amp;R&amp;A
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0EB0-A908-4E5E-8ED2-9C0C7D95D09A}">
  <sheetPr>
    <pageSetUpPr fitToPage="1"/>
  </sheetPr>
  <dimension ref="A1:HO81"/>
  <sheetViews>
    <sheetView view="pageBreakPreview" zoomScale="60" zoomScaleNormal="50" workbookViewId="0"/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8" style="54" customWidth="1"/>
    <col min="4" max="4" width="1.42578125" style="54" customWidth="1"/>
    <col min="5" max="5" width="18" style="54" customWidth="1"/>
    <col min="6" max="6" width="1.42578125" style="54" customWidth="1"/>
    <col min="7" max="7" width="16.5703125" style="54" bestFit="1" customWidth="1"/>
    <col min="8" max="8" width="1.42578125" style="54" customWidth="1"/>
    <col min="9" max="9" width="17" style="54" customWidth="1"/>
    <col min="10" max="10" width="2.42578125" style="54" customWidth="1"/>
    <col min="11" max="11" width="17" style="54" customWidth="1"/>
    <col min="12" max="12" width="2.42578125" style="54" customWidth="1"/>
    <col min="13" max="13" width="17.5703125" style="54" customWidth="1"/>
    <col min="14" max="16" width="3" style="54" customWidth="1"/>
    <col min="17" max="17" width="50.42578125" style="54" bestFit="1" customWidth="1"/>
    <col min="18" max="18" width="3" style="54" customWidth="1"/>
    <col min="19" max="19" width="11.85546875" style="54" customWidth="1"/>
    <col min="20" max="20" width="2.7109375" style="54" customWidth="1"/>
    <col min="21" max="21" width="11.85546875" style="54" customWidth="1"/>
    <col min="22" max="22" width="2.7109375" style="54" customWidth="1"/>
    <col min="23" max="23" width="11.85546875" style="54" customWidth="1"/>
    <col min="24" max="24" width="3.42578125" style="54" customWidth="1"/>
    <col min="25" max="25" width="11.85546875" style="54" customWidth="1"/>
    <col min="26" max="26" width="2.42578125" style="54" bestFit="1" customWidth="1"/>
    <col min="27" max="27" width="11.85546875" style="54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16384" width="8.7109375" style="54"/>
  </cols>
  <sheetData>
    <row r="1" spans="1:29" ht="16.5" customHeight="1" x14ac:dyDescent="0.2">
      <c r="A1" s="147" t="s">
        <v>63</v>
      </c>
    </row>
    <row r="2" spans="1:29" ht="16.5" customHeight="1" x14ac:dyDescent="0.2">
      <c r="A2" s="147"/>
    </row>
    <row r="3" spans="1:29" ht="16.5" customHeight="1" x14ac:dyDescent="0.2">
      <c r="A3" s="147"/>
      <c r="C3" s="147"/>
      <c r="E3" s="147"/>
    </row>
    <row r="4" spans="1:29" ht="16.5" customHeight="1" thickBot="1" x14ac:dyDescent="0.25">
      <c r="A4" s="147"/>
      <c r="C4" s="147"/>
      <c r="E4" s="147"/>
    </row>
    <row r="5" spans="1:29" ht="15" x14ac:dyDescent="0.35">
      <c r="A5" s="148" t="s">
        <v>136</v>
      </c>
      <c r="G5" s="147"/>
    </row>
    <row r="6" spans="1:29" ht="15" customHeight="1" thickBot="1" x14ac:dyDescent="0.25">
      <c r="A6" s="149" t="s">
        <v>198</v>
      </c>
      <c r="C6" s="194" t="s">
        <v>219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60" t="str">
        <f>C6</f>
        <v>Pinnacle West Capital Corporation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141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71">
        <f>(8058648+800000)*1000</f>
        <v>8858648000</v>
      </c>
      <c r="E12" s="171">
        <f>(7540622+875000)*1000</f>
        <v>8415622000</v>
      </c>
      <c r="G12" s="171">
        <f>7741286000+50685000</f>
        <v>7791971000</v>
      </c>
      <c r="I12" s="150">
        <f>6913735000+150000000</f>
        <v>7063735000</v>
      </c>
      <c r="K12" s="150">
        <f>6314266000</f>
        <v>6314266000</v>
      </c>
      <c r="M12" s="150">
        <f>4832558000+800000000</f>
        <v>5632558000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ht="15" customHeight="1" x14ac:dyDescent="0.2">
      <c r="A13" s="54" t="s">
        <v>60</v>
      </c>
      <c r="B13" s="54" t="s">
        <v>61</v>
      </c>
      <c r="C13" s="65">
        <v>0</v>
      </c>
      <c r="E13" s="65">
        <v>0</v>
      </c>
      <c r="G13" s="65">
        <v>0</v>
      </c>
      <c r="I13" s="65">
        <v>0</v>
      </c>
      <c r="K13" s="65">
        <v>0</v>
      </c>
      <c r="M13" s="65">
        <v>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C14" s="65"/>
      <c r="E14" s="65"/>
      <c r="G14" s="171"/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65">
        <v>119143782</v>
      </c>
      <c r="E15" s="65">
        <v>113537689</v>
      </c>
      <c r="G15" s="81">
        <v>113247189</v>
      </c>
      <c r="I15" s="81">
        <v>113014528</v>
      </c>
      <c r="K15" s="81">
        <v>112760051</v>
      </c>
      <c r="M15" s="81">
        <v>112540126</v>
      </c>
    </row>
    <row r="16" spans="1:29" x14ac:dyDescent="0.2">
      <c r="A16" s="54" t="s">
        <v>6</v>
      </c>
      <c r="B16" s="54" t="s">
        <v>67</v>
      </c>
      <c r="C16" s="153">
        <f>6754311*1000</f>
        <v>6754311000</v>
      </c>
      <c r="E16" s="153">
        <f>6177664*1000</f>
        <v>6177664000</v>
      </c>
      <c r="G16" s="153">
        <v>6048647000</v>
      </c>
      <c r="I16" s="153">
        <v>5906200000</v>
      </c>
      <c r="K16" s="153">
        <v>5633503000</v>
      </c>
      <c r="M16" s="153">
        <v>5430648000</v>
      </c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C17" s="65">
        <v>0</v>
      </c>
      <c r="E17" s="65">
        <v>0</v>
      </c>
      <c r="G17" s="65">
        <v>0</v>
      </c>
      <c r="I17" s="65">
        <v>0</v>
      </c>
      <c r="K17" s="65">
        <v>0</v>
      </c>
      <c r="M17" s="65">
        <v>0</v>
      </c>
      <c r="Q17" s="54" t="s">
        <v>70</v>
      </c>
      <c r="S17" s="69">
        <f>C50/1000000</f>
        <v>15612.959000000001</v>
      </c>
      <c r="U17" s="69">
        <f>E50/1000000</f>
        <v>14593.286</v>
      </c>
      <c r="W17" s="69">
        <f>G50/1000000</f>
        <v>13840.618</v>
      </c>
      <c r="Y17" s="69">
        <f>I50/1000000</f>
        <v>12969.934999999999</v>
      </c>
      <c r="AA17" s="69">
        <f>K50/1000000</f>
        <v>11947.769</v>
      </c>
      <c r="AB17" s="69"/>
    </row>
    <row r="18" spans="1:30" x14ac:dyDescent="0.2">
      <c r="C18" s="65"/>
      <c r="E18" s="65"/>
      <c r="G18" s="171"/>
      <c r="Q18" s="54" t="s">
        <v>71</v>
      </c>
      <c r="S18" s="70">
        <f>C19/1000000</f>
        <v>568.45000000000005</v>
      </c>
      <c r="U18" s="70">
        <f>E19/1000000</f>
        <v>609.5</v>
      </c>
      <c r="W18" s="70">
        <f>G19/1000000</f>
        <v>340.72</v>
      </c>
      <c r="Y18" s="70">
        <f>I19/1000000</f>
        <v>292</v>
      </c>
      <c r="AA18" s="70">
        <f>K19/1000000</f>
        <v>169</v>
      </c>
      <c r="AB18" s="69"/>
    </row>
    <row r="19" spans="1:30" x14ac:dyDescent="0.2">
      <c r="A19" s="54" t="s">
        <v>72</v>
      </c>
      <c r="B19" s="54" t="s">
        <v>73</v>
      </c>
      <c r="C19" s="153">
        <f>568450*1000</f>
        <v>568450000</v>
      </c>
      <c r="E19" s="153">
        <f>609500*1000</f>
        <v>609500000</v>
      </c>
      <c r="G19" s="171">
        <v>340720000</v>
      </c>
      <c r="I19" s="153">
        <v>292000000</v>
      </c>
      <c r="K19" s="153">
        <v>169000000</v>
      </c>
      <c r="M19" s="153">
        <v>114675000</v>
      </c>
      <c r="Q19" s="54" t="s">
        <v>74</v>
      </c>
      <c r="S19" s="71">
        <f>SUM(S17:S18)</f>
        <v>16181.409000000001</v>
      </c>
      <c r="U19" s="71">
        <f>SUM(U17:U18)</f>
        <v>15202.786</v>
      </c>
      <c r="W19" s="71">
        <f>SUM(W17:W18)</f>
        <v>14181.338</v>
      </c>
      <c r="Y19" s="71">
        <f>SUM(Y17:Y18)</f>
        <v>13261.934999999999</v>
      </c>
      <c r="AA19" s="71">
        <f>SUM(AA17:AA18)</f>
        <v>12116.769</v>
      </c>
      <c r="AB19" s="69"/>
    </row>
    <row r="20" spans="1:30" x14ac:dyDescent="0.2">
      <c r="C20" s="65"/>
      <c r="E20" s="65"/>
      <c r="G20" s="171"/>
    </row>
    <row r="21" spans="1:30" x14ac:dyDescent="0.2">
      <c r="A21" s="54" t="s">
        <v>75</v>
      </c>
      <c r="B21" s="54" t="s">
        <v>76</v>
      </c>
      <c r="C21" s="65">
        <v>5.24</v>
      </c>
      <c r="E21" s="65">
        <v>4.41</v>
      </c>
      <c r="G21" s="171">
        <v>4.26</v>
      </c>
      <c r="I21" s="65">
        <v>5.47</v>
      </c>
      <c r="K21" s="65">
        <v>4.87</v>
      </c>
      <c r="M21" s="54">
        <v>4.7699999999999996</v>
      </c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54">
        <v>94.52</v>
      </c>
      <c r="E22" s="54">
        <v>85.42</v>
      </c>
      <c r="G22" s="171">
        <v>80.489999999999995</v>
      </c>
      <c r="I22" s="54">
        <v>88.12</v>
      </c>
      <c r="K22" s="54">
        <v>103.6</v>
      </c>
      <c r="M22" s="54">
        <v>98.76</v>
      </c>
      <c r="Q22" s="54" t="s">
        <v>80</v>
      </c>
      <c r="S22" s="72">
        <f>(ROUND((C30/(AVERAGE(C54,E54))*100),2))</f>
        <v>4.6100000000000003</v>
      </c>
      <c r="T22" s="73" t="s">
        <v>4</v>
      </c>
      <c r="U22" s="72">
        <f>(ROUND((E30/(AVERAGE(E54,G54))*100),2))</f>
        <v>4.37</v>
      </c>
      <c r="V22" s="73" t="s">
        <v>4</v>
      </c>
      <c r="W22" s="72">
        <f>(ROUND((G30/(AVERAGE(G54,I54))*100),2))</f>
        <v>3.66</v>
      </c>
      <c r="X22" s="73" t="s">
        <v>4</v>
      </c>
      <c r="Y22" s="72">
        <f>(ROUND((I30/(AVERAGE(I54,K54))*100),2))</f>
        <v>3.68</v>
      </c>
      <c r="Z22" s="73" t="s">
        <v>4</v>
      </c>
      <c r="AA22" s="72">
        <f>(ROUND((K30/(AVERAGE(K54,M54))*100),2))</f>
        <v>4.05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66.39</v>
      </c>
      <c r="E23" s="54">
        <v>68.94</v>
      </c>
      <c r="G23" s="171">
        <v>59.76</v>
      </c>
      <c r="I23" s="54">
        <v>63.36</v>
      </c>
      <c r="K23" s="54">
        <v>62.91</v>
      </c>
      <c r="M23" s="54">
        <v>82.47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C24" s="65"/>
      <c r="E24" s="65"/>
      <c r="G24" s="171"/>
      <c r="AC24" s="194" t="s">
        <v>1</v>
      </c>
      <c r="AD24" s="194"/>
    </row>
    <row r="25" spans="1:30" x14ac:dyDescent="0.2">
      <c r="C25" s="65"/>
      <c r="E25" s="65"/>
      <c r="G25" s="171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171">
        <v>3.55</v>
      </c>
      <c r="E26" s="171">
        <v>3.49</v>
      </c>
      <c r="G26" s="171">
        <v>3.43</v>
      </c>
      <c r="I26" s="54">
        <v>3.36</v>
      </c>
      <c r="K26" s="54">
        <v>3.23</v>
      </c>
      <c r="M26" s="54">
        <v>3.04</v>
      </c>
      <c r="Q26" s="54" t="s">
        <v>85</v>
      </c>
    </row>
    <row r="27" spans="1:30" x14ac:dyDescent="0.2">
      <c r="C27" s="65"/>
      <c r="E27" s="65"/>
      <c r="G27" s="171"/>
      <c r="Q27" s="54" t="s">
        <v>86</v>
      </c>
      <c r="S27" s="72">
        <f>ROUND(((C12/C50)*100),2)</f>
        <v>56.74</v>
      </c>
      <c r="T27" s="73" t="s">
        <v>4</v>
      </c>
      <c r="U27" s="72">
        <f>ROUND(((E12/E50)*100),2)</f>
        <v>57.67</v>
      </c>
      <c r="V27" s="73" t="s">
        <v>4</v>
      </c>
      <c r="W27" s="72">
        <f>ROUND(((G12/G50)*100),2)</f>
        <v>56.3</v>
      </c>
      <c r="X27" s="73" t="s">
        <v>4</v>
      </c>
      <c r="Y27" s="72">
        <f>ROUND(((I12/I50)*100),2)</f>
        <v>54.46</v>
      </c>
      <c r="Z27" s="73" t="s">
        <v>4</v>
      </c>
      <c r="AA27" s="72">
        <f>ROUND(((K12/K50)*100),2)</f>
        <v>52.85</v>
      </c>
      <c r="AB27" s="73" t="s">
        <v>4</v>
      </c>
      <c r="AC27" s="72">
        <f>ROUND(AVERAGE(S27:AB27),2)</f>
        <v>55.6</v>
      </c>
      <c r="AD27" s="73" t="s">
        <v>4</v>
      </c>
    </row>
    <row r="28" spans="1:30" x14ac:dyDescent="0.2">
      <c r="A28" s="54" t="s">
        <v>87</v>
      </c>
      <c r="B28" s="54" t="s">
        <v>87</v>
      </c>
      <c r="C28" s="171">
        <f>(38620+48270)*1000</f>
        <v>86890000</v>
      </c>
      <c r="E28" s="171">
        <f>(53118+43564)*1000</f>
        <v>96682000</v>
      </c>
      <c r="G28" s="171">
        <f>(45263+28030)*1000</f>
        <v>73293000</v>
      </c>
      <c r="I28" s="151">
        <f>(41737+21052)*1000</f>
        <v>62789000</v>
      </c>
      <c r="K28" s="151">
        <f>(33776+18530)*1000</f>
        <v>52306000</v>
      </c>
      <c r="M28" s="151">
        <f>(31431+18528)*1000</f>
        <v>49959000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C29" s="65"/>
      <c r="E29" s="65"/>
      <c r="G29" s="171"/>
      <c r="Q29" s="54" t="s">
        <v>89</v>
      </c>
      <c r="S29" s="74">
        <f>ROUND(((C16/C50)*100),2)</f>
        <v>43.26</v>
      </c>
      <c r="T29" s="73"/>
      <c r="U29" s="74">
        <f>ROUND(((E16/E50)*100),2)</f>
        <v>42.33</v>
      </c>
      <c r="V29" s="73"/>
      <c r="W29" s="74">
        <f>ROUND(((G16/G50)*100),2)</f>
        <v>43.7</v>
      </c>
      <c r="X29" s="73"/>
      <c r="Y29" s="74">
        <f>ROUND(((I16/I50)*100),2)</f>
        <v>45.54</v>
      </c>
      <c r="Z29" s="73"/>
      <c r="AA29" s="74">
        <f>ROUND(((K16/K50)*100),2)</f>
        <v>47.15</v>
      </c>
      <c r="AB29" s="73"/>
      <c r="AC29" s="72">
        <f>ROUND(AVERAGE(S29:AB29),2)</f>
        <v>44.4</v>
      </c>
      <c r="AD29" s="73"/>
    </row>
    <row r="30" spans="1:30" x14ac:dyDescent="0.2">
      <c r="A30" s="54" t="s">
        <v>90</v>
      </c>
      <c r="B30" s="54" t="s">
        <v>91</v>
      </c>
      <c r="C30" s="153">
        <f>425742*1000</f>
        <v>425742000</v>
      </c>
      <c r="E30" s="153">
        <f>374887*1000</f>
        <v>374887000</v>
      </c>
      <c r="G30" s="171">
        <v>283569000</v>
      </c>
      <c r="I30" s="151">
        <v>254314000</v>
      </c>
      <c r="K30" s="151">
        <f>247501*1000</f>
        <v>247501000</v>
      </c>
      <c r="M30" s="151">
        <v>235251000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C31" s="65"/>
      <c r="E31" s="65"/>
      <c r="G31" s="171"/>
    </row>
    <row r="32" spans="1:30" x14ac:dyDescent="0.2">
      <c r="A32" s="54" t="s">
        <v>93</v>
      </c>
      <c r="B32" s="54" t="s">
        <v>94</v>
      </c>
      <c r="C32" s="153">
        <f>626030*1000</f>
        <v>626030000</v>
      </c>
      <c r="E32" s="153">
        <f>518781*1000</f>
        <v>518781000</v>
      </c>
      <c r="G32" s="65">
        <v>500826000</v>
      </c>
      <c r="I32" s="65">
        <v>635944000</v>
      </c>
      <c r="K32" s="65">
        <v>570052000</v>
      </c>
      <c r="M32" s="65">
        <v>557813000</v>
      </c>
      <c r="Q32" s="54" t="s">
        <v>95</v>
      </c>
    </row>
    <row r="33" spans="1:30" x14ac:dyDescent="0.2">
      <c r="A33" s="76"/>
      <c r="B33" s="76"/>
      <c r="C33" s="78"/>
      <c r="D33" s="76"/>
      <c r="E33" s="78"/>
      <c r="F33" s="76"/>
      <c r="G33" s="172"/>
      <c r="H33" s="76"/>
      <c r="I33" s="76"/>
      <c r="J33" s="76"/>
      <c r="K33" s="76"/>
      <c r="L33" s="76"/>
      <c r="M33" s="76"/>
      <c r="Q33" s="54" t="s">
        <v>96</v>
      </c>
      <c r="S33" s="72">
        <f>ROUND((((C12+C19)/C56)*100),2)</f>
        <v>58.26</v>
      </c>
      <c r="T33" s="73" t="s">
        <v>4</v>
      </c>
      <c r="U33" s="72">
        <f>ROUND((((E12+E19)/E56)*100),2)</f>
        <v>59.36</v>
      </c>
      <c r="V33" s="73" t="s">
        <v>4</v>
      </c>
      <c r="W33" s="72">
        <f>ROUND((((G12+G19)/G56)*100),2)</f>
        <v>57.35</v>
      </c>
      <c r="X33" s="73" t="s">
        <v>4</v>
      </c>
      <c r="Y33" s="72">
        <f>ROUND((((I12+I19)/I56)*100),2)</f>
        <v>55.47</v>
      </c>
      <c r="Z33" s="73" t="s">
        <v>4</v>
      </c>
      <c r="AA33" s="72">
        <f>ROUND((((K12+K19)/K56)*100),2)</f>
        <v>53.51</v>
      </c>
      <c r="AB33" s="73" t="s">
        <v>4</v>
      </c>
      <c r="AC33" s="72">
        <f>ROUND(AVERAGE(S33:AB33),2)</f>
        <v>56.79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3">
        <f>608806*1000</f>
        <v>608806000</v>
      </c>
      <c r="E34" s="153">
        <f>501557*1000</f>
        <v>501557000</v>
      </c>
      <c r="G34" s="65">
        <v>483602000</v>
      </c>
      <c r="I34" s="65">
        <v>618720000</v>
      </c>
      <c r="K34" s="153">
        <f>550559*1000</f>
        <v>550559000</v>
      </c>
      <c r="M34" s="153">
        <v>538320000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C35" s="65"/>
      <c r="E35" s="65"/>
      <c r="G35" s="171"/>
      <c r="Q35" s="54" t="s">
        <v>89</v>
      </c>
      <c r="S35" s="74">
        <f>ROUND((((C16)/C56)*100),2)</f>
        <v>41.74</v>
      </c>
      <c r="T35" s="73"/>
      <c r="U35" s="74">
        <f>ROUND((((E16)/E56)*100),2)</f>
        <v>40.64</v>
      </c>
      <c r="V35" s="73"/>
      <c r="W35" s="74">
        <f>ROUND((((G16)/G56)*100),2)</f>
        <v>42.65</v>
      </c>
      <c r="X35" s="73"/>
      <c r="Y35" s="74">
        <f>ROUND((((I16)/I56)*100),2)</f>
        <v>44.53</v>
      </c>
      <c r="Z35" s="73"/>
      <c r="AA35" s="74">
        <f>ROUND((((K16)/K56)*100),2)</f>
        <v>46.49</v>
      </c>
      <c r="AB35" s="73"/>
      <c r="AC35" s="72">
        <f>ROUND(AVERAGE(S35:AB35),2)</f>
        <v>43.21</v>
      </c>
      <c r="AD35" s="73"/>
    </row>
    <row r="36" spans="1:30" x14ac:dyDescent="0.2">
      <c r="A36" s="54" t="s">
        <v>99</v>
      </c>
      <c r="B36" s="54" t="s">
        <v>100</v>
      </c>
      <c r="C36" s="65">
        <v>0</v>
      </c>
      <c r="E36" s="65">
        <v>0</v>
      </c>
      <c r="G36" s="65">
        <v>0</v>
      </c>
      <c r="I36" s="65">
        <v>0</v>
      </c>
      <c r="K36" s="65">
        <v>0</v>
      </c>
      <c r="M36" s="65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C37" s="65"/>
      <c r="E37" s="65"/>
      <c r="G37" s="171"/>
    </row>
    <row r="38" spans="1:30" x14ac:dyDescent="0.2">
      <c r="A38" s="54" t="s">
        <v>101</v>
      </c>
      <c r="B38" s="54" t="s">
        <v>102</v>
      </c>
      <c r="C38" s="153">
        <f>401400*1000</f>
        <v>401400000</v>
      </c>
      <c r="E38" s="153">
        <f>393600*1000</f>
        <v>393600000</v>
      </c>
      <c r="G38" s="171">
        <v>378881000</v>
      </c>
      <c r="I38" s="153">
        <v>369478000</v>
      </c>
      <c r="K38" s="153">
        <v>350577000</v>
      </c>
      <c r="M38" s="153">
        <v>329643000</v>
      </c>
    </row>
    <row r="39" spans="1:30" x14ac:dyDescent="0.2">
      <c r="C39" s="65"/>
      <c r="E39" s="65"/>
      <c r="G39" s="171"/>
    </row>
    <row r="40" spans="1:30" x14ac:dyDescent="0.2">
      <c r="A40" s="54" t="s">
        <v>103</v>
      </c>
      <c r="B40" s="54" t="s">
        <v>104</v>
      </c>
      <c r="C40" s="65">
        <f>C32</f>
        <v>626030000</v>
      </c>
      <c r="E40" s="65">
        <f>E32</f>
        <v>518781000</v>
      </c>
      <c r="G40" s="65">
        <f>G32</f>
        <v>500826000</v>
      </c>
      <c r="I40" s="65">
        <f>I32</f>
        <v>635944000</v>
      </c>
      <c r="K40" s="65">
        <f>K32</f>
        <v>570052000</v>
      </c>
      <c r="M40" s="65">
        <f>M32</f>
        <v>557813000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5">
        <f>1609823*1000</f>
        <v>1609823000</v>
      </c>
      <c r="E41" s="65">
        <f>1207697*1000</f>
        <v>1207697000</v>
      </c>
      <c r="G41" s="65">
        <v>1241441000</v>
      </c>
      <c r="I41" s="65">
        <v>860014000</v>
      </c>
      <c r="K41" s="65">
        <v>966365000</v>
      </c>
      <c r="M41" s="65">
        <v>956726000</v>
      </c>
      <c r="Q41" s="66"/>
      <c r="R41" s="66"/>
    </row>
    <row r="42" spans="1:30" x14ac:dyDescent="0.2">
      <c r="A42" s="54" t="s">
        <v>108</v>
      </c>
      <c r="B42" s="54" t="s">
        <v>109</v>
      </c>
      <c r="C42" s="65">
        <f>(-12696-9350-7895+332-50225-7214+9030+47329)*1000</f>
        <v>-30689000</v>
      </c>
      <c r="E42" s="65">
        <f>(-61983-2789-42911+13754-19550-75623+2393+40510)*1000</f>
        <v>-146199000</v>
      </c>
      <c r="G42" s="65">
        <f>(-63869-30784-83469-6572+76067+90076-4205-6056)*1000</f>
        <v>-28812000</v>
      </c>
      <c r="I42" s="65">
        <f>(-72559-1783-32870-722-22720+20267+9094-52086)*1000</f>
        <v>-153379000</v>
      </c>
      <c r="K42" s="65">
        <f>(-18191-4032+11623+14935-30640-6059+14652+22520)*1000</f>
        <v>4808000</v>
      </c>
      <c r="M42" s="65">
        <f>(-12789+9005-51826-21727-3507+50641-9920-84651)*1000</f>
        <v>-124774000</v>
      </c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5">
        <f>895346*1000</f>
        <v>895346000</v>
      </c>
      <c r="E43" s="65">
        <f>794043*1000</f>
        <v>794043000</v>
      </c>
      <c r="G43" s="65">
        <v>753195000</v>
      </c>
      <c r="I43" s="65">
        <v>650875000</v>
      </c>
      <c r="K43" s="153">
        <f>614378*1000</f>
        <v>614378000</v>
      </c>
      <c r="M43" s="153">
        <v>590929000</v>
      </c>
      <c r="Q43" s="54" t="s">
        <v>113</v>
      </c>
      <c r="S43" s="72">
        <f>ROUND(C21/C52,4)*100</f>
        <v>6.5100000000000007</v>
      </c>
      <c r="T43" s="73" t="s">
        <v>4</v>
      </c>
      <c r="U43" s="72">
        <f>ROUND(E21/E52,4)*100</f>
        <v>5.71</v>
      </c>
      <c r="V43" s="73" t="s">
        <v>4</v>
      </c>
      <c r="W43" s="72">
        <f>ROUND(G21/G52,4)*100</f>
        <v>6.0699999999999994</v>
      </c>
      <c r="X43" s="73" t="s">
        <v>4</v>
      </c>
      <c r="Y43" s="72">
        <f>ROUND(I21/I52,4)*100</f>
        <v>7.22</v>
      </c>
      <c r="Z43" s="73" t="s">
        <v>4</v>
      </c>
      <c r="AA43" s="72">
        <f>ROUND(K21/K52,4)*100</f>
        <v>5.8500000000000005</v>
      </c>
      <c r="AB43" s="73" t="s">
        <v>4</v>
      </c>
      <c r="AC43" s="72">
        <f>ROUND(AVERAGE(S43:AB43),2)</f>
        <v>6.27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5">
        <f>110529*1000</f>
        <v>110529000</v>
      </c>
      <c r="E44" s="65">
        <f>76912*1000</f>
        <v>76912000</v>
      </c>
      <c r="G44" s="65">
        <v>74827000</v>
      </c>
      <c r="I44" s="65">
        <v>110086000</v>
      </c>
      <c r="K44" s="65">
        <v>78173000</v>
      </c>
      <c r="M44" s="65">
        <v>-15773000</v>
      </c>
      <c r="Q44" s="54" t="s">
        <v>116</v>
      </c>
      <c r="S44" s="72">
        <f>(ROUND((C52/(AVERAGE(C48,E48))*100),2))</f>
        <v>144.83000000000001</v>
      </c>
      <c r="U44" s="72">
        <f>(ROUND((E52/(AVERAGE(E48,G48))*100),2))</f>
        <v>143.16</v>
      </c>
      <c r="W44" s="72">
        <f>(ROUND((G52/(AVERAGE(G48,I48))*100),2))</f>
        <v>132.72</v>
      </c>
      <c r="Y44" s="72">
        <f>(ROUND((I52/(AVERAGE(I48,K48))*100),2))</f>
        <v>148.19</v>
      </c>
      <c r="AA44" s="72">
        <f>(ROUND((K52/(AVERAGE(K48,M48))*100),2))</f>
        <v>169.54</v>
      </c>
      <c r="AC44" s="72">
        <f>ROUND(AVERAGE(S44:AB44),2)</f>
        <v>147.69</v>
      </c>
    </row>
    <row r="45" spans="1:30" x14ac:dyDescent="0.2">
      <c r="C45" s="65"/>
      <c r="E45" s="65"/>
      <c r="Q45" s="54" t="s">
        <v>117</v>
      </c>
      <c r="S45" s="72">
        <f>ROUND(((+C26/C52)*100),2)</f>
        <v>4.41</v>
      </c>
      <c r="U45" s="72">
        <f>ROUND(((+E26/E52)*100),2)</f>
        <v>4.5199999999999996</v>
      </c>
      <c r="W45" s="72">
        <f>ROUND(((+G26/G52)*100),2)</f>
        <v>4.8899999999999997</v>
      </c>
      <c r="Y45" s="72">
        <f>ROUND(((+I26/I52)*100),2)</f>
        <v>4.4400000000000004</v>
      </c>
      <c r="AA45" s="72">
        <f>ROUND(((+K26/K52)*100),2)</f>
        <v>3.88</v>
      </c>
      <c r="AC45" s="72">
        <f>ROUND(AVERAGE(S45:AB45),2)</f>
        <v>4.43</v>
      </c>
    </row>
    <row r="46" spans="1:30" x14ac:dyDescent="0.2">
      <c r="A46" s="54" t="s">
        <v>118</v>
      </c>
      <c r="C46" s="65"/>
      <c r="E46" s="65"/>
      <c r="Q46" s="54" t="s">
        <v>119</v>
      </c>
      <c r="S46" s="72">
        <f>ROUND(((+C38/C34)*100),2)</f>
        <v>65.930000000000007</v>
      </c>
      <c r="U46" s="72">
        <f>ROUND(((+E38/E34)*100),2)</f>
        <v>78.48</v>
      </c>
      <c r="W46" s="72">
        <f>ROUND(((+G38/G34)*100),2)</f>
        <v>78.349999999999994</v>
      </c>
      <c r="Y46" s="72">
        <f>ROUND(((+I38/I34)*100),2)</f>
        <v>59.72</v>
      </c>
      <c r="AA46" s="72">
        <f>ROUND(((+K38/K34)*100),2)</f>
        <v>63.68</v>
      </c>
      <c r="AC46" s="72">
        <f>ROUND(AVERAGE(S46:AB46),2)</f>
        <v>69.23</v>
      </c>
    </row>
    <row r="47" spans="1:30" x14ac:dyDescent="0.2">
      <c r="C47" s="65"/>
      <c r="E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56.690419647749643</v>
      </c>
      <c r="E48" s="65">
        <f>E16/E15</f>
        <v>54.410690004444248</v>
      </c>
      <c r="G48" s="65">
        <f>G16/G15</f>
        <v>53.411012259209365</v>
      </c>
      <c r="I48" s="65">
        <f>I16/I15</f>
        <v>52.26053768945529</v>
      </c>
      <c r="K48" s="65">
        <f>K16/K15</f>
        <v>49.960096240112556</v>
      </c>
      <c r="L48" s="65"/>
      <c r="M48" s="65">
        <f>M16/M15</f>
        <v>48.255215210972842</v>
      </c>
      <c r="Q48" s="66" t="s">
        <v>122</v>
      </c>
      <c r="R48" s="66"/>
      <c r="S48" s="72">
        <f>ROUND(((C34/AVERAGE(C16,E16))*100),2)</f>
        <v>9.42</v>
      </c>
      <c r="T48" s="54" t="s">
        <v>4</v>
      </c>
      <c r="U48" s="72">
        <f>ROUND(((E34/AVERAGE(E16,G16))*100),2)</f>
        <v>8.1999999999999993</v>
      </c>
      <c r="V48" s="54" t="s">
        <v>4</v>
      </c>
      <c r="W48" s="72">
        <f>ROUND(((G34/AVERAGE(G16,I16))*100),2)</f>
        <v>8.09</v>
      </c>
      <c r="X48" s="54" t="s">
        <v>4</v>
      </c>
      <c r="Y48" s="72">
        <f>ROUND(((I34/AVERAGE(I16,K16))*100),2)</f>
        <v>10.72</v>
      </c>
      <c r="Z48" s="54" t="s">
        <v>4</v>
      </c>
      <c r="AA48" s="72">
        <f>ROUND(((K34/AVERAGE(K16,M16))*100),2)</f>
        <v>9.9499999999999993</v>
      </c>
      <c r="AB48" s="54" t="s">
        <v>4</v>
      </c>
      <c r="AC48" s="72">
        <f>ROUND(AVERAGE(S48:AB48),2)</f>
        <v>9.2799999999999994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L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15612959000</v>
      </c>
      <c r="E50" s="65">
        <f>SUM(E12:E13,E16:E17)</f>
        <v>14593286000</v>
      </c>
      <c r="G50" s="65">
        <f>SUM(G12:G13,G16:G17)</f>
        <v>13840618000</v>
      </c>
      <c r="I50" s="65">
        <f>SUM(I12:I13,I16:I17)</f>
        <v>12969935000</v>
      </c>
      <c r="K50" s="65">
        <f>SUM(K12:K13,K16:K17)</f>
        <v>11947769000</v>
      </c>
      <c r="L50" s="65"/>
      <c r="M50" s="65">
        <f>SUM(M12:M13,M16:M17)</f>
        <v>11063206000</v>
      </c>
      <c r="Q50" s="66" t="s">
        <v>124</v>
      </c>
      <c r="R50" s="66"/>
      <c r="S50" s="72">
        <f>ROUND((C54/C62),2)</f>
        <v>4.62</v>
      </c>
      <c r="T50" s="73" t="s">
        <v>125</v>
      </c>
      <c r="U50" s="72">
        <f>ROUND((E54/E62),2)</f>
        <v>5.16</v>
      </c>
      <c r="V50" s="73" t="s">
        <v>125</v>
      </c>
      <c r="W50" s="72">
        <f>ROUND((G54/G62),2)</f>
        <v>5.0999999999999996</v>
      </c>
      <c r="X50" s="73" t="s">
        <v>125</v>
      </c>
      <c r="Y50" s="72">
        <f>ROUND((I54/I62),2)</f>
        <v>4.5</v>
      </c>
      <c r="Z50" s="73" t="s">
        <v>125</v>
      </c>
      <c r="AA50" s="72">
        <f>ROUND((K54/K62),2)</f>
        <v>4.3499999999999996</v>
      </c>
      <c r="AB50" s="73" t="s">
        <v>125</v>
      </c>
      <c r="AC50" s="72">
        <f>ROUND(AVERAGE(S50:AB50),2)</f>
        <v>4.75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L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80.454999999999998</v>
      </c>
      <c r="E52" s="65">
        <f>AVERAGE(E22:E23)</f>
        <v>77.180000000000007</v>
      </c>
      <c r="G52" s="65">
        <f>AVERAGE(G22:G23)</f>
        <v>70.125</v>
      </c>
      <c r="I52" s="65">
        <f>AVERAGE(I22:I23)</f>
        <v>75.740000000000009</v>
      </c>
      <c r="K52" s="65">
        <f>AVERAGE(K22:K23)</f>
        <v>83.254999999999995</v>
      </c>
      <c r="L52" s="65"/>
      <c r="M52" s="65">
        <f>AVERAGE(M22:M23)</f>
        <v>90.615000000000009</v>
      </c>
      <c r="Q52" s="66" t="s">
        <v>127</v>
      </c>
      <c r="R52" s="66"/>
      <c r="S52" s="72">
        <f>ROUND(((C60/C54)*100),2)</f>
        <v>15.83</v>
      </c>
      <c r="T52" s="73" t="s">
        <v>4</v>
      </c>
      <c r="U52" s="72">
        <f>ROUND(((E60/E54)*100),2)</f>
        <v>10.69</v>
      </c>
      <c r="V52" s="73" t="s">
        <v>4</v>
      </c>
      <c r="W52" s="72">
        <f>ROUND(((G60/G54)*100),2)</f>
        <v>14.01</v>
      </c>
      <c r="X52" s="73" t="s">
        <v>4</v>
      </c>
      <c r="Y52" s="72">
        <f>ROUND(((I60/I54)*100),2)</f>
        <v>8.75</v>
      </c>
      <c r="Z52" s="73" t="s">
        <v>4</v>
      </c>
      <c r="AA52" s="72">
        <f>ROUND(((K60/K54)*100),2)</f>
        <v>14.17</v>
      </c>
      <c r="AB52" s="73" t="s">
        <v>4</v>
      </c>
      <c r="AC52" s="72">
        <f>ROUND(AVERAGE(S52:AB52),2)</f>
        <v>12.69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L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9427098000</v>
      </c>
      <c r="E54" s="65">
        <f>+E19+E12</f>
        <v>9025122000</v>
      </c>
      <c r="G54" s="65">
        <f>+G19+G12</f>
        <v>8132691000</v>
      </c>
      <c r="I54" s="65">
        <f>+I19+I12</f>
        <v>7355735000</v>
      </c>
      <c r="K54" s="65">
        <f>+K19+K12</f>
        <v>6483266000</v>
      </c>
      <c r="L54" s="81"/>
      <c r="M54" s="65">
        <f>+M19+M12</f>
        <v>5747233000</v>
      </c>
      <c r="Q54" s="79" t="s">
        <v>128</v>
      </c>
      <c r="R54" s="79"/>
      <c r="S54" s="72">
        <f>S33</f>
        <v>58.26</v>
      </c>
      <c r="T54" s="73" t="s">
        <v>4</v>
      </c>
      <c r="U54" s="72">
        <f>U33</f>
        <v>59.36</v>
      </c>
      <c r="V54" s="73" t="s">
        <v>4</v>
      </c>
      <c r="W54" s="72">
        <f>W33</f>
        <v>57.35</v>
      </c>
      <c r="X54" s="73" t="s">
        <v>4</v>
      </c>
      <c r="Y54" s="72">
        <f>Y33</f>
        <v>55.47</v>
      </c>
      <c r="Z54" s="73" t="s">
        <v>4</v>
      </c>
      <c r="AA54" s="72">
        <f>AA33</f>
        <v>53.51</v>
      </c>
      <c r="AB54" s="73" t="s">
        <v>4</v>
      </c>
      <c r="AC54" s="72">
        <f>ROUND(AVERAGE(S54:AB54),2)</f>
        <v>56.79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L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16181409000</v>
      </c>
      <c r="E56" s="65">
        <f>SUM(E50,E19)</f>
        <v>15202786000</v>
      </c>
      <c r="G56" s="65">
        <f>SUM(G50,G19)</f>
        <v>14181338000</v>
      </c>
      <c r="I56" s="65">
        <f>SUM(I50,I19)</f>
        <v>13261935000</v>
      </c>
      <c r="K56" s="65">
        <f>SUM(K50,K19)</f>
        <v>12116769000</v>
      </c>
      <c r="L56" s="65"/>
      <c r="M56" s="65">
        <f>SUM(M50,M19)</f>
        <v>11177881000</v>
      </c>
    </row>
    <row r="57" spans="1:30" x14ac:dyDescent="0.2">
      <c r="C57" s="65"/>
      <c r="E57" s="65"/>
      <c r="G57" s="65"/>
      <c r="I57" s="65"/>
      <c r="K57" s="65"/>
      <c r="L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L58" s="65"/>
      <c r="M58" s="65">
        <f>SUM(M13,M17)</f>
        <v>0</v>
      </c>
    </row>
    <row r="59" spans="1:30" x14ac:dyDescent="0.2">
      <c r="C59" s="65"/>
      <c r="E59" s="65"/>
      <c r="G59" s="65"/>
      <c r="I59" s="65"/>
      <c r="K59" s="65"/>
      <c r="L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1492244000</v>
      </c>
      <c r="E60" s="65">
        <f>ROUND(E41+E42-E28,3)</f>
        <v>964816000</v>
      </c>
      <c r="G60" s="65">
        <f>ROUND(G41+G42-G28,3)</f>
        <v>1139336000</v>
      </c>
      <c r="I60" s="65">
        <f>ROUND(I41+I42-I28,3)</f>
        <v>643846000</v>
      </c>
      <c r="K60" s="65">
        <f>ROUND(K41+K42-K28,3)</f>
        <v>918867000</v>
      </c>
      <c r="L60" s="65"/>
      <c r="M60" s="65">
        <f>ROUND(M41+M42-M28,3)</f>
        <v>781993000</v>
      </c>
    </row>
    <row r="61" spans="1:30" x14ac:dyDescent="0.2">
      <c r="A61" s="82"/>
    </row>
    <row r="62" spans="1:30" x14ac:dyDescent="0.2">
      <c r="A62" s="54" t="s">
        <v>131</v>
      </c>
      <c r="B62" s="54" t="s">
        <v>121</v>
      </c>
      <c r="C62" s="65">
        <f>C44+C43+C34+C30</f>
        <v>2040423000</v>
      </c>
      <c r="E62" s="65">
        <f>E44+E43+E34+E30</f>
        <v>1747399000</v>
      </c>
      <c r="G62" s="65">
        <f>G44+G43+G34+G30</f>
        <v>1595193000</v>
      </c>
      <c r="I62" s="65">
        <f>I44+I43+I34+I30</f>
        <v>1633995000</v>
      </c>
      <c r="J62" s="65"/>
      <c r="K62" s="65">
        <f>K44+K43+K34+K30</f>
        <v>1490611000</v>
      </c>
      <c r="L62" s="65"/>
      <c r="M62" s="65">
        <f>M44+M43+M34+M30</f>
        <v>1348727000</v>
      </c>
    </row>
    <row r="81" spans="219:223" x14ac:dyDescent="0.2">
      <c r="HK81" s="84"/>
      <c r="HL81" s="84"/>
      <c r="HO81" s="54" t="s">
        <v>132</v>
      </c>
    </row>
  </sheetData>
  <mergeCells count="6">
    <mergeCell ref="AC25:AD25"/>
    <mergeCell ref="C6:M6"/>
    <mergeCell ref="C7:M7"/>
    <mergeCell ref="C8:M8"/>
    <mergeCell ref="W13:AB13"/>
    <mergeCell ref="AC24:AD24"/>
  </mergeCells>
  <printOptions horizontalCentered="1"/>
  <pageMargins left="0.75" right="0.75" top="1" bottom="1" header="0.5" footer="0.5"/>
  <pageSetup scale="37" orientation="landscape" horizontalDpi="300" verticalDpi="300" r:id="rId1"/>
  <headerFooter alignWithMargins="0">
    <oddHeader>&amp;R&amp;A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BD0E-FCBE-4969-AA49-A00128C5755A}">
  <sheetPr>
    <pageSetUpPr fitToPage="1"/>
  </sheetPr>
  <dimension ref="A1:HO81"/>
  <sheetViews>
    <sheetView view="pageBreakPreview" zoomScale="60" zoomScaleNormal="80" workbookViewId="0"/>
  </sheetViews>
  <sheetFormatPr defaultColWidth="8.7109375" defaultRowHeight="12.75" x14ac:dyDescent="0.2"/>
  <cols>
    <col min="1" max="1" width="34.42578125" style="54" customWidth="1"/>
    <col min="2" max="2" width="14.42578125" style="54" bestFit="1" customWidth="1"/>
    <col min="3" max="3" width="18" style="54" customWidth="1"/>
    <col min="4" max="4" width="1.42578125" style="54" customWidth="1"/>
    <col min="5" max="5" width="18" style="54" customWidth="1"/>
    <col min="6" max="6" width="1.42578125" style="54" customWidth="1"/>
    <col min="7" max="7" width="15.7109375" style="54" customWidth="1"/>
    <col min="8" max="8" width="1.42578125" style="54" customWidth="1"/>
    <col min="9" max="9" width="17" style="54" customWidth="1"/>
    <col min="10" max="10" width="2.42578125" style="54" customWidth="1"/>
    <col min="11" max="11" width="17" style="54" customWidth="1"/>
    <col min="12" max="12" width="2.42578125" style="54" customWidth="1"/>
    <col min="13" max="13" width="17.5703125" style="54" customWidth="1"/>
    <col min="14" max="16" width="3" style="54" customWidth="1"/>
    <col min="17" max="17" width="50.42578125" style="54" bestFit="1" customWidth="1"/>
    <col min="18" max="18" width="3" style="54" customWidth="1"/>
    <col min="19" max="19" width="14.140625" style="54" customWidth="1"/>
    <col min="20" max="20" width="2.7109375" style="54" customWidth="1"/>
    <col min="21" max="21" width="14.140625" style="54" customWidth="1"/>
    <col min="22" max="22" width="2.7109375" style="54" customWidth="1"/>
    <col min="23" max="23" width="13.140625" style="54" customWidth="1"/>
    <col min="24" max="24" width="3.42578125" style="54" customWidth="1"/>
    <col min="25" max="25" width="10.42578125" style="54" bestFit="1" customWidth="1"/>
    <col min="26" max="26" width="2.42578125" style="54" bestFit="1" customWidth="1"/>
    <col min="27" max="27" width="10.42578125" style="54" bestFit="1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16384" width="8.7109375" style="54"/>
  </cols>
  <sheetData>
    <row r="1" spans="1:29" ht="16.350000000000001" customHeight="1" x14ac:dyDescent="0.2">
      <c r="A1" s="147" t="s">
        <v>63</v>
      </c>
    </row>
    <row r="2" spans="1:29" ht="16.350000000000001" customHeight="1" x14ac:dyDescent="0.2">
      <c r="A2" s="147"/>
    </row>
    <row r="3" spans="1:29" ht="16.350000000000001" customHeight="1" x14ac:dyDescent="0.2">
      <c r="A3" s="147"/>
      <c r="C3" s="147"/>
      <c r="E3" s="147"/>
    </row>
    <row r="4" spans="1:29" ht="16.350000000000001" customHeight="1" thickBot="1" x14ac:dyDescent="0.25">
      <c r="A4" s="147"/>
      <c r="C4" s="147"/>
      <c r="E4" s="147"/>
    </row>
    <row r="5" spans="1:29" ht="15" x14ac:dyDescent="0.35">
      <c r="A5" s="148" t="s">
        <v>136</v>
      </c>
      <c r="G5" s="147"/>
    </row>
    <row r="6" spans="1:29" ht="14.85" customHeight="1" thickBot="1" x14ac:dyDescent="0.25">
      <c r="A6" s="149" t="s">
        <v>200</v>
      </c>
      <c r="C6" s="194" t="s">
        <v>220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60" t="str">
        <f>C6</f>
        <v xml:space="preserve">Portland General Electric Co. 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141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71">
        <f>(170+4354)*1000000</f>
        <v>4524000000</v>
      </c>
      <c r="E12" s="171">
        <f>(80+3905)*1000000</f>
        <v>3985000000</v>
      </c>
      <c r="G12" s="171">
        <f>(260+3386)*1000000</f>
        <v>3646000000</v>
      </c>
      <c r="I12" s="150">
        <f>(3285)*1000000</f>
        <v>3285000000</v>
      </c>
      <c r="K12" s="150">
        <f>(160+2886)*1000000</f>
        <v>3046000000</v>
      </c>
      <c r="M12" s="150">
        <v>2597000000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ht="15" customHeight="1" x14ac:dyDescent="0.2">
      <c r="A13" s="54" t="s">
        <v>60</v>
      </c>
      <c r="B13" s="54" t="s">
        <v>61</v>
      </c>
      <c r="C13" s="54">
        <v>0</v>
      </c>
      <c r="E13" s="54">
        <v>0</v>
      </c>
      <c r="G13" s="54">
        <v>0</v>
      </c>
      <c r="I13" s="54">
        <v>0</v>
      </c>
      <c r="K13" s="54">
        <v>0</v>
      </c>
      <c r="M13" s="54">
        <v>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C14" s="65"/>
      <c r="E14" s="65"/>
      <c r="G14" s="171"/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65">
        <v>109342251</v>
      </c>
      <c r="E15" s="65">
        <v>101159609</v>
      </c>
      <c r="G15" s="151">
        <v>89283353</v>
      </c>
      <c r="I15" s="151">
        <v>89410612</v>
      </c>
      <c r="K15" s="151">
        <v>89537331</v>
      </c>
      <c r="M15" s="151">
        <v>89387124</v>
      </c>
    </row>
    <row r="16" spans="1:29" x14ac:dyDescent="0.2">
      <c r="A16" s="54" t="s">
        <v>6</v>
      </c>
      <c r="B16" s="54" t="s">
        <v>67</v>
      </c>
      <c r="C16" s="153">
        <f>3794*1000000</f>
        <v>3794000000</v>
      </c>
      <c r="E16" s="153">
        <f>3319*1000000</f>
        <v>3319000000</v>
      </c>
      <c r="G16" s="153">
        <f>2779*1000000</f>
        <v>2779000000</v>
      </c>
      <c r="I16" s="153">
        <f>2707*1000000</f>
        <v>2707000000</v>
      </c>
      <c r="K16" s="153">
        <f>2613*1000000</f>
        <v>2613000000</v>
      </c>
      <c r="M16" s="153">
        <v>2591000000</v>
      </c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C17" s="54">
        <v>0</v>
      </c>
      <c r="E17" s="54">
        <v>0</v>
      </c>
      <c r="G17" s="54">
        <v>0</v>
      </c>
      <c r="I17" s="54">
        <v>0</v>
      </c>
      <c r="K17" s="54">
        <v>0</v>
      </c>
      <c r="M17" s="54">
        <v>0</v>
      </c>
      <c r="Q17" s="54" t="s">
        <v>70</v>
      </c>
      <c r="S17" s="69">
        <f>C50/1000000</f>
        <v>8318</v>
      </c>
      <c r="U17" s="69">
        <f>E50/1000000</f>
        <v>7304</v>
      </c>
      <c r="W17" s="69">
        <f>G50/1000000</f>
        <v>6425</v>
      </c>
      <c r="Y17" s="69">
        <f>I50/1000000</f>
        <v>5992</v>
      </c>
      <c r="AA17" s="69">
        <f>K50/1000000</f>
        <v>5659</v>
      </c>
      <c r="AB17" s="69"/>
    </row>
    <row r="18" spans="1:30" x14ac:dyDescent="0.2">
      <c r="C18" s="65"/>
      <c r="E18" s="65"/>
      <c r="G18" s="171"/>
      <c r="Q18" s="54" t="s">
        <v>71</v>
      </c>
      <c r="S18" s="70">
        <f>C19/1000000</f>
        <v>0</v>
      </c>
      <c r="U18" s="70">
        <f>E19/1000000</f>
        <v>146</v>
      </c>
      <c r="W18" s="70">
        <f>G19/1000000</f>
        <v>0</v>
      </c>
      <c r="Y18" s="70">
        <f>I19/1000000</f>
        <v>0</v>
      </c>
      <c r="AA18" s="70">
        <f>K19/1000000</f>
        <v>150</v>
      </c>
      <c r="AB18" s="69"/>
    </row>
    <row r="19" spans="1:30" x14ac:dyDescent="0.2">
      <c r="A19" s="54" t="s">
        <v>72</v>
      </c>
      <c r="B19" s="54" t="s">
        <v>73</v>
      </c>
      <c r="C19" s="153">
        <v>0</v>
      </c>
      <c r="E19" s="153">
        <f>146*1000000</f>
        <v>146000000</v>
      </c>
      <c r="G19" s="54">
        <v>0</v>
      </c>
      <c r="I19" s="153">
        <v>0</v>
      </c>
      <c r="K19" s="153">
        <f>150*1000000</f>
        <v>150000000</v>
      </c>
      <c r="M19" s="153">
        <v>0</v>
      </c>
      <c r="Q19" s="54" t="s">
        <v>74</v>
      </c>
      <c r="S19" s="71">
        <f>SUM(S17:S18)</f>
        <v>8318</v>
      </c>
      <c r="U19" s="71">
        <f>SUM(U17:U18)</f>
        <v>7450</v>
      </c>
      <c r="W19" s="71">
        <f>SUM(W17:W18)</f>
        <v>6425</v>
      </c>
      <c r="Y19" s="71">
        <f>SUM(Y17:Y18)</f>
        <v>5992</v>
      </c>
      <c r="AA19" s="71">
        <f>SUM(AA17:AA18)</f>
        <v>5809</v>
      </c>
      <c r="AB19" s="69"/>
    </row>
    <row r="20" spans="1:30" x14ac:dyDescent="0.2">
      <c r="C20" s="65"/>
      <c r="E20" s="65"/>
      <c r="G20" s="171"/>
    </row>
    <row r="21" spans="1:30" x14ac:dyDescent="0.2">
      <c r="A21" s="54" t="s">
        <v>75</v>
      </c>
      <c r="B21" s="54" t="s">
        <v>76</v>
      </c>
      <c r="C21" s="171">
        <v>3.01</v>
      </c>
      <c r="E21" s="171">
        <v>2.33</v>
      </c>
      <c r="G21" s="171">
        <v>2.6</v>
      </c>
      <c r="I21" s="65">
        <v>2.72</v>
      </c>
      <c r="K21" s="65">
        <v>1.72</v>
      </c>
      <c r="M21" s="65">
        <v>2.39</v>
      </c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54">
        <v>49.09</v>
      </c>
      <c r="E22" s="54">
        <v>75.66</v>
      </c>
      <c r="G22" s="171">
        <v>56.97</v>
      </c>
      <c r="I22" s="54">
        <v>52.92</v>
      </c>
      <c r="K22" s="54">
        <v>62.46</v>
      </c>
      <c r="M22" s="54">
        <v>58.09</v>
      </c>
      <c r="Q22" s="54" t="s">
        <v>80</v>
      </c>
      <c r="S22" s="72">
        <f>(ROUND((C30/(AVERAGE(C54,E54))*100),2))</f>
        <v>4.88</v>
      </c>
      <c r="T22" s="73" t="s">
        <v>4</v>
      </c>
      <c r="U22" s="72">
        <f>(ROUND((E30/(AVERAGE(E54,G54))*100),2))</f>
        <v>4.45</v>
      </c>
      <c r="V22" s="73" t="s">
        <v>4</v>
      </c>
      <c r="W22" s="72">
        <f>(ROUND((G30/(AVERAGE(G54,I54))*100),2))</f>
        <v>4.5</v>
      </c>
      <c r="X22" s="73" t="s">
        <v>4</v>
      </c>
      <c r="Y22" s="72">
        <f>(ROUND((I30/(AVERAGE(I54,K54))*100),2))</f>
        <v>4.2300000000000004</v>
      </c>
      <c r="Z22" s="73" t="s">
        <v>4</v>
      </c>
      <c r="AA22" s="72">
        <f>(ROUND((K30/(AVERAGE(K54,M54))*100),2))</f>
        <v>4.7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39.54</v>
      </c>
      <c r="E23" s="54">
        <v>62.32</v>
      </c>
      <c r="G23" s="171">
        <v>42.17</v>
      </c>
      <c r="I23" s="54">
        <v>41.27</v>
      </c>
      <c r="K23" s="54">
        <v>33.69</v>
      </c>
      <c r="M23" s="54">
        <v>44.42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C24" s="65"/>
      <c r="E24" s="65"/>
      <c r="G24" s="171"/>
      <c r="AC24" s="194" t="s">
        <v>1</v>
      </c>
      <c r="AD24" s="194"/>
    </row>
    <row r="25" spans="1:30" x14ac:dyDescent="0.2">
      <c r="C25" s="65"/>
      <c r="E25" s="65"/>
      <c r="G25" s="171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171">
        <v>1.9750000000000001</v>
      </c>
      <c r="E26" s="171">
        <v>1.8774999999999999</v>
      </c>
      <c r="G26" s="171">
        <v>1.7875000000000001</v>
      </c>
      <c r="I26" s="54">
        <v>1.6975</v>
      </c>
      <c r="K26" s="54">
        <v>1.585</v>
      </c>
      <c r="M26" s="54">
        <v>1.5175000000000001</v>
      </c>
      <c r="Q26" s="54" t="s">
        <v>85</v>
      </c>
    </row>
    <row r="27" spans="1:30" x14ac:dyDescent="0.2">
      <c r="C27" s="65"/>
      <c r="E27" s="65"/>
      <c r="G27" s="171"/>
      <c r="Q27" s="54" t="s">
        <v>86</v>
      </c>
      <c r="S27" s="72">
        <f>ROUND(((C12/C50)*100),2)</f>
        <v>54.39</v>
      </c>
      <c r="T27" s="73" t="s">
        <v>4</v>
      </c>
      <c r="U27" s="72">
        <f>ROUND(((E12/E50)*100),2)</f>
        <v>54.56</v>
      </c>
      <c r="V27" s="73" t="s">
        <v>4</v>
      </c>
      <c r="W27" s="72">
        <f>ROUND(((G12/G50)*100),2)</f>
        <v>56.75</v>
      </c>
      <c r="X27" s="73" t="s">
        <v>4</v>
      </c>
      <c r="Y27" s="72">
        <f>ROUND(((I12/I50)*100),2)</f>
        <v>54.82</v>
      </c>
      <c r="Z27" s="73" t="s">
        <v>4</v>
      </c>
      <c r="AA27" s="72">
        <f>ROUND(((K12/K50)*100),2)</f>
        <v>53.83</v>
      </c>
      <c r="AB27" s="73" t="s">
        <v>4</v>
      </c>
      <c r="AC27" s="72">
        <f>ROUND(AVERAGE(S27:AB27),2)</f>
        <v>54.87</v>
      </c>
      <c r="AD27" s="73" t="s">
        <v>4</v>
      </c>
    </row>
    <row r="28" spans="1:30" x14ac:dyDescent="0.2">
      <c r="A28" s="54" t="s">
        <v>87</v>
      </c>
      <c r="B28" s="54" t="s">
        <v>87</v>
      </c>
      <c r="C28" s="171">
        <f>(23+15)*1000000</f>
        <v>38000000</v>
      </c>
      <c r="E28" s="171">
        <f>(19+13)*1000000</f>
        <v>32000000</v>
      </c>
      <c r="G28" s="171">
        <f>(14+7)*1000000</f>
        <v>21000000</v>
      </c>
      <c r="I28" s="151">
        <f>(17+8)*1000000</f>
        <v>25000000</v>
      </c>
      <c r="K28" s="151">
        <f>(16+8)*1000000</f>
        <v>24000000</v>
      </c>
      <c r="M28" s="151">
        <v>17000000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C29" s="65"/>
      <c r="E29" s="65"/>
      <c r="G29" s="171"/>
      <c r="Q29" s="54" t="s">
        <v>89</v>
      </c>
      <c r="S29" s="74">
        <f>ROUND(((C16/C50)*100),2)</f>
        <v>45.61</v>
      </c>
      <c r="T29" s="73"/>
      <c r="U29" s="74">
        <f>ROUND(((E16/E50)*100),2)</f>
        <v>45.44</v>
      </c>
      <c r="V29" s="73"/>
      <c r="W29" s="74">
        <f>ROUND(((G16/G50)*100),2)</f>
        <v>43.25</v>
      </c>
      <c r="X29" s="73"/>
      <c r="Y29" s="74">
        <f>ROUND(((I16/I50)*100),2)</f>
        <v>45.18</v>
      </c>
      <c r="Z29" s="73"/>
      <c r="AA29" s="74">
        <f>ROUND(((K16/K50)*100),2)</f>
        <v>46.17</v>
      </c>
      <c r="AB29" s="73"/>
      <c r="AC29" s="72">
        <f>ROUND(AVERAGE(S29:AB29),2)</f>
        <v>45.13</v>
      </c>
      <c r="AD29" s="73"/>
    </row>
    <row r="30" spans="1:30" x14ac:dyDescent="0.2">
      <c r="A30" s="54" t="s">
        <v>90</v>
      </c>
      <c r="B30" s="54" t="s">
        <v>91</v>
      </c>
      <c r="C30" s="171">
        <f>211*1000000</f>
        <v>211000000</v>
      </c>
      <c r="E30" s="171">
        <f>173*1000000</f>
        <v>173000000</v>
      </c>
      <c r="G30" s="171">
        <f>156*1000000</f>
        <v>156000000</v>
      </c>
      <c r="I30" s="151">
        <f>137*1000000</f>
        <v>137000000</v>
      </c>
      <c r="K30" s="151">
        <f>136*1000000</f>
        <v>136000000</v>
      </c>
      <c r="M30" s="151">
        <v>128000000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C31" s="65"/>
      <c r="E31" s="65"/>
      <c r="G31" s="171"/>
    </row>
    <row r="32" spans="1:30" x14ac:dyDescent="0.2">
      <c r="A32" s="54" t="s">
        <v>93</v>
      </c>
      <c r="B32" s="54" t="s">
        <v>94</v>
      </c>
      <c r="C32" s="171">
        <f>313*1000000</f>
        <v>313000000</v>
      </c>
      <c r="E32" s="171">
        <f>228*1000000</f>
        <v>228000000</v>
      </c>
      <c r="G32" s="171">
        <f>233*1000000</f>
        <v>233000000</v>
      </c>
      <c r="I32" s="153">
        <f>244*1000000</f>
        <v>244000000</v>
      </c>
      <c r="K32" s="153">
        <f>155*1000000</f>
        <v>155000000</v>
      </c>
      <c r="M32" s="153">
        <v>214000000</v>
      </c>
      <c r="Q32" s="54" t="s">
        <v>95</v>
      </c>
    </row>
    <row r="33" spans="1:30" x14ac:dyDescent="0.2">
      <c r="A33" s="76"/>
      <c r="B33" s="76"/>
      <c r="C33" s="78"/>
      <c r="D33" s="76"/>
      <c r="E33" s="78"/>
      <c r="F33" s="76"/>
      <c r="G33" s="172"/>
      <c r="H33" s="76"/>
      <c r="I33" s="76"/>
      <c r="J33" s="76"/>
      <c r="K33" s="76"/>
      <c r="L33" s="76"/>
      <c r="M33" s="76"/>
      <c r="Q33" s="54" t="s">
        <v>96</v>
      </c>
      <c r="S33" s="72">
        <f>ROUND((((C12+C19)/C56)*100),2)</f>
        <v>54.39</v>
      </c>
      <c r="T33" s="73" t="s">
        <v>4</v>
      </c>
      <c r="U33" s="72">
        <f>ROUND((((E12+E19)/E56)*100),2)</f>
        <v>55.45</v>
      </c>
      <c r="V33" s="73" t="s">
        <v>4</v>
      </c>
      <c r="W33" s="72">
        <f>ROUND((((G12+G19)/G56)*100),2)</f>
        <v>56.75</v>
      </c>
      <c r="X33" s="73" t="s">
        <v>4</v>
      </c>
      <c r="Y33" s="72">
        <f>ROUND((((I12+I19)/I56)*100),2)</f>
        <v>54.82</v>
      </c>
      <c r="Z33" s="73" t="s">
        <v>4</v>
      </c>
      <c r="AA33" s="72">
        <f>ROUND((((K12+K19)/K56)*100),2)</f>
        <v>55.02</v>
      </c>
      <c r="AB33" s="73" t="s">
        <v>4</v>
      </c>
      <c r="AC33" s="72">
        <f>ROUND(AVERAGE(S33:AB33),2)</f>
        <v>55.29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71">
        <f>C32</f>
        <v>313000000</v>
      </c>
      <c r="E34" s="171">
        <f>E32</f>
        <v>228000000</v>
      </c>
      <c r="G34" s="171">
        <f>G32</f>
        <v>233000000</v>
      </c>
      <c r="I34" s="153">
        <f>I32</f>
        <v>244000000</v>
      </c>
      <c r="K34" s="153">
        <f>K32</f>
        <v>155000000</v>
      </c>
      <c r="M34" s="153">
        <f>M32</f>
        <v>214000000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C35" s="65"/>
      <c r="E35" s="65"/>
      <c r="G35" s="171"/>
      <c r="Q35" s="54" t="s">
        <v>89</v>
      </c>
      <c r="S35" s="74">
        <f>ROUND((((C16)/C56)*100),2)</f>
        <v>45.61</v>
      </c>
      <c r="T35" s="73"/>
      <c r="U35" s="74">
        <f>ROUND((((E16)/E56)*100),2)</f>
        <v>44.55</v>
      </c>
      <c r="V35" s="73"/>
      <c r="W35" s="74">
        <f>ROUND((((G16)/G56)*100),2)</f>
        <v>43.25</v>
      </c>
      <c r="X35" s="73"/>
      <c r="Y35" s="74">
        <f>ROUND((((I16)/I56)*100),2)</f>
        <v>45.18</v>
      </c>
      <c r="Z35" s="73"/>
      <c r="AA35" s="74">
        <f>ROUND((((K16)/K56)*100),2)</f>
        <v>44.98</v>
      </c>
      <c r="AB35" s="73"/>
      <c r="AC35" s="72">
        <f>ROUND(AVERAGE(S35:AB35),2)</f>
        <v>44.71</v>
      </c>
      <c r="AD35" s="73"/>
    </row>
    <row r="36" spans="1:30" x14ac:dyDescent="0.2">
      <c r="A36" s="54" t="s">
        <v>99</v>
      </c>
      <c r="B36" s="54" t="s">
        <v>100</v>
      </c>
      <c r="C36" s="54">
        <v>0</v>
      </c>
      <c r="E36" s="54">
        <v>0</v>
      </c>
      <c r="G36" s="54">
        <v>0</v>
      </c>
      <c r="I36" s="54">
        <v>0</v>
      </c>
      <c r="K36" s="54">
        <v>0</v>
      </c>
      <c r="M36" s="54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C37" s="65"/>
      <c r="E37" s="65"/>
      <c r="G37" s="171"/>
    </row>
    <row r="38" spans="1:30" x14ac:dyDescent="0.2">
      <c r="A38" s="54" t="s">
        <v>101</v>
      </c>
      <c r="B38" s="54" t="s">
        <v>102</v>
      </c>
      <c r="C38" s="171">
        <f>200*1000000</f>
        <v>200000000</v>
      </c>
      <c r="E38" s="171">
        <f>179*1000000</f>
        <v>179000000</v>
      </c>
      <c r="G38" s="171">
        <f>158*1000000</f>
        <v>158000000</v>
      </c>
      <c r="I38" s="153">
        <f>150*1000000</f>
        <v>150000000</v>
      </c>
      <c r="K38" s="153">
        <f>140*1000000</f>
        <v>140000000</v>
      </c>
      <c r="M38" s="153">
        <v>134000000</v>
      </c>
    </row>
    <row r="39" spans="1:30" x14ac:dyDescent="0.2">
      <c r="C39" s="65"/>
      <c r="E39" s="65"/>
      <c r="G39" s="171"/>
    </row>
    <row r="40" spans="1:30" x14ac:dyDescent="0.2">
      <c r="A40" s="54" t="s">
        <v>103</v>
      </c>
      <c r="B40" s="54" t="s">
        <v>104</v>
      </c>
      <c r="C40" s="171">
        <f>C34</f>
        <v>313000000</v>
      </c>
      <c r="E40" s="171">
        <f>E34</f>
        <v>228000000</v>
      </c>
      <c r="G40" s="171">
        <f>G34</f>
        <v>233000000</v>
      </c>
      <c r="I40" s="153">
        <f>I32</f>
        <v>244000000</v>
      </c>
      <c r="K40" s="153">
        <f>K32</f>
        <v>155000000</v>
      </c>
      <c r="M40" s="153">
        <f>M32</f>
        <v>214000000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171">
        <f>778*1000000</f>
        <v>778000000</v>
      </c>
      <c r="E41" s="171">
        <f>420*1000000</f>
        <v>420000000</v>
      </c>
      <c r="G41" s="171">
        <f>674*1000000</f>
        <v>674000000</v>
      </c>
      <c r="I41" s="65">
        <f>532*1000000</f>
        <v>532000000</v>
      </c>
      <c r="K41" s="65">
        <f>567*1000000</f>
        <v>567000000</v>
      </c>
      <c r="M41" s="65">
        <v>546000000</v>
      </c>
      <c r="Q41" s="66"/>
      <c r="R41" s="66"/>
    </row>
    <row r="42" spans="1:30" x14ac:dyDescent="0.2">
      <c r="A42" s="54" t="s">
        <v>108</v>
      </c>
      <c r="B42" s="54" t="s">
        <v>109</v>
      </c>
      <c r="C42" s="171">
        <f>(-66-33+47+0-12)*1000000</f>
        <v>-64000000</v>
      </c>
      <c r="E42" s="171">
        <f>(-29+24-166-135-20)*1000000</f>
        <v>-326000000</v>
      </c>
      <c r="G42" s="171">
        <f>(-66-80+157+82-22)*1000000</f>
        <v>71000000</v>
      </c>
      <c r="I42" s="65">
        <f>(-64-29+61+58-21)*1000000</f>
        <v>5000000</v>
      </c>
      <c r="K42" s="65">
        <f>(-24+8+26+17)*1000000</f>
        <v>27000000</v>
      </c>
      <c r="M42" s="65">
        <f>(30-16-12)*1000000</f>
        <v>2000000</v>
      </c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5">
        <f>496*1000000</f>
        <v>496000000</v>
      </c>
      <c r="E43" s="65">
        <v>458000000</v>
      </c>
      <c r="G43" s="171">
        <v>417000000</v>
      </c>
      <c r="I43" s="65">
        <f>404*1000000</f>
        <v>404000000</v>
      </c>
      <c r="K43" s="65">
        <f>454*1000000</f>
        <v>454000000</v>
      </c>
      <c r="M43" s="65">
        <v>409000000</v>
      </c>
      <c r="Q43" s="54" t="s">
        <v>113</v>
      </c>
      <c r="S43" s="72">
        <f>ROUND(C21/C52,4)*100</f>
        <v>6.79</v>
      </c>
      <c r="T43" s="73" t="s">
        <v>4</v>
      </c>
      <c r="U43" s="72">
        <f>ROUND(E21/E52,4)*100</f>
        <v>3.38</v>
      </c>
      <c r="V43" s="73" t="s">
        <v>4</v>
      </c>
      <c r="W43" s="72">
        <f>ROUND(G21/G52,4)*100</f>
        <v>5.25</v>
      </c>
      <c r="X43" s="73" t="s">
        <v>4</v>
      </c>
      <c r="Y43" s="72">
        <f>ROUND(I21/I52,4)*100</f>
        <v>5.7799999999999994</v>
      </c>
      <c r="Z43" s="73" t="s">
        <v>4</v>
      </c>
      <c r="AA43" s="72">
        <f>ROUND(K21/K52,4)*100</f>
        <v>3.58</v>
      </c>
      <c r="AB43" s="73" t="s">
        <v>4</v>
      </c>
      <c r="AC43" s="72">
        <f>ROUND(AVERAGE(S43:AB43),2)</f>
        <v>4.96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171">
        <f>37*1000000</f>
        <v>37000000</v>
      </c>
      <c r="E44" s="171">
        <v>45000000</v>
      </c>
      <c r="G44" s="171">
        <v>39000000</v>
      </c>
      <c r="I44" s="151">
        <v>23000000</v>
      </c>
      <c r="K44" s="151">
        <v>0</v>
      </c>
      <c r="M44" s="151">
        <v>27000000</v>
      </c>
      <c r="Q44" s="54" t="s">
        <v>116</v>
      </c>
      <c r="S44" s="72">
        <f>(ROUND((C52/(AVERAGE(C48,E48))*100),2))</f>
        <v>131.29</v>
      </c>
      <c r="U44" s="72">
        <f>(ROUND((E52/(AVERAGE(E48,G48))*100),2))</f>
        <v>215.81</v>
      </c>
      <c r="W44" s="72">
        <f>(ROUND((G52/(AVERAGE(G48,I48))*100),2))</f>
        <v>161.46</v>
      </c>
      <c r="Y44" s="72">
        <f>(ROUND((I52/(AVERAGE(I48,K48))*100),2))</f>
        <v>158.41</v>
      </c>
      <c r="AA44" s="72">
        <f>(ROUND((K52/(AVERAGE(K48,M48))*100),2))</f>
        <v>165.29</v>
      </c>
      <c r="AC44" s="72">
        <f>ROUND(AVERAGE(S44:AB44),2)</f>
        <v>166.45</v>
      </c>
    </row>
    <row r="45" spans="1:30" x14ac:dyDescent="0.2">
      <c r="C45" s="65"/>
      <c r="E45" s="65"/>
      <c r="Q45" s="54" t="s">
        <v>117</v>
      </c>
      <c r="S45" s="72">
        <f>ROUND(((+C26/C52)*100),2)</f>
        <v>4.46</v>
      </c>
      <c r="U45" s="72">
        <f>ROUND(((+E26/E52)*100),2)</f>
        <v>2.72</v>
      </c>
      <c r="W45" s="72">
        <f>ROUND(((+G26/G52)*100),2)</f>
        <v>3.61</v>
      </c>
      <c r="Y45" s="72">
        <f>ROUND(((+I26/I52)*100),2)</f>
        <v>3.6</v>
      </c>
      <c r="AA45" s="72">
        <f>ROUND(((+K26/K52)*100),2)</f>
        <v>3.3</v>
      </c>
      <c r="AC45" s="72">
        <f>ROUND(AVERAGE(S45:AB45),2)</f>
        <v>3.54</v>
      </c>
    </row>
    <row r="46" spans="1:30" x14ac:dyDescent="0.2">
      <c r="A46" s="54" t="s">
        <v>118</v>
      </c>
      <c r="C46" s="65"/>
      <c r="E46" s="65"/>
      <c r="Q46" s="54" t="s">
        <v>119</v>
      </c>
      <c r="S46" s="72">
        <f>ROUND(((+C38/C34)*100),2)</f>
        <v>63.9</v>
      </c>
      <c r="U46" s="72">
        <f>ROUND(((+E38/E34)*100),2)</f>
        <v>78.510000000000005</v>
      </c>
      <c r="W46" s="72">
        <f>ROUND(((+G38/G34)*100),2)</f>
        <v>67.81</v>
      </c>
      <c r="Y46" s="72">
        <f>ROUND(((+I38/I34)*100),2)</f>
        <v>61.48</v>
      </c>
      <c r="AA46" s="72">
        <f>ROUND(((+K38/K34)*100),2)</f>
        <v>90.32</v>
      </c>
      <c r="AC46" s="72">
        <f>ROUND(AVERAGE(S46:AB46),2)</f>
        <v>72.400000000000006</v>
      </c>
    </row>
    <row r="47" spans="1:30" x14ac:dyDescent="0.2">
      <c r="C47" s="65"/>
      <c r="E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34.69838937191809</v>
      </c>
      <c r="E48" s="65">
        <f>E16/E15</f>
        <v>32.809537648568806</v>
      </c>
      <c r="G48" s="65">
        <f>G16/G15</f>
        <v>31.125623160680355</v>
      </c>
      <c r="I48" s="65">
        <f>I16/I15</f>
        <v>30.276048216737404</v>
      </c>
      <c r="K48" s="65">
        <f>K16/K15</f>
        <v>29.183358168225944</v>
      </c>
      <c r="L48" s="65"/>
      <c r="M48" s="65">
        <f>M16/M15</f>
        <v>28.986277710422812</v>
      </c>
      <c r="Q48" s="66" t="s">
        <v>122</v>
      </c>
      <c r="R48" s="66"/>
      <c r="S48" s="72">
        <f>ROUND(((C34/AVERAGE(C16,E16))*100),2)</f>
        <v>8.8000000000000007</v>
      </c>
      <c r="T48" s="54" t="s">
        <v>4</v>
      </c>
      <c r="U48" s="72">
        <f>ROUND(((E34/AVERAGE(E16,G16))*100),2)</f>
        <v>7.48</v>
      </c>
      <c r="V48" s="54" t="s">
        <v>4</v>
      </c>
      <c r="W48" s="72">
        <f>ROUND(((G34/AVERAGE(G16,I16))*100),2)</f>
        <v>8.49</v>
      </c>
      <c r="X48" s="54" t="s">
        <v>4</v>
      </c>
      <c r="Y48" s="72">
        <f>ROUND(((I34/AVERAGE(I16,K16))*100),2)</f>
        <v>9.17</v>
      </c>
      <c r="Z48" s="54" t="s">
        <v>4</v>
      </c>
      <c r="AA48" s="72">
        <f>ROUND(((K34/AVERAGE(K16,M16))*100),2)</f>
        <v>5.96</v>
      </c>
      <c r="AB48" s="54" t="s">
        <v>4</v>
      </c>
      <c r="AC48" s="72">
        <f>ROUND(AVERAGE(S48:AB48),2)</f>
        <v>7.98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L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8318000000</v>
      </c>
      <c r="E50" s="65">
        <f>SUM(E12:E13,E16:E17)</f>
        <v>7304000000</v>
      </c>
      <c r="G50" s="65">
        <f>SUM(G12:G13,G16:G17)</f>
        <v>6425000000</v>
      </c>
      <c r="I50" s="65">
        <f>SUM(I12:I13,I16:I17)</f>
        <v>5992000000</v>
      </c>
      <c r="K50" s="65">
        <f>SUM(K12:K13,K16:K17)</f>
        <v>5659000000</v>
      </c>
      <c r="L50" s="65"/>
      <c r="M50" s="65">
        <f>SUM(M12:M13,M16:M17)</f>
        <v>5188000000</v>
      </c>
      <c r="Q50" s="66" t="s">
        <v>124</v>
      </c>
      <c r="R50" s="66"/>
      <c r="S50" s="72">
        <f>ROUND((C54/C62),2)</f>
        <v>4.28</v>
      </c>
      <c r="T50" s="73" t="s">
        <v>125</v>
      </c>
      <c r="U50" s="72">
        <f>ROUND((E54/E62),2)</f>
        <v>4.57</v>
      </c>
      <c r="V50" s="73" t="s">
        <v>125</v>
      </c>
      <c r="W50" s="72">
        <f>ROUND((G54/G62),2)</f>
        <v>4.3099999999999996</v>
      </c>
      <c r="X50" s="73" t="s">
        <v>125</v>
      </c>
      <c r="Y50" s="72">
        <f>ROUND((I54/I62),2)</f>
        <v>4.07</v>
      </c>
      <c r="Z50" s="73" t="s">
        <v>125</v>
      </c>
      <c r="AA50" s="72">
        <f>ROUND((K54/K62),2)</f>
        <v>4.29</v>
      </c>
      <c r="AB50" s="73" t="s">
        <v>125</v>
      </c>
      <c r="AC50" s="72">
        <f>ROUND(AVERAGE(S50:AB50),2)</f>
        <v>4.3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L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44.314999999999998</v>
      </c>
      <c r="E52" s="65">
        <f>AVERAGE(E22:E23)</f>
        <v>68.989999999999995</v>
      </c>
      <c r="G52" s="65">
        <f>AVERAGE(G22:G23)</f>
        <v>49.57</v>
      </c>
      <c r="I52" s="65">
        <f>AVERAGE(I22:I23)</f>
        <v>47.094999999999999</v>
      </c>
      <c r="K52" s="65">
        <f>AVERAGE(K22:K23)</f>
        <v>48.075000000000003</v>
      </c>
      <c r="L52" s="65"/>
      <c r="M52" s="65">
        <f>AVERAGE(M22:M23)</f>
        <v>51.255000000000003</v>
      </c>
      <c r="Q52" s="66" t="s">
        <v>127</v>
      </c>
      <c r="R52" s="66"/>
      <c r="S52" s="72">
        <f>ROUND(((C60/C54)*100),2)</f>
        <v>14.94</v>
      </c>
      <c r="T52" s="73" t="s">
        <v>4</v>
      </c>
      <c r="U52" s="72">
        <f>ROUND(((E60/E54)*100),2)</f>
        <v>1.5</v>
      </c>
      <c r="V52" s="73" t="s">
        <v>4</v>
      </c>
      <c r="W52" s="72">
        <f>ROUND(((G60/G54)*100),2)</f>
        <v>19.86</v>
      </c>
      <c r="X52" s="73" t="s">
        <v>4</v>
      </c>
      <c r="Y52" s="72">
        <f>ROUND(((I60/I54)*100),2)</f>
        <v>15.59</v>
      </c>
      <c r="Z52" s="73" t="s">
        <v>4</v>
      </c>
      <c r="AA52" s="72">
        <f>ROUND(((K60/K54)*100),2)</f>
        <v>17.829999999999998</v>
      </c>
      <c r="AB52" s="73" t="s">
        <v>4</v>
      </c>
      <c r="AC52" s="72">
        <f>ROUND(AVERAGE(S52:AB52),2)</f>
        <v>13.94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L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4524000000</v>
      </c>
      <c r="E54" s="65">
        <f>+E19+E12</f>
        <v>4131000000</v>
      </c>
      <c r="G54" s="65">
        <f>+G19+G12</f>
        <v>3646000000</v>
      </c>
      <c r="I54" s="65">
        <f>+I19+I12</f>
        <v>3285000000</v>
      </c>
      <c r="K54" s="65">
        <f>+K19+K12</f>
        <v>3196000000</v>
      </c>
      <c r="L54" s="81"/>
      <c r="M54" s="65">
        <f>+M19+M12</f>
        <v>2597000000</v>
      </c>
      <c r="Q54" s="79" t="s">
        <v>128</v>
      </c>
      <c r="R54" s="79"/>
      <c r="S54" s="72">
        <f>S33</f>
        <v>54.39</v>
      </c>
      <c r="T54" s="73" t="s">
        <v>4</v>
      </c>
      <c r="U54" s="72">
        <f>U33</f>
        <v>55.45</v>
      </c>
      <c r="V54" s="73" t="s">
        <v>4</v>
      </c>
      <c r="W54" s="72">
        <f>W33</f>
        <v>56.75</v>
      </c>
      <c r="X54" s="73" t="s">
        <v>4</v>
      </c>
      <c r="Y54" s="72">
        <f>Y33</f>
        <v>54.82</v>
      </c>
      <c r="Z54" s="73" t="s">
        <v>4</v>
      </c>
      <c r="AA54" s="72">
        <f>AA33</f>
        <v>55.02</v>
      </c>
      <c r="AB54" s="73" t="s">
        <v>4</v>
      </c>
      <c r="AC54" s="72">
        <f>ROUND(AVERAGE(S54:AB54),2)</f>
        <v>55.29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L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8318000000</v>
      </c>
      <c r="E56" s="65">
        <f>SUM(E50,E19)</f>
        <v>7450000000</v>
      </c>
      <c r="G56" s="65">
        <f>SUM(G50,G19)</f>
        <v>6425000000</v>
      </c>
      <c r="I56" s="65">
        <f>SUM(I50,I19)</f>
        <v>5992000000</v>
      </c>
      <c r="K56" s="65">
        <f>SUM(K50,K19)</f>
        <v>5809000000</v>
      </c>
      <c r="L56" s="65"/>
      <c r="M56" s="65">
        <f>SUM(M50,M19)</f>
        <v>5188000000</v>
      </c>
    </row>
    <row r="57" spans="1:30" x14ac:dyDescent="0.2">
      <c r="C57" s="65"/>
      <c r="E57" s="65"/>
      <c r="G57" s="65"/>
      <c r="I57" s="65"/>
      <c r="K57" s="65"/>
      <c r="L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L58" s="65"/>
      <c r="M58" s="65">
        <f>SUM(M13,M17)</f>
        <v>0</v>
      </c>
    </row>
    <row r="59" spans="1:30" x14ac:dyDescent="0.2">
      <c r="C59" s="65"/>
      <c r="E59" s="65"/>
      <c r="G59" s="65"/>
      <c r="I59" s="65"/>
      <c r="K59" s="65"/>
      <c r="L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676000000</v>
      </c>
      <c r="E60" s="65">
        <f>ROUND(E41+E42-E28,3)</f>
        <v>62000000</v>
      </c>
      <c r="G60" s="65">
        <f>ROUND(G41+G42-G28,3)</f>
        <v>724000000</v>
      </c>
      <c r="I60" s="65">
        <f>ROUND(I41+I42-I28,3)</f>
        <v>512000000</v>
      </c>
      <c r="K60" s="65">
        <f>ROUND(K41+K42-K28,3)</f>
        <v>570000000</v>
      </c>
      <c r="L60" s="65"/>
      <c r="M60" s="65">
        <f>ROUND(M41+M42-M28,3)</f>
        <v>531000000</v>
      </c>
    </row>
    <row r="61" spans="1:30" x14ac:dyDescent="0.2">
      <c r="A61" s="82"/>
    </row>
    <row r="62" spans="1:30" x14ac:dyDescent="0.2">
      <c r="A62" s="54" t="s">
        <v>131</v>
      </c>
      <c r="B62" s="54" t="s">
        <v>121</v>
      </c>
      <c r="C62" s="65">
        <f>C44+C43+C34+C30</f>
        <v>1057000000</v>
      </c>
      <c r="E62" s="65">
        <f>E44+E43+E34+E30</f>
        <v>904000000</v>
      </c>
      <c r="G62" s="65">
        <f>G44+G43+G34+G30</f>
        <v>845000000</v>
      </c>
      <c r="I62" s="65">
        <f>I44+I43+I34+I30</f>
        <v>808000000</v>
      </c>
      <c r="K62" s="65">
        <f>K44+K43+K34+K30</f>
        <v>745000000</v>
      </c>
      <c r="M62" s="65">
        <f>M44+M43+M34+M30</f>
        <v>778000000</v>
      </c>
    </row>
    <row r="81" spans="219:223" x14ac:dyDescent="0.2">
      <c r="HK81" s="84"/>
      <c r="HL81" s="84"/>
      <c r="HO81" s="54" t="s">
        <v>132</v>
      </c>
    </row>
  </sheetData>
  <mergeCells count="6">
    <mergeCell ref="AC25:AD25"/>
    <mergeCell ref="C6:M6"/>
    <mergeCell ref="C7:M7"/>
    <mergeCell ref="C8:M8"/>
    <mergeCell ref="W13:AB13"/>
    <mergeCell ref="AC24:AD24"/>
  </mergeCells>
  <printOptions horizontalCentered="1"/>
  <pageMargins left="0.75" right="0.75" top="1" bottom="1" header="0.5" footer="0.5"/>
  <pageSetup scale="38" orientation="landscape" horizontalDpi="300" verticalDpi="300" r:id="rId1"/>
  <headerFooter alignWithMargins="0">
    <oddHeader>&amp;R&amp;A
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47A4-B41B-4FC6-9A8C-52AFC1822FCC}">
  <dimension ref="A1:HO81"/>
  <sheetViews>
    <sheetView view="pageBreakPreview" zoomScale="60" zoomScaleNormal="80" workbookViewId="0">
      <pane xSplit="1" topLeftCell="B1" activePane="topRight" state="frozen"/>
      <selection pane="topRight"/>
    </sheetView>
  </sheetViews>
  <sheetFormatPr defaultColWidth="8.7109375" defaultRowHeight="12.75" x14ac:dyDescent="0.2"/>
  <cols>
    <col min="1" max="1" width="33.7109375" style="54" bestFit="1" customWidth="1"/>
    <col min="2" max="2" width="14.42578125" style="54" bestFit="1" customWidth="1"/>
    <col min="3" max="3" width="18" style="54" customWidth="1"/>
    <col min="4" max="4" width="2.42578125" style="54" customWidth="1"/>
    <col min="5" max="5" width="18" style="54" customWidth="1"/>
    <col min="6" max="6" width="2.42578125" style="54" customWidth="1"/>
    <col min="7" max="7" width="17.7109375" style="54" customWidth="1"/>
    <col min="8" max="8" width="2.42578125" style="54" customWidth="1"/>
    <col min="9" max="9" width="18.140625" style="54" customWidth="1"/>
    <col min="10" max="10" width="3.5703125" style="54" customWidth="1"/>
    <col min="11" max="11" width="18.140625" style="54" customWidth="1"/>
    <col min="12" max="12" width="3.5703125" style="54" customWidth="1"/>
    <col min="13" max="13" width="17.5703125" style="54" customWidth="1"/>
    <col min="14" max="16" width="3" style="54" customWidth="1"/>
    <col min="17" max="17" width="50.42578125" style="54" bestFit="1" customWidth="1"/>
    <col min="18" max="18" width="3" style="54" customWidth="1"/>
    <col min="19" max="19" width="15.7109375" style="54" customWidth="1"/>
    <col min="20" max="20" width="2.85546875" style="54" customWidth="1"/>
    <col min="21" max="21" width="15.7109375" style="54" customWidth="1"/>
    <col min="22" max="22" width="2.85546875" style="54" customWidth="1"/>
    <col min="23" max="23" width="13" style="54" customWidth="1"/>
    <col min="24" max="24" width="3.42578125" style="54" customWidth="1"/>
    <col min="25" max="25" width="11.140625" style="54" bestFit="1" customWidth="1"/>
    <col min="26" max="26" width="2.42578125" style="54" bestFit="1" customWidth="1"/>
    <col min="27" max="27" width="11.140625" style="54" bestFit="1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222" width="8.7109375" style="54"/>
    <col min="223" max="223" width="23.28515625" style="54" bestFit="1" customWidth="1"/>
    <col min="224" max="16384" width="8.7109375" style="54"/>
  </cols>
  <sheetData>
    <row r="1" spans="1:29" ht="16.5" customHeight="1" x14ac:dyDescent="0.2">
      <c r="A1" s="173"/>
    </row>
    <row r="2" spans="1:29" ht="16.5" customHeight="1" x14ac:dyDescent="0.2">
      <c r="A2" s="173"/>
      <c r="C2" s="65"/>
      <c r="E2" s="65"/>
      <c r="G2" s="65"/>
    </row>
    <row r="3" spans="1:29" ht="16.5" customHeight="1" x14ac:dyDescent="0.2">
      <c r="A3" s="173"/>
      <c r="C3" s="147"/>
      <c r="E3" s="147"/>
      <c r="G3" s="147"/>
    </row>
    <row r="4" spans="1:29" ht="16.5" customHeight="1" thickBot="1" x14ac:dyDescent="0.25">
      <c r="A4" s="173"/>
      <c r="C4" s="147"/>
      <c r="E4" s="147"/>
      <c r="G4" s="147"/>
      <c r="M4" s="174"/>
    </row>
    <row r="5" spans="1:29" ht="15" x14ac:dyDescent="0.35">
      <c r="A5" s="175" t="s">
        <v>136</v>
      </c>
    </row>
    <row r="6" spans="1:29" ht="15" customHeight="1" thickBot="1" x14ac:dyDescent="0.25">
      <c r="A6" s="176" t="s">
        <v>202</v>
      </c>
      <c r="C6" s="194" t="s">
        <v>221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60" t="str">
        <f>C6</f>
        <v>The Southern Company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C7" s="195" t="s">
        <v>54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C7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5" customHeight="1" x14ac:dyDescent="0.2">
      <c r="C8" s="194" t="s">
        <v>138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Q8" s="62" t="str">
        <f>C8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211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65">
        <f>(58768+4718)*1000000</f>
        <v>63486000000</v>
      </c>
      <c r="E12" s="65">
        <f>(57210+2476)*1000000</f>
        <v>59686000000</v>
      </c>
      <c r="G12" s="65">
        <f>(50656+4285)*1000000</f>
        <v>54941000000</v>
      </c>
      <c r="I12" s="65">
        <f>(50120+2157)*1000000</f>
        <v>52277000000</v>
      </c>
      <c r="K12" s="65">
        <f>(45073+3507)*1000000</f>
        <v>48580000000</v>
      </c>
      <c r="M12" s="65">
        <f>(41798+2989)*1000000</f>
        <v>44787000000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x14ac:dyDescent="0.2">
      <c r="A13" s="54" t="s">
        <v>60</v>
      </c>
      <c r="B13" s="54" t="s">
        <v>61</v>
      </c>
      <c r="C13" s="65">
        <v>0</v>
      </c>
      <c r="E13" s="65">
        <v>0</v>
      </c>
      <c r="G13" s="65">
        <v>0</v>
      </c>
      <c r="I13" s="65">
        <f>291*1000000</f>
        <v>291000000</v>
      </c>
      <c r="K13" s="65">
        <f>291*1000000</f>
        <v>291000000</v>
      </c>
      <c r="M13" s="65">
        <f>291*1000000</f>
        <v>291000000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C14" s="65"/>
      <c r="E14" s="65"/>
      <c r="G14" s="65"/>
      <c r="I14" s="65"/>
      <c r="K14" s="65"/>
      <c r="M14" s="65"/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81">
        <f>1.1*1000000000</f>
        <v>1100000000</v>
      </c>
      <c r="E15" s="81">
        <f>1.092*1000000000</f>
        <v>1092000000</v>
      </c>
      <c r="G15" s="81">
        <f>1.09*1000000000</f>
        <v>1090000000</v>
      </c>
      <c r="I15" s="81">
        <f>1.1*1000000000</f>
        <v>1100000000</v>
      </c>
      <c r="K15" s="81">
        <f>1058000*1000</f>
        <v>1058000000</v>
      </c>
      <c r="M15" s="81">
        <f>1053251*1000</f>
        <v>1053251000</v>
      </c>
    </row>
    <row r="16" spans="1:29" x14ac:dyDescent="0.2">
      <c r="A16" s="54" t="s">
        <v>6</v>
      </c>
      <c r="B16" s="54" t="s">
        <v>67</v>
      </c>
      <c r="C16" s="81">
        <f>33208*1000000</f>
        <v>33208000000</v>
      </c>
      <c r="E16" s="81">
        <f>31444*1000000</f>
        <v>31444000000</v>
      </c>
      <c r="G16" s="81">
        <f>30408*1000000</f>
        <v>30408000000</v>
      </c>
      <c r="I16" s="81">
        <f>27874*1000000</f>
        <v>27874000000</v>
      </c>
      <c r="K16" s="81">
        <f>27972*1000000</f>
        <v>27972000000</v>
      </c>
      <c r="M16" s="81">
        <f>27505*1000000</f>
        <v>27505000000</v>
      </c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C17" s="65">
        <v>0</v>
      </c>
      <c r="E17" s="65">
        <v>0</v>
      </c>
      <c r="G17" s="65">
        <v>0</v>
      </c>
      <c r="I17" s="65">
        <v>0</v>
      </c>
      <c r="K17" s="65">
        <v>0</v>
      </c>
      <c r="M17" s="65">
        <v>0</v>
      </c>
      <c r="Q17" s="54" t="s">
        <v>70</v>
      </c>
      <c r="S17" s="69">
        <f>C50/1000000</f>
        <v>96694</v>
      </c>
      <c r="U17" s="69">
        <f>E50/1000000</f>
        <v>91130</v>
      </c>
      <c r="W17" s="69">
        <f>G50/1000000</f>
        <v>85349</v>
      </c>
      <c r="Y17" s="69">
        <f>I50/1000000</f>
        <v>80442</v>
      </c>
      <c r="AA17" s="69">
        <f>K50/1000000</f>
        <v>76843</v>
      </c>
      <c r="AB17" s="69"/>
    </row>
    <row r="18" spans="1:30" x14ac:dyDescent="0.2">
      <c r="C18" s="65"/>
      <c r="E18" s="65"/>
      <c r="G18" s="65"/>
      <c r="I18" s="65"/>
      <c r="K18" s="65"/>
      <c r="M18" s="65"/>
      <c r="Q18" s="54" t="s">
        <v>71</v>
      </c>
      <c r="S18" s="70">
        <f>C19/1000000</f>
        <v>1338</v>
      </c>
      <c r="U18" s="70">
        <f>E19/1000000</f>
        <v>2314</v>
      </c>
      <c r="W18" s="70">
        <f>G19/1000000</f>
        <v>2609</v>
      </c>
      <c r="Y18" s="70">
        <f>I19/1000000</f>
        <v>1440</v>
      </c>
      <c r="AA18" s="70">
        <f>K19/1000000</f>
        <v>609</v>
      </c>
      <c r="AB18" s="69"/>
    </row>
    <row r="19" spans="1:30" x14ac:dyDescent="0.2">
      <c r="A19" s="54" t="s">
        <v>72</v>
      </c>
      <c r="B19" s="54" t="s">
        <v>73</v>
      </c>
      <c r="C19" s="65">
        <f>1338*1000000</f>
        <v>1338000000</v>
      </c>
      <c r="E19" s="65">
        <f>2314*1000000</f>
        <v>2314000000</v>
      </c>
      <c r="G19" s="65">
        <f>2609*1000000</f>
        <v>2609000000</v>
      </c>
      <c r="I19" s="65">
        <f>1440*1000000</f>
        <v>1440000000</v>
      </c>
      <c r="K19" s="65">
        <f>609*1000000</f>
        <v>609000000</v>
      </c>
      <c r="M19" s="65">
        <f>2055*1000000</f>
        <v>2055000000</v>
      </c>
      <c r="Q19" s="54" t="s">
        <v>74</v>
      </c>
      <c r="S19" s="71">
        <f>SUM(S17:S18)</f>
        <v>98032</v>
      </c>
      <c r="U19" s="71">
        <f>SUM(U17:U18)</f>
        <v>93444</v>
      </c>
      <c r="W19" s="71">
        <f>SUM(W17:W18)</f>
        <v>87958</v>
      </c>
      <c r="Y19" s="71">
        <f>SUM(Y17:Y18)</f>
        <v>81882</v>
      </c>
      <c r="AA19" s="71">
        <f>SUM(AA17:AA18)</f>
        <v>77452</v>
      </c>
      <c r="AB19" s="69"/>
    </row>
    <row r="20" spans="1:30" x14ac:dyDescent="0.2">
      <c r="C20" s="65"/>
      <c r="E20" s="65"/>
      <c r="G20" s="65"/>
      <c r="I20" s="65"/>
      <c r="K20" s="65"/>
      <c r="M20" s="65"/>
    </row>
    <row r="21" spans="1:30" x14ac:dyDescent="0.2">
      <c r="A21" s="54" t="s">
        <v>75</v>
      </c>
      <c r="B21" s="54" t="s">
        <v>76</v>
      </c>
      <c r="C21" s="65">
        <v>3.99</v>
      </c>
      <c r="E21" s="65">
        <v>3.62</v>
      </c>
      <c r="G21" s="65">
        <v>3.26</v>
      </c>
      <c r="I21" s="65">
        <v>2.2400000000000002</v>
      </c>
      <c r="K21" s="65">
        <v>2.93</v>
      </c>
      <c r="M21" s="65">
        <v>4.5</v>
      </c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54">
        <v>94.15</v>
      </c>
      <c r="E22" s="54">
        <v>75.66</v>
      </c>
      <c r="G22" s="54">
        <v>80.16</v>
      </c>
      <c r="I22" s="54">
        <v>68.58</v>
      </c>
      <c r="K22" s="65">
        <v>45.33</v>
      </c>
      <c r="M22" s="65">
        <v>45.33</v>
      </c>
      <c r="Q22" s="54" t="s">
        <v>80</v>
      </c>
      <c r="S22" s="72">
        <f>(ROUND((C30/(AVERAGE(C54,E54))*100),2))</f>
        <v>4.33</v>
      </c>
      <c r="T22" s="73" t="s">
        <v>4</v>
      </c>
      <c r="U22" s="72">
        <f>(ROUND((E30/(AVERAGE(E54,G54))*100),2))</f>
        <v>4.09</v>
      </c>
      <c r="V22" s="73" t="s">
        <v>4</v>
      </c>
      <c r="W22" s="72">
        <f>(ROUND((G30/(AVERAGE(G54,I54))*100),2))</f>
        <v>3.63</v>
      </c>
      <c r="X22" s="73" t="s">
        <v>4</v>
      </c>
      <c r="Y22" s="72">
        <f>(ROUND((I30/(AVERAGE(I54,K54))*100),2))</f>
        <v>3.57</v>
      </c>
      <c r="Z22" s="73" t="s">
        <v>4</v>
      </c>
      <c r="AA22" s="72">
        <f>(ROUND((K30/(AVERAGE(K54,M54))*100),2))</f>
        <v>3.79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66.25</v>
      </c>
      <c r="E23" s="54">
        <v>62.32</v>
      </c>
      <c r="G23" s="54">
        <v>61.5</v>
      </c>
      <c r="I23" s="54">
        <v>56.72</v>
      </c>
      <c r="K23" s="65">
        <v>35.700000000000003</v>
      </c>
      <c r="M23" s="65">
        <v>35.700000000000003</v>
      </c>
      <c r="Q23" s="54" t="s">
        <v>82</v>
      </c>
      <c r="S23" s="177" t="str">
        <f>IFERROR(ROUND((C36/(AVERAGE(C58,E58))*100),2), "")</f>
        <v/>
      </c>
      <c r="T23" s="73"/>
      <c r="U23" s="177" t="str">
        <f>IFERROR(ROUND((E36/(AVERAGE(E58,G58))*100),2), "")</f>
        <v/>
      </c>
      <c r="V23" s="73"/>
      <c r="W23" s="177">
        <f>(ROUND((G36/(AVERAGE(G58,I58))*100),2))</f>
        <v>7.56</v>
      </c>
      <c r="X23" s="73"/>
      <c r="Y23" s="177">
        <f>(ROUND((I36/(AVERAGE(I58,K58))*100),2))</f>
        <v>5.15</v>
      </c>
      <c r="Z23" s="73"/>
      <c r="AA23" s="177">
        <f>(ROUND((K36/(AVERAGE(K58,M58))*100),2))</f>
        <v>5.15</v>
      </c>
      <c r="AB23" s="73"/>
    </row>
    <row r="24" spans="1:30" x14ac:dyDescent="0.2">
      <c r="C24" s="65"/>
      <c r="E24" s="65"/>
      <c r="G24" s="65"/>
      <c r="I24" s="65"/>
      <c r="K24" s="65"/>
      <c r="M24" s="65"/>
      <c r="AC24" s="194" t="s">
        <v>1</v>
      </c>
      <c r="AD24" s="194"/>
    </row>
    <row r="25" spans="1:30" x14ac:dyDescent="0.2">
      <c r="C25" s="65"/>
      <c r="E25" s="65"/>
      <c r="G25" s="65"/>
      <c r="I25" s="65"/>
      <c r="K25" s="65"/>
      <c r="M25" s="65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66</v>
      </c>
      <c r="C26" s="65">
        <v>2.86</v>
      </c>
      <c r="E26" s="65">
        <v>2.78</v>
      </c>
      <c r="G26" s="65">
        <v>2.7</v>
      </c>
      <c r="I26" s="65">
        <v>2.62</v>
      </c>
      <c r="K26" s="65">
        <v>2.54</v>
      </c>
      <c r="M26" s="65">
        <v>2.46</v>
      </c>
      <c r="Q26" s="54" t="s">
        <v>85</v>
      </c>
    </row>
    <row r="27" spans="1:30" x14ac:dyDescent="0.2">
      <c r="C27" s="65"/>
      <c r="E27" s="65"/>
      <c r="G27" s="65"/>
      <c r="I27" s="65"/>
      <c r="K27" s="65"/>
      <c r="M27" s="65"/>
      <c r="Q27" s="54" t="s">
        <v>86</v>
      </c>
      <c r="S27" s="72">
        <f>ROUND(((C12/C50)*100),2)</f>
        <v>65.66</v>
      </c>
      <c r="T27" s="73" t="s">
        <v>4</v>
      </c>
      <c r="U27" s="72">
        <f>ROUND(((E12/E50)*100),2)</f>
        <v>65.5</v>
      </c>
      <c r="V27" s="73" t="s">
        <v>4</v>
      </c>
      <c r="W27" s="72">
        <f>ROUND(((G12/G50)*100),2)</f>
        <v>64.37</v>
      </c>
      <c r="X27" s="73" t="s">
        <v>4</v>
      </c>
      <c r="Y27" s="72">
        <f>ROUND(((I12/I50)*100),2)</f>
        <v>64.989999999999995</v>
      </c>
      <c r="Z27" s="73" t="s">
        <v>4</v>
      </c>
      <c r="AA27" s="72">
        <f>ROUND(((K12/K50)*100),2)</f>
        <v>63.22</v>
      </c>
      <c r="AB27" s="73" t="s">
        <v>4</v>
      </c>
      <c r="AC27" s="72">
        <f>ROUND(AVERAGE(S27:AB27),2)</f>
        <v>64.75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5">
        <f>235*1000000</f>
        <v>235000000</v>
      </c>
      <c r="E28" s="65">
        <f>268*1000000</f>
        <v>268000000</v>
      </c>
      <c r="G28" s="65">
        <f>224*1000000</f>
        <v>224000000</v>
      </c>
      <c r="I28" s="65">
        <f>190*1000000</f>
        <v>190000000</v>
      </c>
      <c r="K28" s="65">
        <f>230*1000000</f>
        <v>230000000</v>
      </c>
      <c r="M28" s="65">
        <f>128*1000000</f>
        <v>128000000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0.36</v>
      </c>
      <c r="Z28" s="73"/>
      <c r="AA28" s="72">
        <f>ROUND(((SUM(K13,K17)/K50)*100),2)</f>
        <v>0.38</v>
      </c>
      <c r="AB28" s="73"/>
      <c r="AC28" s="72">
        <f>ROUND(AVERAGE(S28:AB28),2)</f>
        <v>0.15</v>
      </c>
      <c r="AD28" s="73"/>
    </row>
    <row r="29" spans="1:30" x14ac:dyDescent="0.2">
      <c r="C29" s="65"/>
      <c r="E29" s="65"/>
      <c r="G29" s="65"/>
      <c r="I29" s="65"/>
      <c r="K29" s="65"/>
      <c r="M29" s="65"/>
      <c r="Q29" s="54" t="s">
        <v>89</v>
      </c>
      <c r="S29" s="74">
        <f>ROUND(((C16/C50)*100),2)</f>
        <v>34.340000000000003</v>
      </c>
      <c r="T29" s="73"/>
      <c r="U29" s="74">
        <f>ROUND(((E16/E50)*100),2)</f>
        <v>34.5</v>
      </c>
      <c r="V29" s="73"/>
      <c r="W29" s="74">
        <f>ROUND(((G16/G50)*100),2)</f>
        <v>35.630000000000003</v>
      </c>
      <c r="X29" s="73"/>
      <c r="Y29" s="74">
        <f>ROUND(((I16/I50)*100),2)</f>
        <v>34.65</v>
      </c>
      <c r="Z29" s="73"/>
      <c r="AA29" s="74">
        <f>ROUND(((K16/K50)*100),2)</f>
        <v>36.4</v>
      </c>
      <c r="AB29" s="73"/>
      <c r="AC29" s="72">
        <f>ROUND(AVERAGE(S29:AB29),2)</f>
        <v>35.1</v>
      </c>
      <c r="AD29" s="73"/>
    </row>
    <row r="30" spans="1:30" x14ac:dyDescent="0.2">
      <c r="A30" s="54" t="s">
        <v>90</v>
      </c>
      <c r="B30" s="54" t="s">
        <v>91</v>
      </c>
      <c r="C30" s="65">
        <f>2743*1000000</f>
        <v>2743000000</v>
      </c>
      <c r="E30" s="65">
        <f>2446*1000000</f>
        <v>2446000000</v>
      </c>
      <c r="G30" s="65">
        <f>2022*1000000</f>
        <v>2022000000</v>
      </c>
      <c r="I30" s="65">
        <f>1837*1000000</f>
        <v>1837000000</v>
      </c>
      <c r="K30" s="65">
        <f>1821*1000000</f>
        <v>1821000000</v>
      </c>
      <c r="M30" s="65">
        <f>1736*1000000</f>
        <v>1736000000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C31" s="65"/>
      <c r="E31" s="65"/>
      <c r="G31" s="65"/>
      <c r="I31" s="65"/>
      <c r="K31" s="65"/>
      <c r="M31" s="65"/>
    </row>
    <row r="32" spans="1:30" x14ac:dyDescent="0.2">
      <c r="A32" s="54" t="s">
        <v>93</v>
      </c>
      <c r="B32" s="54" t="s">
        <v>94</v>
      </c>
      <c r="C32" s="65">
        <f>4260*1000000</f>
        <v>4260000000</v>
      </c>
      <c r="E32" s="65">
        <f>3849*1000000</f>
        <v>3849000000</v>
      </c>
      <c r="G32" s="65">
        <f>3428*1000000</f>
        <v>3428000000</v>
      </c>
      <c r="I32" s="65">
        <f>2309*1000000</f>
        <v>2309000000</v>
      </c>
      <c r="K32" s="65">
        <f>3103*1000000</f>
        <v>3103000000</v>
      </c>
      <c r="M32" s="65">
        <f>4744*1000000</f>
        <v>4744000000</v>
      </c>
      <c r="Q32" s="54" t="s">
        <v>95</v>
      </c>
    </row>
    <row r="33" spans="1:30" x14ac:dyDescent="0.2">
      <c r="A33" s="76"/>
      <c r="B33" s="76"/>
      <c r="C33" s="78"/>
      <c r="D33" s="76"/>
      <c r="E33" s="78"/>
      <c r="F33" s="76"/>
      <c r="G33" s="78"/>
      <c r="H33" s="76"/>
      <c r="I33" s="78"/>
      <c r="J33" s="76"/>
      <c r="K33" s="78"/>
      <c r="L33" s="76"/>
      <c r="M33" s="78"/>
      <c r="Q33" s="54" t="s">
        <v>96</v>
      </c>
      <c r="S33" s="72">
        <f>ROUND((((C12+C19)/C56)*100),2)</f>
        <v>66.13</v>
      </c>
      <c r="T33" s="73" t="s">
        <v>4</v>
      </c>
      <c r="U33" s="72">
        <f>ROUND((((E12+E19)/E56)*100),2)</f>
        <v>66.349999999999994</v>
      </c>
      <c r="V33" s="73" t="s">
        <v>4</v>
      </c>
      <c r="W33" s="72">
        <f>ROUND((((G12+G19)/G56)*100),2)</f>
        <v>65.430000000000007</v>
      </c>
      <c r="X33" s="73" t="s">
        <v>4</v>
      </c>
      <c r="Y33" s="72">
        <f>ROUND((((I12+I19)/I56)*100),2)</f>
        <v>65.599999999999994</v>
      </c>
      <c r="Z33" s="73" t="s">
        <v>4</v>
      </c>
      <c r="AA33" s="72">
        <f>ROUND((((K12+K19)/K56)*100),2)</f>
        <v>63.51</v>
      </c>
      <c r="AB33" s="73" t="s">
        <v>4</v>
      </c>
      <c r="AC33" s="72">
        <f>ROUND(AVERAGE(S33:AB33),2)</f>
        <v>65.400000000000006</v>
      </c>
      <c r="AD33" s="73" t="s">
        <v>4</v>
      </c>
    </row>
    <row r="34" spans="1:30" x14ac:dyDescent="0.2">
      <c r="A34" s="54" t="s">
        <v>97</v>
      </c>
      <c r="B34" s="54" t="s">
        <v>98</v>
      </c>
      <c r="C34" s="65">
        <f>4401*1000000</f>
        <v>4401000000</v>
      </c>
      <c r="E34" s="65">
        <f>3976*1000000</f>
        <v>3976000000</v>
      </c>
      <c r="G34" s="65">
        <f>3524*1000000</f>
        <v>3524000000</v>
      </c>
      <c r="I34" s="65">
        <f>I32</f>
        <v>2309000000</v>
      </c>
      <c r="K34" s="65">
        <v>3119000000</v>
      </c>
      <c r="M34" s="65">
        <v>4739000000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0.36</v>
      </c>
      <c r="Z34" s="73"/>
      <c r="AA34" s="72">
        <f>ROUND((((SUM(K13,K17))/K56)*100),2)</f>
        <v>0.38</v>
      </c>
      <c r="AB34" s="73"/>
      <c r="AC34" s="72">
        <f>ROUND(AVERAGE(S34:AB34),2)</f>
        <v>0.15</v>
      </c>
      <c r="AD34" s="73"/>
    </row>
    <row r="35" spans="1:30" x14ac:dyDescent="0.2">
      <c r="C35" s="65"/>
      <c r="E35" s="65"/>
      <c r="G35" s="65"/>
      <c r="I35" s="65"/>
      <c r="K35" s="65"/>
      <c r="M35" s="65"/>
      <c r="Q35" s="54" t="s">
        <v>89</v>
      </c>
      <c r="S35" s="74">
        <f>ROUND((((C16)/C56)*100),2)</f>
        <v>33.869999999999997</v>
      </c>
      <c r="T35" s="73"/>
      <c r="U35" s="74">
        <f>ROUND((((E16)/E56)*100),2)</f>
        <v>33.65</v>
      </c>
      <c r="V35" s="73"/>
      <c r="W35" s="74">
        <f>ROUND((((G16)/G56)*100),2)</f>
        <v>34.57</v>
      </c>
      <c r="X35" s="73"/>
      <c r="Y35" s="74">
        <f>ROUND((((I16)/I56)*100),2)</f>
        <v>34.04</v>
      </c>
      <c r="Z35" s="73"/>
      <c r="AA35" s="74">
        <f>ROUND((((K16)/K56)*100),2)</f>
        <v>36.119999999999997</v>
      </c>
      <c r="AB35" s="73"/>
      <c r="AC35" s="72">
        <f>ROUND(AVERAGE(S35:AB35),2)</f>
        <v>34.450000000000003</v>
      </c>
      <c r="AD35" s="73"/>
    </row>
    <row r="36" spans="1:30" x14ac:dyDescent="0.2">
      <c r="A36" s="54" t="s">
        <v>99</v>
      </c>
      <c r="B36" s="54" t="s">
        <v>100</v>
      </c>
      <c r="C36" s="65">
        <v>0</v>
      </c>
      <c r="E36" s="65">
        <v>0</v>
      </c>
      <c r="G36" s="65">
        <f>11*1000000</f>
        <v>11000000</v>
      </c>
      <c r="I36" s="65">
        <f>15*1000000</f>
        <v>15000000</v>
      </c>
      <c r="K36" s="65">
        <f>15*1000000</f>
        <v>15000000</v>
      </c>
      <c r="M36" s="65">
        <f>15*1000000</f>
        <v>15000000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100.00999999999999</v>
      </c>
      <c r="AB36" s="73" t="s">
        <v>4</v>
      </c>
      <c r="AC36" s="75">
        <f>SUM(AC33:AC35)</f>
        <v>100.00000000000001</v>
      </c>
      <c r="AD36" s="73" t="s">
        <v>4</v>
      </c>
    </row>
    <row r="37" spans="1:30" x14ac:dyDescent="0.2">
      <c r="C37" s="65"/>
      <c r="E37" s="65"/>
      <c r="G37" s="65"/>
      <c r="I37" s="65"/>
      <c r="K37" s="65"/>
      <c r="M37" s="65"/>
    </row>
    <row r="38" spans="1:30" x14ac:dyDescent="0.2">
      <c r="A38" s="54" t="s">
        <v>101</v>
      </c>
      <c r="B38" s="54" t="s">
        <v>102</v>
      </c>
      <c r="C38" s="65">
        <f>2954*1000000</f>
        <v>2954000000</v>
      </c>
      <c r="E38" s="65">
        <f>3035*1000000</f>
        <v>3035000000</v>
      </c>
      <c r="G38" s="65">
        <f>2907*1000000</f>
        <v>2907000000</v>
      </c>
      <c r="I38" s="65">
        <f>2777*1000000</f>
        <v>2777000000</v>
      </c>
      <c r="K38" s="65">
        <f>2685*1000000</f>
        <v>2685000000</v>
      </c>
      <c r="M38" s="65">
        <f>2570*1000000</f>
        <v>2570000000</v>
      </c>
    </row>
    <row r="39" spans="1:30" x14ac:dyDescent="0.2">
      <c r="C39" s="65"/>
      <c r="E39" s="65"/>
      <c r="G39" s="65"/>
      <c r="I39" s="65"/>
      <c r="K39" s="65"/>
      <c r="M39" s="65"/>
    </row>
    <row r="40" spans="1:30" x14ac:dyDescent="0.2">
      <c r="A40" s="54" t="s">
        <v>103</v>
      </c>
      <c r="B40" s="54" t="s">
        <v>104</v>
      </c>
      <c r="C40" s="153">
        <f>C32</f>
        <v>4260000000</v>
      </c>
      <c r="E40" s="153">
        <f>E32</f>
        <v>3849000000</v>
      </c>
      <c r="G40" s="153">
        <f>G32</f>
        <v>3428000000</v>
      </c>
      <c r="I40" s="153">
        <f>I32</f>
        <v>2309000000</v>
      </c>
      <c r="K40" s="153">
        <f>K32</f>
        <v>3103000000</v>
      </c>
      <c r="M40" s="153">
        <f>M32</f>
        <v>4744000000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5">
        <f>9788*1000000</f>
        <v>9788000000</v>
      </c>
      <c r="E41" s="65">
        <f>7553*1000000</f>
        <v>7553000000</v>
      </c>
      <c r="G41" s="65">
        <f>6302*1000000</f>
        <v>6302000000</v>
      </c>
      <c r="I41" s="65">
        <f>6169*1000000</f>
        <v>6169000000</v>
      </c>
      <c r="K41" s="65">
        <f>6696*1000000</f>
        <v>6696000000</v>
      </c>
      <c r="M41" s="65">
        <f>5781*1000000</f>
        <v>5781000000</v>
      </c>
      <c r="Q41" s="66"/>
      <c r="R41" s="66"/>
    </row>
    <row r="42" spans="1:30" x14ac:dyDescent="0.2">
      <c r="A42" s="54" t="s">
        <v>108</v>
      </c>
      <c r="B42" s="54" t="s">
        <v>109</v>
      </c>
      <c r="C42" s="65">
        <f>(-372+984+140-189+0-47+492+83-21+145)*1000000</f>
        <v>1215000000</v>
      </c>
      <c r="E42" s="65">
        <f>(482+686-368-345+108-106-863-157+214+214)*1000000</f>
        <v>-135000000</v>
      </c>
      <c r="G42" s="65">
        <f>(-769-125-160+158-288+1021+51+119+153)*1000000</f>
        <v>160000000</v>
      </c>
      <c r="I42" s="65">
        <f>(-81-130-266-170-8-54-155+130-49)*1000000</f>
        <v>-783000000</v>
      </c>
      <c r="K42" s="65">
        <f>(-222-29-157-132-27+242+96-236+76)*1000000</f>
        <v>-389000000</v>
      </c>
      <c r="M42" s="65">
        <f>(630-120+44+70-693-117-9+62+61)*1000000</f>
        <v>-72000000</v>
      </c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5">
        <f>4755*1000000</f>
        <v>4755000000</v>
      </c>
      <c r="E43" s="65">
        <f>4525*1000000</f>
        <v>4525000000</v>
      </c>
      <c r="G43" s="65">
        <f>3663*1000000</f>
        <v>3663000000</v>
      </c>
      <c r="I43" s="65">
        <f>3565*1000000</f>
        <v>3565000000</v>
      </c>
      <c r="K43" s="65">
        <f>3518*1000000</f>
        <v>3518000000</v>
      </c>
      <c r="M43" s="65">
        <f>3038*1000000</f>
        <v>3038000000</v>
      </c>
      <c r="Q43" s="54" t="s">
        <v>113</v>
      </c>
      <c r="S43" s="72">
        <f>ROUND(C21/C52,4)*100</f>
        <v>4.9799999999999995</v>
      </c>
      <c r="T43" s="73" t="s">
        <v>4</v>
      </c>
      <c r="U43" s="72">
        <f>ROUND(E21/E52,4)*100</f>
        <v>5.25</v>
      </c>
      <c r="V43" s="73" t="s">
        <v>4</v>
      </c>
      <c r="W43" s="72">
        <f>ROUND(G21/G52,4)*100</f>
        <v>4.5999999999999996</v>
      </c>
      <c r="X43" s="73" t="s">
        <v>4</v>
      </c>
      <c r="Y43" s="72">
        <f>ROUND(I21/I52,4)*100</f>
        <v>3.58</v>
      </c>
      <c r="Z43" s="73" t="s">
        <v>4</v>
      </c>
      <c r="AA43" s="72">
        <f>ROUND(K21/K52,4)*100</f>
        <v>7.23</v>
      </c>
      <c r="AB43" s="73" t="s">
        <v>4</v>
      </c>
      <c r="AC43" s="72">
        <f>ROUND(AVERAGE(S43:AB43),2)</f>
        <v>5.13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5">
        <f>969*1000000</f>
        <v>969000000</v>
      </c>
      <c r="E44" s="65">
        <f>496*1000000</f>
        <v>496000000</v>
      </c>
      <c r="G44" s="65">
        <f>795*1000000</f>
        <v>795000000</v>
      </c>
      <c r="I44" s="65">
        <f>267*1000000</f>
        <v>267000000</v>
      </c>
      <c r="K44" s="65">
        <f>393*1000000</f>
        <v>393000000</v>
      </c>
      <c r="M44" s="65">
        <f>1798*1000000</f>
        <v>1798000000</v>
      </c>
      <c r="Q44" s="54" t="s">
        <v>116</v>
      </c>
      <c r="S44" s="72">
        <f>(ROUND((C52/(AVERAGE(C48,E48))*100),2))</f>
        <v>271.94</v>
      </c>
      <c r="U44" s="72">
        <f>(ROUND((E52/(AVERAGE(E48,G48))*100),2))</f>
        <v>243.38</v>
      </c>
      <c r="W44" s="72">
        <f>(ROUND((G52/(AVERAGE(G48,I48))*100),2))</f>
        <v>266.08999999999997</v>
      </c>
      <c r="Y44" s="72">
        <f>(ROUND((I52/(AVERAGE(I48,K48))*100),2))</f>
        <v>241.99</v>
      </c>
      <c r="AA44" s="72">
        <f>(ROUND((K52/(AVERAGE(K48,M48))*100),2))</f>
        <v>154.19</v>
      </c>
      <c r="AC44" s="72">
        <f>ROUND(AVERAGE(S44:AB44),2)</f>
        <v>235.52</v>
      </c>
    </row>
    <row r="45" spans="1:30" x14ac:dyDescent="0.2">
      <c r="C45" s="65"/>
      <c r="E45" s="65"/>
      <c r="K45" s="65"/>
      <c r="M45" s="65"/>
      <c r="Q45" s="54" t="s">
        <v>117</v>
      </c>
      <c r="S45" s="72">
        <f>ROUND(((+C26/C52)*100),2)</f>
        <v>3.57</v>
      </c>
      <c r="U45" s="72">
        <f>ROUND(((+E26/E52)*100),2)</f>
        <v>4.03</v>
      </c>
      <c r="W45" s="72">
        <f>ROUND(((+G26/G52)*100),2)</f>
        <v>3.81</v>
      </c>
      <c r="Y45" s="72">
        <f>ROUND(((+I26/I52)*100),2)</f>
        <v>4.18</v>
      </c>
      <c r="AA45" s="72">
        <f>ROUND(((+K26/K52)*100),2)</f>
        <v>6.27</v>
      </c>
      <c r="AC45" s="72">
        <f>ROUND(AVERAGE(S45:AB45),2)</f>
        <v>4.37</v>
      </c>
    </row>
    <row r="46" spans="1:30" x14ac:dyDescent="0.2">
      <c r="A46" s="54" t="s">
        <v>118</v>
      </c>
      <c r="C46" s="65"/>
      <c r="E46" s="65"/>
      <c r="K46" s="65"/>
      <c r="M46" s="65"/>
      <c r="Q46" s="54" t="s">
        <v>119</v>
      </c>
      <c r="S46" s="72">
        <f>ROUND(((+C38/C34)*100),2)</f>
        <v>67.12</v>
      </c>
      <c r="U46" s="72">
        <f>ROUND(((+E38/E34)*100),2)</f>
        <v>76.33</v>
      </c>
      <c r="W46" s="72">
        <f>ROUND(((+G38/G34)*100),2)</f>
        <v>82.49</v>
      </c>
      <c r="Y46" s="72">
        <f>ROUND(((+I38/I34)*100),2)</f>
        <v>120.27</v>
      </c>
      <c r="AA46" s="72">
        <f>ROUND(((+K38/K34)*100),2)</f>
        <v>86.09</v>
      </c>
      <c r="AC46" s="72">
        <f>ROUND(AVERAGE(S46:AB46),2)</f>
        <v>86.46</v>
      </c>
    </row>
    <row r="47" spans="1:30" x14ac:dyDescent="0.2">
      <c r="C47" s="65"/>
      <c r="E47" s="65"/>
      <c r="K47" s="65"/>
      <c r="M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30.189090909090908</v>
      </c>
      <c r="E48" s="65">
        <f>E16/E15</f>
        <v>28.794871794871796</v>
      </c>
      <c r="G48" s="65">
        <f>G16/G15</f>
        <v>27.897247706422018</v>
      </c>
      <c r="I48" s="65">
        <f>I16/I15</f>
        <v>25.34</v>
      </c>
      <c r="K48" s="65">
        <f>K16/K15</f>
        <v>26.438563327032135</v>
      </c>
      <c r="L48" s="65"/>
      <c r="M48" s="65">
        <f>M16/M15</f>
        <v>26.114382991328753</v>
      </c>
      <c r="Q48" s="66" t="s">
        <v>122</v>
      </c>
      <c r="R48" s="66"/>
      <c r="S48" s="72">
        <f>ROUND(((C34/AVERAGE(C16,E16))*100),2)</f>
        <v>13.61</v>
      </c>
      <c r="T48" s="54" t="s">
        <v>4</v>
      </c>
      <c r="U48" s="72">
        <f>ROUND(((E34/AVERAGE(E16,G16))*100),2)</f>
        <v>12.86</v>
      </c>
      <c r="V48" s="54" t="s">
        <v>4</v>
      </c>
      <c r="W48" s="72">
        <f>ROUND(((G34/AVERAGE(G16,I16))*100),2)</f>
        <v>12.09</v>
      </c>
      <c r="X48" s="54" t="s">
        <v>4</v>
      </c>
      <c r="Y48" s="72">
        <f>ROUND(((I34/AVERAGE(I16,K16))*100),2)</f>
        <v>8.27</v>
      </c>
      <c r="Z48" s="54" t="s">
        <v>4</v>
      </c>
      <c r="AA48" s="72">
        <f>ROUND(((K34/AVERAGE(K16,M16))*100),2)</f>
        <v>11.24</v>
      </c>
      <c r="AB48" s="54" t="s">
        <v>4</v>
      </c>
      <c r="AC48" s="72">
        <f>ROUND(AVERAGE(S48:AB48),2)</f>
        <v>11.61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L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96694000000</v>
      </c>
      <c r="E50" s="65">
        <f>SUM(E12:E13,E16:E17)</f>
        <v>91130000000</v>
      </c>
      <c r="G50" s="65">
        <f>SUM(G12:G13,G16:G17)</f>
        <v>85349000000</v>
      </c>
      <c r="I50" s="65">
        <f>SUM(I12:I13,I16:I17)</f>
        <v>80442000000</v>
      </c>
      <c r="K50" s="65">
        <f>SUM(K12:K13,K16:K17)</f>
        <v>76843000000</v>
      </c>
      <c r="L50" s="65"/>
      <c r="M50" s="65">
        <f>SUM(M12:M13,M16:M17)</f>
        <v>72583000000</v>
      </c>
      <c r="Q50" s="66" t="s">
        <v>124</v>
      </c>
      <c r="R50" s="66"/>
      <c r="S50" s="72">
        <f>ROUND((C54/C62),2)</f>
        <v>5.04</v>
      </c>
      <c r="T50" s="73" t="s">
        <v>125</v>
      </c>
      <c r="U50" s="72">
        <f>ROUND((E54/E62),2)</f>
        <v>5.42</v>
      </c>
      <c r="V50" s="73" t="s">
        <v>125</v>
      </c>
      <c r="W50" s="72">
        <f>ROUND((G54/G62),2)</f>
        <v>5.75</v>
      </c>
      <c r="X50" s="73" t="s">
        <v>125</v>
      </c>
      <c r="Y50" s="72">
        <f>ROUND((I54/I62),2)</f>
        <v>6.73</v>
      </c>
      <c r="Z50" s="73" t="s">
        <v>125</v>
      </c>
      <c r="AA50" s="72">
        <f>ROUND((K54/K62),2)</f>
        <v>5.56</v>
      </c>
      <c r="AB50" s="73" t="s">
        <v>125</v>
      </c>
      <c r="AC50" s="72">
        <f>ROUND(AVERAGE(S50:AB50),2)</f>
        <v>5.7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L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80.2</v>
      </c>
      <c r="E52" s="65">
        <f>AVERAGE(E22:E23)</f>
        <v>68.989999999999995</v>
      </c>
      <c r="G52" s="65">
        <f>AVERAGE(G22:G23)</f>
        <v>70.83</v>
      </c>
      <c r="I52" s="65">
        <f>AVERAGE(I22:I23)</f>
        <v>62.65</v>
      </c>
      <c r="K52" s="65">
        <f>AVERAGE(K22:K23)</f>
        <v>40.515000000000001</v>
      </c>
      <c r="L52" s="65"/>
      <c r="M52" s="65">
        <f>AVERAGE(M22:M23)</f>
        <v>40.515000000000001</v>
      </c>
      <c r="Q52" s="66" t="s">
        <v>127</v>
      </c>
      <c r="R52" s="66"/>
      <c r="S52" s="72">
        <f>ROUND(((C60/C54)*100),2)</f>
        <v>16.61</v>
      </c>
      <c r="T52" s="73" t="s">
        <v>4</v>
      </c>
      <c r="U52" s="72">
        <f>ROUND(((E60/E54)*100),2)</f>
        <v>11.53</v>
      </c>
      <c r="V52" s="73" t="s">
        <v>4</v>
      </c>
      <c r="W52" s="72">
        <f>ROUND(((G60/G54)*100),2)</f>
        <v>10.84</v>
      </c>
      <c r="X52" s="73" t="s">
        <v>4</v>
      </c>
      <c r="Y52" s="72">
        <f>ROUND(((I60/I54)*100),2)</f>
        <v>9.67</v>
      </c>
      <c r="Z52" s="73" t="s">
        <v>4</v>
      </c>
      <c r="AA52" s="72">
        <f>ROUND(((K60/K54)*100),2)</f>
        <v>12.35</v>
      </c>
      <c r="AB52" s="73" t="s">
        <v>4</v>
      </c>
      <c r="AC52" s="72">
        <f>ROUND(AVERAGE(S52:AB52),2)</f>
        <v>12.2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L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64824000000</v>
      </c>
      <c r="E54" s="65">
        <f>+E19+E12</f>
        <v>62000000000</v>
      </c>
      <c r="G54" s="65">
        <f>+G19+G12</f>
        <v>57550000000</v>
      </c>
      <c r="I54" s="65">
        <f>+I19+I12</f>
        <v>53717000000</v>
      </c>
      <c r="K54" s="65">
        <f>+K19+K12</f>
        <v>49189000000</v>
      </c>
      <c r="L54" s="81"/>
      <c r="M54" s="65">
        <f>+M19+M12</f>
        <v>46842000000</v>
      </c>
      <c r="Q54" s="79" t="s">
        <v>128</v>
      </c>
      <c r="R54" s="79"/>
      <c r="S54" s="72">
        <f>S33</f>
        <v>66.13</v>
      </c>
      <c r="T54" s="73" t="s">
        <v>4</v>
      </c>
      <c r="U54" s="72">
        <f>U33</f>
        <v>66.349999999999994</v>
      </c>
      <c r="V54" s="73" t="s">
        <v>4</v>
      </c>
      <c r="W54" s="72">
        <f>W33</f>
        <v>65.430000000000007</v>
      </c>
      <c r="X54" s="73" t="s">
        <v>4</v>
      </c>
      <c r="Y54" s="72">
        <f>Y33</f>
        <v>65.599999999999994</v>
      </c>
      <c r="Z54" s="73" t="s">
        <v>4</v>
      </c>
      <c r="AA54" s="72">
        <f>AA33</f>
        <v>63.51</v>
      </c>
      <c r="AB54" s="73" t="s">
        <v>4</v>
      </c>
      <c r="AC54" s="72">
        <f>ROUND(AVERAGE(S54:AB54),2)</f>
        <v>65.400000000000006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L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98032000000</v>
      </c>
      <c r="E56" s="65">
        <f>SUM(E50,E19)</f>
        <v>93444000000</v>
      </c>
      <c r="G56" s="65">
        <f>SUM(G50,G19)</f>
        <v>87958000000</v>
      </c>
      <c r="I56" s="65">
        <f>SUM(I50,I19)</f>
        <v>81882000000</v>
      </c>
      <c r="K56" s="65">
        <f>SUM(K50,K19)</f>
        <v>77452000000</v>
      </c>
      <c r="L56" s="65"/>
      <c r="M56" s="65">
        <f>SUM(M50,M19)</f>
        <v>74638000000</v>
      </c>
    </row>
    <row r="57" spans="1:30" x14ac:dyDescent="0.2">
      <c r="C57" s="65"/>
      <c r="E57" s="65"/>
      <c r="G57" s="65"/>
      <c r="I57" s="65"/>
      <c r="K57" s="65"/>
      <c r="L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291000000</v>
      </c>
      <c r="K58" s="65">
        <f>SUM(K13,K17)</f>
        <v>291000000</v>
      </c>
      <c r="L58" s="65"/>
      <c r="M58" s="65">
        <f>SUM(M13,M17)</f>
        <v>291000000</v>
      </c>
    </row>
    <row r="59" spans="1:30" x14ac:dyDescent="0.2">
      <c r="C59" s="65"/>
      <c r="E59" s="65"/>
      <c r="G59" s="65"/>
      <c r="I59" s="65"/>
      <c r="K59" s="65"/>
      <c r="L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10768000000</v>
      </c>
      <c r="E60" s="65">
        <f>ROUND(E41+E42-E28,3)</f>
        <v>7150000000</v>
      </c>
      <c r="G60" s="65">
        <f>ROUND(G41+G42-G28,3)</f>
        <v>6238000000</v>
      </c>
      <c r="I60" s="65">
        <f>ROUND(I41+I42-I28,3)</f>
        <v>5196000000</v>
      </c>
      <c r="K60" s="65">
        <f>ROUND(K41+K42-K28,3)</f>
        <v>6077000000</v>
      </c>
      <c r="L60" s="65"/>
      <c r="M60" s="65">
        <f>ROUND(M41+M42-M28,3)</f>
        <v>5581000000</v>
      </c>
    </row>
    <row r="61" spans="1:30" x14ac:dyDescent="0.2">
      <c r="A61" s="82"/>
      <c r="L61" s="65"/>
    </row>
    <row r="62" spans="1:30" x14ac:dyDescent="0.2">
      <c r="A62" s="54" t="s">
        <v>131</v>
      </c>
      <c r="B62" s="54" t="s">
        <v>121</v>
      </c>
      <c r="C62" s="65">
        <f>C44+C43+C34+C30</f>
        <v>12868000000</v>
      </c>
      <c r="E62" s="65">
        <f>E44+E43+E34+E30</f>
        <v>11443000000</v>
      </c>
      <c r="G62" s="65">
        <f>G44+G43+G34+G30</f>
        <v>10004000000</v>
      </c>
      <c r="I62" s="65">
        <f>I44+I43+I34+I30</f>
        <v>7978000000</v>
      </c>
      <c r="K62" s="65">
        <f>K44+K43+K34+K30</f>
        <v>8851000000</v>
      </c>
      <c r="L62" s="65"/>
      <c r="M62" s="65">
        <f>M44+M43+M34+M30</f>
        <v>11311000000</v>
      </c>
    </row>
    <row r="63" spans="1:30" x14ac:dyDescent="0.2">
      <c r="M63" s="83"/>
    </row>
    <row r="64" spans="1:30" x14ac:dyDescent="0.2">
      <c r="M64" s="83"/>
    </row>
    <row r="71" spans="13:13" x14ac:dyDescent="0.2">
      <c r="M71" s="83"/>
    </row>
    <row r="81" spans="219:223" x14ac:dyDescent="0.2">
      <c r="HK81" s="84"/>
      <c r="HL81" s="84"/>
      <c r="HO81" s="54" t="s">
        <v>132</v>
      </c>
    </row>
  </sheetData>
  <mergeCells count="6">
    <mergeCell ref="AC25:AD25"/>
    <mergeCell ref="C6:M6"/>
    <mergeCell ref="C7:M7"/>
    <mergeCell ref="C8:N8"/>
    <mergeCell ref="W13:AB13"/>
    <mergeCell ref="AC24:AD24"/>
  </mergeCells>
  <pageMargins left="0.7" right="0.7" top="0.75" bottom="0.75" header="0.3" footer="0.3"/>
  <pageSetup scale="27" orientation="portrait" r:id="rId1"/>
  <headerFooter>
    <oddHeader>&amp;R&amp;A
Page 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BD2B-524E-451D-A61C-055EC42CEB33}">
  <dimension ref="A1:HQ154"/>
  <sheetViews>
    <sheetView zoomScale="85" zoomScaleNormal="85" workbookViewId="0"/>
  </sheetViews>
  <sheetFormatPr defaultColWidth="9" defaultRowHeight="12.75" x14ac:dyDescent="0.2"/>
  <cols>
    <col min="1" max="1" width="36.28515625" style="54" customWidth="1"/>
    <col min="2" max="2" width="15.28515625" style="54" bestFit="1" customWidth="1"/>
    <col min="3" max="3" width="19" style="54" customWidth="1"/>
    <col min="4" max="4" width="3" style="54" customWidth="1"/>
    <col min="5" max="5" width="19" style="54" customWidth="1"/>
    <col min="6" max="6" width="3" style="54" customWidth="1"/>
    <col min="7" max="7" width="18.7109375" style="54" customWidth="1"/>
    <col min="8" max="8" width="3" style="54" customWidth="1"/>
    <col min="9" max="9" width="19.5703125" style="54" customWidth="1"/>
    <col min="10" max="10" width="3" style="54" customWidth="1"/>
    <col min="11" max="11" width="19.5703125" style="54" customWidth="1"/>
    <col min="12" max="12" width="3" style="54" customWidth="1"/>
    <col min="13" max="13" width="18.5703125" style="54" customWidth="1"/>
    <col min="14" max="16" width="3" style="54" customWidth="1"/>
    <col min="17" max="17" width="53.28515625" style="54" customWidth="1"/>
    <col min="18" max="18" width="3" style="54" customWidth="1"/>
    <col min="19" max="19" width="14.5703125" style="54" customWidth="1"/>
    <col min="20" max="20" width="3" style="54" customWidth="1"/>
    <col min="21" max="21" width="14.5703125" style="54" customWidth="1"/>
    <col min="22" max="22" width="5.5703125" style="54" customWidth="1"/>
    <col min="23" max="23" width="14" style="54" customWidth="1"/>
    <col min="24" max="24" width="3.5703125" style="54" customWidth="1"/>
    <col min="25" max="25" width="13.7109375" style="54" customWidth="1"/>
    <col min="26" max="26" width="3.5703125" style="54" customWidth="1"/>
    <col min="27" max="27" width="11" style="54" bestFit="1" customWidth="1"/>
    <col min="28" max="28" width="2.5703125" style="54" bestFit="1" customWidth="1"/>
    <col min="29" max="29" width="11" style="54" bestFit="1" customWidth="1"/>
    <col min="30" max="30" width="2.5703125" style="54" customWidth="1"/>
    <col min="31" max="31" width="10.5703125" style="54" customWidth="1"/>
    <col min="32" max="32" width="2.5703125" style="54" customWidth="1"/>
    <col min="33" max="33" width="9" style="54"/>
    <col min="34" max="34" width="4.28515625" style="54" customWidth="1"/>
    <col min="35" max="35" width="3.5703125" style="54" customWidth="1"/>
    <col min="36" max="36" width="22.28515625" style="54" customWidth="1"/>
    <col min="37" max="16384" width="9" style="54"/>
  </cols>
  <sheetData>
    <row r="1" spans="1:31" ht="16.5" customHeight="1" x14ac:dyDescent="0.2"/>
    <row r="2" spans="1:31" ht="16.5" customHeight="1" x14ac:dyDescent="0.2">
      <c r="G2" s="147"/>
    </row>
    <row r="3" spans="1:31" ht="16.5" customHeight="1" x14ac:dyDescent="0.2">
      <c r="C3" s="147"/>
      <c r="E3" s="147"/>
      <c r="G3" s="147"/>
    </row>
    <row r="4" spans="1:31" ht="16.5" customHeight="1" thickBot="1" x14ac:dyDescent="0.25">
      <c r="C4" s="147"/>
      <c r="E4" s="147"/>
    </row>
    <row r="5" spans="1:31" ht="15" x14ac:dyDescent="0.35">
      <c r="A5" s="56" t="s">
        <v>37</v>
      </c>
    </row>
    <row r="6" spans="1:31" ht="15" customHeight="1" thickBot="1" x14ac:dyDescent="0.25">
      <c r="A6" s="57" t="s">
        <v>224</v>
      </c>
      <c r="I6" s="194" t="s">
        <v>239</v>
      </c>
      <c r="J6" s="194"/>
      <c r="K6" s="194"/>
      <c r="L6" s="194"/>
      <c r="M6" s="194"/>
      <c r="N6" s="194"/>
      <c r="O6" s="194"/>
      <c r="Q6" s="60" t="str">
        <f>I6</f>
        <v>TXNM Energy, Inc.</v>
      </c>
      <c r="R6" s="60"/>
      <c r="S6" s="60"/>
      <c r="T6" s="60"/>
      <c r="U6" s="60"/>
      <c r="V6" s="60"/>
      <c r="W6" s="60"/>
      <c r="X6" s="60"/>
      <c r="Y6" s="60"/>
      <c r="Z6" s="61"/>
      <c r="AA6" s="61"/>
      <c r="AB6" s="62"/>
      <c r="AC6" s="61"/>
      <c r="AD6" s="61"/>
      <c r="AE6" s="61"/>
    </row>
    <row r="7" spans="1:31" ht="14.25" customHeight="1" x14ac:dyDescent="0.2">
      <c r="I7" s="195" t="s">
        <v>54</v>
      </c>
      <c r="J7" s="195"/>
      <c r="K7" s="195"/>
      <c r="L7" s="195"/>
      <c r="M7" s="195"/>
      <c r="N7" s="195"/>
      <c r="O7" s="195"/>
      <c r="Q7" s="61" t="str">
        <f>I7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15" customHeight="1" x14ac:dyDescent="0.2">
      <c r="I8" s="194" t="s">
        <v>138</v>
      </c>
      <c r="J8" s="194"/>
      <c r="K8" s="194"/>
      <c r="L8" s="194"/>
      <c r="M8" s="194"/>
      <c r="N8" s="194"/>
      <c r="O8" s="194"/>
      <c r="Q8" s="62" t="str">
        <f>I8</f>
        <v>2019 - 2024, Inclusive</v>
      </c>
      <c r="R8" s="62"/>
      <c r="S8" s="62"/>
      <c r="T8" s="62"/>
      <c r="U8" s="62"/>
      <c r="V8" s="62"/>
      <c r="W8" s="62"/>
      <c r="X8" s="62"/>
      <c r="Y8" s="62"/>
      <c r="Z8" s="61"/>
      <c r="AA8" s="61"/>
      <c r="AB8" s="62"/>
      <c r="AC8" s="61"/>
      <c r="AD8" s="61"/>
      <c r="AE8" s="61"/>
    </row>
    <row r="9" spans="1:31" ht="15.75" x14ac:dyDescent="0.25">
      <c r="D9" s="179"/>
      <c r="F9" s="179"/>
      <c r="Q9" s="61"/>
      <c r="R9" s="61"/>
      <c r="S9" s="61"/>
      <c r="T9" s="61"/>
      <c r="U9" s="61"/>
      <c r="V9" s="61"/>
      <c r="W9" s="61"/>
      <c r="X9" s="61"/>
      <c r="Y9" s="61"/>
      <c r="Z9" s="61"/>
      <c r="AA9" s="62"/>
      <c r="AB9" s="62"/>
      <c r="AC9" s="61"/>
      <c r="AD9" s="61"/>
      <c r="AE9" s="61"/>
    </row>
    <row r="10" spans="1:31" x14ac:dyDescent="0.2">
      <c r="B10" s="54" t="s">
        <v>211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O10" s="63"/>
      <c r="AA10" s="62"/>
      <c r="AB10" s="62"/>
      <c r="AC10" s="61"/>
      <c r="AD10" s="61"/>
    </row>
    <row r="11" spans="1:31" x14ac:dyDescent="0.2">
      <c r="A11" s="54" t="s">
        <v>57</v>
      </c>
    </row>
    <row r="12" spans="1:31" x14ac:dyDescent="0.2">
      <c r="A12" s="54" t="s">
        <v>58</v>
      </c>
      <c r="B12" s="54" t="s">
        <v>59</v>
      </c>
      <c r="C12" s="150">
        <f>4939214*1000</f>
        <v>4939214000</v>
      </c>
      <c r="E12" s="150">
        <f>4525743*1000</f>
        <v>4525743000</v>
      </c>
      <c r="G12" s="150">
        <f>4077387*1000</f>
        <v>4077387000</v>
      </c>
      <c r="I12" s="152">
        <f>3698919*1000</f>
        <v>3698919000</v>
      </c>
      <c r="K12" s="153">
        <f>(575518+2719632)*1000</f>
        <v>3295150000</v>
      </c>
      <c r="M12" s="153">
        <v>3007717000</v>
      </c>
      <c r="O12" s="150"/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  <c r="AC12" s="63">
        <f>M10</f>
        <v>2019</v>
      </c>
      <c r="AD12" s="63"/>
    </row>
    <row r="13" spans="1:31" ht="15" customHeight="1" x14ac:dyDescent="0.2">
      <c r="A13" s="54" t="s">
        <v>60</v>
      </c>
      <c r="B13" s="54" t="s">
        <v>61</v>
      </c>
      <c r="C13" s="161">
        <f>11529*1000</f>
        <v>11529000</v>
      </c>
      <c r="E13" s="161">
        <f>11529*1000</f>
        <v>11529000</v>
      </c>
      <c r="G13" s="161">
        <f>11529*1000</f>
        <v>11529000</v>
      </c>
      <c r="I13" s="161">
        <f>11529*1000</f>
        <v>11529000</v>
      </c>
      <c r="K13" s="161">
        <v>11529000</v>
      </c>
      <c r="M13" s="161">
        <v>11529000</v>
      </c>
      <c r="O13" s="151"/>
      <c r="Y13" s="195" t="s">
        <v>62</v>
      </c>
      <c r="Z13" s="195"/>
      <c r="AA13" s="195"/>
      <c r="AB13" s="195"/>
      <c r="AC13" s="195"/>
      <c r="AD13" s="195"/>
      <c r="AE13" s="61" t="s">
        <v>63</v>
      </c>
    </row>
    <row r="14" spans="1:31" x14ac:dyDescent="0.2">
      <c r="C14" s="65"/>
      <c r="E14" s="65"/>
      <c r="Q14" s="66" t="s">
        <v>64</v>
      </c>
      <c r="R14" s="66"/>
      <c r="S14" s="66"/>
      <c r="T14" s="66"/>
      <c r="U14" s="66"/>
      <c r="V14" s="66"/>
      <c r="W14" s="66"/>
      <c r="X14" s="66"/>
      <c r="Z14" s="66"/>
    </row>
    <row r="15" spans="1:31" x14ac:dyDescent="0.2">
      <c r="A15" s="54" t="s">
        <v>65</v>
      </c>
      <c r="B15" s="54" t="s">
        <v>66</v>
      </c>
      <c r="C15" s="152">
        <v>92659335</v>
      </c>
      <c r="E15" s="152">
        <v>90200384</v>
      </c>
      <c r="G15" s="152">
        <v>85834874</v>
      </c>
      <c r="I15" s="152">
        <v>85834874</v>
      </c>
      <c r="K15" s="151">
        <v>85834874</v>
      </c>
      <c r="M15" s="151">
        <v>79653624</v>
      </c>
      <c r="O15" s="151"/>
    </row>
    <row r="16" spans="1:31" x14ac:dyDescent="0.2">
      <c r="A16" s="54" t="s">
        <v>6</v>
      </c>
      <c r="B16" s="54" t="s">
        <v>67</v>
      </c>
      <c r="C16" s="153">
        <f>2536385*1000</f>
        <v>2536385000</v>
      </c>
      <c r="E16" s="153">
        <f>2349093*1000</f>
        <v>2349093000</v>
      </c>
      <c r="G16" s="153">
        <f>2191932*1000</f>
        <v>2191932000</v>
      </c>
      <c r="I16" s="153">
        <f>2167524*1000</f>
        <v>2167524000</v>
      </c>
      <c r="K16" s="153">
        <f>2049465*1000</f>
        <v>2049465000</v>
      </c>
      <c r="M16" s="153">
        <v>1678698000</v>
      </c>
      <c r="O16" s="153"/>
      <c r="Q16" s="66" t="s">
        <v>68</v>
      </c>
      <c r="R16" s="66"/>
      <c r="S16" s="66"/>
      <c r="T16" s="66"/>
      <c r="U16" s="66"/>
      <c r="V16" s="66"/>
      <c r="W16" s="66"/>
      <c r="X16" s="66"/>
      <c r="Z16" s="66"/>
    </row>
    <row r="17" spans="1:32" x14ac:dyDescent="0.2">
      <c r="A17" s="54" t="s">
        <v>69</v>
      </c>
      <c r="B17" s="54" t="s">
        <v>66</v>
      </c>
      <c r="C17" s="153">
        <v>0</v>
      </c>
      <c r="E17" s="153">
        <v>0</v>
      </c>
      <c r="G17" s="54">
        <v>0</v>
      </c>
      <c r="I17" s="54">
        <v>0</v>
      </c>
      <c r="K17" s="54">
        <v>0</v>
      </c>
      <c r="M17" s="54">
        <v>0</v>
      </c>
      <c r="Q17" s="54" t="s">
        <v>70</v>
      </c>
      <c r="S17" s="69">
        <f>C50/1000000</f>
        <v>7487.1279999999997</v>
      </c>
      <c r="U17" s="69">
        <f>E50/1000000</f>
        <v>6886.3649999999998</v>
      </c>
      <c r="W17" s="69">
        <f>G50/1000000</f>
        <v>6280.848</v>
      </c>
      <c r="Y17" s="69">
        <f>I50/1000000</f>
        <v>5877.9719999999998</v>
      </c>
      <c r="AA17" s="69">
        <f>K50/1000000</f>
        <v>5356.1440000000002</v>
      </c>
      <c r="AB17" s="69"/>
      <c r="AC17" s="69">
        <f>M50/1000000</f>
        <v>4697.9440000000004</v>
      </c>
      <c r="AD17" s="69"/>
    </row>
    <row r="18" spans="1:32" x14ac:dyDescent="0.2">
      <c r="C18" s="65"/>
      <c r="E18" s="65"/>
      <c r="Q18" s="54" t="s">
        <v>71</v>
      </c>
      <c r="S18" s="70">
        <f>C19/1000000</f>
        <v>609.29999999999995</v>
      </c>
      <c r="U18" s="70">
        <f>E19/1000000</f>
        <v>261.89999999999998</v>
      </c>
      <c r="W18" s="70">
        <f>G19/1000000</f>
        <v>232</v>
      </c>
      <c r="Y18" s="70">
        <f>I19/1000000</f>
        <v>62.7</v>
      </c>
      <c r="AA18" s="70">
        <f>K19/1000000</f>
        <v>32</v>
      </c>
      <c r="AB18" s="69"/>
      <c r="AC18" s="70">
        <f>M19/1000000</f>
        <v>185.1</v>
      </c>
      <c r="AD18" s="69"/>
    </row>
    <row r="19" spans="1:32" x14ac:dyDescent="0.2">
      <c r="A19" s="54" t="s">
        <v>72</v>
      </c>
      <c r="B19" s="54" t="s">
        <v>73</v>
      </c>
      <c r="C19" s="152">
        <f>609300*1000</f>
        <v>609300000</v>
      </c>
      <c r="E19" s="152">
        <f>261900*1000</f>
        <v>261900000</v>
      </c>
      <c r="G19" s="152">
        <f>232000*1000</f>
        <v>232000000</v>
      </c>
      <c r="I19" s="153">
        <f>62700*1000</f>
        <v>62700000</v>
      </c>
      <c r="K19" s="153">
        <f>32000*1000</f>
        <v>32000000</v>
      </c>
      <c r="M19" s="153">
        <v>185100000</v>
      </c>
      <c r="O19" s="153"/>
      <c r="Q19" s="54" t="s">
        <v>74</v>
      </c>
      <c r="S19" s="71">
        <f>SUM(S17:S18)</f>
        <v>8096.4279999999999</v>
      </c>
      <c r="U19" s="71">
        <f>SUM(U17:U18)</f>
        <v>7148.2649999999994</v>
      </c>
      <c r="W19" s="71">
        <f>SUM(W17:W18)</f>
        <v>6512.848</v>
      </c>
      <c r="Y19" s="71">
        <f>SUM(Y17:Y18)</f>
        <v>5940.6719999999996</v>
      </c>
      <c r="AA19" s="71">
        <f>SUM(AA17:AA18)</f>
        <v>5388.1440000000002</v>
      </c>
      <c r="AB19" s="69"/>
      <c r="AC19" s="71">
        <f>SUM(AC17:AC18)</f>
        <v>4883.0440000000008</v>
      </c>
      <c r="AD19" s="69"/>
    </row>
    <row r="20" spans="1:32" x14ac:dyDescent="0.2">
      <c r="C20" s="65"/>
      <c r="E20" s="65"/>
    </row>
    <row r="21" spans="1:32" x14ac:dyDescent="0.2">
      <c r="A21" s="54" t="s">
        <v>75</v>
      </c>
      <c r="B21" s="54" t="s">
        <v>76</v>
      </c>
      <c r="C21" s="147"/>
      <c r="E21" s="147">
        <v>1.02</v>
      </c>
      <c r="G21" s="147">
        <v>1.97</v>
      </c>
      <c r="I21" s="65">
        <v>2.27</v>
      </c>
      <c r="K21" s="65">
        <v>2.15</v>
      </c>
      <c r="M21" s="65">
        <v>0.97</v>
      </c>
      <c r="O21" s="65"/>
      <c r="Q21" s="66" t="s">
        <v>77</v>
      </c>
      <c r="R21" s="66"/>
      <c r="T21" s="66"/>
      <c r="V21" s="66"/>
      <c r="X21" s="66"/>
      <c r="Z21" s="66"/>
    </row>
    <row r="22" spans="1:32" x14ac:dyDescent="0.2">
      <c r="A22" s="54" t="s">
        <v>78</v>
      </c>
      <c r="B22" s="54" t="s">
        <v>79</v>
      </c>
      <c r="E22" s="54">
        <v>49.51</v>
      </c>
      <c r="G22" s="54">
        <v>80.489999999999995</v>
      </c>
      <c r="I22" s="54">
        <v>88.12</v>
      </c>
      <c r="K22" s="54">
        <v>55.79</v>
      </c>
      <c r="M22" s="54">
        <v>52.92</v>
      </c>
      <c r="Q22" s="54" t="s">
        <v>80</v>
      </c>
      <c r="S22" s="72">
        <f>(ROUND((C30/(AVERAGE(C54,E54))*100),2))</f>
        <v>0</v>
      </c>
      <c r="T22" s="73" t="s">
        <v>4</v>
      </c>
      <c r="U22" s="72">
        <f>(ROUND((E30/(AVERAGE(E54,G54))*100),2))</f>
        <v>4.18</v>
      </c>
      <c r="V22" s="73" t="s">
        <v>4</v>
      </c>
      <c r="W22" s="72">
        <f>(ROUND((G30/(AVERAGE(G54,I54))*100),2))</f>
        <v>3.17</v>
      </c>
      <c r="X22" s="73" t="s">
        <v>4</v>
      </c>
      <c r="Y22" s="72">
        <f>(ROUND((I30/(AVERAGE(I54,K54))*100),2))</f>
        <v>2.73</v>
      </c>
      <c r="Z22" s="73" t="s">
        <v>4</v>
      </c>
      <c r="AA22" s="72">
        <f>(ROUND((K30/(AVERAGE(K54,M54))*100),2))</f>
        <v>3.51</v>
      </c>
      <c r="AB22" s="73" t="s">
        <v>4</v>
      </c>
      <c r="AC22" s="72">
        <f>(ROUND((M30/(AVERAGE(M54,O54))*100),2))</f>
        <v>3.79</v>
      </c>
      <c r="AD22" s="73" t="s">
        <v>4</v>
      </c>
      <c r="AE22" s="58"/>
    </row>
    <row r="23" spans="1:32" x14ac:dyDescent="0.2">
      <c r="A23" s="54" t="s">
        <v>81</v>
      </c>
      <c r="B23" s="54" t="s">
        <v>79</v>
      </c>
      <c r="E23" s="54">
        <v>41.57</v>
      </c>
      <c r="G23" s="54">
        <v>59.76</v>
      </c>
      <c r="I23" s="54">
        <v>63.36</v>
      </c>
      <c r="K23" s="54">
        <v>29.93</v>
      </c>
      <c r="M23" s="54">
        <v>40.07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  <c r="AC23" s="72"/>
      <c r="AD23" s="73"/>
    </row>
    <row r="24" spans="1:32" x14ac:dyDescent="0.2">
      <c r="C24" s="65"/>
      <c r="E24" s="65"/>
      <c r="AE24" s="194" t="s">
        <v>1</v>
      </c>
      <c r="AF24" s="194"/>
    </row>
    <row r="25" spans="1:32" x14ac:dyDescent="0.2">
      <c r="C25" s="65"/>
      <c r="E25" s="65"/>
      <c r="Q25" s="66" t="s">
        <v>83</v>
      </c>
      <c r="R25" s="66"/>
      <c r="AE25" s="194" t="s">
        <v>2</v>
      </c>
      <c r="AF25" s="194"/>
    </row>
    <row r="26" spans="1:32" x14ac:dyDescent="0.2">
      <c r="A26" s="54" t="s">
        <v>84</v>
      </c>
      <c r="B26" s="54" t="s">
        <v>79</v>
      </c>
      <c r="C26" s="64"/>
      <c r="E26" s="64">
        <v>1.55</v>
      </c>
      <c r="G26" s="147">
        <f>0.865*4</f>
        <v>3.46</v>
      </c>
      <c r="I26" s="54">
        <f>0.85*4</f>
        <v>3.4</v>
      </c>
      <c r="K26" s="54">
        <v>1.25</v>
      </c>
      <c r="M26" s="54">
        <v>1.1775</v>
      </c>
      <c r="Q26" s="54" t="s">
        <v>85</v>
      </c>
    </row>
    <row r="27" spans="1:32" x14ac:dyDescent="0.2">
      <c r="C27" s="65"/>
      <c r="E27" s="65"/>
      <c r="Q27" s="54" t="s">
        <v>86</v>
      </c>
      <c r="S27" s="72">
        <f>ROUND(((C12/C50)*100),2)</f>
        <v>65.97</v>
      </c>
      <c r="T27" s="73" t="s">
        <v>4</v>
      </c>
      <c r="U27" s="72">
        <f>ROUND(((E12/E50)*100),2)</f>
        <v>65.72</v>
      </c>
      <c r="V27" s="73" t="s">
        <v>4</v>
      </c>
      <c r="W27" s="72">
        <f>ROUND(((G12/G50)*100),2)</f>
        <v>64.92</v>
      </c>
      <c r="X27" s="73" t="s">
        <v>4</v>
      </c>
      <c r="Y27" s="72">
        <f>ROUND(((I12/I50)*100),2)</f>
        <v>62.93</v>
      </c>
      <c r="Z27" s="73" t="s">
        <v>4</v>
      </c>
      <c r="AA27" s="72">
        <f>ROUND(((K12/K50)*100),2)</f>
        <v>61.52</v>
      </c>
      <c r="AB27" s="73" t="s">
        <v>4</v>
      </c>
      <c r="AC27" s="72">
        <f>ROUND(((M12/M50)*100),2)</f>
        <v>64.02</v>
      </c>
      <c r="AD27" s="73" t="s">
        <v>4</v>
      </c>
      <c r="AE27" s="72">
        <f>ROUND(AVERAGE(U27:AD27),2)</f>
        <v>63.82</v>
      </c>
      <c r="AF27" s="73" t="s">
        <v>4</v>
      </c>
    </row>
    <row r="28" spans="1:32" x14ac:dyDescent="0.2">
      <c r="A28" s="54" t="s">
        <v>87</v>
      </c>
      <c r="B28" s="54" t="s">
        <v>87</v>
      </c>
      <c r="C28" s="64"/>
      <c r="E28" s="64">
        <f>(9.5+9.8)*1000000</f>
        <v>19300000</v>
      </c>
      <c r="G28" s="151">
        <f>(3.7+9.3)*1000000</f>
        <v>13000000</v>
      </c>
      <c r="I28" s="151">
        <f>(3.4+9.9)*1000000</f>
        <v>13300000</v>
      </c>
      <c r="K28" s="151">
        <f>(3+7)*1000000</f>
        <v>10000000</v>
      </c>
      <c r="M28" s="151">
        <f>(5+6.7)*1000000</f>
        <v>11700000</v>
      </c>
      <c r="O28" s="151"/>
      <c r="Q28" s="54" t="s">
        <v>88</v>
      </c>
      <c r="S28" s="72">
        <f>ROUND(((SUM(C13,C17)/C50)*100),2)</f>
        <v>0.15</v>
      </c>
      <c r="T28" s="73"/>
      <c r="U28" s="72">
        <f>ROUND(((SUM(E13,E17)/E50)*100),2)</f>
        <v>0.17</v>
      </c>
      <c r="V28" s="73"/>
      <c r="W28" s="72">
        <f>ROUND(((SUM(G13,G17)/G50)*100),2)</f>
        <v>0.18</v>
      </c>
      <c r="X28" s="73"/>
      <c r="Y28" s="72">
        <f>ROUND(((SUM(I13,I17)/I50)*100),2)</f>
        <v>0.2</v>
      </c>
      <c r="Z28" s="73"/>
      <c r="AA28" s="72">
        <f>ROUND(((SUM(K13,K17)/K50)*100),2)</f>
        <v>0.22</v>
      </c>
      <c r="AB28" s="73"/>
      <c r="AC28" s="72">
        <f>ROUND(((SUM(M13,M17)/M50)*100),2)</f>
        <v>0.25</v>
      </c>
      <c r="AD28" s="73"/>
      <c r="AE28" s="72">
        <f t="shared" ref="AE28:AE29" si="0">ROUND(AVERAGE(U28:AD28),2)</f>
        <v>0.2</v>
      </c>
      <c r="AF28" s="73"/>
    </row>
    <row r="29" spans="1:32" x14ac:dyDescent="0.2">
      <c r="C29" s="65"/>
      <c r="E29" s="65"/>
      <c r="Q29" s="54" t="s">
        <v>89</v>
      </c>
      <c r="S29" s="74">
        <f>ROUND(((C16/C50)*100),2)</f>
        <v>33.880000000000003</v>
      </c>
      <c r="T29" s="73"/>
      <c r="U29" s="74">
        <f>ROUND(((E16/E50)*100),2)</f>
        <v>34.11</v>
      </c>
      <c r="V29" s="73"/>
      <c r="W29" s="74">
        <f>ROUND(((G16/G50)*100),2)</f>
        <v>34.9</v>
      </c>
      <c r="X29" s="73"/>
      <c r="Y29" s="74">
        <f>ROUND(((I16/I50)*100),2)</f>
        <v>36.880000000000003</v>
      </c>
      <c r="Z29" s="73"/>
      <c r="AA29" s="74">
        <f>ROUND(((K16/K50)*100),2)</f>
        <v>38.26</v>
      </c>
      <c r="AB29" s="73"/>
      <c r="AC29" s="74">
        <f>ROUND(((M16/M50)*100),2)</f>
        <v>35.729999999999997</v>
      </c>
      <c r="AD29" s="73"/>
      <c r="AE29" s="72">
        <f t="shared" si="0"/>
        <v>35.979999999999997</v>
      </c>
      <c r="AF29" s="73"/>
    </row>
    <row r="30" spans="1:32" x14ac:dyDescent="0.2">
      <c r="A30" s="54" t="s">
        <v>90</v>
      </c>
      <c r="B30" s="54" t="s">
        <v>91</v>
      </c>
      <c r="C30" s="168"/>
      <c r="E30" s="168">
        <f>190355*1000</f>
        <v>190355000</v>
      </c>
      <c r="G30" s="151">
        <f>127908*1000</f>
        <v>127908000</v>
      </c>
      <c r="I30" s="151">
        <f>96877*1000</f>
        <v>96877000</v>
      </c>
      <c r="K30" s="151">
        <f>114392*1000</f>
        <v>114392000</v>
      </c>
      <c r="M30" s="151">
        <v>121016000</v>
      </c>
      <c r="O30" s="151"/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100.01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  <c r="AE30" s="75">
        <f>SUM(AE27:AE29)</f>
        <v>100</v>
      </c>
      <c r="AF30" s="73" t="s">
        <v>4</v>
      </c>
    </row>
    <row r="32" spans="1:32" x14ac:dyDescent="0.2">
      <c r="A32" s="54" t="s">
        <v>93</v>
      </c>
      <c r="B32" s="54" t="s">
        <v>94</v>
      </c>
      <c r="C32" s="153"/>
      <c r="E32" s="153">
        <f>106879*1000</f>
        <v>106879000</v>
      </c>
      <c r="G32" s="153">
        <f>185180*1000</f>
        <v>185180000</v>
      </c>
      <c r="I32" s="153">
        <f>1000*211847</f>
        <v>211847000</v>
      </c>
      <c r="K32" s="153">
        <f>187316*1000</f>
        <v>187316000</v>
      </c>
      <c r="M32" s="153">
        <v>92131000</v>
      </c>
      <c r="O32" s="153"/>
      <c r="Q32" s="54" t="s">
        <v>95</v>
      </c>
    </row>
    <row r="33" spans="1:32" x14ac:dyDescent="0.2">
      <c r="A33" s="76"/>
      <c r="B33" s="76"/>
      <c r="C33" s="78"/>
      <c r="D33" s="76"/>
      <c r="E33" s="78"/>
      <c r="F33" s="76"/>
      <c r="H33" s="76"/>
      <c r="J33" s="76"/>
      <c r="K33" s="76"/>
      <c r="L33" s="76"/>
      <c r="M33" s="76"/>
      <c r="N33" s="76"/>
      <c r="O33" s="76"/>
      <c r="Q33" s="54" t="s">
        <v>96</v>
      </c>
      <c r="S33" s="72">
        <f>ROUND((((C12+C19)/C56)*100),2)</f>
        <v>68.53</v>
      </c>
      <c r="T33" s="73" t="s">
        <v>4</v>
      </c>
      <c r="U33" s="72">
        <f>ROUND((((E12+E19)/E56)*100),2)</f>
        <v>66.98</v>
      </c>
      <c r="V33" s="73" t="s">
        <v>4</v>
      </c>
      <c r="W33" s="72">
        <f>ROUND((((G12+G19)/G56)*100),2)</f>
        <v>66.17</v>
      </c>
      <c r="X33" s="73" t="s">
        <v>4</v>
      </c>
      <c r="Y33" s="72">
        <f>ROUND((((I12+I19)/I56)*100),2)</f>
        <v>63.32</v>
      </c>
      <c r="Z33" s="73" t="s">
        <v>4</v>
      </c>
      <c r="AA33" s="72">
        <f>ROUND((((K12+K19)/K56)*100),2)</f>
        <v>61.75</v>
      </c>
      <c r="AB33" s="73" t="s">
        <v>4</v>
      </c>
      <c r="AC33" s="72">
        <f>ROUND((((M12+M19)/M56)*100),2)</f>
        <v>65.39</v>
      </c>
      <c r="AD33" s="73" t="s">
        <v>4</v>
      </c>
      <c r="AE33" s="72">
        <f>ROUND(AVERAGE(U33:AD33),2)</f>
        <v>64.72</v>
      </c>
      <c r="AF33" s="73" t="s">
        <v>4</v>
      </c>
    </row>
    <row r="34" spans="1:32" x14ac:dyDescent="0.2">
      <c r="A34" s="54" t="s">
        <v>97</v>
      </c>
      <c r="B34" s="54" t="s">
        <v>98</v>
      </c>
      <c r="C34" s="153"/>
      <c r="E34" s="153">
        <f>87818*1000</f>
        <v>87818000</v>
      </c>
      <c r="G34" s="153">
        <f>169530*1000</f>
        <v>169530000</v>
      </c>
      <c r="I34" s="153">
        <f>195829*1000</f>
        <v>195829000</v>
      </c>
      <c r="K34" s="153">
        <f>172775*1000</f>
        <v>172775000</v>
      </c>
      <c r="M34" s="153">
        <v>77362000</v>
      </c>
      <c r="O34" s="153"/>
      <c r="Q34" s="54" t="s">
        <v>88</v>
      </c>
      <c r="S34" s="72">
        <f>ROUND((((SUM(C13,C17))/C56)*100),2)</f>
        <v>0.14000000000000001</v>
      </c>
      <c r="T34" s="73"/>
      <c r="U34" s="72">
        <f>ROUND((((SUM(E13,E17))/E56)*100),2)</f>
        <v>0.16</v>
      </c>
      <c r="V34" s="73"/>
      <c r="W34" s="72">
        <f>ROUND((((SUM(G13,G17))/G56)*100),2)</f>
        <v>0.18</v>
      </c>
      <c r="X34" s="73"/>
      <c r="Y34" s="72">
        <f>ROUND((((SUM(I13,I17))/I56)*100),2)</f>
        <v>0.19</v>
      </c>
      <c r="Z34" s="73"/>
      <c r="AA34" s="72">
        <f>ROUND((((SUM(K13,K17))/K56)*100),2)</f>
        <v>0.21</v>
      </c>
      <c r="AB34" s="73"/>
      <c r="AC34" s="72">
        <f>ROUND((((SUM(M13,M17))/M56)*100),2)</f>
        <v>0.24</v>
      </c>
      <c r="AD34" s="73"/>
      <c r="AE34" s="72">
        <f>ROUND(AVERAGE(U34:AD34),2)</f>
        <v>0.2</v>
      </c>
      <c r="AF34" s="73"/>
    </row>
    <row r="35" spans="1:32" x14ac:dyDescent="0.2">
      <c r="C35" s="65"/>
      <c r="E35" s="65"/>
      <c r="Q35" s="54" t="s">
        <v>89</v>
      </c>
      <c r="S35" s="74">
        <f>ROUND((((C16)/C56)*100),2)</f>
        <v>31.33</v>
      </c>
      <c r="T35" s="73"/>
      <c r="U35" s="74">
        <f>ROUND((((E16)/E56)*100),2)</f>
        <v>32.86</v>
      </c>
      <c r="V35" s="73"/>
      <c r="W35" s="74">
        <f>ROUND((((G16)/G56)*100),2)</f>
        <v>33.659999999999997</v>
      </c>
      <c r="X35" s="73"/>
      <c r="Y35" s="74">
        <f>ROUND((((I16)/I56)*100),2)</f>
        <v>36.49</v>
      </c>
      <c r="Z35" s="73"/>
      <c r="AA35" s="74">
        <f>ROUND((((K16)/K56)*100),2)</f>
        <v>38.04</v>
      </c>
      <c r="AB35" s="73"/>
      <c r="AC35" s="74">
        <f>ROUND((((M16)/M56)*100),2)</f>
        <v>34.380000000000003</v>
      </c>
      <c r="AD35" s="73"/>
      <c r="AE35" s="72">
        <f t="shared" ref="AE35" si="1">ROUND(AVERAGE(U35:AD35),2)</f>
        <v>35.090000000000003</v>
      </c>
      <c r="AF35" s="73"/>
    </row>
    <row r="36" spans="1:32" x14ac:dyDescent="0.2">
      <c r="A36" s="54" t="s">
        <v>99</v>
      </c>
      <c r="B36" s="54" t="s">
        <v>100</v>
      </c>
      <c r="C36" s="151"/>
      <c r="E36" s="151">
        <v>528000</v>
      </c>
      <c r="G36" s="151">
        <v>528000</v>
      </c>
      <c r="I36" s="151">
        <v>528000</v>
      </c>
      <c r="K36" s="151">
        <v>528000</v>
      </c>
      <c r="M36" s="151">
        <v>528000</v>
      </c>
      <c r="O36" s="151"/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100.01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100.00999999999999</v>
      </c>
      <c r="AD36" s="73" t="s">
        <v>4</v>
      </c>
      <c r="AE36" s="75">
        <f>SUM(AE33:AE35)</f>
        <v>100.01</v>
      </c>
      <c r="AF36" s="73" t="s">
        <v>4</v>
      </c>
    </row>
    <row r="37" spans="1:32" x14ac:dyDescent="0.2">
      <c r="C37" s="65"/>
      <c r="E37" s="65"/>
    </row>
    <row r="38" spans="1:32" x14ac:dyDescent="0.2">
      <c r="A38" s="54" t="s">
        <v>101</v>
      </c>
      <c r="B38" s="54" t="s">
        <v>102</v>
      </c>
      <c r="C38" s="153"/>
      <c r="E38" s="153">
        <f>126705*1000</f>
        <v>126705000</v>
      </c>
      <c r="G38" s="153">
        <f>119839*1000</f>
        <v>119839000</v>
      </c>
      <c r="I38" s="153">
        <f>112972*1000</f>
        <v>112972000</v>
      </c>
      <c r="K38" s="153">
        <f>98502*1000</f>
        <v>98502000</v>
      </c>
      <c r="M38" s="153">
        <v>92926000</v>
      </c>
      <c r="O38" s="153"/>
    </row>
    <row r="39" spans="1:32" x14ac:dyDescent="0.2">
      <c r="C39" s="65"/>
      <c r="E39" s="65"/>
    </row>
    <row r="40" spans="1:32" x14ac:dyDescent="0.2">
      <c r="A40" s="54" t="s">
        <v>103</v>
      </c>
      <c r="B40" s="54" t="s">
        <v>104</v>
      </c>
      <c r="C40" s="65"/>
      <c r="E40" s="65">
        <f>106879*1000</f>
        <v>106879000</v>
      </c>
      <c r="G40" s="180">
        <f>185180*1000</f>
        <v>185180000</v>
      </c>
      <c r="H40" s="65"/>
      <c r="I40" s="180">
        <v>211847000</v>
      </c>
      <c r="K40" s="153">
        <f>K32</f>
        <v>187316000</v>
      </c>
      <c r="M40" s="153">
        <f>M32</f>
        <v>92131000</v>
      </c>
      <c r="O40" s="153"/>
      <c r="Q40" s="66" t="s">
        <v>105</v>
      </c>
      <c r="R40" s="66"/>
    </row>
    <row r="41" spans="1:32" x14ac:dyDescent="0.2">
      <c r="A41" s="54" t="s">
        <v>106</v>
      </c>
      <c r="B41" s="54" t="s">
        <v>107</v>
      </c>
      <c r="C41" s="65"/>
      <c r="E41" s="65">
        <f>551171*1000</f>
        <v>551171000</v>
      </c>
      <c r="G41" s="65">
        <f>567284*1000</f>
        <v>567284000</v>
      </c>
      <c r="H41" s="65"/>
      <c r="I41" s="65">
        <f>547873*1000</f>
        <v>547873000</v>
      </c>
      <c r="K41" s="65">
        <f>485700*1000</f>
        <v>485700000</v>
      </c>
      <c r="M41" s="65">
        <v>503163000</v>
      </c>
      <c r="O41" s="65"/>
      <c r="Q41" s="66"/>
      <c r="R41" s="66"/>
    </row>
    <row r="42" spans="1:32" x14ac:dyDescent="0.2">
      <c r="A42" s="54" t="s">
        <v>108</v>
      </c>
      <c r="B42" s="54" t="s">
        <v>109</v>
      </c>
      <c r="C42" s="65"/>
      <c r="E42" s="65">
        <f>(53229-31301-52225-25820-33536+17526+125580+4963)*1000</f>
        <v>58416000</v>
      </c>
      <c r="G42" s="65">
        <f>(-73099-8528+17159+5002+47568+9205-28516-27935)*1000</f>
        <v>-59144000</v>
      </c>
      <c r="H42" s="65"/>
      <c r="I42" s="65">
        <f>(-25924+1356+1838+31135+10640+2692+6894-29592)*1000</f>
        <v>-961000</v>
      </c>
      <c r="K42" s="65">
        <f>(-42035+11512-8135+29923+7403-9347+23740-29633)*1000</f>
        <v>-16572000</v>
      </c>
      <c r="M42" s="65">
        <f>(3796-6095+1872+42803-272+14691-7212-35071)*1000</f>
        <v>14512000</v>
      </c>
      <c r="O42" s="65"/>
      <c r="Q42" s="66" t="s">
        <v>110</v>
      </c>
      <c r="R42" s="66"/>
      <c r="S42" s="66"/>
      <c r="T42" s="66"/>
      <c r="U42" s="66"/>
      <c r="V42" s="66"/>
      <c r="W42" s="66"/>
      <c r="X42" s="66"/>
    </row>
    <row r="43" spans="1:32" x14ac:dyDescent="0.2">
      <c r="A43" s="54" t="s">
        <v>111</v>
      </c>
      <c r="B43" s="54" t="s">
        <v>112</v>
      </c>
      <c r="C43" s="65"/>
      <c r="E43" s="65">
        <f>353692*1000</f>
        <v>353692000</v>
      </c>
      <c r="G43" s="65">
        <f>341123*1000</f>
        <v>341123000</v>
      </c>
      <c r="H43" s="65"/>
      <c r="I43" s="65">
        <f>320210*1000</f>
        <v>320210000</v>
      </c>
      <c r="K43" s="65">
        <f>275612*1000</f>
        <v>275612000</v>
      </c>
      <c r="M43" s="65">
        <v>267808000</v>
      </c>
      <c r="O43" s="65"/>
      <c r="Q43" s="54" t="s">
        <v>113</v>
      </c>
      <c r="S43" s="72"/>
      <c r="T43" s="73"/>
      <c r="U43" s="72">
        <f>ROUND(E21/E52,4)*100</f>
        <v>2.2399999999999998</v>
      </c>
      <c r="V43" s="73" t="s">
        <v>4</v>
      </c>
      <c r="W43" s="72">
        <f>ROUND(G21/G52,4)*100</f>
        <v>2.81</v>
      </c>
      <c r="X43" s="73" t="s">
        <v>4</v>
      </c>
      <c r="Y43" s="72">
        <f>ROUND(I21/I52,4)*100</f>
        <v>3</v>
      </c>
      <c r="Z43" s="73" t="s">
        <v>4</v>
      </c>
      <c r="AA43" s="72">
        <f>ROUND(K21/K52,4)*100</f>
        <v>5.0200000000000005</v>
      </c>
      <c r="AB43" s="73" t="s">
        <v>4</v>
      </c>
      <c r="AC43" s="72">
        <f>ROUND(M21/M52,4)*100</f>
        <v>2.09</v>
      </c>
      <c r="AD43" s="73" t="s">
        <v>4</v>
      </c>
      <c r="AE43" s="72">
        <f>ROUND(AVERAGE(U43:AD43),2)</f>
        <v>3.03</v>
      </c>
      <c r="AF43" s="73" t="s">
        <v>4</v>
      </c>
    </row>
    <row r="44" spans="1:32" x14ac:dyDescent="0.2">
      <c r="A44" s="54" t="s">
        <v>114</v>
      </c>
      <c r="B44" s="54" t="s">
        <v>115</v>
      </c>
      <c r="C44" s="180"/>
      <c r="E44" s="180">
        <f>-16350*1000</f>
        <v>-16350000</v>
      </c>
      <c r="G44" s="65">
        <f>26130*1000</f>
        <v>26130000</v>
      </c>
      <c r="H44" s="65"/>
      <c r="I44" s="65">
        <f>32582*1000</f>
        <v>32582000</v>
      </c>
      <c r="K44" s="151">
        <f>20636*1000</f>
        <v>20636000</v>
      </c>
      <c r="M44" s="151">
        <v>-25282000</v>
      </c>
      <c r="O44" s="151"/>
      <c r="Q44" s="54" t="s">
        <v>116</v>
      </c>
      <c r="S44" s="72"/>
      <c r="U44" s="72">
        <f>(ROUND((E52/(AVERAGE(E48,G48))*100),2))</f>
        <v>176.58</v>
      </c>
      <c r="W44" s="72">
        <f>(ROUND((G52/(AVERAGE(G48,I48))*100),2))</f>
        <v>276.14</v>
      </c>
      <c r="Y44" s="72">
        <f>(ROUND((I52/(AVERAGE(I48,K48))*100),2))</f>
        <v>308.33</v>
      </c>
      <c r="AA44" s="72">
        <f>(ROUND((K52/(AVERAGE(K48,M48))*100),2))</f>
        <v>190.69</v>
      </c>
      <c r="AC44" s="72">
        <f>(ROUND((M52/(AVERAGE(M48,O48))*100),2))</f>
        <v>220.62</v>
      </c>
      <c r="AE44" s="72">
        <f t="shared" ref="AE44:AE45" si="2">ROUND(AVERAGE(U44:AD44),2)</f>
        <v>234.47</v>
      </c>
    </row>
    <row r="45" spans="1:32" x14ac:dyDescent="0.2">
      <c r="C45" s="65"/>
      <c r="E45" s="65"/>
      <c r="Q45" s="54" t="s">
        <v>117</v>
      </c>
      <c r="S45" s="72"/>
      <c r="U45" s="72">
        <f>ROUND(((+E26/E52)*100),2)</f>
        <v>3.4</v>
      </c>
      <c r="W45" s="72">
        <f>ROUND(((+G26/G52)*100),2)</f>
        <v>4.93</v>
      </c>
      <c r="Y45" s="72">
        <f>ROUND(((+I26/I52)*100),2)</f>
        <v>4.49</v>
      </c>
      <c r="AA45" s="72">
        <f>ROUND(((+K26/K52)*100),2)</f>
        <v>2.92</v>
      </c>
      <c r="AC45" s="72">
        <f>ROUND(((+M26/M52)*100),2)</f>
        <v>2.5299999999999998</v>
      </c>
      <c r="AE45" s="72">
        <f t="shared" si="2"/>
        <v>3.65</v>
      </c>
    </row>
    <row r="46" spans="1:32" x14ac:dyDescent="0.2">
      <c r="A46" s="54" t="s">
        <v>118</v>
      </c>
      <c r="C46" s="65"/>
      <c r="E46" s="65"/>
      <c r="Q46" s="54" t="s">
        <v>119</v>
      </c>
      <c r="S46" s="72"/>
      <c r="U46" s="72">
        <f>ROUND(((+E38/E34)*100),2)</f>
        <v>144.28</v>
      </c>
      <c r="W46" s="72">
        <f>ROUND(((+G38/G34)*100),2)</f>
        <v>70.69</v>
      </c>
      <c r="Y46" s="72">
        <f>ROUND(((+I38/I34)*100),2)</f>
        <v>57.69</v>
      </c>
      <c r="AA46" s="72">
        <f>ROUND(((+K38/K34)*100),2)</f>
        <v>57.01</v>
      </c>
      <c r="AC46" s="72">
        <f>ROUND(((+M38/M34)*100),2)</f>
        <v>120.12</v>
      </c>
      <c r="AE46" s="72">
        <f>ROUND(AVERAGE(U46:AD46),2)</f>
        <v>89.96</v>
      </c>
    </row>
    <row r="47" spans="1:32" x14ac:dyDescent="0.2">
      <c r="C47" s="65"/>
      <c r="E47" s="65"/>
      <c r="S47" s="72"/>
      <c r="U47" s="72"/>
      <c r="W47" s="72"/>
      <c r="Y47" s="72"/>
      <c r="AA47" s="72"/>
      <c r="AC47" s="72"/>
      <c r="AE47" s="72"/>
    </row>
    <row r="48" spans="1:32" x14ac:dyDescent="0.2">
      <c r="A48" s="54" t="s">
        <v>120</v>
      </c>
      <c r="B48" s="54" t="s">
        <v>121</v>
      </c>
      <c r="C48" s="65">
        <f>C16/C15</f>
        <v>27.373226885342962</v>
      </c>
      <c r="E48" s="65">
        <f>E16/E15</f>
        <v>26.043048774603886</v>
      </c>
      <c r="G48" s="65">
        <f>G16/G15</f>
        <v>25.536613474844735</v>
      </c>
      <c r="I48" s="65">
        <f>I16/I15</f>
        <v>25.25225353042401</v>
      </c>
      <c r="K48" s="65">
        <f>K16/K15</f>
        <v>23.876833558350654</v>
      </c>
      <c r="L48" s="65"/>
      <c r="M48" s="65">
        <f>M16/M15</f>
        <v>21.074973311948746</v>
      </c>
      <c r="N48" s="65"/>
      <c r="O48" s="65"/>
      <c r="Q48" s="66" t="s">
        <v>122</v>
      </c>
      <c r="R48" s="66"/>
      <c r="S48" s="72"/>
      <c r="U48" s="72">
        <f>ROUND(((E34/AVERAGE(E16,G16))*100),2)</f>
        <v>3.87</v>
      </c>
      <c r="V48" s="54" t="s">
        <v>4</v>
      </c>
      <c r="W48" s="72">
        <f>ROUND(((G34/AVERAGE(G16,I16))*100),2)</f>
        <v>7.78</v>
      </c>
      <c r="X48" s="54" t="s">
        <v>4</v>
      </c>
      <c r="Y48" s="72">
        <f>ROUND(((I34/AVERAGE(I16,K16))*100),2)</f>
        <v>9.2899999999999991</v>
      </c>
      <c r="Z48" s="54" t="s">
        <v>4</v>
      </c>
      <c r="AA48" s="72">
        <f>ROUND(((K34/AVERAGE(K16,M16))*100),2)</f>
        <v>9.27</v>
      </c>
      <c r="AB48" s="54" t="s">
        <v>4</v>
      </c>
      <c r="AC48" s="72">
        <f>ROUND(((M34/AVERAGE(M16,O16))*100),2)</f>
        <v>4.6100000000000003</v>
      </c>
      <c r="AD48" s="54" t="s">
        <v>4</v>
      </c>
      <c r="AE48" s="72">
        <f>ROUND(AVERAGE(U48:AD48),2)</f>
        <v>6.96</v>
      </c>
      <c r="AF48" s="54" t="s">
        <v>4</v>
      </c>
    </row>
    <row r="49" spans="1:32" x14ac:dyDescent="0.2">
      <c r="C49" s="65"/>
      <c r="E49" s="65"/>
      <c r="G49" s="65"/>
      <c r="I49" s="65"/>
      <c r="K49" s="65"/>
      <c r="L49" s="65"/>
      <c r="M49" s="65"/>
      <c r="N49" s="65"/>
      <c r="O49" s="65"/>
      <c r="S49" s="72"/>
      <c r="U49" s="72"/>
      <c r="W49" s="72"/>
      <c r="Y49" s="72"/>
      <c r="AA49" s="72"/>
      <c r="AC49" s="72"/>
      <c r="AE49" s="73"/>
    </row>
    <row r="50" spans="1:32" x14ac:dyDescent="0.2">
      <c r="A50" s="54" t="s">
        <v>123</v>
      </c>
      <c r="B50" s="54" t="s">
        <v>121</v>
      </c>
      <c r="C50" s="65">
        <f>SUM(C12:C13,C16:C17)</f>
        <v>7487128000</v>
      </c>
      <c r="E50" s="65">
        <f>SUM(E12:E13,E16:E17)</f>
        <v>6886365000</v>
      </c>
      <c r="G50" s="65">
        <f>SUM(G12:G13,G16:G17)</f>
        <v>6280848000</v>
      </c>
      <c r="I50" s="65">
        <f>SUM(I12:I13,I16:I17)</f>
        <v>5877972000</v>
      </c>
      <c r="K50" s="65">
        <f>SUM(K12:K13,K16:K17)</f>
        <v>5356144000</v>
      </c>
      <c r="L50" s="65"/>
      <c r="M50" s="65">
        <f>SUM(M12:M13,M16:M17)</f>
        <v>4697944000</v>
      </c>
      <c r="N50" s="65"/>
      <c r="O50" s="65"/>
      <c r="Q50" s="66" t="s">
        <v>124</v>
      </c>
      <c r="R50" s="66"/>
      <c r="S50" s="72"/>
      <c r="T50" s="73"/>
      <c r="U50" s="72">
        <f>ROUND((E54/E62),2)</f>
        <v>7.78</v>
      </c>
      <c r="V50" s="73" t="s">
        <v>125</v>
      </c>
      <c r="W50" s="72">
        <f>ROUND((G54/G62),2)</f>
        <v>6.48</v>
      </c>
      <c r="X50" s="73" t="s">
        <v>125</v>
      </c>
      <c r="Y50" s="72">
        <f>ROUND((I54/I62),2)</f>
        <v>5.83</v>
      </c>
      <c r="Z50" s="73" t="s">
        <v>125</v>
      </c>
      <c r="AA50" s="72">
        <f>ROUND((K54/K62),2)</f>
        <v>5.7</v>
      </c>
      <c r="AB50" s="73" t="s">
        <v>125</v>
      </c>
      <c r="AC50" s="72">
        <f>ROUND((M54/M62),2)</f>
        <v>7.24</v>
      </c>
      <c r="AD50" s="73" t="s">
        <v>125</v>
      </c>
      <c r="AE50" s="72">
        <f>ROUND(AVERAGE(U50:AD50),2)</f>
        <v>6.61</v>
      </c>
      <c r="AF50" s="54" t="s">
        <v>125</v>
      </c>
    </row>
    <row r="51" spans="1:32" x14ac:dyDescent="0.2">
      <c r="C51" s="65"/>
      <c r="E51" s="65"/>
      <c r="G51" s="65"/>
      <c r="I51" s="65"/>
      <c r="K51" s="65"/>
      <c r="L51" s="65"/>
      <c r="M51" s="65"/>
      <c r="N51" s="65"/>
      <c r="O51" s="65"/>
      <c r="Q51" s="66"/>
      <c r="R51" s="66"/>
      <c r="S51" s="72"/>
      <c r="U51" s="72"/>
      <c r="W51" s="72"/>
      <c r="Y51" s="72"/>
      <c r="AA51" s="72"/>
      <c r="AC51" s="72"/>
      <c r="AE51" s="72"/>
    </row>
    <row r="52" spans="1:32" x14ac:dyDescent="0.2">
      <c r="A52" s="54" t="s">
        <v>126</v>
      </c>
      <c r="B52" s="54" t="s">
        <v>121</v>
      </c>
      <c r="C52" s="65"/>
      <c r="E52" s="65">
        <f>AVERAGE(E22:E23)</f>
        <v>45.54</v>
      </c>
      <c r="G52" s="65">
        <f>AVERAGE(G22:G23)</f>
        <v>70.125</v>
      </c>
      <c r="I52" s="65">
        <f>AVERAGE(I22:I23)</f>
        <v>75.740000000000009</v>
      </c>
      <c r="K52" s="65">
        <f>AVERAGE(K22:K23)</f>
        <v>42.86</v>
      </c>
      <c r="L52" s="65"/>
      <c r="M52" s="65">
        <f>AVERAGE(M22:M23)</f>
        <v>46.495000000000005</v>
      </c>
      <c r="N52" s="65"/>
      <c r="O52" s="65"/>
      <c r="Q52" s="66" t="s">
        <v>127</v>
      </c>
      <c r="R52" s="66"/>
      <c r="S52" s="72"/>
      <c r="T52" s="73"/>
      <c r="U52" s="72">
        <f>ROUND(((E60/E54)*100),2)</f>
        <v>12.33</v>
      </c>
      <c r="V52" s="73" t="s">
        <v>4</v>
      </c>
      <c r="W52" s="72">
        <f>ROUND(((G60/G54)*100),2)</f>
        <v>11.49</v>
      </c>
      <c r="X52" s="73" t="s">
        <v>4</v>
      </c>
      <c r="Y52" s="72">
        <f>ROUND(((I60/I54)*100),2)</f>
        <v>14.19</v>
      </c>
      <c r="Z52" s="73" t="s">
        <v>4</v>
      </c>
      <c r="AA52" s="72">
        <f>ROUND(((K60/K54)*100),2)</f>
        <v>13.8</v>
      </c>
      <c r="AB52" s="73" t="s">
        <v>4</v>
      </c>
      <c r="AC52" s="72">
        <f>ROUND(((M60/M54)*100),2)</f>
        <v>15.85</v>
      </c>
      <c r="AD52" s="73" t="s">
        <v>4</v>
      </c>
      <c r="AE52" s="72">
        <f>ROUND(AVERAGE(U52:AD52),2)</f>
        <v>13.53</v>
      </c>
      <c r="AF52" s="54" t="s">
        <v>4</v>
      </c>
    </row>
    <row r="53" spans="1:32" x14ac:dyDescent="0.2">
      <c r="C53" s="65"/>
      <c r="E53" s="65"/>
      <c r="G53" s="65"/>
      <c r="I53" s="65"/>
      <c r="K53" s="65"/>
      <c r="L53" s="65"/>
      <c r="M53" s="65"/>
      <c r="N53" s="65"/>
      <c r="O53" s="65"/>
      <c r="Q53" s="79"/>
      <c r="R53" s="79"/>
      <c r="S53" s="72"/>
      <c r="U53" s="72"/>
      <c r="W53" s="72"/>
      <c r="Y53" s="72"/>
      <c r="AA53" s="72"/>
      <c r="AC53" s="72"/>
    </row>
    <row r="54" spans="1:32" x14ac:dyDescent="0.2">
      <c r="A54" s="54" t="s">
        <v>13</v>
      </c>
      <c r="C54" s="65">
        <f>+C19+C12</f>
        <v>5548514000</v>
      </c>
      <c r="E54" s="65">
        <f>+E19+E12</f>
        <v>4787643000</v>
      </c>
      <c r="G54" s="65">
        <f>+G19+G12</f>
        <v>4309387000</v>
      </c>
      <c r="I54" s="65">
        <f>+I19+I12</f>
        <v>3761619000</v>
      </c>
      <c r="K54" s="65">
        <f>+K19+K12</f>
        <v>3327150000</v>
      </c>
      <c r="L54" s="81"/>
      <c r="M54" s="65">
        <f>+M19+M12</f>
        <v>3192817000</v>
      </c>
      <c r="N54" s="81"/>
      <c r="O54" s="65"/>
      <c r="Q54" s="79" t="s">
        <v>128</v>
      </c>
      <c r="R54" s="79"/>
      <c r="S54" s="72">
        <f>S33</f>
        <v>68.53</v>
      </c>
      <c r="T54" s="73" t="s">
        <v>4</v>
      </c>
      <c r="U54" s="72">
        <f>U33</f>
        <v>66.98</v>
      </c>
      <c r="V54" s="73" t="s">
        <v>4</v>
      </c>
      <c r="W54" s="72">
        <f>W33</f>
        <v>66.17</v>
      </c>
      <c r="X54" s="73" t="s">
        <v>4</v>
      </c>
      <c r="Y54" s="72">
        <f>Y33</f>
        <v>63.32</v>
      </c>
      <c r="Z54" s="73" t="s">
        <v>4</v>
      </c>
      <c r="AA54" s="72">
        <f>AA33</f>
        <v>61.75</v>
      </c>
      <c r="AB54" s="73" t="s">
        <v>4</v>
      </c>
      <c r="AC54" s="72">
        <f>AC33</f>
        <v>65.39</v>
      </c>
      <c r="AD54" s="73" t="s">
        <v>4</v>
      </c>
      <c r="AE54" s="72">
        <f>ROUND(AVERAGE(U54:AD54),2)</f>
        <v>64.72</v>
      </c>
      <c r="AF54" s="73" t="s">
        <v>4</v>
      </c>
    </row>
    <row r="55" spans="1:32" x14ac:dyDescent="0.2">
      <c r="C55" s="65"/>
      <c r="E55" s="65"/>
      <c r="G55" s="65"/>
      <c r="I55" s="65"/>
      <c r="K55" s="65"/>
      <c r="L55" s="65"/>
      <c r="M55" s="65"/>
      <c r="N55" s="65"/>
      <c r="O55" s="65"/>
    </row>
    <row r="56" spans="1:32" x14ac:dyDescent="0.2">
      <c r="A56" s="54" t="s">
        <v>14</v>
      </c>
      <c r="B56" s="54" t="s">
        <v>121</v>
      </c>
      <c r="C56" s="65">
        <f>SUM(C50,C19)</f>
        <v>8096428000</v>
      </c>
      <c r="E56" s="65">
        <f>SUM(E50,E19)</f>
        <v>7148265000</v>
      </c>
      <c r="G56" s="65">
        <f>SUM(G50,G19)</f>
        <v>6512848000</v>
      </c>
      <c r="I56" s="65">
        <f>SUM(I50,I19)</f>
        <v>5940672000</v>
      </c>
      <c r="K56" s="65">
        <f>SUM(K50,K19)</f>
        <v>5388144000</v>
      </c>
      <c r="L56" s="65"/>
      <c r="M56" s="65">
        <f>SUM(M50,M19)</f>
        <v>4883044000</v>
      </c>
      <c r="N56" s="65"/>
      <c r="O56" s="65"/>
    </row>
    <row r="57" spans="1:32" x14ac:dyDescent="0.2">
      <c r="C57" s="65"/>
      <c r="E57" s="65"/>
      <c r="G57" s="65"/>
      <c r="I57" s="65"/>
      <c r="K57" s="65"/>
      <c r="L57" s="65"/>
      <c r="M57" s="65"/>
      <c r="N57" s="65"/>
      <c r="O57" s="65"/>
    </row>
    <row r="58" spans="1:32" x14ac:dyDescent="0.2">
      <c r="A58" s="54" t="s">
        <v>129</v>
      </c>
      <c r="B58" s="54" t="s">
        <v>121</v>
      </c>
      <c r="C58" s="65">
        <f>SUM(C13,C17)</f>
        <v>11529000</v>
      </c>
      <c r="E58" s="65">
        <f>SUM(E13,E17)</f>
        <v>11529000</v>
      </c>
      <c r="G58" s="65">
        <f>SUM(G13,G17)</f>
        <v>11529000</v>
      </c>
      <c r="I58" s="65">
        <f>SUM(I13,I17)</f>
        <v>11529000</v>
      </c>
      <c r="K58" s="65">
        <f>SUM(K13,K17)</f>
        <v>11529000</v>
      </c>
      <c r="L58" s="65"/>
      <c r="M58" s="65">
        <f>SUM(M13,M17)</f>
        <v>11529000</v>
      </c>
      <c r="N58" s="65"/>
      <c r="O58" s="65"/>
    </row>
    <row r="59" spans="1:32" x14ac:dyDescent="0.2">
      <c r="C59" s="65"/>
      <c r="E59" s="65"/>
      <c r="G59" s="65"/>
      <c r="I59" s="65"/>
      <c r="K59" s="65"/>
      <c r="L59" s="65"/>
      <c r="M59" s="65"/>
      <c r="N59" s="65"/>
      <c r="O59" s="65"/>
    </row>
    <row r="60" spans="1:32" x14ac:dyDescent="0.2">
      <c r="A60" s="82" t="s">
        <v>130</v>
      </c>
      <c r="B60" s="54" t="s">
        <v>121</v>
      </c>
      <c r="C60" s="65"/>
      <c r="E60" s="65">
        <f>ROUND(E41+E42-E28,3)</f>
        <v>590287000</v>
      </c>
      <c r="G60" s="65">
        <f>ROUND(G41+G42-G28,3)</f>
        <v>495140000</v>
      </c>
      <c r="I60" s="65">
        <f>ROUND(I41+I42-I28,3)</f>
        <v>533612000</v>
      </c>
      <c r="K60" s="65">
        <f>ROUND(K41+K42-K28,3)</f>
        <v>459128000</v>
      </c>
      <c r="L60" s="65"/>
      <c r="M60" s="65">
        <f>ROUND(M41+M42-M28,3)</f>
        <v>505975000</v>
      </c>
      <c r="N60" s="65"/>
      <c r="O60" s="65"/>
    </row>
    <row r="61" spans="1:32" x14ac:dyDescent="0.2">
      <c r="A61" s="82"/>
    </row>
    <row r="62" spans="1:32" x14ac:dyDescent="0.2">
      <c r="A62" s="54" t="s">
        <v>131</v>
      </c>
      <c r="B62" s="54" t="s">
        <v>121</v>
      </c>
      <c r="C62" s="65"/>
      <c r="E62" s="65">
        <f>E44+E43+E34+E30</f>
        <v>615515000</v>
      </c>
      <c r="G62" s="65">
        <f>G44+G43+G34+G30</f>
        <v>664691000</v>
      </c>
      <c r="I62" s="65">
        <f>I44+I43+I34+I30</f>
        <v>645498000</v>
      </c>
      <c r="K62" s="65">
        <f>K44+K43+K34+K30</f>
        <v>583415000</v>
      </c>
      <c r="M62" s="65">
        <f>M44+M43+M34+M30</f>
        <v>440904000</v>
      </c>
      <c r="O62" s="65"/>
    </row>
    <row r="63" spans="1:32" x14ac:dyDescent="0.2">
      <c r="O63" s="83"/>
    </row>
    <row r="64" spans="1:32" x14ac:dyDescent="0.2">
      <c r="G64" s="167"/>
      <c r="I64" s="167"/>
      <c r="K64" s="167"/>
      <c r="M64" s="167"/>
      <c r="O64" s="83"/>
    </row>
    <row r="71" spans="15:15" x14ac:dyDescent="0.2">
      <c r="O71" s="83"/>
    </row>
    <row r="81" spans="15:225" x14ac:dyDescent="0.2">
      <c r="HM81" s="84"/>
      <c r="HN81" s="84"/>
      <c r="HQ81" s="54" t="s">
        <v>132</v>
      </c>
    </row>
    <row r="94" spans="15:225" x14ac:dyDescent="0.2">
      <c r="O94" s="83"/>
    </row>
    <row r="95" spans="15:225" x14ac:dyDescent="0.2">
      <c r="O95" s="83"/>
    </row>
    <row r="96" spans="15:225" x14ac:dyDescent="0.2">
      <c r="O96" s="83"/>
    </row>
    <row r="97" spans="15:15" x14ac:dyDescent="0.2">
      <c r="O97" s="83"/>
    </row>
    <row r="98" spans="15:15" x14ac:dyDescent="0.2">
      <c r="O98" s="83"/>
    </row>
    <row r="99" spans="15:15" x14ac:dyDescent="0.2">
      <c r="O99" s="83"/>
    </row>
    <row r="100" spans="15:15" x14ac:dyDescent="0.2">
      <c r="O100" s="83"/>
    </row>
    <row r="101" spans="15:15" x14ac:dyDescent="0.2">
      <c r="O101" s="83"/>
    </row>
    <row r="102" spans="15:15" x14ac:dyDescent="0.2">
      <c r="O102" s="83"/>
    </row>
    <row r="103" spans="15:15" x14ac:dyDescent="0.2">
      <c r="O103" s="83"/>
    </row>
    <row r="104" spans="15:15" x14ac:dyDescent="0.2">
      <c r="O104" s="83"/>
    </row>
    <row r="105" spans="15:15" x14ac:dyDescent="0.2">
      <c r="O105" s="83"/>
    </row>
    <row r="106" spans="15:15" x14ac:dyDescent="0.2">
      <c r="O106" s="83"/>
    </row>
    <row r="107" spans="15:15" x14ac:dyDescent="0.2">
      <c r="O107" s="83"/>
    </row>
    <row r="108" spans="15:15" x14ac:dyDescent="0.2">
      <c r="O108" s="83"/>
    </row>
    <row r="109" spans="15:15" x14ac:dyDescent="0.2">
      <c r="O109" s="83"/>
    </row>
    <row r="110" spans="15:15" x14ac:dyDescent="0.2">
      <c r="O110" s="83"/>
    </row>
    <row r="111" spans="15:15" x14ac:dyDescent="0.2">
      <c r="O111" s="83"/>
    </row>
    <row r="112" spans="15:15" x14ac:dyDescent="0.2">
      <c r="O112" s="83"/>
    </row>
    <row r="113" spans="15:15" x14ac:dyDescent="0.2">
      <c r="O113" s="83"/>
    </row>
    <row r="114" spans="15:15" x14ac:dyDescent="0.2">
      <c r="O114" s="83"/>
    </row>
    <row r="115" spans="15:15" x14ac:dyDescent="0.2">
      <c r="O115" s="83"/>
    </row>
    <row r="116" spans="15:15" x14ac:dyDescent="0.2">
      <c r="O116" s="83"/>
    </row>
    <row r="117" spans="15:15" x14ac:dyDescent="0.2">
      <c r="O117" s="83"/>
    </row>
    <row r="118" spans="15:15" x14ac:dyDescent="0.2">
      <c r="O118" s="83"/>
    </row>
    <row r="119" spans="15:15" x14ac:dyDescent="0.2">
      <c r="O119" s="83"/>
    </row>
    <row r="120" spans="15:15" x14ac:dyDescent="0.2">
      <c r="O120" s="83"/>
    </row>
    <row r="121" spans="15:15" x14ac:dyDescent="0.2">
      <c r="O121" s="83"/>
    </row>
    <row r="122" spans="15:15" x14ac:dyDescent="0.2">
      <c r="O122" s="83"/>
    </row>
    <row r="123" spans="15:15" x14ac:dyDescent="0.2">
      <c r="O123" s="83"/>
    </row>
    <row r="124" spans="15:15" x14ac:dyDescent="0.2">
      <c r="O124" s="83"/>
    </row>
    <row r="125" spans="15:15" x14ac:dyDescent="0.2">
      <c r="O125" s="83"/>
    </row>
    <row r="126" spans="15:15" x14ac:dyDescent="0.2">
      <c r="O126" s="83"/>
    </row>
    <row r="127" spans="15:15" x14ac:dyDescent="0.2">
      <c r="O127" s="83"/>
    </row>
    <row r="128" spans="15:15" x14ac:dyDescent="0.2">
      <c r="O128" s="83"/>
    </row>
    <row r="129" spans="15:15" x14ac:dyDescent="0.2">
      <c r="O129" s="83"/>
    </row>
    <row r="130" spans="15:15" x14ac:dyDescent="0.2">
      <c r="O130" s="83"/>
    </row>
    <row r="131" spans="15:15" x14ac:dyDescent="0.2">
      <c r="O131" s="83"/>
    </row>
    <row r="132" spans="15:15" x14ac:dyDescent="0.2">
      <c r="O132" s="83"/>
    </row>
    <row r="133" spans="15:15" x14ac:dyDescent="0.2">
      <c r="O133" s="83"/>
    </row>
    <row r="134" spans="15:15" x14ac:dyDescent="0.2">
      <c r="O134" s="83"/>
    </row>
    <row r="135" spans="15:15" x14ac:dyDescent="0.2">
      <c r="O135" s="83"/>
    </row>
    <row r="136" spans="15:15" x14ac:dyDescent="0.2">
      <c r="O136" s="83"/>
    </row>
    <row r="137" spans="15:15" x14ac:dyDescent="0.2">
      <c r="O137" s="83"/>
    </row>
    <row r="138" spans="15:15" x14ac:dyDescent="0.2">
      <c r="O138" s="83"/>
    </row>
    <row r="139" spans="15:15" x14ac:dyDescent="0.2">
      <c r="O139" s="83"/>
    </row>
    <row r="140" spans="15:15" x14ac:dyDescent="0.2">
      <c r="O140" s="83"/>
    </row>
    <row r="141" spans="15:15" x14ac:dyDescent="0.2">
      <c r="O141" s="83"/>
    </row>
    <row r="142" spans="15:15" x14ac:dyDescent="0.2">
      <c r="O142" s="83"/>
    </row>
    <row r="143" spans="15:15" x14ac:dyDescent="0.2">
      <c r="O143" s="83"/>
    </row>
    <row r="144" spans="15:15" x14ac:dyDescent="0.2">
      <c r="O144" s="83"/>
    </row>
    <row r="145" spans="15:15" x14ac:dyDescent="0.2">
      <c r="O145" s="83"/>
    </row>
    <row r="146" spans="15:15" x14ac:dyDescent="0.2">
      <c r="O146" s="83"/>
    </row>
    <row r="147" spans="15:15" x14ac:dyDescent="0.2">
      <c r="O147" s="83"/>
    </row>
    <row r="148" spans="15:15" x14ac:dyDescent="0.2">
      <c r="O148" s="83"/>
    </row>
    <row r="149" spans="15:15" x14ac:dyDescent="0.2">
      <c r="O149" s="83"/>
    </row>
    <row r="150" spans="15:15" x14ac:dyDescent="0.2">
      <c r="O150" s="83"/>
    </row>
    <row r="151" spans="15:15" x14ac:dyDescent="0.2">
      <c r="O151" s="83"/>
    </row>
    <row r="152" spans="15:15" x14ac:dyDescent="0.2">
      <c r="O152" s="83"/>
    </row>
    <row r="153" spans="15:15" x14ac:dyDescent="0.2">
      <c r="O153" s="83"/>
    </row>
    <row r="154" spans="15:15" x14ac:dyDescent="0.2">
      <c r="O154" s="83"/>
    </row>
  </sheetData>
  <mergeCells count="6">
    <mergeCell ref="AE25:AF25"/>
    <mergeCell ref="I6:O6"/>
    <mergeCell ref="I7:O7"/>
    <mergeCell ref="I8:O8"/>
    <mergeCell ref="Y13:AD13"/>
    <mergeCell ref="AE24:AF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8C23-5CC0-40CD-B6D5-8550A42BA027}">
  <sheetPr>
    <pageSetUpPr fitToPage="1"/>
  </sheetPr>
  <dimension ref="A1:HO81"/>
  <sheetViews>
    <sheetView view="pageBreakPreview" zoomScale="60" zoomScaleNormal="80" workbookViewId="0"/>
  </sheetViews>
  <sheetFormatPr defaultColWidth="8.7109375" defaultRowHeight="12.75" x14ac:dyDescent="0.2"/>
  <cols>
    <col min="1" max="1" width="33.7109375" style="54" bestFit="1" customWidth="1"/>
    <col min="2" max="2" width="14.42578125" style="54" bestFit="1" customWidth="1"/>
    <col min="3" max="3" width="18" style="54" customWidth="1"/>
    <col min="4" max="4" width="2.42578125" style="54" customWidth="1"/>
    <col min="5" max="5" width="18" style="54" customWidth="1"/>
    <col min="6" max="6" width="2.42578125" style="54" customWidth="1"/>
    <col min="7" max="7" width="17.7109375" style="54" customWidth="1"/>
    <col min="8" max="8" width="2.42578125" style="54" customWidth="1"/>
    <col min="9" max="9" width="18.140625" style="54" customWidth="1"/>
    <col min="10" max="10" width="3.5703125" style="54" customWidth="1"/>
    <col min="11" max="11" width="18.140625" style="54" customWidth="1"/>
    <col min="12" max="12" width="3.5703125" style="54" customWidth="1"/>
    <col min="13" max="13" width="17.5703125" style="54" customWidth="1"/>
    <col min="14" max="16" width="3" style="54" customWidth="1"/>
    <col min="17" max="17" width="50.42578125" style="54" bestFit="1" customWidth="1"/>
    <col min="18" max="18" width="3" style="54" customWidth="1"/>
    <col min="19" max="19" width="15.7109375" style="54" customWidth="1"/>
    <col min="20" max="20" width="2.85546875" style="54" customWidth="1"/>
    <col min="21" max="21" width="15.7109375" style="54" customWidth="1"/>
    <col min="22" max="22" width="2.85546875" style="54" customWidth="1"/>
    <col min="23" max="23" width="13.140625" style="54" customWidth="1"/>
    <col min="24" max="24" width="3.42578125" style="54" customWidth="1"/>
    <col min="25" max="25" width="11.140625" style="54" bestFit="1" customWidth="1"/>
    <col min="26" max="26" width="2.42578125" style="54" bestFit="1" customWidth="1"/>
    <col min="27" max="27" width="11.140625" style="54" bestFit="1" customWidth="1"/>
    <col min="28" max="28" width="2.42578125" style="54" customWidth="1"/>
    <col min="29" max="29" width="10" style="54" customWidth="1"/>
    <col min="30" max="30" width="2.42578125" style="54" customWidth="1"/>
    <col min="31" max="31" width="8.7109375" style="54"/>
    <col min="32" max="32" width="4" style="54" customWidth="1"/>
    <col min="33" max="33" width="3.42578125" style="54" customWidth="1"/>
    <col min="34" max="34" width="21.140625" style="54" customWidth="1"/>
    <col min="35" max="222" width="8.7109375" style="54"/>
    <col min="223" max="223" width="23.28515625" style="54" bestFit="1" customWidth="1"/>
    <col min="224" max="16384" width="8.7109375" style="54"/>
  </cols>
  <sheetData>
    <row r="1" spans="1:29" ht="16.350000000000001" customHeight="1" x14ac:dyDescent="0.2">
      <c r="A1" s="173"/>
    </row>
    <row r="2" spans="1:29" ht="16.350000000000001" customHeight="1" x14ac:dyDescent="0.2">
      <c r="A2" s="173"/>
    </row>
    <row r="3" spans="1:29" ht="16.350000000000001" customHeight="1" x14ac:dyDescent="0.2">
      <c r="A3" s="173"/>
      <c r="C3" s="147"/>
      <c r="E3" s="147"/>
      <c r="G3" s="147"/>
    </row>
    <row r="4" spans="1:29" ht="16.350000000000001" customHeight="1" thickBot="1" x14ac:dyDescent="0.25">
      <c r="A4" s="173"/>
      <c r="C4" s="152"/>
      <c r="E4" s="152"/>
      <c r="G4" s="147"/>
      <c r="M4" s="165"/>
    </row>
    <row r="5" spans="1:29" ht="15" x14ac:dyDescent="0.35">
      <c r="A5" s="175" t="s">
        <v>136</v>
      </c>
    </row>
    <row r="6" spans="1:29" ht="14.85" customHeight="1" thickBot="1" x14ac:dyDescent="0.25">
      <c r="A6" s="176" t="s">
        <v>206</v>
      </c>
      <c r="B6" s="197" t="s">
        <v>222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60" t="str">
        <f>B6</f>
        <v>Xcel Energy Inc.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4.25" customHeight="1" x14ac:dyDescent="0.2">
      <c r="B7" s="195" t="s">
        <v>54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Q7" s="61" t="str">
        <f>B7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5" customHeight="1" x14ac:dyDescent="0.2">
      <c r="B8" s="194" t="s">
        <v>138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Q8" s="62" t="str">
        <f>B8</f>
        <v>2019 - 2024,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141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153">
        <f>(1103+27316)*1000000</f>
        <v>28419000000</v>
      </c>
      <c r="E12" s="153">
        <f>(552+24913)*1000000</f>
        <v>25465000000</v>
      </c>
      <c r="G12" s="153">
        <f>(1151+22813)*1000000</f>
        <v>23964000000</v>
      </c>
      <c r="I12" s="153">
        <f>(601+21779)*1000000</f>
        <v>22380000000</v>
      </c>
      <c r="K12" s="150">
        <f>(421+19645)*1000000</f>
        <v>20066000000</v>
      </c>
      <c r="M12" s="150">
        <v>18109000000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x14ac:dyDescent="0.2">
      <c r="A13" s="54" t="s">
        <v>60</v>
      </c>
      <c r="B13" s="54" t="s">
        <v>61</v>
      </c>
      <c r="C13" s="54">
        <v>0</v>
      </c>
      <c r="E13" s="54">
        <v>0</v>
      </c>
      <c r="G13" s="54">
        <v>0</v>
      </c>
      <c r="I13" s="54">
        <v>0</v>
      </c>
      <c r="K13" s="54">
        <v>0</v>
      </c>
      <c r="M13" s="54">
        <v>0</v>
      </c>
      <c r="W13" s="195" t="s">
        <v>62</v>
      </c>
      <c r="X13" s="195"/>
      <c r="Y13" s="195"/>
      <c r="Z13" s="195"/>
      <c r="AA13" s="195"/>
      <c r="AB13" s="195"/>
      <c r="AC13" s="61" t="s">
        <v>63</v>
      </c>
    </row>
    <row r="14" spans="1:29" x14ac:dyDescent="0.2">
      <c r="C14" s="65"/>
      <c r="E14" s="65"/>
      <c r="Q14" s="66" t="s">
        <v>64</v>
      </c>
      <c r="R14" s="66"/>
      <c r="S14" s="66"/>
      <c r="T14" s="66"/>
      <c r="U14" s="66"/>
      <c r="V14" s="66"/>
      <c r="X14" s="66"/>
    </row>
    <row r="15" spans="1:29" x14ac:dyDescent="0.2">
      <c r="A15" s="54" t="s">
        <v>65</v>
      </c>
      <c r="B15" s="54" t="s">
        <v>66</v>
      </c>
      <c r="C15" s="161">
        <v>574365598</v>
      </c>
      <c r="E15" s="161">
        <v>554941703</v>
      </c>
      <c r="G15" s="161">
        <v>549578018</v>
      </c>
      <c r="I15" s="161">
        <v>544025269</v>
      </c>
      <c r="K15" s="151">
        <v>537438394</v>
      </c>
      <c r="M15" s="151">
        <v>524539000</v>
      </c>
    </row>
    <row r="16" spans="1:29" x14ac:dyDescent="0.2">
      <c r="A16" s="54" t="s">
        <v>6</v>
      </c>
      <c r="B16" s="54" t="s">
        <v>67</v>
      </c>
      <c r="C16" s="153">
        <f>19522*1000000</f>
        <v>19522000000</v>
      </c>
      <c r="E16" s="153">
        <f>17617*1000000</f>
        <v>17617000000</v>
      </c>
      <c r="G16" s="153">
        <f>16675*1000000</f>
        <v>16675000000</v>
      </c>
      <c r="I16" s="153">
        <f>15612*1000000</f>
        <v>15612000000</v>
      </c>
      <c r="K16" s="153">
        <f>14575*1000000</f>
        <v>14575000000</v>
      </c>
      <c r="M16" s="153">
        <v>13239000000</v>
      </c>
      <c r="Q16" s="66" t="s">
        <v>68</v>
      </c>
      <c r="R16" s="66"/>
      <c r="S16" s="66"/>
      <c r="T16" s="66"/>
      <c r="U16" s="66"/>
      <c r="V16" s="66"/>
      <c r="X16" s="66"/>
    </row>
    <row r="17" spans="1:30" x14ac:dyDescent="0.2">
      <c r="A17" s="54" t="s">
        <v>69</v>
      </c>
      <c r="B17" s="54" t="s">
        <v>66</v>
      </c>
      <c r="C17" s="54">
        <v>0</v>
      </c>
      <c r="E17" s="54">
        <v>0</v>
      </c>
      <c r="G17" s="54">
        <v>0</v>
      </c>
      <c r="I17" s="54">
        <v>0</v>
      </c>
      <c r="K17" s="54">
        <v>0</v>
      </c>
      <c r="M17" s="54">
        <v>0</v>
      </c>
      <c r="Q17" s="54" t="s">
        <v>70</v>
      </c>
      <c r="S17" s="69">
        <f>C50/1000000</f>
        <v>47941</v>
      </c>
      <c r="U17" s="69">
        <f>E50/1000000</f>
        <v>43082</v>
      </c>
      <c r="W17" s="69">
        <f>G50/1000000</f>
        <v>40639</v>
      </c>
      <c r="Y17" s="69">
        <f>I50/1000000</f>
        <v>37992</v>
      </c>
      <c r="AA17" s="69">
        <f>K50/1000000</f>
        <v>34641</v>
      </c>
      <c r="AB17" s="69"/>
    </row>
    <row r="18" spans="1:30" x14ac:dyDescent="0.2">
      <c r="C18" s="65"/>
      <c r="E18" s="65"/>
      <c r="Q18" s="54" t="s">
        <v>71</v>
      </c>
      <c r="S18" s="70">
        <f>C19/1000000</f>
        <v>695</v>
      </c>
      <c r="U18" s="70">
        <f>E19/1000000</f>
        <v>785</v>
      </c>
      <c r="W18" s="70">
        <f>G19/1000000</f>
        <v>813</v>
      </c>
      <c r="Y18" s="70">
        <f>I19/1000000</f>
        <v>1005</v>
      </c>
      <c r="AA18" s="70">
        <f>K19/1000000</f>
        <v>584</v>
      </c>
      <c r="AB18" s="69"/>
    </row>
    <row r="19" spans="1:30" x14ac:dyDescent="0.2">
      <c r="A19" s="54" t="s">
        <v>72</v>
      </c>
      <c r="B19" s="54" t="s">
        <v>73</v>
      </c>
      <c r="C19" s="153">
        <f>695*1000000</f>
        <v>695000000</v>
      </c>
      <c r="E19" s="153">
        <f>785*1000000</f>
        <v>785000000</v>
      </c>
      <c r="G19" s="153">
        <f>813*1000000</f>
        <v>813000000</v>
      </c>
      <c r="I19" s="153">
        <f>1005*1000000</f>
        <v>1005000000</v>
      </c>
      <c r="K19" s="153">
        <f>584*1000000</f>
        <v>584000000</v>
      </c>
      <c r="M19" s="153">
        <v>595000000</v>
      </c>
      <c r="Q19" s="54" t="s">
        <v>74</v>
      </c>
      <c r="S19" s="71">
        <f>SUM(S17:S18)</f>
        <v>48636</v>
      </c>
      <c r="U19" s="71">
        <f>SUM(U17:U18)</f>
        <v>43867</v>
      </c>
      <c r="W19" s="71">
        <f>SUM(W17:W18)</f>
        <v>41452</v>
      </c>
      <c r="Y19" s="71">
        <f>SUM(Y17:Y18)</f>
        <v>38997</v>
      </c>
      <c r="AA19" s="71">
        <f>SUM(AA17:AA18)</f>
        <v>35225</v>
      </c>
      <c r="AB19" s="69"/>
    </row>
    <row r="20" spans="1:30" x14ac:dyDescent="0.2">
      <c r="C20" s="65"/>
      <c r="E20" s="65"/>
    </row>
    <row r="21" spans="1:30" x14ac:dyDescent="0.2">
      <c r="A21" s="54" t="s">
        <v>75</v>
      </c>
      <c r="B21" s="54" t="s">
        <v>76</v>
      </c>
      <c r="C21" s="65">
        <v>3.44</v>
      </c>
      <c r="E21" s="65">
        <v>3.21</v>
      </c>
      <c r="G21" s="65">
        <v>3.17</v>
      </c>
      <c r="I21" s="65">
        <v>2.96</v>
      </c>
      <c r="K21" s="65">
        <v>2.79</v>
      </c>
      <c r="M21" s="65">
        <v>2.64</v>
      </c>
      <c r="Q21" s="66" t="s">
        <v>77</v>
      </c>
      <c r="R21" s="66"/>
      <c r="T21" s="66"/>
      <c r="V21" s="66"/>
      <c r="X21" s="66"/>
      <c r="Z21" s="66"/>
    </row>
    <row r="22" spans="1:30" x14ac:dyDescent="0.2">
      <c r="A22" s="54" t="s">
        <v>78</v>
      </c>
      <c r="B22" s="54" t="s">
        <v>79</v>
      </c>
      <c r="C22" s="54">
        <v>72.92</v>
      </c>
      <c r="E22" s="54">
        <v>72.78</v>
      </c>
      <c r="G22" s="54">
        <v>77.41</v>
      </c>
      <c r="I22" s="54">
        <v>72.59</v>
      </c>
      <c r="K22" s="72">
        <v>74.709999999999994</v>
      </c>
      <c r="M22" s="54">
        <v>65.819999999999993</v>
      </c>
      <c r="Q22" s="54" t="s">
        <v>80</v>
      </c>
      <c r="S22" s="72">
        <f>(ROUND((C30/(AVERAGE(C54,E54))*100),2))</f>
        <v>4.53</v>
      </c>
      <c r="T22" s="73" t="s">
        <v>4</v>
      </c>
      <c r="U22" s="72">
        <f>(ROUND((E30/(AVERAGE(E54,G54))*100),2))</f>
        <v>4.1399999999999997</v>
      </c>
      <c r="V22" s="73" t="s">
        <v>4</v>
      </c>
      <c r="W22" s="72">
        <f>(ROUND((G30/(AVERAGE(G54,I54))*100),2))</f>
        <v>3.96</v>
      </c>
      <c r="X22" s="73" t="s">
        <v>4</v>
      </c>
      <c r="Y22" s="72">
        <f>(ROUND((I30/(AVERAGE(I54,K54))*100),2))</f>
        <v>3.82</v>
      </c>
      <c r="Z22" s="73" t="s">
        <v>4</v>
      </c>
      <c r="AA22" s="72">
        <f>(ROUND((K30/(AVERAGE(K54,M54))*100),2))</f>
        <v>4.2699999999999996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48.44</v>
      </c>
      <c r="E23" s="54">
        <v>55.03</v>
      </c>
      <c r="G23" s="54">
        <v>57.94</v>
      </c>
      <c r="I23" s="54">
        <v>58.03</v>
      </c>
      <c r="K23" s="72">
        <v>50</v>
      </c>
      <c r="M23" s="54">
        <v>48.03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C24" s="65"/>
      <c r="E24" s="65"/>
      <c r="AC24" s="194" t="s">
        <v>1</v>
      </c>
      <c r="AD24" s="194"/>
    </row>
    <row r="25" spans="1:30" x14ac:dyDescent="0.2">
      <c r="C25" s="65"/>
      <c r="E25" s="65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66</v>
      </c>
      <c r="C26" s="54">
        <v>2.19</v>
      </c>
      <c r="E26" s="54">
        <v>2.08</v>
      </c>
      <c r="G26" s="54">
        <v>1.95</v>
      </c>
      <c r="I26" s="54">
        <v>1.83</v>
      </c>
      <c r="K26" s="54">
        <v>1.72</v>
      </c>
      <c r="M26" s="54">
        <v>1.62</v>
      </c>
      <c r="Q26" s="54" t="s">
        <v>85</v>
      </c>
    </row>
    <row r="27" spans="1:30" x14ac:dyDescent="0.2">
      <c r="C27" s="65"/>
      <c r="E27" s="65"/>
      <c r="Q27" s="54" t="s">
        <v>86</v>
      </c>
      <c r="S27" s="72">
        <f>ROUND(((C12/C50)*100),2)</f>
        <v>59.28</v>
      </c>
      <c r="T27" s="73" t="s">
        <v>4</v>
      </c>
      <c r="U27" s="72">
        <f>ROUND(((E12/E50)*100),2)</f>
        <v>59.11</v>
      </c>
      <c r="V27" s="73" t="s">
        <v>4</v>
      </c>
      <c r="W27" s="72">
        <f>ROUND(((G12/G50)*100),2)</f>
        <v>58.97</v>
      </c>
      <c r="X27" s="73" t="s">
        <v>4</v>
      </c>
      <c r="Y27" s="72">
        <f>ROUND(((I12/I50)*100),2)</f>
        <v>58.91</v>
      </c>
      <c r="Z27" s="73" t="s">
        <v>4</v>
      </c>
      <c r="AA27" s="72">
        <f>ROUND(((K12/K50)*100),2)</f>
        <v>57.93</v>
      </c>
      <c r="AB27" s="73" t="s">
        <v>4</v>
      </c>
      <c r="AC27" s="72">
        <f>ROUND(AVERAGE(S27:AB27),2)</f>
        <v>58.84</v>
      </c>
      <c r="AD27" s="73" t="s">
        <v>4</v>
      </c>
    </row>
    <row r="28" spans="1:30" x14ac:dyDescent="0.2">
      <c r="A28" s="54" t="s">
        <v>87</v>
      </c>
      <c r="B28" s="54" t="s">
        <v>87</v>
      </c>
      <c r="C28" s="151">
        <f>(168+73)*1000000</f>
        <v>241000000</v>
      </c>
      <c r="E28" s="151">
        <f>(91+51)*1000000</f>
        <v>142000000</v>
      </c>
      <c r="G28" s="151">
        <f>(75+28)*1000000</f>
        <v>103000000</v>
      </c>
      <c r="I28" s="151">
        <f>(73+26)*1000000</f>
        <v>99000000</v>
      </c>
      <c r="K28" s="151">
        <f>(115+42)*1000000</f>
        <v>157000000</v>
      </c>
      <c r="M28" s="151">
        <f>(77+37)*1000000</f>
        <v>114000000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C29" s="65"/>
      <c r="E29" s="65"/>
      <c r="Q29" s="54" t="s">
        <v>89</v>
      </c>
      <c r="S29" s="74">
        <f>ROUND(((C16/C50)*100),2)</f>
        <v>40.72</v>
      </c>
      <c r="T29" s="73"/>
      <c r="U29" s="74">
        <f>ROUND(((E16/E50)*100),2)</f>
        <v>40.89</v>
      </c>
      <c r="V29" s="73"/>
      <c r="W29" s="74">
        <f>ROUND(((G16/G50)*100),2)</f>
        <v>41.03</v>
      </c>
      <c r="X29" s="73"/>
      <c r="Y29" s="74">
        <f>ROUND(((I16/I50)*100),2)</f>
        <v>41.09</v>
      </c>
      <c r="Z29" s="73"/>
      <c r="AA29" s="74">
        <f>ROUND(((K16/K50)*100),2)</f>
        <v>42.07</v>
      </c>
      <c r="AB29" s="73"/>
      <c r="AC29" s="72">
        <f>ROUND(AVERAGE(S29:AB29),2)</f>
        <v>41.16</v>
      </c>
      <c r="AD29" s="73"/>
    </row>
    <row r="30" spans="1:30" x14ac:dyDescent="0.2">
      <c r="A30" s="54" t="s">
        <v>90</v>
      </c>
      <c r="B30" s="54" t="s">
        <v>91</v>
      </c>
      <c r="C30" s="151">
        <f>1255*1000000</f>
        <v>1255000000</v>
      </c>
      <c r="E30" s="151">
        <f>1055*1000000</f>
        <v>1055000000</v>
      </c>
      <c r="G30" s="151">
        <f>953*1000000</f>
        <v>953000000</v>
      </c>
      <c r="I30" s="151">
        <f>842*1000000</f>
        <v>842000000</v>
      </c>
      <c r="K30" s="151">
        <f>840*1000000</f>
        <v>840000000</v>
      </c>
      <c r="M30" s="151">
        <v>736000000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C31" s="65"/>
      <c r="E31" s="65"/>
    </row>
    <row r="32" spans="1:30" x14ac:dyDescent="0.2">
      <c r="A32" s="54" t="s">
        <v>93</v>
      </c>
      <c r="B32" s="54" t="s">
        <v>94</v>
      </c>
      <c r="C32" s="153">
        <f>1936*1000000</f>
        <v>1936000000</v>
      </c>
      <c r="E32" s="153">
        <f>1771*1000000</f>
        <v>1771000000</v>
      </c>
      <c r="G32" s="153">
        <f>1736*1000000</f>
        <v>1736000000</v>
      </c>
      <c r="I32" s="153">
        <f>1597*1000000</f>
        <v>1597000000</v>
      </c>
      <c r="K32" s="153">
        <f>1473*1000000</f>
        <v>1473000000</v>
      </c>
      <c r="M32" s="153">
        <v>1372000000</v>
      </c>
      <c r="Q32" s="54" t="s">
        <v>95</v>
      </c>
    </row>
    <row r="33" spans="1:30" x14ac:dyDescent="0.2">
      <c r="A33" s="76"/>
      <c r="B33" s="76"/>
      <c r="C33" s="78"/>
      <c r="D33" s="76"/>
      <c r="E33" s="78"/>
      <c r="F33" s="76"/>
      <c r="G33" s="76"/>
      <c r="H33" s="76"/>
      <c r="I33" s="76"/>
      <c r="J33" s="76"/>
      <c r="K33" s="76"/>
      <c r="L33" s="76"/>
      <c r="M33" s="76"/>
      <c r="Q33" s="54" t="s">
        <v>96</v>
      </c>
      <c r="S33" s="72">
        <f>ROUND((((C12+C19)/C56)*100),2)</f>
        <v>59.86</v>
      </c>
      <c r="T33" s="73" t="s">
        <v>4</v>
      </c>
      <c r="U33" s="72">
        <f>ROUND((((E12+E19)/E56)*100),2)</f>
        <v>59.84</v>
      </c>
      <c r="V33" s="73" t="s">
        <v>4</v>
      </c>
      <c r="W33" s="72">
        <f>ROUND((((G12+G19)/G56)*100),2)</f>
        <v>59.77</v>
      </c>
      <c r="X33" s="73" t="s">
        <v>4</v>
      </c>
      <c r="Y33" s="72">
        <f>ROUND((((I12+I19)/I56)*100),2)</f>
        <v>59.97</v>
      </c>
      <c r="Z33" s="73" t="s">
        <v>4</v>
      </c>
      <c r="AA33" s="72">
        <f>ROUND((((K12+K19)/K56)*100),2)</f>
        <v>58.62</v>
      </c>
      <c r="AB33" s="73" t="s">
        <v>4</v>
      </c>
      <c r="AC33" s="72">
        <f>ROUND(AVERAGE(S33:AB33),2)</f>
        <v>59.61</v>
      </c>
      <c r="AD33" s="73" t="s">
        <v>4</v>
      </c>
    </row>
    <row r="34" spans="1:30" x14ac:dyDescent="0.2">
      <c r="A34" s="54" t="s">
        <v>97</v>
      </c>
      <c r="B34" s="54" t="s">
        <v>98</v>
      </c>
      <c r="C34" s="153">
        <f>1936*1000000</f>
        <v>1936000000</v>
      </c>
      <c r="E34" s="153">
        <f>1771*1000000</f>
        <v>1771000000</v>
      </c>
      <c r="G34" s="153">
        <f>G32</f>
        <v>1736000000</v>
      </c>
      <c r="I34" s="153">
        <f>I32</f>
        <v>1597000000</v>
      </c>
      <c r="K34" s="153">
        <f>K32</f>
        <v>1473000000</v>
      </c>
      <c r="M34" s="153">
        <f>M32</f>
        <v>1372000000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C35" s="65"/>
      <c r="E35" s="65"/>
      <c r="Q35" s="54" t="s">
        <v>89</v>
      </c>
      <c r="S35" s="74">
        <f>ROUND((((C16)/C56)*100),2)</f>
        <v>40.14</v>
      </c>
      <c r="T35" s="73"/>
      <c r="U35" s="74">
        <f>ROUND((((E16)/E56)*100),2)</f>
        <v>40.159999999999997</v>
      </c>
      <c r="V35" s="73"/>
      <c r="W35" s="74">
        <f>ROUND((((G16)/G56)*100),2)</f>
        <v>40.229999999999997</v>
      </c>
      <c r="X35" s="73"/>
      <c r="Y35" s="74">
        <f>ROUND((((I16)/I56)*100),2)</f>
        <v>40.03</v>
      </c>
      <c r="Z35" s="73"/>
      <c r="AA35" s="74">
        <f>ROUND((((K16)/K56)*100),2)</f>
        <v>41.38</v>
      </c>
      <c r="AB35" s="73"/>
      <c r="AC35" s="72">
        <f>ROUND(AVERAGE(S35:AB35),2)</f>
        <v>40.39</v>
      </c>
      <c r="AD35" s="73"/>
    </row>
    <row r="36" spans="1:30" x14ac:dyDescent="0.2">
      <c r="A36" s="54" t="s">
        <v>99</v>
      </c>
      <c r="B36" s="54" t="s">
        <v>100</v>
      </c>
      <c r="C36" s="54">
        <v>0</v>
      </c>
      <c r="E36" s="54">
        <v>0</v>
      </c>
      <c r="G36" s="54">
        <v>0</v>
      </c>
      <c r="I36" s="54">
        <v>0</v>
      </c>
      <c r="K36" s="54">
        <v>0</v>
      </c>
      <c r="M36" s="54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C37" s="65"/>
      <c r="E37" s="65"/>
    </row>
    <row r="38" spans="1:30" x14ac:dyDescent="0.2">
      <c r="A38" s="54" t="s">
        <v>101</v>
      </c>
      <c r="B38" s="54" t="s">
        <v>102</v>
      </c>
      <c r="C38" s="153">
        <f>1175*1000000</f>
        <v>1175000000</v>
      </c>
      <c r="E38" s="153">
        <f>1092*1000000</f>
        <v>1092000000</v>
      </c>
      <c r="G38" s="153">
        <f>1066*1000000</f>
        <v>1066000000</v>
      </c>
      <c r="I38" s="153">
        <f>935*1000000</f>
        <v>935000000</v>
      </c>
      <c r="K38" s="153">
        <f>856*1000000</f>
        <v>856000000</v>
      </c>
      <c r="M38" s="153">
        <v>791000000</v>
      </c>
    </row>
    <row r="39" spans="1:30" x14ac:dyDescent="0.2">
      <c r="C39" s="65"/>
      <c r="E39" s="65"/>
    </row>
    <row r="40" spans="1:30" x14ac:dyDescent="0.2">
      <c r="A40" s="54" t="s">
        <v>103</v>
      </c>
      <c r="B40" s="54" t="s">
        <v>104</v>
      </c>
      <c r="C40" s="153">
        <f>C32</f>
        <v>1936000000</v>
      </c>
      <c r="E40" s="153">
        <f>E32</f>
        <v>1771000000</v>
      </c>
      <c r="G40" s="153">
        <f>G32</f>
        <v>1736000000</v>
      </c>
      <c r="I40" s="153">
        <f>I32</f>
        <v>1597000000</v>
      </c>
      <c r="K40" s="153">
        <f>K32</f>
        <v>1473000000</v>
      </c>
      <c r="M40" s="153">
        <f>M32</f>
        <v>1372000000</v>
      </c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5">
        <f>4641*1000000</f>
        <v>4641000000</v>
      </c>
      <c r="E41" s="65">
        <f>5327*1000000</f>
        <v>5327000000</v>
      </c>
      <c r="G41" s="65">
        <f>3932*1000000</f>
        <v>3932000000</v>
      </c>
      <c r="I41" s="65">
        <f>2189*1000000</f>
        <v>2189000000</v>
      </c>
      <c r="K41" s="65">
        <f>2848*1000000</f>
        <v>2848000000</v>
      </c>
      <c r="M41" s="65">
        <v>3263000000</v>
      </c>
      <c r="Q41" s="66"/>
      <c r="R41" s="66"/>
    </row>
    <row r="42" spans="1:30" x14ac:dyDescent="0.2">
      <c r="A42" s="54" t="s">
        <v>108</v>
      </c>
      <c r="B42" s="54" t="s">
        <v>109</v>
      </c>
      <c r="C42" s="65">
        <f>(19+21-140-139+37+436-317-89)*1000000</f>
        <v>-172000000</v>
      </c>
      <c r="E42" s="65">
        <f>(-27+252-98+86-149+911+200+17)*1000000</f>
        <v>1192000000</v>
      </c>
      <c r="G42" s="65">
        <f>(-429-243-203-58+195+570+102-49)*1000000</f>
        <v>-115000000</v>
      </c>
      <c r="I42" s="65">
        <f>(-164-149-126-34+138-973-1-135)*1000000</f>
        <v>-1444000000</v>
      </c>
      <c r="K42" s="65">
        <f>(-154-3-80-45-33-144+29-125)*1000000</f>
        <v>-555000000</v>
      </c>
      <c r="M42" s="65">
        <f>(-20+42-84+25-12-66-15-135)*1000000</f>
        <v>-265000000</v>
      </c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5">
        <f>2744*1000000</f>
        <v>2744000000</v>
      </c>
      <c r="E43" s="65">
        <f>2448*1000000</f>
        <v>2448000000</v>
      </c>
      <c r="G43" s="65">
        <f>2413*1000000</f>
        <v>2413000000</v>
      </c>
      <c r="I43" s="65">
        <f>2121*1000000</f>
        <v>2121000000</v>
      </c>
      <c r="K43" s="65">
        <f>1948*1000000</f>
        <v>1948000000</v>
      </c>
      <c r="M43" s="65">
        <v>1765000000</v>
      </c>
      <c r="Q43" s="54" t="s">
        <v>113</v>
      </c>
      <c r="S43" s="72">
        <f>ROUND(C21/C52,4)*100</f>
        <v>5.67</v>
      </c>
      <c r="T43" s="73" t="s">
        <v>4</v>
      </c>
      <c r="U43" s="72">
        <f>ROUND(E21/E52,4)*100</f>
        <v>5.0200000000000005</v>
      </c>
      <c r="V43" s="73" t="s">
        <v>4</v>
      </c>
      <c r="W43" s="72">
        <f>ROUND(G21/G52,4)*100</f>
        <v>4.68</v>
      </c>
      <c r="X43" s="73" t="s">
        <v>4</v>
      </c>
      <c r="Y43" s="72">
        <f>ROUND(I21/I52,4)*100</f>
        <v>4.53</v>
      </c>
      <c r="Z43" s="73" t="s">
        <v>4</v>
      </c>
      <c r="AA43" s="72">
        <f>ROUND(K21/K52,4)*100</f>
        <v>4.47</v>
      </c>
      <c r="AB43" s="73" t="s">
        <v>4</v>
      </c>
      <c r="AC43" s="72">
        <f>ROUND(AVERAGE(S43:AB43),2)</f>
        <v>4.87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151">
        <f>-402*1000000</f>
        <v>-402000000</v>
      </c>
      <c r="E44" s="151">
        <f>-146*1000000</f>
        <v>-146000000</v>
      </c>
      <c r="G44" s="151">
        <f>-135*1000000</f>
        <v>-135000000</v>
      </c>
      <c r="I44" s="151">
        <f>-70*1000000</f>
        <v>-70000000</v>
      </c>
      <c r="K44" s="151">
        <f>-6*1000000</f>
        <v>-6000000</v>
      </c>
      <c r="M44" s="151">
        <v>128000000</v>
      </c>
      <c r="Q44" s="54" t="s">
        <v>116</v>
      </c>
      <c r="S44" s="72">
        <f>(ROUND((C52/(AVERAGE(C48,E48))*100),2))</f>
        <v>184.62</v>
      </c>
      <c r="U44" s="72">
        <f>(ROUND((E52/(AVERAGE(E48,G48))*100),2))</f>
        <v>205.86</v>
      </c>
      <c r="W44" s="72">
        <f>(ROUND((G52/(AVERAGE(G48,I48))*100),2))</f>
        <v>229.26</v>
      </c>
      <c r="Y44" s="72">
        <f>(ROUND((I52/(AVERAGE(I48,K48))*100),2))</f>
        <v>234.02</v>
      </c>
      <c r="AA44" s="72">
        <f>(ROUND((K52/(AVERAGE(K48,M48))*100),2))</f>
        <v>238.18</v>
      </c>
      <c r="AC44" s="72">
        <f>ROUND(AVERAGE(S44:AB44),2)</f>
        <v>218.39</v>
      </c>
    </row>
    <row r="45" spans="1:30" x14ac:dyDescent="0.2">
      <c r="C45" s="65"/>
      <c r="E45" s="65"/>
      <c r="Q45" s="54" t="s">
        <v>117</v>
      </c>
      <c r="S45" s="72">
        <f>ROUND(((+C26/C52)*100),2)</f>
        <v>3.61</v>
      </c>
      <c r="U45" s="72">
        <f>ROUND(((+E26/E52)*100),2)</f>
        <v>3.25</v>
      </c>
      <c r="W45" s="72">
        <f>ROUND(((+G26/G52)*100),2)</f>
        <v>2.88</v>
      </c>
      <c r="Y45" s="72">
        <f>ROUND(((+I26/I52)*100),2)</f>
        <v>2.8</v>
      </c>
      <c r="AA45" s="72">
        <f>ROUND(((+K26/K52)*100),2)</f>
        <v>2.76</v>
      </c>
      <c r="AC45" s="72">
        <f>ROUND(AVERAGE(S45:AB45),2)</f>
        <v>3.06</v>
      </c>
    </row>
    <row r="46" spans="1:30" x14ac:dyDescent="0.2">
      <c r="A46" s="54" t="s">
        <v>118</v>
      </c>
      <c r="C46" s="65"/>
      <c r="E46" s="65"/>
      <c r="Q46" s="54" t="s">
        <v>119</v>
      </c>
      <c r="S46" s="72">
        <f>ROUND(((+C38/C34)*100),2)</f>
        <v>60.69</v>
      </c>
      <c r="U46" s="72">
        <f>ROUND(((+E38/E34)*100),2)</f>
        <v>61.66</v>
      </c>
      <c r="W46" s="72">
        <f>ROUND(((+G38/G34)*100),2)</f>
        <v>61.41</v>
      </c>
      <c r="Y46" s="72">
        <f>ROUND(((+I38/I34)*100),2)</f>
        <v>58.55</v>
      </c>
      <c r="AA46" s="72">
        <f>ROUND(((+K38/K34)*100),2)</f>
        <v>58.11</v>
      </c>
      <c r="AC46" s="72">
        <f>ROUND(AVERAGE(S46:AB46),2)</f>
        <v>60.08</v>
      </c>
    </row>
    <row r="47" spans="1:30" x14ac:dyDescent="0.2">
      <c r="C47" s="65"/>
      <c r="E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33.988804461788114</v>
      </c>
      <c r="E48" s="65">
        <f>E16/E15</f>
        <v>31.745676896803698</v>
      </c>
      <c r="G48" s="65">
        <f>G16/G15</f>
        <v>30.34146100072001</v>
      </c>
      <c r="I48" s="65">
        <f>I16/I15</f>
        <v>28.697196416440722</v>
      </c>
      <c r="K48" s="65">
        <f>K16/K15</f>
        <v>27.11938738042597</v>
      </c>
      <c r="L48" s="65"/>
      <c r="M48" s="65">
        <f>M16/M15</f>
        <v>25.239305371001965</v>
      </c>
      <c r="Q48" s="66" t="s">
        <v>122</v>
      </c>
      <c r="R48" s="66"/>
      <c r="S48" s="72">
        <f>ROUND(((C34/AVERAGE(C16,E16))*100),2)</f>
        <v>10.43</v>
      </c>
      <c r="T48" s="54" t="s">
        <v>4</v>
      </c>
      <c r="U48" s="72">
        <f>ROUND(((E34/AVERAGE(E16,G16))*100),2)</f>
        <v>10.33</v>
      </c>
      <c r="V48" s="54" t="s">
        <v>4</v>
      </c>
      <c r="W48" s="72">
        <f>ROUND(((G34/AVERAGE(G16,I16))*100),2)</f>
        <v>10.75</v>
      </c>
      <c r="X48" s="54" t="s">
        <v>4</v>
      </c>
      <c r="Y48" s="72">
        <f>ROUND(((I34/AVERAGE(I16,K16))*100),2)</f>
        <v>10.58</v>
      </c>
      <c r="Z48" s="54" t="s">
        <v>4</v>
      </c>
      <c r="AA48" s="72">
        <f>ROUND(((K34/AVERAGE(K16,M16))*100),2)</f>
        <v>10.59</v>
      </c>
      <c r="AB48" s="54" t="s">
        <v>4</v>
      </c>
      <c r="AC48" s="72">
        <f>ROUND(AVERAGE(S48:AB48),2)</f>
        <v>10.54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L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47941000000</v>
      </c>
      <c r="E50" s="65">
        <f>SUM(E12:E13,E16:E17)</f>
        <v>43082000000</v>
      </c>
      <c r="G50" s="65">
        <f>SUM(G12:G13,G16:G17)</f>
        <v>40639000000</v>
      </c>
      <c r="I50" s="65">
        <f>SUM(I12:I13,I16:I17)</f>
        <v>37992000000</v>
      </c>
      <c r="K50" s="65">
        <f>SUM(K12:K13,K16:K17)</f>
        <v>34641000000</v>
      </c>
      <c r="L50" s="65"/>
      <c r="M50" s="65">
        <f>SUM(M12:M13,M16:M17)</f>
        <v>31348000000</v>
      </c>
      <c r="Q50" s="66" t="s">
        <v>124</v>
      </c>
      <c r="R50" s="66"/>
      <c r="S50" s="72">
        <f>ROUND((C54/C62),2)</f>
        <v>5.26</v>
      </c>
      <c r="T50" s="73" t="s">
        <v>125</v>
      </c>
      <c r="U50" s="72">
        <f>ROUND((E54/E62),2)</f>
        <v>5.12</v>
      </c>
      <c r="V50" s="73" t="s">
        <v>125</v>
      </c>
      <c r="W50" s="72">
        <f>ROUND((G54/G62),2)</f>
        <v>4.99</v>
      </c>
      <c r="X50" s="73" t="s">
        <v>125</v>
      </c>
      <c r="Y50" s="72">
        <f>ROUND((I54/I62),2)</f>
        <v>5.21</v>
      </c>
      <c r="Z50" s="73" t="s">
        <v>125</v>
      </c>
      <c r="AA50" s="72">
        <f>ROUND((K54/K62),2)</f>
        <v>4.8499999999999996</v>
      </c>
      <c r="AB50" s="73" t="s">
        <v>125</v>
      </c>
      <c r="AC50" s="72">
        <f>ROUND(AVERAGE(S50:AB50),2)</f>
        <v>5.09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L51" s="65"/>
      <c r="M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60.68</v>
      </c>
      <c r="E52" s="65">
        <f>AVERAGE(E22:E23)</f>
        <v>63.905000000000001</v>
      </c>
      <c r="G52" s="65">
        <f>AVERAGE(G22:G23)</f>
        <v>67.674999999999997</v>
      </c>
      <c r="I52" s="65">
        <f>AVERAGE(I22:I23)</f>
        <v>65.31</v>
      </c>
      <c r="K52" s="65">
        <f>AVERAGE(K22:K23)</f>
        <v>62.354999999999997</v>
      </c>
      <c r="L52" s="65"/>
      <c r="M52" s="65">
        <f>AVERAGE(M22:M23)</f>
        <v>56.924999999999997</v>
      </c>
      <c r="Q52" s="66" t="s">
        <v>127</v>
      </c>
      <c r="R52" s="66"/>
      <c r="S52" s="72">
        <f>ROUND(((C60/C54)*100),2)</f>
        <v>14.52</v>
      </c>
      <c r="T52" s="73" t="s">
        <v>4</v>
      </c>
      <c r="U52" s="72">
        <f>ROUND(((E60/E54)*100),2)</f>
        <v>24.29</v>
      </c>
      <c r="V52" s="73" t="s">
        <v>4</v>
      </c>
      <c r="W52" s="72">
        <f>ROUND(((G60/G54)*100),2)</f>
        <v>14.99</v>
      </c>
      <c r="X52" s="73" t="s">
        <v>4</v>
      </c>
      <c r="Y52" s="72">
        <f>ROUND(((I60/I54)*100),2)</f>
        <v>2.76</v>
      </c>
      <c r="Z52" s="73" t="s">
        <v>4</v>
      </c>
      <c r="AA52" s="72">
        <f>ROUND(((K60/K54)*100),2)</f>
        <v>10.34</v>
      </c>
      <c r="AB52" s="73" t="s">
        <v>4</v>
      </c>
      <c r="AC52" s="72">
        <f>ROUND(AVERAGE(S52:AB52),2)</f>
        <v>13.38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L53" s="65"/>
      <c r="M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65">
        <f>+C19+C12</f>
        <v>29114000000</v>
      </c>
      <c r="E54" s="65">
        <f>+E19+E12</f>
        <v>26250000000</v>
      </c>
      <c r="G54" s="65">
        <f>+G19+G12</f>
        <v>24777000000</v>
      </c>
      <c r="I54" s="65">
        <f>+I19+I12</f>
        <v>23385000000</v>
      </c>
      <c r="K54" s="65">
        <f>+K19+K12</f>
        <v>20650000000</v>
      </c>
      <c r="L54" s="81"/>
      <c r="M54" s="65">
        <f>+M19+M12</f>
        <v>18704000000</v>
      </c>
      <c r="Q54" s="79" t="s">
        <v>128</v>
      </c>
      <c r="R54" s="79"/>
      <c r="S54" s="72">
        <f>S33</f>
        <v>59.86</v>
      </c>
      <c r="T54" s="73" t="s">
        <v>4</v>
      </c>
      <c r="U54" s="72">
        <f>U33</f>
        <v>59.84</v>
      </c>
      <c r="V54" s="73" t="s">
        <v>4</v>
      </c>
      <c r="W54" s="72">
        <f>W33</f>
        <v>59.77</v>
      </c>
      <c r="X54" s="73" t="s">
        <v>4</v>
      </c>
      <c r="Y54" s="72">
        <f>Y33</f>
        <v>59.97</v>
      </c>
      <c r="Z54" s="73" t="s">
        <v>4</v>
      </c>
      <c r="AA54" s="72">
        <f>AA33</f>
        <v>58.62</v>
      </c>
      <c r="AB54" s="73" t="s">
        <v>4</v>
      </c>
      <c r="AC54" s="72">
        <f>ROUND(AVERAGE(S54:AB54),2)</f>
        <v>59.61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L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48636000000</v>
      </c>
      <c r="E56" s="65">
        <f>SUM(E50,E19)</f>
        <v>43867000000</v>
      </c>
      <c r="G56" s="65">
        <f>SUM(G50,G19)</f>
        <v>41452000000</v>
      </c>
      <c r="I56" s="65">
        <f>SUM(I50,I19)</f>
        <v>38997000000</v>
      </c>
      <c r="K56" s="65">
        <f>SUM(K50,K19)</f>
        <v>35225000000</v>
      </c>
      <c r="L56" s="65"/>
      <c r="M56" s="65">
        <f>SUM(M50,M19)</f>
        <v>31943000000</v>
      </c>
    </row>
    <row r="57" spans="1:30" x14ac:dyDescent="0.2">
      <c r="C57" s="65"/>
      <c r="E57" s="65"/>
      <c r="G57" s="65"/>
      <c r="I57" s="65"/>
      <c r="K57" s="65"/>
      <c r="L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L58" s="65"/>
      <c r="M58" s="65">
        <f>SUM(M13,M17)</f>
        <v>0</v>
      </c>
    </row>
    <row r="59" spans="1:30" x14ac:dyDescent="0.2">
      <c r="C59" s="65"/>
      <c r="E59" s="65"/>
      <c r="G59" s="65"/>
      <c r="I59" s="65"/>
      <c r="K59" s="65"/>
      <c r="L59" s="65"/>
      <c r="M59" s="65"/>
    </row>
    <row r="60" spans="1:30" ht="25.5" x14ac:dyDescent="0.2">
      <c r="A60" s="82" t="s">
        <v>130</v>
      </c>
      <c r="B60" s="54" t="s">
        <v>121</v>
      </c>
      <c r="C60" s="65">
        <f>ROUND(C41+C42-C28,3)</f>
        <v>4228000000</v>
      </c>
      <c r="E60" s="65">
        <f>ROUND(E41+E42-E28,3)</f>
        <v>6377000000</v>
      </c>
      <c r="G60" s="65">
        <f>ROUND(G41+G42-G28,3)</f>
        <v>3714000000</v>
      </c>
      <c r="I60" s="65">
        <f>ROUND(I41+I42-I28,3)</f>
        <v>646000000</v>
      </c>
      <c r="K60" s="65">
        <f>ROUND(K41+K42-K28,3)</f>
        <v>2136000000</v>
      </c>
      <c r="L60" s="65"/>
      <c r="M60" s="65">
        <f>ROUND(M41+M42-M28,3)</f>
        <v>2884000000</v>
      </c>
    </row>
    <row r="61" spans="1:30" x14ac:dyDescent="0.2">
      <c r="A61" s="82"/>
      <c r="L61" s="65"/>
    </row>
    <row r="62" spans="1:30" x14ac:dyDescent="0.2">
      <c r="A62" s="54" t="s">
        <v>131</v>
      </c>
      <c r="B62" s="54" t="s">
        <v>121</v>
      </c>
      <c r="C62" s="65">
        <f>C44+C43+C34+C30</f>
        <v>5533000000</v>
      </c>
      <c r="E62" s="65">
        <f>E44+E43+E34+E30</f>
        <v>5128000000</v>
      </c>
      <c r="G62" s="65">
        <f>G44+G43+G34+G30</f>
        <v>4967000000</v>
      </c>
      <c r="I62" s="65">
        <f>I44+I43+I34+I30</f>
        <v>4490000000</v>
      </c>
      <c r="K62" s="65">
        <f>K44+K43+K34+K30</f>
        <v>4255000000</v>
      </c>
      <c r="L62" s="65"/>
      <c r="M62" s="65">
        <f>M44+M43+M34+M30</f>
        <v>4001000000</v>
      </c>
    </row>
    <row r="81" spans="219:223" x14ac:dyDescent="0.2">
      <c r="HK81" s="84"/>
      <c r="HL81" s="84"/>
      <c r="HO81" s="54" t="s">
        <v>132</v>
      </c>
    </row>
  </sheetData>
  <mergeCells count="6">
    <mergeCell ref="AC25:AD25"/>
    <mergeCell ref="B6:M6"/>
    <mergeCell ref="B7:M7"/>
    <mergeCell ref="B8:M8"/>
    <mergeCell ref="W13:AB13"/>
    <mergeCell ref="AC24:AD24"/>
  </mergeCells>
  <printOptions horizontalCentered="1"/>
  <pageMargins left="0.75" right="0.75" top="1" bottom="1" header="0.5" footer="0.5"/>
  <pageSetup scale="37" orientation="landscape" horizontalDpi="300" verticalDpi="300" r:id="rId1"/>
  <headerFooter alignWithMargins="0">
    <oddHeader>&amp;R&amp;A
Page &amp;P of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9DAB-A2C6-46A4-9061-F066F9D3735E}">
  <dimension ref="A1:O26"/>
  <sheetViews>
    <sheetView showOutlineSymbols="0" zoomScale="90" zoomScaleNormal="90" workbookViewId="0"/>
  </sheetViews>
  <sheetFormatPr defaultColWidth="9" defaultRowHeight="15.75" x14ac:dyDescent="0.25"/>
  <cols>
    <col min="1" max="1" width="9" style="20"/>
    <col min="2" max="2" width="40" style="20" bestFit="1" customWidth="1"/>
    <col min="3" max="3" width="18.5703125" style="20" bestFit="1" customWidth="1"/>
    <col min="4" max="4" width="29" style="20" bestFit="1" customWidth="1"/>
    <col min="5" max="5" width="27.28515625" style="20" bestFit="1" customWidth="1"/>
    <col min="6" max="6" width="27" style="20" customWidth="1"/>
    <col min="7" max="7" width="26.28515625" style="20" bestFit="1" customWidth="1"/>
    <col min="8" max="8" width="2" style="20" bestFit="1" customWidth="1"/>
    <col min="9" max="9" width="15" style="20" customWidth="1"/>
    <col min="10" max="10" width="2" style="20" customWidth="1"/>
    <col min="11" max="11" width="21.7109375" style="20" customWidth="1"/>
    <col min="12" max="12" width="9" style="20"/>
    <col min="13" max="13" width="9.28515625" style="20" bestFit="1" customWidth="1"/>
    <col min="14" max="14" width="15" style="20" customWidth="1"/>
    <col min="15" max="15" width="14.7109375" style="20" customWidth="1"/>
    <col min="16" max="16384" width="9" style="20"/>
  </cols>
  <sheetData>
    <row r="1" spans="1:15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5" ht="47.25" x14ac:dyDescent="0.25">
      <c r="A2" s="35" t="s">
        <v>37</v>
      </c>
      <c r="B2" s="36" t="s">
        <v>38</v>
      </c>
      <c r="C2" s="36" t="s">
        <v>39</v>
      </c>
      <c r="D2" s="37" t="s">
        <v>40</v>
      </c>
      <c r="E2" s="37" t="s">
        <v>41</v>
      </c>
      <c r="F2" s="37" t="s">
        <v>42</v>
      </c>
      <c r="G2" s="37" t="s">
        <v>43</v>
      </c>
      <c r="H2" s="35"/>
      <c r="I2" s="35"/>
      <c r="J2" s="35"/>
      <c r="K2" s="35"/>
    </row>
    <row r="3" spans="1:15" ht="46.15" customHeight="1" x14ac:dyDescent="0.25">
      <c r="A3" s="35"/>
      <c r="B3" s="35"/>
      <c r="C3" s="35"/>
      <c r="D3" s="38" t="s">
        <v>44</v>
      </c>
      <c r="E3" s="38" t="s">
        <v>44</v>
      </c>
      <c r="F3" s="38" t="s">
        <v>44</v>
      </c>
      <c r="G3" s="38" t="s">
        <v>44</v>
      </c>
      <c r="H3" s="35"/>
      <c r="I3" s="39" t="s">
        <v>45</v>
      </c>
      <c r="J3" s="39"/>
      <c r="K3" s="39" t="s">
        <v>46</v>
      </c>
      <c r="M3" s="40"/>
      <c r="O3" s="20" t="s">
        <v>47</v>
      </c>
    </row>
    <row r="4" spans="1:15" x14ac:dyDescent="0.25">
      <c r="A4" s="35"/>
      <c r="B4" s="35"/>
      <c r="C4" s="35"/>
      <c r="D4" s="38"/>
      <c r="E4" s="38"/>
      <c r="F4" s="38"/>
      <c r="G4" s="38"/>
      <c r="H4" s="35"/>
      <c r="I4" s="38" t="s">
        <v>48</v>
      </c>
      <c r="J4" s="38"/>
      <c r="K4" s="38" t="s">
        <v>48</v>
      </c>
    </row>
    <row r="5" spans="1:15" x14ac:dyDescent="0.25">
      <c r="A5" s="41" t="s">
        <v>16</v>
      </c>
      <c r="B5" s="32" t="s">
        <v>15</v>
      </c>
      <c r="C5" s="41">
        <v>4057157</v>
      </c>
      <c r="D5" s="42">
        <v>12157669</v>
      </c>
      <c r="E5" s="42">
        <v>0</v>
      </c>
      <c r="F5" s="42">
        <v>8129213</v>
      </c>
      <c r="G5" s="42">
        <v>0</v>
      </c>
      <c r="H5" s="35"/>
      <c r="I5" s="43">
        <f>(D5)/SUM($D5:$G5)</f>
        <v>0.5992872142697927</v>
      </c>
      <c r="J5" s="43"/>
      <c r="K5" s="43">
        <f>SUM($F5:$G5)/SUM($D5:$G5)</f>
        <v>0.40071278573020735</v>
      </c>
      <c r="O5" s="44">
        <f t="shared" ref="O5:O12" si="0">SUM(I5,K5)</f>
        <v>1</v>
      </c>
    </row>
    <row r="6" spans="1:15" x14ac:dyDescent="0.25">
      <c r="A6" s="41" t="s">
        <v>19</v>
      </c>
      <c r="B6" s="32" t="s">
        <v>18</v>
      </c>
      <c r="C6" s="41">
        <v>4061755</v>
      </c>
      <c r="D6" s="45">
        <v>1973236</v>
      </c>
      <c r="E6" s="45">
        <v>0</v>
      </c>
      <c r="F6" s="42">
        <v>1668594</v>
      </c>
      <c r="G6" s="45">
        <v>55100</v>
      </c>
      <c r="H6" s="35"/>
      <c r="I6" s="43">
        <f t="shared" ref="I6:I12" si="1">(D6)/SUM($D6:$G6)</f>
        <v>0.53374989518330074</v>
      </c>
      <c r="J6" s="43"/>
      <c r="K6" s="43">
        <f t="shared" ref="K6:K12" si="2">SUM($F6:$G6)/SUM($D6:$G6)</f>
        <v>0.46625010481669926</v>
      </c>
      <c r="M6" s="43"/>
      <c r="O6" s="44">
        <f t="shared" si="0"/>
        <v>1</v>
      </c>
    </row>
    <row r="7" spans="1:15" x14ac:dyDescent="0.25">
      <c r="A7" s="41" t="s">
        <v>21</v>
      </c>
      <c r="B7" s="32" t="s">
        <v>20</v>
      </c>
      <c r="C7" s="41">
        <v>4012860</v>
      </c>
      <c r="D7" s="42">
        <v>6182706.2120000003</v>
      </c>
      <c r="E7" s="42">
        <v>0</v>
      </c>
      <c r="F7" s="42">
        <v>4433964.7759999996</v>
      </c>
      <c r="G7" s="42" t="s">
        <v>49</v>
      </c>
      <c r="H7" s="35"/>
      <c r="I7" s="43">
        <f t="shared" si="1"/>
        <v>0.58235827586522171</v>
      </c>
      <c r="J7" s="43"/>
      <c r="K7" s="43">
        <f t="shared" si="2"/>
        <v>0.41764172413477824</v>
      </c>
      <c r="M7" s="46"/>
      <c r="O7" s="44">
        <f t="shared" si="0"/>
        <v>1</v>
      </c>
    </row>
    <row r="8" spans="1:15" x14ac:dyDescent="0.25">
      <c r="A8" s="32" t="s">
        <v>23</v>
      </c>
      <c r="B8" s="32" t="s">
        <v>22</v>
      </c>
      <c r="C8" s="32">
        <v>10344596</v>
      </c>
      <c r="D8" s="20">
        <v>1324050</v>
      </c>
      <c r="E8" s="20">
        <v>0</v>
      </c>
      <c r="F8" s="42">
        <v>1442643</v>
      </c>
      <c r="G8" s="42">
        <v>136510</v>
      </c>
      <c r="H8" s="35"/>
      <c r="I8" s="43">
        <f t="shared" si="1"/>
        <v>0.45606524931256959</v>
      </c>
      <c r="J8" s="43"/>
      <c r="K8" s="43">
        <f t="shared" si="2"/>
        <v>0.54393475068743036</v>
      </c>
      <c r="M8" s="43"/>
      <c r="O8" s="44">
        <f t="shared" si="0"/>
        <v>1</v>
      </c>
    </row>
    <row r="9" spans="1:15" x14ac:dyDescent="0.25">
      <c r="A9" s="32" t="s">
        <v>25</v>
      </c>
      <c r="B9" s="32" t="s">
        <v>24</v>
      </c>
      <c r="C9" s="38">
        <v>4427129</v>
      </c>
      <c r="D9" s="47">
        <v>3104548</v>
      </c>
      <c r="E9" s="47">
        <v>0</v>
      </c>
      <c r="F9" s="47">
        <v>2430856</v>
      </c>
      <c r="G9" s="47">
        <v>914600</v>
      </c>
      <c r="H9" s="35"/>
      <c r="I9" s="43">
        <f t="shared" si="1"/>
        <v>0.48132497282172226</v>
      </c>
      <c r="J9" s="43"/>
      <c r="K9" s="43">
        <f t="shared" si="2"/>
        <v>0.51867502717827774</v>
      </c>
      <c r="M9" s="43"/>
      <c r="O9" s="44">
        <f t="shared" si="0"/>
        <v>1</v>
      </c>
    </row>
    <row r="10" spans="1:15" x14ac:dyDescent="0.25">
      <c r="A10" s="32" t="s">
        <v>27</v>
      </c>
      <c r="B10" s="32" t="s">
        <v>26</v>
      </c>
      <c r="C10" s="32">
        <v>4884928</v>
      </c>
      <c r="D10" s="20">
        <v>3271862</v>
      </c>
      <c r="E10" s="20">
        <v>0</v>
      </c>
      <c r="F10" s="42">
        <v>3504477</v>
      </c>
      <c r="G10" s="42">
        <v>0</v>
      </c>
      <c r="H10" s="35"/>
      <c r="I10" s="43">
        <f t="shared" si="1"/>
        <v>0.48283623354734762</v>
      </c>
      <c r="J10" s="43"/>
      <c r="K10" s="43">
        <f t="shared" si="2"/>
        <v>0.51716376645265238</v>
      </c>
      <c r="M10" s="47"/>
      <c r="O10" s="44">
        <f t="shared" si="0"/>
        <v>1</v>
      </c>
    </row>
    <row r="11" spans="1:15" x14ac:dyDescent="0.25">
      <c r="A11" s="41" t="s">
        <v>29</v>
      </c>
      <c r="B11" s="32" t="s">
        <v>28</v>
      </c>
      <c r="C11" s="41">
        <v>4004296</v>
      </c>
      <c r="D11" s="48">
        <v>948300</v>
      </c>
      <c r="E11" s="48">
        <v>0</v>
      </c>
      <c r="F11" s="42">
        <v>770500</v>
      </c>
      <c r="G11" s="42">
        <v>48400</v>
      </c>
      <c r="H11" s="35"/>
      <c r="I11" s="43">
        <f t="shared" si="1"/>
        <v>0.53661158895427796</v>
      </c>
      <c r="J11" s="43"/>
      <c r="K11" s="43">
        <f t="shared" si="2"/>
        <v>0.46338841104572204</v>
      </c>
      <c r="M11" s="43"/>
      <c r="O11" s="44">
        <f t="shared" si="0"/>
        <v>1</v>
      </c>
    </row>
    <row r="12" spans="1:15" x14ac:dyDescent="0.25">
      <c r="A12" s="182" t="s">
        <v>29</v>
      </c>
      <c r="B12" s="183" t="s">
        <v>30</v>
      </c>
      <c r="C12" s="38">
        <v>4060957</v>
      </c>
      <c r="D12" s="47">
        <v>1963700</v>
      </c>
      <c r="E12" s="47">
        <v>0</v>
      </c>
      <c r="F12" s="47">
        <v>1805200</v>
      </c>
      <c r="G12" s="47">
        <v>495300</v>
      </c>
      <c r="H12" s="35"/>
      <c r="I12" s="43">
        <f t="shared" si="1"/>
        <v>0.46050841892969374</v>
      </c>
      <c r="J12" s="43"/>
      <c r="K12" s="43">
        <f t="shared" si="2"/>
        <v>0.53949158107030626</v>
      </c>
      <c r="M12" s="47"/>
      <c r="O12" s="44">
        <f t="shared" si="0"/>
        <v>1</v>
      </c>
    </row>
    <row r="13" spans="1:15" x14ac:dyDescent="0.25">
      <c r="A13" s="49"/>
      <c r="B13" s="50"/>
      <c r="C13" s="38"/>
      <c r="D13" s="47"/>
      <c r="E13" s="47"/>
      <c r="F13" s="47"/>
      <c r="G13" s="47"/>
      <c r="H13" s="35"/>
      <c r="I13" s="43"/>
      <c r="J13" s="43"/>
      <c r="K13" s="43"/>
      <c r="M13" s="43"/>
      <c r="O13" s="44"/>
    </row>
    <row r="14" spans="1:15" x14ac:dyDescent="0.25">
      <c r="A14" s="49"/>
      <c r="B14" s="50"/>
      <c r="C14" s="38"/>
      <c r="D14" s="47"/>
      <c r="E14" s="47"/>
      <c r="F14" s="47"/>
      <c r="G14" s="47"/>
      <c r="H14" s="35"/>
      <c r="I14" s="43"/>
      <c r="J14" s="43"/>
      <c r="K14" s="43"/>
      <c r="M14" s="43"/>
      <c r="O14" s="44"/>
    </row>
    <row r="15" spans="1:15" x14ac:dyDescent="0.25">
      <c r="A15" s="49" t="s">
        <v>50</v>
      </c>
      <c r="B15" s="50"/>
      <c r="C15" s="38"/>
      <c r="D15" s="47"/>
      <c r="E15" s="47"/>
      <c r="F15" s="47"/>
      <c r="G15" s="47"/>
      <c r="H15" s="35"/>
      <c r="I15" s="43"/>
      <c r="J15" s="43"/>
      <c r="K15" s="43"/>
      <c r="M15" s="43"/>
      <c r="O15" s="44"/>
    </row>
    <row r="16" spans="1:15" x14ac:dyDescent="0.25">
      <c r="A16" s="20" t="s">
        <v>51</v>
      </c>
      <c r="B16" s="27"/>
      <c r="C16" s="41"/>
      <c r="D16" s="47"/>
      <c r="E16" s="47"/>
      <c r="F16" s="47"/>
      <c r="G16" s="51"/>
      <c r="H16" s="35"/>
      <c r="I16" s="43"/>
      <c r="J16" s="43"/>
      <c r="M16" s="43"/>
      <c r="O16" s="44"/>
    </row>
    <row r="17" spans="1:10" x14ac:dyDescent="0.25">
      <c r="A17" s="20" t="s">
        <v>52</v>
      </c>
      <c r="B17" s="27"/>
      <c r="C17" s="41"/>
      <c r="D17" s="47"/>
      <c r="E17" s="47"/>
      <c r="F17" s="47"/>
      <c r="G17" s="45"/>
      <c r="I17" s="43"/>
      <c r="J17" s="43"/>
    </row>
    <row r="18" spans="1:10" x14ac:dyDescent="0.25">
      <c r="G18" s="45"/>
      <c r="I18" s="43"/>
      <c r="J18" s="43"/>
    </row>
    <row r="19" spans="1:10" x14ac:dyDescent="0.25">
      <c r="D19" s="52"/>
      <c r="G19" s="45"/>
      <c r="I19" s="43"/>
      <c r="J19" s="43"/>
    </row>
    <row r="20" spans="1:10" x14ac:dyDescent="0.25">
      <c r="G20" s="45"/>
      <c r="I20" s="43"/>
      <c r="J20" s="43"/>
    </row>
    <row r="21" spans="1:10" x14ac:dyDescent="0.25">
      <c r="D21" s="52"/>
      <c r="G21" s="45"/>
      <c r="I21" s="43"/>
      <c r="J21" s="43"/>
    </row>
    <row r="22" spans="1:10" x14ac:dyDescent="0.25">
      <c r="G22" s="45"/>
    </row>
    <row r="24" spans="1:10" x14ac:dyDescent="0.25">
      <c r="G24" s="53"/>
    </row>
    <row r="25" spans="1:10" x14ac:dyDescent="0.25">
      <c r="B25" s="32"/>
      <c r="C25" s="32"/>
      <c r="D25" s="32"/>
      <c r="E25" s="32"/>
      <c r="F25" s="32"/>
      <c r="G25" s="41"/>
    </row>
    <row r="26" spans="1:10" x14ac:dyDescent="0.25">
      <c r="B26" s="32"/>
      <c r="C26" s="32"/>
      <c r="D26" s="32"/>
      <c r="E26" s="32"/>
      <c r="F26" s="32"/>
      <c r="G26" s="32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BA47-7529-4C36-A3D6-2139498D72C6}">
  <sheetPr>
    <pageSetUpPr fitToPage="1"/>
  </sheetPr>
  <dimension ref="A1:HO154"/>
  <sheetViews>
    <sheetView zoomScale="80" zoomScaleNormal="80" workbookViewId="0">
      <selection activeCell="G12" sqref="G12"/>
    </sheetView>
  </sheetViews>
  <sheetFormatPr defaultColWidth="9.140625" defaultRowHeight="12.75" x14ac:dyDescent="0.2"/>
  <cols>
    <col min="1" max="1" width="36.140625" style="54" customWidth="1"/>
    <col min="2" max="2" width="15.140625" style="54" bestFit="1" customWidth="1"/>
    <col min="3" max="3" width="19.42578125" style="55" bestFit="1" customWidth="1"/>
    <col min="4" max="4" width="1.85546875" style="54" customWidth="1"/>
    <col min="5" max="5" width="19.42578125" style="55" bestFit="1" customWidth="1"/>
    <col min="6" max="6" width="1.85546875" style="54" customWidth="1"/>
    <col min="7" max="7" width="19.42578125" style="55" bestFit="1" customWidth="1"/>
    <col min="8" max="8" width="1.85546875" style="54" customWidth="1"/>
    <col min="9" max="9" width="17.85546875" style="54" bestFit="1" customWidth="1"/>
    <col min="10" max="10" width="1.85546875" style="54" customWidth="1"/>
    <col min="11" max="11" width="18.5703125" style="54" customWidth="1"/>
    <col min="12" max="12" width="2.5703125" style="54" customWidth="1"/>
    <col min="13" max="13" width="18.5703125" style="54" customWidth="1"/>
    <col min="14" max="16" width="3.140625" style="54" customWidth="1"/>
    <col min="17" max="17" width="53.140625" style="54" bestFit="1" customWidth="1"/>
    <col min="18" max="18" width="3.140625" style="54" customWidth="1"/>
    <col min="19" max="19" width="14.85546875" style="54" customWidth="1"/>
    <col min="20" max="20" width="3.140625" style="54" customWidth="1"/>
    <col min="21" max="21" width="14.85546875" style="54" customWidth="1"/>
    <col min="22" max="22" width="3.140625" style="54" customWidth="1"/>
    <col min="23" max="23" width="13.140625" style="54" customWidth="1"/>
    <col min="24" max="24" width="2.85546875" style="54" customWidth="1"/>
    <col min="25" max="25" width="12.140625" style="54" customWidth="1"/>
    <col min="26" max="26" width="2.5703125" style="54" bestFit="1" customWidth="1"/>
    <col min="27" max="27" width="11.5703125" style="54" customWidth="1"/>
    <col min="28" max="28" width="2.5703125" style="54" customWidth="1"/>
    <col min="29" max="29" width="10.5703125" style="54" customWidth="1"/>
    <col min="30" max="30" width="2.5703125" style="54" customWidth="1"/>
    <col min="31" max="31" width="9.140625" style="54"/>
    <col min="32" max="32" width="4.42578125" style="54" customWidth="1"/>
    <col min="33" max="33" width="3.5703125" style="54" customWidth="1"/>
    <col min="34" max="34" width="22.140625" style="54" customWidth="1"/>
    <col min="35" max="16384" width="9.140625" style="54"/>
  </cols>
  <sheetData>
    <row r="1" spans="1:29" ht="16.350000000000001" customHeight="1" x14ac:dyDescent="0.2"/>
    <row r="2" spans="1:29" ht="16.350000000000001" customHeight="1" x14ac:dyDescent="0.2"/>
    <row r="3" spans="1:29" ht="16.350000000000001" customHeight="1" x14ac:dyDescent="0.2"/>
    <row r="4" spans="1:29" ht="16.350000000000001" customHeight="1" thickBot="1" x14ac:dyDescent="0.25"/>
    <row r="5" spans="1:29" ht="15" x14ac:dyDescent="0.35">
      <c r="A5" s="56" t="s">
        <v>37</v>
      </c>
    </row>
    <row r="6" spans="1:29" ht="13.5" customHeight="1" thickBot="1" x14ac:dyDescent="0.3">
      <c r="A6" s="57" t="s">
        <v>16</v>
      </c>
      <c r="I6" s="195" t="s">
        <v>53</v>
      </c>
      <c r="J6" s="198"/>
      <c r="K6" s="198"/>
      <c r="L6" s="198"/>
      <c r="M6" s="198"/>
      <c r="N6" s="60"/>
      <c r="O6" s="60"/>
      <c r="P6" s="60"/>
      <c r="Q6" s="60" t="str">
        <f>I6</f>
        <v xml:space="preserve">Atmos Energy        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2.75" customHeight="1" x14ac:dyDescent="0.25">
      <c r="I7" s="195" t="s">
        <v>54</v>
      </c>
      <c r="J7" s="198"/>
      <c r="K7" s="198"/>
      <c r="L7" s="198"/>
      <c r="M7" s="198"/>
      <c r="N7" s="61"/>
      <c r="O7" s="61"/>
      <c r="P7" s="61"/>
      <c r="Q7" s="61" t="str">
        <f>I7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2.75" customHeight="1" x14ac:dyDescent="0.25">
      <c r="I8" s="195" t="s">
        <v>55</v>
      </c>
      <c r="J8" s="198"/>
      <c r="K8" s="198"/>
      <c r="L8" s="198"/>
      <c r="M8" s="198"/>
      <c r="N8" s="62"/>
      <c r="O8" s="62"/>
      <c r="P8" s="62"/>
      <c r="Q8" s="62" t="str">
        <f>I8</f>
        <v>2019- 2024,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56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64">
        <f>(7783646+1651)*1000</f>
        <v>7785297000</v>
      </c>
      <c r="E12" s="64">
        <f>(6554133+1568)*1000</f>
        <v>6555701000</v>
      </c>
      <c r="G12" s="64">
        <f>(5760647+2201457)*1000-200000</f>
        <v>7961904000</v>
      </c>
      <c r="I12" s="65">
        <f>4930205000+2400452000-2200000000</f>
        <v>5130657000</v>
      </c>
      <c r="K12" s="65">
        <f>4531779000+165000</f>
        <v>4531944000</v>
      </c>
      <c r="M12" s="65">
        <f>3529452000</f>
        <v>3529452000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x14ac:dyDescent="0.2">
      <c r="A13" s="54" t="s">
        <v>60</v>
      </c>
      <c r="B13" s="54" t="s">
        <v>61</v>
      </c>
      <c r="C13" s="65">
        <v>0</v>
      </c>
      <c r="D13" s="65"/>
      <c r="E13" s="65">
        <v>0</v>
      </c>
      <c r="F13" s="65"/>
      <c r="G13" s="65">
        <v>0</v>
      </c>
      <c r="I13" s="65">
        <v>0</v>
      </c>
      <c r="K13" s="65">
        <v>0</v>
      </c>
      <c r="M13" s="65">
        <v>0</v>
      </c>
      <c r="Y13" s="61" t="s">
        <v>62</v>
      </c>
      <c r="Z13" s="61"/>
      <c r="AA13" s="61"/>
      <c r="AB13" s="61"/>
      <c r="AC13" s="61" t="s">
        <v>63</v>
      </c>
    </row>
    <row r="14" spans="1:29" x14ac:dyDescent="0.2">
      <c r="I14" s="65"/>
      <c r="K14" s="65"/>
      <c r="M14" s="65"/>
      <c r="N14" s="66"/>
      <c r="O14" s="66"/>
      <c r="P14" s="66"/>
      <c r="Q14" s="66" t="s">
        <v>64</v>
      </c>
      <c r="R14" s="66"/>
      <c r="S14" s="66"/>
      <c r="T14" s="66"/>
      <c r="U14" s="66"/>
      <c r="V14" s="66"/>
      <c r="W14" s="66"/>
      <c r="X14" s="66"/>
    </row>
    <row r="15" spans="1:29" x14ac:dyDescent="0.2">
      <c r="A15" s="54" t="s">
        <v>65</v>
      </c>
      <c r="B15" s="54" t="s">
        <v>66</v>
      </c>
      <c r="C15" s="67">
        <v>155258845</v>
      </c>
      <c r="E15" s="67">
        <v>148492783</v>
      </c>
      <c r="G15" s="67">
        <v>140896598</v>
      </c>
      <c r="I15" s="65">
        <v>132419754</v>
      </c>
      <c r="K15" s="65">
        <v>125882477</v>
      </c>
      <c r="M15" s="65">
        <v>119338925</v>
      </c>
    </row>
    <row r="16" spans="1:29" x14ac:dyDescent="0.2">
      <c r="A16" s="54" t="s">
        <v>6</v>
      </c>
      <c r="B16" s="54" t="s">
        <v>67</v>
      </c>
      <c r="C16" s="68">
        <v>12157669000</v>
      </c>
      <c r="E16" s="68">
        <v>10870064000</v>
      </c>
      <c r="G16" s="68">
        <v>9419091000</v>
      </c>
      <c r="I16" s="65">
        <v>7906889000</v>
      </c>
      <c r="K16" s="65">
        <v>6791203000</v>
      </c>
      <c r="M16" s="65">
        <v>5750223000</v>
      </c>
      <c r="N16" s="66"/>
      <c r="O16" s="66"/>
      <c r="P16" s="66"/>
      <c r="Q16" s="66" t="s">
        <v>68</v>
      </c>
      <c r="R16" s="66"/>
      <c r="S16" s="66"/>
      <c r="T16" s="66"/>
      <c r="U16" s="66"/>
      <c r="V16" s="66"/>
    </row>
    <row r="17" spans="1:30" x14ac:dyDescent="0.2">
      <c r="A17" s="54" t="s">
        <v>69</v>
      </c>
      <c r="B17" s="54" t="s">
        <v>66</v>
      </c>
      <c r="C17" s="65">
        <v>0</v>
      </c>
      <c r="D17" s="65"/>
      <c r="E17" s="65">
        <v>0</v>
      </c>
      <c r="F17" s="65"/>
      <c r="G17" s="65">
        <v>0</v>
      </c>
      <c r="I17" s="65">
        <v>0</v>
      </c>
      <c r="K17" s="65">
        <v>0</v>
      </c>
      <c r="M17" s="65">
        <v>0</v>
      </c>
      <c r="Q17" s="54" t="s">
        <v>70</v>
      </c>
      <c r="S17" s="69">
        <f>C50/1000000</f>
        <v>19942.966</v>
      </c>
      <c r="U17" s="69">
        <f>E50/1000000</f>
        <v>17425.764999999999</v>
      </c>
      <c r="W17" s="69">
        <f>G50/1000000</f>
        <v>17380.994999999999</v>
      </c>
      <c r="Y17" s="69">
        <f>I50/1000000</f>
        <v>13037.546</v>
      </c>
      <c r="Z17" s="69"/>
      <c r="AA17" s="69">
        <f>K50/1000000</f>
        <v>11323.147000000001</v>
      </c>
      <c r="AB17" s="69"/>
    </row>
    <row r="18" spans="1:30" x14ac:dyDescent="0.2">
      <c r="I18" s="65"/>
      <c r="K18" s="65"/>
      <c r="M18" s="65"/>
      <c r="Q18" s="54" t="s">
        <v>71</v>
      </c>
      <c r="S18" s="70">
        <f>C19/1000000</f>
        <v>0</v>
      </c>
      <c r="U18" s="70">
        <f>E19/1000000</f>
        <v>241.93299999999999</v>
      </c>
      <c r="W18" s="70">
        <f>G19/1000000</f>
        <v>184.96700000000001</v>
      </c>
      <c r="Y18" s="70">
        <f>I19/1000000</f>
        <v>0</v>
      </c>
      <c r="Z18" s="69"/>
      <c r="AA18" s="70">
        <f>K19/1000000</f>
        <v>0</v>
      </c>
      <c r="AB18" s="69"/>
    </row>
    <row r="19" spans="1:30" x14ac:dyDescent="0.2">
      <c r="A19" s="54" t="s">
        <v>72</v>
      </c>
      <c r="B19" s="54" t="s">
        <v>73</v>
      </c>
      <c r="C19" s="64">
        <v>0</v>
      </c>
      <c r="D19" s="64"/>
      <c r="E19" s="64">
        <f>241933*1000</f>
        <v>241933000</v>
      </c>
      <c r="F19" s="64"/>
      <c r="G19" s="64">
        <v>184967000</v>
      </c>
      <c r="H19" s="64"/>
      <c r="I19" s="64">
        <v>0</v>
      </c>
      <c r="J19" s="64"/>
      <c r="K19" s="64">
        <v>0</v>
      </c>
      <c r="L19" s="64"/>
      <c r="M19" s="64">
        <v>464915000</v>
      </c>
      <c r="Q19" s="54" t="s">
        <v>74</v>
      </c>
      <c r="S19" s="71">
        <f>SUM(S17:S18)</f>
        <v>19942.966</v>
      </c>
      <c r="U19" s="71">
        <f>SUM(U17:U18)</f>
        <v>17667.698</v>
      </c>
      <c r="W19" s="71">
        <f>SUM(W17:W18)</f>
        <v>17565.962</v>
      </c>
      <c r="Y19" s="71">
        <f>SUM(Y17:Y18)</f>
        <v>13037.546</v>
      </c>
      <c r="Z19" s="69"/>
      <c r="AA19" s="71">
        <f>SUM(AA17:AA18)</f>
        <v>11323.147000000001</v>
      </c>
      <c r="AB19" s="69"/>
    </row>
    <row r="20" spans="1:30" x14ac:dyDescent="0.2">
      <c r="I20" s="65"/>
      <c r="K20" s="65"/>
      <c r="M20" s="65"/>
    </row>
    <row r="21" spans="1:30" x14ac:dyDescent="0.2">
      <c r="A21" s="54" t="s">
        <v>75</v>
      </c>
      <c r="B21" s="54" t="s">
        <v>76</v>
      </c>
      <c r="C21" s="64">
        <v>6.83</v>
      </c>
      <c r="D21" s="64"/>
      <c r="E21" s="64">
        <v>6.1</v>
      </c>
      <c r="F21" s="64"/>
      <c r="G21" s="64">
        <v>5.61</v>
      </c>
      <c r="H21" s="64"/>
      <c r="I21" s="64">
        <v>5.12</v>
      </c>
      <c r="J21" s="64"/>
      <c r="K21" s="64">
        <v>4.8899999999999997</v>
      </c>
      <c r="L21" s="64"/>
      <c r="M21" s="64">
        <v>4.3499999999999996</v>
      </c>
      <c r="N21" s="66"/>
      <c r="O21" s="66"/>
      <c r="P21" s="66"/>
      <c r="Q21" s="66" t="s">
        <v>77</v>
      </c>
      <c r="R21" s="66"/>
      <c r="T21" s="66"/>
      <c r="V21" s="66"/>
      <c r="X21" s="66"/>
    </row>
    <row r="22" spans="1:30" x14ac:dyDescent="0.2">
      <c r="A22" s="54" t="s">
        <v>78</v>
      </c>
      <c r="B22" s="54" t="s">
        <v>79</v>
      </c>
      <c r="C22" s="64">
        <v>151.43</v>
      </c>
      <c r="E22" s="64">
        <v>124.41</v>
      </c>
      <c r="G22" s="64">
        <v>122.69</v>
      </c>
      <c r="I22" s="54">
        <v>104.83</v>
      </c>
      <c r="K22" s="65">
        <v>120.57</v>
      </c>
      <c r="M22" s="65">
        <v>114.65</v>
      </c>
      <c r="Q22" s="54" t="s">
        <v>80</v>
      </c>
      <c r="S22" s="72">
        <f>(ROUND((C30/(AVERAGE(C54,E54))*100),2))</f>
        <v>2.61</v>
      </c>
      <c r="T22" s="73" t="s">
        <v>4</v>
      </c>
      <c r="U22" s="72">
        <f>(ROUND((E30/(AVERAGE(E54,G54))*100),2))</f>
        <v>1.84</v>
      </c>
      <c r="V22" s="73" t="s">
        <v>4</v>
      </c>
      <c r="W22" s="72">
        <f>(ROUND((G30/(AVERAGE(G54,I54))*100),2))</f>
        <v>1.55</v>
      </c>
      <c r="X22" s="73" t="s">
        <v>4</v>
      </c>
      <c r="Y22" s="72">
        <f>(ROUND((I30/(AVERAGE(I54,K54))*100),2))</f>
        <v>1.73</v>
      </c>
      <c r="Z22" s="73" t="s">
        <v>4</v>
      </c>
      <c r="AA22" s="72">
        <f>(ROUND((K30/(AVERAGE(K54,M54))*100),2))</f>
        <v>1.98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64">
        <v>110.89</v>
      </c>
      <c r="E23" s="64">
        <v>102.76</v>
      </c>
      <c r="G23" s="64">
        <v>98.11</v>
      </c>
      <c r="I23" s="54">
        <v>84.61</v>
      </c>
      <c r="K23" s="65">
        <v>80.5</v>
      </c>
      <c r="M23" s="65">
        <v>89.33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I24" s="65"/>
      <c r="K24" s="65"/>
      <c r="M24" s="65"/>
      <c r="AC24" s="194" t="s">
        <v>1</v>
      </c>
      <c r="AD24" s="194"/>
    </row>
    <row r="25" spans="1:30" x14ac:dyDescent="0.2">
      <c r="I25" s="65"/>
      <c r="K25" s="65"/>
      <c r="M25" s="65"/>
      <c r="N25" s="66"/>
      <c r="O25" s="66"/>
      <c r="P25" s="66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64">
        <v>3.22</v>
      </c>
      <c r="E26" s="64">
        <v>2.96</v>
      </c>
      <c r="G26" s="64">
        <v>2.72</v>
      </c>
      <c r="I26" s="64">
        <v>2.5</v>
      </c>
      <c r="J26" s="64"/>
      <c r="K26" s="64">
        <v>2.2999999999999998</v>
      </c>
      <c r="L26" s="64"/>
      <c r="M26" s="64">
        <v>2.1</v>
      </c>
      <c r="Q26" s="54" t="s">
        <v>85</v>
      </c>
    </row>
    <row r="27" spans="1:30" x14ac:dyDescent="0.2">
      <c r="I27" s="65"/>
      <c r="K27" s="65"/>
      <c r="M27" s="65"/>
      <c r="Q27" s="54" t="s">
        <v>86</v>
      </c>
      <c r="S27" s="72">
        <f>ROUND(((C12/C50)*100),2)</f>
        <v>39.04</v>
      </c>
      <c r="T27" s="73" t="s">
        <v>4</v>
      </c>
      <c r="U27" s="72">
        <f>ROUND(((E12/E50)*100),2)</f>
        <v>37.619999999999997</v>
      </c>
      <c r="V27" s="73" t="s">
        <v>4</v>
      </c>
      <c r="W27" s="72">
        <f>ROUND(((G12/G50)*100),2)</f>
        <v>45.81</v>
      </c>
      <c r="X27" s="73" t="s">
        <v>4</v>
      </c>
      <c r="Y27" s="72">
        <f>ROUND(((I12/I50)*100),2)</f>
        <v>39.35</v>
      </c>
      <c r="Z27" s="73" t="s">
        <v>4</v>
      </c>
      <c r="AA27" s="72">
        <f>ROUND(((K12/K50)*100),2)</f>
        <v>40.020000000000003</v>
      </c>
      <c r="AB27" s="73" t="s">
        <v>4</v>
      </c>
      <c r="AC27" s="72">
        <f>ROUND(AVERAGE(S27:AB27),2)</f>
        <v>40.369999999999997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8">
        <f>72889*1000</f>
        <v>72889000</v>
      </c>
      <c r="E28" s="68">
        <f>79827*1000</f>
        <v>79827000</v>
      </c>
      <c r="G28" s="68">
        <v>57658000</v>
      </c>
      <c r="I28" s="64">
        <v>44163000</v>
      </c>
      <c r="K28" s="64">
        <v>31929000</v>
      </c>
      <c r="M28" s="64">
        <v>18808000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I29" s="65"/>
      <c r="K29" s="65"/>
      <c r="M29" s="65"/>
      <c r="Q29" s="54" t="s">
        <v>89</v>
      </c>
      <c r="S29" s="74">
        <f>ROUND(((C16/C50)*100),2)</f>
        <v>60.96</v>
      </c>
      <c r="T29" s="73"/>
      <c r="U29" s="74">
        <f>ROUND(((E16/E50)*100),2)</f>
        <v>62.38</v>
      </c>
      <c r="V29" s="73"/>
      <c r="W29" s="74">
        <f>ROUND(((G16/G50)*100),2)</f>
        <v>54.19</v>
      </c>
      <c r="X29" s="73"/>
      <c r="Y29" s="74">
        <f>ROUND(((I16/I50)*100),2)</f>
        <v>60.65</v>
      </c>
      <c r="Z29" s="73"/>
      <c r="AA29" s="74">
        <f>ROUND(((K16/K50)*100),2)</f>
        <v>59.98</v>
      </c>
      <c r="AB29" s="73"/>
      <c r="AC29" s="72">
        <f>ROUND(AVERAGE(S29:AB29),2)</f>
        <v>59.63</v>
      </c>
      <c r="AD29" s="73"/>
    </row>
    <row r="30" spans="1:30" x14ac:dyDescent="0.2">
      <c r="A30" s="54" t="s">
        <v>90</v>
      </c>
      <c r="B30" s="54" t="s">
        <v>91</v>
      </c>
      <c r="C30" s="68">
        <f>190632*1000</f>
        <v>190632000</v>
      </c>
      <c r="E30" s="68">
        <f>137281*1000</f>
        <v>137281000</v>
      </c>
      <c r="G30" s="68">
        <v>102811000</v>
      </c>
      <c r="I30" s="64">
        <v>83554000</v>
      </c>
      <c r="K30" s="64">
        <v>84474000</v>
      </c>
      <c r="M30" s="64">
        <v>103153000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I31" s="65"/>
      <c r="K31" s="65"/>
      <c r="M31" s="65"/>
    </row>
    <row r="32" spans="1:30" x14ac:dyDescent="0.2">
      <c r="A32" s="54" t="s">
        <v>93</v>
      </c>
      <c r="B32" s="54" t="s">
        <v>94</v>
      </c>
      <c r="C32" s="64">
        <f>1042895*1000</f>
        <v>1042895000</v>
      </c>
      <c r="E32" s="64">
        <f>885862*1000</f>
        <v>885862000</v>
      </c>
      <c r="G32" s="64">
        <v>774398000</v>
      </c>
      <c r="I32" s="64">
        <v>665563000</v>
      </c>
      <c r="K32" s="64">
        <v>601443000</v>
      </c>
      <c r="M32" s="64">
        <v>511406000</v>
      </c>
      <c r="Q32" s="54" t="s">
        <v>95</v>
      </c>
    </row>
    <row r="33" spans="1:30" x14ac:dyDescent="0.2">
      <c r="A33" s="76"/>
      <c r="B33" s="76"/>
      <c r="C33" s="77"/>
      <c r="D33" s="76"/>
      <c r="E33" s="77"/>
      <c r="F33" s="76"/>
      <c r="G33" s="77"/>
      <c r="H33" s="76"/>
      <c r="I33" s="78"/>
      <c r="J33" s="76"/>
      <c r="K33" s="78"/>
      <c r="L33" s="76"/>
      <c r="M33" s="78"/>
      <c r="Q33" s="54" t="s">
        <v>96</v>
      </c>
      <c r="S33" s="72">
        <f>ROUND((((C12+C19)/C56)*100),2)</f>
        <v>39.04</v>
      </c>
      <c r="T33" s="73" t="s">
        <v>4</v>
      </c>
      <c r="U33" s="72">
        <f>ROUND((((E12+E19)/E56)*100),2)</f>
        <v>38.47</v>
      </c>
      <c r="V33" s="73" t="s">
        <v>4</v>
      </c>
      <c r="W33" s="72">
        <f>ROUND((((G12+G19)/G56)*100),2)</f>
        <v>46.38</v>
      </c>
      <c r="X33" s="73" t="s">
        <v>4</v>
      </c>
      <c r="Y33" s="72">
        <f>ROUND((((I12+I19)/I56)*100),2)</f>
        <v>39.35</v>
      </c>
      <c r="Z33" s="73" t="s">
        <v>4</v>
      </c>
      <c r="AA33" s="72">
        <f>ROUND((((K12+K19)/K56)*100),2)</f>
        <v>40.020000000000003</v>
      </c>
      <c r="AB33" s="73" t="s">
        <v>4</v>
      </c>
      <c r="AC33" s="72">
        <f>ROUND(AVERAGE(S33:AB33),2)</f>
        <v>40.65</v>
      </c>
      <c r="AD33" s="73" t="s">
        <v>4</v>
      </c>
    </row>
    <row r="34" spans="1:30" x14ac:dyDescent="0.2">
      <c r="A34" s="54" t="s">
        <v>97</v>
      </c>
      <c r="B34" s="54" t="s">
        <v>98</v>
      </c>
      <c r="C34" s="64">
        <f>C32</f>
        <v>1042895000</v>
      </c>
      <c r="E34" s="64">
        <f>E32</f>
        <v>885862000</v>
      </c>
      <c r="G34" s="64">
        <f>G32</f>
        <v>774398000</v>
      </c>
      <c r="I34" s="64">
        <f>I32</f>
        <v>665563000</v>
      </c>
      <c r="K34" s="64">
        <f>K32</f>
        <v>601443000</v>
      </c>
      <c r="M34" s="64">
        <f>M32</f>
        <v>511406000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I35" s="65"/>
      <c r="K35" s="65"/>
      <c r="M35" s="65"/>
      <c r="Q35" s="54" t="s">
        <v>89</v>
      </c>
      <c r="S35" s="74">
        <f>ROUND((((C16)/C56)*100),2)</f>
        <v>60.96</v>
      </c>
      <c r="T35" s="73"/>
      <c r="U35" s="74">
        <f>ROUND((((E16)/E56)*100),2)</f>
        <v>61.53</v>
      </c>
      <c r="V35" s="73"/>
      <c r="W35" s="74">
        <f>ROUND((((G16)/G56)*100),2)</f>
        <v>53.62</v>
      </c>
      <c r="X35" s="73"/>
      <c r="Y35" s="74">
        <f>ROUND((((I16)/I56)*100),2)</f>
        <v>60.65</v>
      </c>
      <c r="Z35" s="73"/>
      <c r="AA35" s="74">
        <f>ROUND((((K16)/K56)*100),2)</f>
        <v>59.98</v>
      </c>
      <c r="AB35" s="73"/>
      <c r="AC35" s="72">
        <f>ROUND(AVERAGE(S35:AB35),2)</f>
        <v>59.35</v>
      </c>
      <c r="AD35" s="73"/>
    </row>
    <row r="36" spans="1:30" x14ac:dyDescent="0.2">
      <c r="A36" s="54" t="s">
        <v>99</v>
      </c>
      <c r="B36" s="54" t="s">
        <v>100</v>
      </c>
      <c r="C36" s="65">
        <v>0</v>
      </c>
      <c r="D36" s="65"/>
      <c r="E36" s="65">
        <v>0</v>
      </c>
      <c r="F36" s="65"/>
      <c r="G36" s="65">
        <v>0</v>
      </c>
      <c r="I36" s="65">
        <v>0</v>
      </c>
      <c r="K36" s="65">
        <v>0</v>
      </c>
      <c r="M36" s="65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I37" s="65"/>
      <c r="K37" s="65"/>
      <c r="M37" s="65"/>
    </row>
    <row r="38" spans="1:30" x14ac:dyDescent="0.2">
      <c r="A38" s="54" t="s">
        <v>101</v>
      </c>
      <c r="B38" s="54" t="s">
        <v>102</v>
      </c>
      <c r="C38" s="68">
        <f>492950*1000</f>
        <v>492950000</v>
      </c>
      <c r="E38" s="68">
        <f>430345*1000</f>
        <v>430345000</v>
      </c>
      <c r="G38" s="68">
        <v>375914000</v>
      </c>
      <c r="I38" s="65">
        <v>323904000</v>
      </c>
      <c r="K38" s="65">
        <v>282444000</v>
      </c>
      <c r="M38" s="65">
        <v>245717000</v>
      </c>
    </row>
    <row r="39" spans="1:30" x14ac:dyDescent="0.2">
      <c r="I39" s="65"/>
      <c r="K39" s="65"/>
      <c r="M39" s="65"/>
    </row>
    <row r="40" spans="1:30" x14ac:dyDescent="0.2">
      <c r="A40" s="54" t="s">
        <v>103</v>
      </c>
      <c r="B40" s="54" t="s">
        <v>104</v>
      </c>
      <c r="C40" s="64">
        <f>C32</f>
        <v>1042895000</v>
      </c>
      <c r="E40" s="64">
        <f>E32</f>
        <v>885862000</v>
      </c>
      <c r="G40" s="55">
        <f>G32</f>
        <v>774398000</v>
      </c>
      <c r="I40" s="65">
        <f>I32</f>
        <v>665563000</v>
      </c>
      <c r="K40" s="65">
        <f>K34</f>
        <v>601443000</v>
      </c>
      <c r="M40" s="65">
        <f>M34</f>
        <v>511406000</v>
      </c>
      <c r="N40" s="66"/>
      <c r="O40" s="66"/>
      <c r="P40" s="66"/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4">
        <f>1733746*1000</f>
        <v>1733746000</v>
      </c>
      <c r="E41" s="64">
        <f>3459743*1000</f>
        <v>3459743000</v>
      </c>
      <c r="G41" s="55">
        <v>977584000</v>
      </c>
      <c r="I41" s="65">
        <f>-1084251000+2003659000+76652</f>
        <v>919484652</v>
      </c>
      <c r="K41" s="65">
        <v>1037999000</v>
      </c>
      <c r="M41" s="65">
        <v>968769000</v>
      </c>
      <c r="N41" s="66"/>
      <c r="O41" s="66"/>
      <c r="P41" s="66"/>
      <c r="Q41" s="66"/>
      <c r="R41" s="66"/>
    </row>
    <row r="42" spans="1:30" x14ac:dyDescent="0.2">
      <c r="A42" s="54" t="s">
        <v>108</v>
      </c>
      <c r="B42" s="54" t="s">
        <v>109</v>
      </c>
      <c r="C42" s="55">
        <f>(-40909+76322+17138-195369-4563-10287+58701)*1000</f>
        <v>-98967000</v>
      </c>
      <c r="E42" s="55">
        <f>(46859+112111+2021889-36041-172586-132575+30687+41788)*1000</f>
        <v>1912132000</v>
      </c>
      <c r="G42" s="55">
        <f>(-34325-179825-65979+13287+40394-152274+14958)*1000</f>
        <v>-363764000</v>
      </c>
      <c r="I42" s="65">
        <f>(-113665-66166-84705+136809+104242-166268-109349)*1000</f>
        <v>-299102000</v>
      </c>
      <c r="K42" s="65">
        <f>(7167+18188-35878-31935+7359-129543+30966)*1000</f>
        <v>-133676000</v>
      </c>
      <c r="M42" s="65">
        <f>(18724+35594-26590-58403+9908-103895+47976)*1000</f>
        <v>-76686000</v>
      </c>
      <c r="N42" s="66"/>
      <c r="O42" s="66"/>
      <c r="P42" s="66"/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4">
        <f>669972*1000</f>
        <v>669972000</v>
      </c>
      <c r="E43" s="64">
        <f>604327*1000</f>
        <v>604327000</v>
      </c>
      <c r="G43" s="55">
        <v>535655000</v>
      </c>
      <c r="I43" s="65">
        <v>477977000</v>
      </c>
      <c r="K43" s="65">
        <v>429828000</v>
      </c>
      <c r="M43" s="65">
        <v>391456000</v>
      </c>
      <c r="Q43" s="54" t="s">
        <v>113</v>
      </c>
      <c r="S43" s="72">
        <f>ROUND(C21/C52,4)*100</f>
        <v>5.21</v>
      </c>
      <c r="T43" s="73" t="s">
        <v>4</v>
      </c>
      <c r="U43" s="72">
        <f>ROUND(E21/E52,4)*100</f>
        <v>5.37</v>
      </c>
      <c r="V43" s="73" t="s">
        <v>4</v>
      </c>
      <c r="W43" s="72">
        <f>ROUND(G21/G52,4)*100</f>
        <v>5.08</v>
      </c>
      <c r="X43" s="73" t="s">
        <v>4</v>
      </c>
      <c r="Y43" s="72">
        <f>ROUND(I21/I52,4)*100</f>
        <v>5.41</v>
      </c>
      <c r="Z43" s="73" t="s">
        <v>4</v>
      </c>
      <c r="AA43" s="72">
        <f>ROUND(K21/K52,4)*100</f>
        <v>4.8599999999999994</v>
      </c>
      <c r="AB43" s="73" t="s">
        <v>4</v>
      </c>
      <c r="AC43" s="72">
        <f>ROUND(AVERAGE(S43:AB43),2)</f>
        <v>5.19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4">
        <f>192881*1000</f>
        <v>192881000</v>
      </c>
      <c r="E44" s="64">
        <f>113779*1000</f>
        <v>113779000</v>
      </c>
      <c r="G44" s="68">
        <v>77510000</v>
      </c>
      <c r="I44" s="65">
        <v>153736000</v>
      </c>
      <c r="K44" s="65">
        <v>145353000</v>
      </c>
      <c r="M44" s="65">
        <v>138903000</v>
      </c>
      <c r="Q44" s="54" t="s">
        <v>116</v>
      </c>
      <c r="S44" s="72">
        <f>(ROUND((C52/(AVERAGE(C48,E48))*100),2))</f>
        <v>173.14</v>
      </c>
      <c r="U44" s="72">
        <f>(ROUND((E52/(AVERAGE(E48,G48))*100),2))</f>
        <v>162.19999999999999</v>
      </c>
      <c r="W44" s="72">
        <f>(ROUND((G52/(AVERAGE(G48,I48))*100),2))</f>
        <v>174.46</v>
      </c>
      <c r="Y44" s="72">
        <f>(ROUND((I52/(AVERAGE(I48,K48))*100),2))</f>
        <v>166.67</v>
      </c>
      <c r="AA44" s="72">
        <f>(ROUND((K52/(AVERAGE(K48,M48))*100),2))</f>
        <v>196.87</v>
      </c>
      <c r="AC44" s="72">
        <f>ROUND(AVERAGE(S44:AB44),2)</f>
        <v>174.67</v>
      </c>
    </row>
    <row r="45" spans="1:30" x14ac:dyDescent="0.2">
      <c r="I45" s="65"/>
      <c r="K45" s="65"/>
      <c r="M45" s="65"/>
      <c r="Q45" s="54" t="s">
        <v>117</v>
      </c>
      <c r="S45" s="72">
        <f>ROUND(((+C26/C52)*100),2)</f>
        <v>2.46</v>
      </c>
      <c r="U45" s="72">
        <f>ROUND(((+E26/E52)*100),2)</f>
        <v>2.61</v>
      </c>
      <c r="W45" s="72">
        <f>ROUND(((+G26/G52)*100),2)</f>
        <v>2.46</v>
      </c>
      <c r="Y45" s="72">
        <f>ROUND(((+I26/I52)*100),2)</f>
        <v>2.64</v>
      </c>
      <c r="AA45" s="72">
        <f>ROUND(((+K26/K52)*100),2)</f>
        <v>2.29</v>
      </c>
      <c r="AC45" s="72">
        <f>ROUND(AVERAGE(S45:AB45),2)</f>
        <v>2.4900000000000002</v>
      </c>
    </row>
    <row r="46" spans="1:30" x14ac:dyDescent="0.2">
      <c r="A46" s="54" t="s">
        <v>118</v>
      </c>
      <c r="I46" s="65"/>
      <c r="K46" s="65"/>
      <c r="M46" s="65"/>
      <c r="Q46" s="54" t="s">
        <v>119</v>
      </c>
      <c r="S46" s="72">
        <f>ROUND(((+C38/C34)*100),2)</f>
        <v>47.27</v>
      </c>
      <c r="U46" s="72">
        <f>ROUND(((+E38/E34)*100),2)</f>
        <v>48.58</v>
      </c>
      <c r="W46" s="72">
        <f>ROUND(((+G38/G34)*100),2)</f>
        <v>48.54</v>
      </c>
      <c r="Y46" s="72">
        <f>ROUND(((+I38/I34)*100),2)</f>
        <v>48.67</v>
      </c>
      <c r="AA46" s="72">
        <f>ROUND(((+K38/K34)*100),2)</f>
        <v>46.96</v>
      </c>
      <c r="AC46" s="72">
        <f>ROUND(AVERAGE(S46:AB46),2)</f>
        <v>48</v>
      </c>
    </row>
    <row r="47" spans="1:30" x14ac:dyDescent="0.2">
      <c r="I47" s="65"/>
      <c r="K47" s="65"/>
      <c r="M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55">
        <f>C16/C15</f>
        <v>78.305806023482916</v>
      </c>
      <c r="E48" s="55">
        <f>E16/E15</f>
        <v>73.202641774179696</v>
      </c>
      <c r="G48" s="55">
        <f>G16/G15</f>
        <v>66.851088909896887</v>
      </c>
      <c r="I48" s="65">
        <f>I16/I15</f>
        <v>59.710796623289305</v>
      </c>
      <c r="K48" s="65">
        <f>K16/K15</f>
        <v>53.948755711249632</v>
      </c>
      <c r="M48" s="65">
        <f>M16/M15</f>
        <v>48.183968474661555</v>
      </c>
      <c r="N48" s="66"/>
      <c r="O48" s="66"/>
      <c r="P48" s="66"/>
      <c r="Q48" s="66" t="s">
        <v>122</v>
      </c>
      <c r="R48" s="66"/>
      <c r="S48" s="72">
        <f>ROUND(((C34/AVERAGE(C16,E16))*100),2)</f>
        <v>9.06</v>
      </c>
      <c r="T48" s="54" t="s">
        <v>4</v>
      </c>
      <c r="U48" s="72">
        <f>ROUND(((E34/AVERAGE(E16,G16))*100),2)</f>
        <v>8.73</v>
      </c>
      <c r="V48" s="54" t="s">
        <v>4</v>
      </c>
      <c r="W48" s="72">
        <f>ROUND(((G34/AVERAGE(G16,I16))*100),2)</f>
        <v>8.94</v>
      </c>
      <c r="X48" s="54" t="s">
        <v>4</v>
      </c>
      <c r="Y48" s="72">
        <f>ROUND(((I34/AVERAGE(I16,K16))*100),2)</f>
        <v>9.06</v>
      </c>
      <c r="Z48" s="54" t="s">
        <v>4</v>
      </c>
      <c r="AA48" s="72">
        <f>ROUND(((K34/AVERAGE(K16,M16))*100),2)</f>
        <v>9.59</v>
      </c>
      <c r="AB48" s="54" t="s">
        <v>4</v>
      </c>
      <c r="AC48" s="72">
        <f>ROUND(AVERAGE(S48:AB48),2)</f>
        <v>9.08</v>
      </c>
      <c r="AD48" s="54" t="s">
        <v>4</v>
      </c>
    </row>
    <row r="49" spans="1:30" x14ac:dyDescent="0.2">
      <c r="I49" s="65"/>
      <c r="K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55">
        <f>SUM(C12:C13,C16:C17)</f>
        <v>19942966000</v>
      </c>
      <c r="E50" s="55">
        <f>SUM(E12:E13,E16:E17)</f>
        <v>17425765000</v>
      </c>
      <c r="G50" s="55">
        <f>SUM(G12:G13,G16:G17)</f>
        <v>17380995000</v>
      </c>
      <c r="I50" s="65">
        <f>SUM(I12:I13,I16:I17)</f>
        <v>13037546000</v>
      </c>
      <c r="K50" s="65">
        <f>SUM(K12:K13,K16:K17)</f>
        <v>11323147000</v>
      </c>
      <c r="M50" s="65">
        <f>SUM(M12:M13,M16:M17)</f>
        <v>9279675000</v>
      </c>
      <c r="N50" s="66"/>
      <c r="O50" s="66"/>
      <c r="P50" s="66"/>
      <c r="Q50" s="66" t="s">
        <v>124</v>
      </c>
      <c r="R50" s="66"/>
      <c r="S50" s="72">
        <f>ROUND((C54/C62),2)</f>
        <v>3.71</v>
      </c>
      <c r="T50" s="73" t="s">
        <v>125</v>
      </c>
      <c r="U50" s="72">
        <f>ROUND((E54/E62),2)</f>
        <v>3.9</v>
      </c>
      <c r="V50" s="73" t="s">
        <v>125</v>
      </c>
      <c r="W50" s="72">
        <f>ROUND((G54/G62),2)</f>
        <v>5.47</v>
      </c>
      <c r="X50" s="73" t="s">
        <v>125</v>
      </c>
      <c r="Y50" s="72">
        <f>ROUND((I54/I62),2)</f>
        <v>3.72</v>
      </c>
      <c r="Z50" s="73" t="s">
        <v>125</v>
      </c>
      <c r="AA50" s="72">
        <f>ROUND((K54/K62),2)</f>
        <v>3.59</v>
      </c>
      <c r="AB50" s="73" t="s">
        <v>125</v>
      </c>
      <c r="AC50" s="72">
        <f>ROUND(AVERAGE(S50:AB50),2)</f>
        <v>4.08</v>
      </c>
      <c r="AD50" s="54" t="s">
        <v>125</v>
      </c>
    </row>
    <row r="51" spans="1:30" x14ac:dyDescent="0.2">
      <c r="I51" s="65"/>
      <c r="K51" s="65"/>
      <c r="M51" s="65"/>
      <c r="N51" s="66"/>
      <c r="O51" s="66"/>
      <c r="P51" s="66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55">
        <f>AVERAGE(C22:C23)</f>
        <v>131.16</v>
      </c>
      <c r="E52" s="55">
        <f>AVERAGE(E22:E23)</f>
        <v>113.58500000000001</v>
      </c>
      <c r="G52" s="55">
        <f>AVERAGE(G22:G23)</f>
        <v>110.4</v>
      </c>
      <c r="I52" s="65">
        <f>AVERAGE(I22:I23)</f>
        <v>94.72</v>
      </c>
      <c r="K52" s="65">
        <f>AVERAGE(K22:K23)</f>
        <v>100.535</v>
      </c>
      <c r="M52" s="65">
        <f>AVERAGE(M22:M23)</f>
        <v>101.99000000000001</v>
      </c>
      <c r="N52" s="66"/>
      <c r="O52" s="66"/>
      <c r="P52" s="66"/>
      <c r="Q52" s="66" t="s">
        <v>127</v>
      </c>
      <c r="R52" s="66"/>
      <c r="S52" s="72">
        <f>ROUND(((C60/C54)*100),2)</f>
        <v>20.059999999999999</v>
      </c>
      <c r="T52" s="73" t="s">
        <v>4</v>
      </c>
      <c r="U52" s="72">
        <f>ROUND(((E60/E54)*100),2)</f>
        <v>77.849999999999994</v>
      </c>
      <c r="V52" s="73" t="s">
        <v>4</v>
      </c>
      <c r="W52" s="72">
        <f>ROUND(((G60/G54)*100),2)</f>
        <v>6.83</v>
      </c>
      <c r="X52" s="73" t="s">
        <v>4</v>
      </c>
      <c r="Y52" s="72">
        <f>ROUND(((I60/I54)*100),2)</f>
        <v>11.23</v>
      </c>
      <c r="Z52" s="73" t="s">
        <v>4</v>
      </c>
      <c r="AA52" s="72">
        <f>ROUND(((K60/K54)*100),2)</f>
        <v>19.25</v>
      </c>
      <c r="AB52" s="73" t="s">
        <v>4</v>
      </c>
      <c r="AC52" s="72">
        <f>ROUND(AVERAGE(S52:AB52),2)</f>
        <v>27.04</v>
      </c>
      <c r="AD52" s="54" t="s">
        <v>4</v>
      </c>
    </row>
    <row r="53" spans="1:30" x14ac:dyDescent="0.2">
      <c r="I53" s="65"/>
      <c r="K53" s="65"/>
      <c r="M53" s="65"/>
      <c r="N53" s="79"/>
      <c r="O53" s="79"/>
      <c r="P53" s="79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80">
        <f>+C19+C12</f>
        <v>7785297000</v>
      </c>
      <c r="E54" s="80">
        <f>+E19+E12</f>
        <v>6797634000</v>
      </c>
      <c r="G54" s="80">
        <f>+G19+G12</f>
        <v>8146871000</v>
      </c>
      <c r="I54" s="81">
        <f>+I19+I12</f>
        <v>5130657000</v>
      </c>
      <c r="K54" s="81">
        <f>+K19+K12</f>
        <v>4531944000</v>
      </c>
      <c r="M54" s="81">
        <f>+M19+M12</f>
        <v>3994367000</v>
      </c>
      <c r="N54" s="79"/>
      <c r="O54" s="79"/>
      <c r="P54" s="79"/>
      <c r="Q54" s="79" t="s">
        <v>128</v>
      </c>
      <c r="R54" s="79"/>
      <c r="S54" s="72">
        <f>S33</f>
        <v>39.04</v>
      </c>
      <c r="T54" s="73" t="s">
        <v>4</v>
      </c>
      <c r="U54" s="72">
        <f>U33</f>
        <v>38.47</v>
      </c>
      <c r="V54" s="73" t="s">
        <v>4</v>
      </c>
      <c r="W54" s="72">
        <f>W33</f>
        <v>46.38</v>
      </c>
      <c r="X54" s="73" t="s">
        <v>4</v>
      </c>
      <c r="Y54" s="72">
        <f>Y33</f>
        <v>39.35</v>
      </c>
      <c r="Z54" s="73" t="s">
        <v>4</v>
      </c>
      <c r="AA54" s="72">
        <f>AA33</f>
        <v>40.020000000000003</v>
      </c>
      <c r="AB54" s="73" t="s">
        <v>4</v>
      </c>
      <c r="AC54" s="72">
        <f>ROUND(AVERAGE(S54:AB54),2)</f>
        <v>40.65</v>
      </c>
      <c r="AD54" s="73" t="s">
        <v>4</v>
      </c>
    </row>
    <row r="55" spans="1:30" x14ac:dyDescent="0.2">
      <c r="I55" s="65"/>
      <c r="K55" s="65"/>
      <c r="M55" s="65"/>
    </row>
    <row r="56" spans="1:30" x14ac:dyDescent="0.2">
      <c r="A56" s="54" t="s">
        <v>14</v>
      </c>
      <c r="B56" s="54" t="s">
        <v>121</v>
      </c>
      <c r="C56" s="55">
        <f>SUM(C50,C19)</f>
        <v>19942966000</v>
      </c>
      <c r="E56" s="55">
        <f>SUM(E50,E19)</f>
        <v>17667698000</v>
      </c>
      <c r="G56" s="55">
        <f>SUM(G50,G19)</f>
        <v>17565962000</v>
      </c>
      <c r="I56" s="65">
        <f>SUM(I50,I19)</f>
        <v>13037546000</v>
      </c>
      <c r="K56" s="65">
        <f>SUM(K50,K19)</f>
        <v>11323147000</v>
      </c>
      <c r="M56" s="65">
        <f>SUM(M50,M19)</f>
        <v>9744590000</v>
      </c>
    </row>
    <row r="57" spans="1:30" x14ac:dyDescent="0.2">
      <c r="I57" s="65"/>
      <c r="K57" s="65"/>
      <c r="M57" s="65"/>
    </row>
    <row r="58" spans="1:30" x14ac:dyDescent="0.2">
      <c r="A58" s="54" t="s">
        <v>129</v>
      </c>
      <c r="B58" s="54" t="s">
        <v>121</v>
      </c>
      <c r="C58" s="55">
        <f>SUM(C13,C17)</f>
        <v>0</v>
      </c>
      <c r="E58" s="55">
        <f>SUM(E13,E17)</f>
        <v>0</v>
      </c>
      <c r="G58" s="55">
        <f>SUM(G13,G17)</f>
        <v>0</v>
      </c>
      <c r="I58" s="65">
        <f>SUM(I13,I17)</f>
        <v>0</v>
      </c>
      <c r="K58" s="65">
        <f>SUM(K13,K17)</f>
        <v>0</v>
      </c>
      <c r="M58" s="65">
        <f>SUM(M13,M17)</f>
        <v>0</v>
      </c>
    </row>
    <row r="59" spans="1:30" x14ac:dyDescent="0.2">
      <c r="I59" s="65"/>
      <c r="K59" s="65"/>
      <c r="M59" s="65"/>
    </row>
    <row r="60" spans="1:30" x14ac:dyDescent="0.2">
      <c r="A60" s="82" t="s">
        <v>130</v>
      </c>
      <c r="B60" s="54" t="s">
        <v>121</v>
      </c>
      <c r="C60" s="55">
        <f>ROUND(C41+C42-C28,3)</f>
        <v>1561890000</v>
      </c>
      <c r="E60" s="55">
        <f>ROUND(E41+E42-E28,3)</f>
        <v>5292048000</v>
      </c>
      <c r="G60" s="55">
        <f>ROUND(G41+G42-G28,3)</f>
        <v>556162000</v>
      </c>
      <c r="I60" s="65">
        <f>ROUND(I41+I42-I28,3)</f>
        <v>576219652</v>
      </c>
      <c r="K60" s="65">
        <f>ROUND(K41+K42-K28,3)</f>
        <v>872394000</v>
      </c>
      <c r="M60" s="65">
        <f>ROUND(M41+M42-M28,3)</f>
        <v>873275000</v>
      </c>
    </row>
    <row r="61" spans="1:30" x14ac:dyDescent="0.2">
      <c r="A61" s="82"/>
      <c r="I61" s="65"/>
      <c r="K61" s="65"/>
      <c r="M61" s="65"/>
    </row>
    <row r="62" spans="1:30" x14ac:dyDescent="0.2">
      <c r="A62" s="54" t="s">
        <v>131</v>
      </c>
      <c r="B62" s="54" t="s">
        <v>121</v>
      </c>
      <c r="C62" s="55">
        <f>C40+C44+C43+C30</f>
        <v>2096380000</v>
      </c>
      <c r="E62" s="55">
        <f>E40+E44+E43+E30</f>
        <v>1741249000</v>
      </c>
      <c r="G62" s="55">
        <f>G40+G44+G43+G30</f>
        <v>1490374000</v>
      </c>
      <c r="I62" s="65">
        <f>I40+I44+I43+I30</f>
        <v>1380830000</v>
      </c>
      <c r="K62" s="65">
        <f>K40+K44+K43+K30</f>
        <v>1261098000</v>
      </c>
      <c r="M62" s="65">
        <f>M40+M44+M43+M30</f>
        <v>1144918000</v>
      </c>
    </row>
    <row r="63" spans="1:30" x14ac:dyDescent="0.2">
      <c r="M63" s="83"/>
    </row>
    <row r="64" spans="1:30" x14ac:dyDescent="0.2">
      <c r="M64" s="83"/>
    </row>
    <row r="71" spans="13:13" x14ac:dyDescent="0.2">
      <c r="M71" s="83"/>
    </row>
    <row r="81" spans="13:223" x14ac:dyDescent="0.2">
      <c r="HK81" s="84"/>
      <c r="HL81" s="84"/>
      <c r="HO81" s="54" t="s">
        <v>132</v>
      </c>
    </row>
    <row r="94" spans="13:223" x14ac:dyDescent="0.2">
      <c r="M94" s="83"/>
    </row>
    <row r="95" spans="13:223" x14ac:dyDescent="0.2">
      <c r="M95" s="83"/>
    </row>
    <row r="96" spans="13:223" x14ac:dyDescent="0.2">
      <c r="M96" s="83"/>
    </row>
    <row r="97" spans="13:13" x14ac:dyDescent="0.2">
      <c r="M97" s="83"/>
    </row>
    <row r="98" spans="13:13" x14ac:dyDescent="0.2">
      <c r="M98" s="83"/>
    </row>
    <row r="99" spans="13:13" x14ac:dyDescent="0.2">
      <c r="M99" s="83"/>
    </row>
    <row r="100" spans="13:13" x14ac:dyDescent="0.2">
      <c r="M100" s="83"/>
    </row>
    <row r="101" spans="13:13" x14ac:dyDescent="0.2">
      <c r="M101" s="83"/>
    </row>
    <row r="102" spans="13:13" x14ac:dyDescent="0.2">
      <c r="M102" s="83"/>
    </row>
    <row r="103" spans="13:13" x14ac:dyDescent="0.2">
      <c r="M103" s="83"/>
    </row>
    <row r="104" spans="13:13" x14ac:dyDescent="0.2">
      <c r="M104" s="83"/>
    </row>
    <row r="105" spans="13:13" x14ac:dyDescent="0.2">
      <c r="M105" s="83"/>
    </row>
    <row r="106" spans="13:13" x14ac:dyDescent="0.2">
      <c r="M106" s="83"/>
    </row>
    <row r="107" spans="13:13" x14ac:dyDescent="0.2">
      <c r="M107" s="83"/>
    </row>
    <row r="108" spans="13:13" x14ac:dyDescent="0.2">
      <c r="M108" s="83"/>
    </row>
    <row r="109" spans="13:13" x14ac:dyDescent="0.2">
      <c r="M109" s="83"/>
    </row>
    <row r="110" spans="13:13" x14ac:dyDescent="0.2">
      <c r="M110" s="83"/>
    </row>
    <row r="111" spans="13:13" x14ac:dyDescent="0.2">
      <c r="M111" s="83"/>
    </row>
    <row r="112" spans="13:13" x14ac:dyDescent="0.2">
      <c r="M112" s="83"/>
    </row>
    <row r="113" spans="13:13" x14ac:dyDescent="0.2">
      <c r="M113" s="83"/>
    </row>
    <row r="114" spans="13:13" x14ac:dyDescent="0.2">
      <c r="M114" s="83"/>
    </row>
    <row r="115" spans="13:13" x14ac:dyDescent="0.2">
      <c r="M115" s="83"/>
    </row>
    <row r="116" spans="13:13" x14ac:dyDescent="0.2">
      <c r="M116" s="83"/>
    </row>
    <row r="117" spans="13:13" x14ac:dyDescent="0.2">
      <c r="M117" s="83"/>
    </row>
    <row r="118" spans="13:13" x14ac:dyDescent="0.2">
      <c r="M118" s="83"/>
    </row>
    <row r="119" spans="13:13" x14ac:dyDescent="0.2">
      <c r="M119" s="83"/>
    </row>
    <row r="120" spans="13:13" x14ac:dyDescent="0.2">
      <c r="M120" s="83"/>
    </row>
    <row r="121" spans="13:13" x14ac:dyDescent="0.2">
      <c r="M121" s="83"/>
    </row>
    <row r="122" spans="13:13" x14ac:dyDescent="0.2">
      <c r="M122" s="83"/>
    </row>
    <row r="123" spans="13:13" x14ac:dyDescent="0.2">
      <c r="M123" s="83"/>
    </row>
    <row r="124" spans="13:13" x14ac:dyDescent="0.2">
      <c r="M124" s="83"/>
    </row>
    <row r="125" spans="13:13" x14ac:dyDescent="0.2">
      <c r="M125" s="83"/>
    </row>
    <row r="126" spans="13:13" x14ac:dyDescent="0.2">
      <c r="M126" s="83"/>
    </row>
    <row r="127" spans="13:13" x14ac:dyDescent="0.2">
      <c r="M127" s="83"/>
    </row>
    <row r="128" spans="13:13" x14ac:dyDescent="0.2">
      <c r="M128" s="83"/>
    </row>
    <row r="129" spans="13:13" x14ac:dyDescent="0.2">
      <c r="M129" s="83"/>
    </row>
    <row r="130" spans="13:13" x14ac:dyDescent="0.2">
      <c r="M130" s="83"/>
    </row>
    <row r="131" spans="13:13" x14ac:dyDescent="0.2">
      <c r="M131" s="83"/>
    </row>
    <row r="132" spans="13:13" x14ac:dyDescent="0.2">
      <c r="M132" s="83"/>
    </row>
    <row r="133" spans="13:13" x14ac:dyDescent="0.2">
      <c r="M133" s="83"/>
    </row>
    <row r="134" spans="13:13" x14ac:dyDescent="0.2">
      <c r="M134" s="83"/>
    </row>
    <row r="135" spans="13:13" x14ac:dyDescent="0.2">
      <c r="M135" s="83"/>
    </row>
    <row r="136" spans="13:13" x14ac:dyDescent="0.2">
      <c r="M136" s="83"/>
    </row>
    <row r="137" spans="13:13" x14ac:dyDescent="0.2">
      <c r="M137" s="83"/>
    </row>
    <row r="138" spans="13:13" x14ac:dyDescent="0.2">
      <c r="M138" s="83"/>
    </row>
    <row r="139" spans="13:13" x14ac:dyDescent="0.2">
      <c r="M139" s="83"/>
    </row>
    <row r="140" spans="13:13" x14ac:dyDescent="0.2">
      <c r="M140" s="83"/>
    </row>
    <row r="141" spans="13:13" x14ac:dyDescent="0.2">
      <c r="M141" s="83"/>
    </row>
    <row r="142" spans="13:13" x14ac:dyDescent="0.2">
      <c r="M142" s="83"/>
    </row>
    <row r="143" spans="13:13" x14ac:dyDescent="0.2">
      <c r="M143" s="83"/>
    </row>
    <row r="144" spans="13:13" x14ac:dyDescent="0.2">
      <c r="M144" s="83"/>
    </row>
    <row r="145" spans="13:13" x14ac:dyDescent="0.2">
      <c r="M145" s="83"/>
    </row>
    <row r="146" spans="13:13" x14ac:dyDescent="0.2">
      <c r="M146" s="83"/>
    </row>
    <row r="147" spans="13:13" x14ac:dyDescent="0.2">
      <c r="M147" s="83"/>
    </row>
    <row r="148" spans="13:13" x14ac:dyDescent="0.2">
      <c r="M148" s="83"/>
    </row>
    <row r="149" spans="13:13" x14ac:dyDescent="0.2">
      <c r="M149" s="83"/>
    </row>
    <row r="150" spans="13:13" x14ac:dyDescent="0.2">
      <c r="M150" s="83"/>
    </row>
    <row r="151" spans="13:13" x14ac:dyDescent="0.2">
      <c r="M151" s="83"/>
    </row>
    <row r="152" spans="13:13" x14ac:dyDescent="0.2">
      <c r="M152" s="83"/>
    </row>
    <row r="153" spans="13:13" x14ac:dyDescent="0.2">
      <c r="M153" s="83"/>
    </row>
    <row r="154" spans="13:13" x14ac:dyDescent="0.2">
      <c r="M154" s="83"/>
    </row>
  </sheetData>
  <mergeCells count="5">
    <mergeCell ref="I6:M6"/>
    <mergeCell ref="I7:M7"/>
    <mergeCell ref="I8:M8"/>
    <mergeCell ref="AC24:AD24"/>
    <mergeCell ref="AC25:AD25"/>
  </mergeCells>
  <printOptions horizontalCentered="1"/>
  <pageMargins left="0.75" right="0.75" top="1" bottom="1" header="0.5" footer="0.5"/>
  <pageSetup scale="1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F2F2-EFCB-4E48-96FA-39035F9DDCB1}">
  <sheetPr>
    <pageSetUpPr fitToPage="1"/>
  </sheetPr>
  <dimension ref="A1:HO154"/>
  <sheetViews>
    <sheetView zoomScale="80" zoomScaleNormal="80" workbookViewId="0">
      <selection activeCell="D10" sqref="D10"/>
    </sheetView>
  </sheetViews>
  <sheetFormatPr defaultColWidth="9.140625" defaultRowHeight="12.75" x14ac:dyDescent="0.2"/>
  <cols>
    <col min="1" max="1" width="36.140625" style="54" customWidth="1"/>
    <col min="2" max="2" width="15.140625" style="54" bestFit="1" customWidth="1"/>
    <col min="3" max="3" width="19.42578125" style="55" bestFit="1" customWidth="1"/>
    <col min="4" max="4" width="1.85546875" style="54" customWidth="1"/>
    <col min="5" max="5" width="19.42578125" style="55" bestFit="1" customWidth="1"/>
    <col min="6" max="6" width="1.85546875" style="54" customWidth="1"/>
    <col min="7" max="7" width="19.42578125" style="55" bestFit="1" customWidth="1"/>
    <col min="8" max="8" width="1.85546875" style="54" customWidth="1"/>
    <col min="9" max="9" width="18.42578125" style="54" bestFit="1" customWidth="1"/>
    <col min="10" max="10" width="1.85546875" style="54" customWidth="1"/>
    <col min="11" max="11" width="18.5703125" style="54" customWidth="1"/>
    <col min="12" max="12" width="2.5703125" style="54" customWidth="1"/>
    <col min="13" max="13" width="18.5703125" style="54" customWidth="1"/>
    <col min="14" max="16" width="3.140625" style="54" customWidth="1"/>
    <col min="17" max="17" width="53.140625" style="54" bestFit="1" customWidth="1"/>
    <col min="18" max="18" width="3.140625" style="54" customWidth="1"/>
    <col min="19" max="19" width="14.85546875" style="54" customWidth="1"/>
    <col min="20" max="20" width="3.140625" style="54" customWidth="1"/>
    <col min="21" max="21" width="14.85546875" style="54" customWidth="1"/>
    <col min="22" max="22" width="3.140625" style="54" customWidth="1"/>
    <col min="23" max="23" width="13.140625" style="54" customWidth="1"/>
    <col min="24" max="24" width="2.85546875" style="54" customWidth="1"/>
    <col min="25" max="25" width="12.140625" style="54" customWidth="1"/>
    <col min="26" max="26" width="2.5703125" style="54" bestFit="1" customWidth="1"/>
    <col min="27" max="27" width="11.5703125" style="54" customWidth="1"/>
    <col min="28" max="28" width="2.5703125" style="54" customWidth="1"/>
    <col min="29" max="29" width="10.5703125" style="54" customWidth="1"/>
    <col min="30" max="30" width="2.5703125" style="54" customWidth="1"/>
    <col min="31" max="31" width="9.140625" style="54"/>
    <col min="32" max="32" width="4.42578125" style="54" customWidth="1"/>
    <col min="33" max="33" width="3.5703125" style="54" customWidth="1"/>
    <col min="34" max="34" width="22.140625" style="54" customWidth="1"/>
    <col min="35" max="16384" width="9.140625" style="54"/>
  </cols>
  <sheetData>
    <row r="1" spans="1:29" ht="16.350000000000001" customHeight="1" x14ac:dyDescent="0.2"/>
    <row r="2" spans="1:29" ht="16.350000000000001" customHeight="1" x14ac:dyDescent="0.2"/>
    <row r="3" spans="1:29" ht="16.350000000000001" customHeight="1" x14ac:dyDescent="0.2"/>
    <row r="4" spans="1:29" ht="16.350000000000001" customHeight="1" thickBot="1" x14ac:dyDescent="0.25"/>
    <row r="5" spans="1:29" ht="15" x14ac:dyDescent="0.35">
      <c r="A5" s="56" t="s">
        <v>37</v>
      </c>
    </row>
    <row r="6" spans="1:29" ht="13.5" customHeight="1" thickBot="1" x14ac:dyDescent="0.3">
      <c r="A6" s="57" t="s">
        <v>17</v>
      </c>
      <c r="I6" s="195" t="s">
        <v>133</v>
      </c>
      <c r="J6" s="198"/>
      <c r="K6" s="198"/>
      <c r="L6" s="198"/>
      <c r="M6" s="198"/>
      <c r="N6" s="60"/>
      <c r="O6" s="60"/>
      <c r="P6" s="60"/>
      <c r="Q6" s="60" t="str">
        <f>I6</f>
        <v xml:space="preserve">Chesapeake Utilities Corporation   </v>
      </c>
      <c r="R6" s="60"/>
      <c r="S6" s="60"/>
      <c r="T6" s="60"/>
      <c r="U6" s="60"/>
      <c r="V6" s="60"/>
      <c r="W6" s="60"/>
      <c r="X6" s="61"/>
      <c r="Y6" s="61"/>
      <c r="Z6" s="62"/>
      <c r="AA6" s="61"/>
      <c r="AB6" s="61"/>
      <c r="AC6" s="61"/>
    </row>
    <row r="7" spans="1:29" ht="12.75" customHeight="1" x14ac:dyDescent="0.25">
      <c r="I7" s="195" t="s">
        <v>54</v>
      </c>
      <c r="J7" s="198"/>
      <c r="K7" s="198"/>
      <c r="L7" s="198"/>
      <c r="M7" s="198"/>
      <c r="N7" s="61"/>
      <c r="O7" s="61"/>
      <c r="P7" s="61"/>
      <c r="Q7" s="61" t="str">
        <f>I7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2.75" customHeight="1" x14ac:dyDescent="0.25">
      <c r="C8" s="64"/>
      <c r="I8" s="195" t="s">
        <v>134</v>
      </c>
      <c r="J8" s="198"/>
      <c r="K8" s="198"/>
      <c r="L8" s="198"/>
      <c r="M8" s="198"/>
      <c r="N8" s="62"/>
      <c r="O8" s="62"/>
      <c r="P8" s="62"/>
      <c r="Q8" s="62" t="str">
        <f>I8</f>
        <v>2018- 2023, Inclusive</v>
      </c>
      <c r="R8" s="62"/>
      <c r="S8" s="62"/>
      <c r="T8" s="62"/>
      <c r="U8" s="62"/>
      <c r="V8" s="62"/>
      <c r="W8" s="62"/>
      <c r="X8" s="61"/>
      <c r="Y8" s="61"/>
      <c r="Z8" s="62"/>
      <c r="AA8" s="61"/>
      <c r="AB8" s="61"/>
      <c r="AC8" s="61"/>
    </row>
    <row r="9" spans="1:29" x14ac:dyDescent="0.2"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135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64">
        <f>(1261.7+25.5)*1000000</f>
        <v>1287200000</v>
      </c>
      <c r="E12" s="64">
        <f>(1187075+18505)*1000</f>
        <v>1205580000</v>
      </c>
      <c r="G12" s="64">
        <f>(578388+21483)*1000</f>
        <v>599871000</v>
      </c>
      <c r="I12" s="65">
        <f>(549903+17962)*1000</f>
        <v>567865000</v>
      </c>
      <c r="K12" s="65">
        <f>(508499+13600)*1000</f>
        <v>522099000</v>
      </c>
      <c r="M12" s="65">
        <f>(440168+45600)*1000</f>
        <v>485768000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x14ac:dyDescent="0.2">
      <c r="A13" s="54" t="s">
        <v>60</v>
      </c>
      <c r="B13" s="54" t="s">
        <v>61</v>
      </c>
      <c r="C13" s="65">
        <v>0</v>
      </c>
      <c r="D13" s="65"/>
      <c r="E13" s="65">
        <v>0</v>
      </c>
      <c r="F13" s="65"/>
      <c r="G13" s="65">
        <v>0</v>
      </c>
      <c r="H13" s="65"/>
      <c r="I13" s="65">
        <v>0</v>
      </c>
      <c r="K13" s="65">
        <v>0</v>
      </c>
      <c r="L13" s="65"/>
      <c r="M13" s="65">
        <v>0</v>
      </c>
      <c r="Y13" s="61" t="s">
        <v>62</v>
      </c>
      <c r="Z13" s="61"/>
      <c r="AA13" s="61"/>
      <c r="AB13" s="61"/>
      <c r="AC13" s="61" t="s">
        <v>63</v>
      </c>
    </row>
    <row r="14" spans="1:29" x14ac:dyDescent="0.2">
      <c r="I14" s="65"/>
      <c r="K14" s="65"/>
      <c r="M14" s="65"/>
      <c r="N14" s="66"/>
      <c r="O14" s="66"/>
      <c r="P14" s="66"/>
      <c r="Q14" s="66" t="s">
        <v>64</v>
      </c>
      <c r="R14" s="66"/>
      <c r="S14" s="66"/>
      <c r="T14" s="66"/>
      <c r="U14" s="66"/>
      <c r="V14" s="66"/>
      <c r="W14" s="66"/>
      <c r="X14" s="66"/>
    </row>
    <row r="15" spans="1:29" x14ac:dyDescent="0.2">
      <c r="A15" s="54" t="s">
        <v>65</v>
      </c>
      <c r="B15" s="54" t="s">
        <v>66</v>
      </c>
      <c r="C15" s="67">
        <f>22899*1000</f>
        <v>22899000</v>
      </c>
      <c r="E15" s="67">
        <f>22235337</f>
        <v>22235337</v>
      </c>
      <c r="G15" s="67">
        <f>17741418</f>
        <v>17741418</v>
      </c>
      <c r="I15" s="67">
        <v>17655410</v>
      </c>
      <c r="K15" s="67">
        <v>17461841</v>
      </c>
      <c r="M15" s="67">
        <v>16403776</v>
      </c>
    </row>
    <row r="16" spans="1:29" x14ac:dyDescent="0.2">
      <c r="A16" s="54" t="s">
        <v>6</v>
      </c>
      <c r="B16" s="54" t="s">
        <v>67</v>
      </c>
      <c r="C16" s="68">
        <f>(1390.2*1000000)</f>
        <v>1390200000</v>
      </c>
      <c r="E16" s="68">
        <f>(1246104*1000)</f>
        <v>1246104000</v>
      </c>
      <c r="G16" s="68">
        <f>(832801*1000)</f>
        <v>832801000</v>
      </c>
      <c r="I16" s="68">
        <f>(774130*1000)</f>
        <v>774130000</v>
      </c>
      <c r="K16" s="68">
        <f>(697085*1000)</f>
        <v>697085000</v>
      </c>
      <c r="M16" s="68">
        <f>(561577*1000)</f>
        <v>561577000</v>
      </c>
      <c r="N16" s="66"/>
      <c r="O16" s="66"/>
      <c r="P16" s="66"/>
      <c r="Q16" s="66" t="s">
        <v>68</v>
      </c>
      <c r="R16" s="66"/>
      <c r="S16" s="66"/>
      <c r="T16" s="66"/>
      <c r="U16" s="66"/>
      <c r="V16" s="66"/>
    </row>
    <row r="17" spans="1:30" x14ac:dyDescent="0.2">
      <c r="A17" s="54" t="s">
        <v>69</v>
      </c>
      <c r="B17" s="54" t="s">
        <v>66</v>
      </c>
      <c r="C17" s="65">
        <v>0</v>
      </c>
      <c r="D17" s="65"/>
      <c r="E17" s="65">
        <v>0</v>
      </c>
      <c r="F17" s="65"/>
      <c r="G17" s="65">
        <v>0</v>
      </c>
      <c r="I17" s="65">
        <v>0</v>
      </c>
      <c r="K17" s="65">
        <v>0</v>
      </c>
      <c r="M17" s="65">
        <v>0</v>
      </c>
      <c r="Q17" s="54" t="s">
        <v>70</v>
      </c>
      <c r="S17" s="69">
        <f>C50/1000000</f>
        <v>2677.4</v>
      </c>
      <c r="U17" s="69">
        <f>E50/1000000</f>
        <v>2451.6840000000002</v>
      </c>
      <c r="W17" s="69">
        <f>G50/1000000</f>
        <v>1432.672</v>
      </c>
      <c r="Y17" s="69">
        <f>I50/1000000</f>
        <v>1341.9949999999999</v>
      </c>
      <c r="Z17" s="69"/>
      <c r="AA17" s="69">
        <f>K50/1000000</f>
        <v>1219.184</v>
      </c>
      <c r="AB17" s="69"/>
    </row>
    <row r="18" spans="1:30" x14ac:dyDescent="0.2">
      <c r="I18" s="65"/>
      <c r="K18" s="65"/>
      <c r="M18" s="65"/>
      <c r="Q18" s="54" t="s">
        <v>71</v>
      </c>
      <c r="S18" s="70">
        <f>C19/1000000</f>
        <v>196.5</v>
      </c>
      <c r="U18" s="70">
        <f>E19/1000000</f>
        <v>179.85300000000001</v>
      </c>
      <c r="W18" s="70">
        <f>G19/1000000</f>
        <v>202.15700000000001</v>
      </c>
      <c r="Y18" s="70">
        <f>I19/1000000</f>
        <v>221.63399999999999</v>
      </c>
      <c r="Z18" s="69"/>
      <c r="AA18" s="70">
        <f>K19/1000000</f>
        <v>175.64400000000001</v>
      </c>
      <c r="AB18" s="69"/>
    </row>
    <row r="19" spans="1:30" x14ac:dyDescent="0.2">
      <c r="A19" s="54" t="s">
        <v>72</v>
      </c>
      <c r="B19" s="54" t="s">
        <v>73</v>
      </c>
      <c r="C19" s="64">
        <f>196.5*1000000</f>
        <v>196500000</v>
      </c>
      <c r="D19" s="64"/>
      <c r="E19" s="64">
        <f>179853*1000</f>
        <v>179853000</v>
      </c>
      <c r="F19" s="64"/>
      <c r="G19" s="64">
        <f>202157*1000</f>
        <v>202157000</v>
      </c>
      <c r="H19" s="64"/>
      <c r="I19" s="64">
        <f>221634*1000</f>
        <v>221634000</v>
      </c>
      <c r="J19" s="64"/>
      <c r="K19" s="64">
        <f>175644*1000</f>
        <v>175644000</v>
      </c>
      <c r="L19" s="64"/>
      <c r="M19" s="64">
        <f>247371*1000</f>
        <v>247371000</v>
      </c>
      <c r="Q19" s="54" t="s">
        <v>74</v>
      </c>
      <c r="S19" s="71">
        <f>SUM(S17:S18)</f>
        <v>2873.9</v>
      </c>
      <c r="U19" s="71">
        <f>SUM(U17:U18)</f>
        <v>2631.5370000000003</v>
      </c>
      <c r="W19" s="71">
        <f>SUM(W17:W18)</f>
        <v>1634.829</v>
      </c>
      <c r="Y19" s="71">
        <f>SUM(Y17:Y18)</f>
        <v>1563.6289999999999</v>
      </c>
      <c r="Z19" s="69"/>
      <c r="AA19" s="71">
        <f>SUM(AA17:AA18)</f>
        <v>1394.828</v>
      </c>
      <c r="AB19" s="69"/>
    </row>
    <row r="20" spans="1:30" x14ac:dyDescent="0.2">
      <c r="I20" s="65"/>
      <c r="K20" s="65"/>
      <c r="M20" s="65"/>
    </row>
    <row r="21" spans="1:30" x14ac:dyDescent="0.2">
      <c r="A21" s="54" t="s">
        <v>75</v>
      </c>
      <c r="B21" s="54" t="s">
        <v>76</v>
      </c>
      <c r="C21" s="64">
        <v>5.26</v>
      </c>
      <c r="D21" s="64"/>
      <c r="E21" s="64">
        <v>4.7300000000000004</v>
      </c>
      <c r="F21" s="64"/>
      <c r="G21" s="64">
        <v>5.04</v>
      </c>
      <c r="H21" s="64"/>
      <c r="I21" s="64">
        <v>4.7300000000000004</v>
      </c>
      <c r="J21" s="64"/>
      <c r="K21" s="64">
        <v>4.26</v>
      </c>
      <c r="L21" s="64"/>
      <c r="M21" s="64">
        <v>3.96</v>
      </c>
      <c r="N21" s="66"/>
      <c r="O21" s="66"/>
      <c r="P21" s="66"/>
      <c r="Q21" s="66" t="s">
        <v>77</v>
      </c>
      <c r="R21" s="66"/>
      <c r="T21" s="66"/>
      <c r="V21" s="66"/>
      <c r="X21" s="66"/>
    </row>
    <row r="22" spans="1:30" x14ac:dyDescent="0.2">
      <c r="A22" s="54" t="s">
        <v>78</v>
      </c>
      <c r="B22" s="54" t="s">
        <v>79</v>
      </c>
      <c r="C22" s="64">
        <v>133.18</v>
      </c>
      <c r="E22" s="64">
        <v>131.75</v>
      </c>
      <c r="G22" s="64">
        <v>142.65</v>
      </c>
      <c r="I22" s="54">
        <v>145.81</v>
      </c>
      <c r="K22" s="65">
        <v>110.37</v>
      </c>
      <c r="M22" s="65">
        <v>97.5</v>
      </c>
      <c r="Q22" s="54" t="s">
        <v>80</v>
      </c>
      <c r="S22" s="72">
        <f>(ROUND((C30/(AVERAGE(C54,E54))*100),2))</f>
        <v>4.7699999999999996</v>
      </c>
      <c r="T22" s="73" t="s">
        <v>4</v>
      </c>
      <c r="U22" s="72">
        <f>(ROUND((E30/(AVERAGE(E54,G54))*100),2))</f>
        <v>3.38</v>
      </c>
      <c r="V22" s="73" t="s">
        <v>4</v>
      </c>
      <c r="W22" s="72">
        <f>(ROUND((G30/(AVERAGE(G54,I54))*100),2))</f>
        <v>3.06</v>
      </c>
      <c r="X22" s="73" t="s">
        <v>4</v>
      </c>
      <c r="Y22" s="72">
        <f>(ROUND((I30/(AVERAGE(I54,K54))*100),2))</f>
        <v>2.71</v>
      </c>
      <c r="Z22" s="73" t="s">
        <v>4</v>
      </c>
      <c r="AA22" s="72">
        <f>(ROUND((K30/(AVERAGE(K54,M54))*100),2))</f>
        <v>3.04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64">
        <v>99.66</v>
      </c>
      <c r="E23" s="64">
        <v>86.71</v>
      </c>
      <c r="G23" s="64">
        <v>106.25</v>
      </c>
      <c r="I23" s="54">
        <v>100.92</v>
      </c>
      <c r="K23" s="65">
        <v>72.349999999999994</v>
      </c>
      <c r="M23" s="65">
        <v>79.59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I24" s="65"/>
      <c r="K24" s="65"/>
      <c r="M24" s="65"/>
      <c r="AC24" s="194" t="s">
        <v>1</v>
      </c>
      <c r="AD24" s="194"/>
    </row>
    <row r="25" spans="1:30" x14ac:dyDescent="0.2">
      <c r="I25" s="65"/>
      <c r="K25" s="65"/>
      <c r="M25" s="65"/>
      <c r="N25" s="66"/>
      <c r="O25" s="66"/>
      <c r="P25" s="66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65">
        <v>2.5099999999999998</v>
      </c>
      <c r="E26" s="65">
        <v>2.3050000000000002</v>
      </c>
      <c r="G26" s="65">
        <v>2.085</v>
      </c>
      <c r="I26" s="65">
        <v>1.88</v>
      </c>
      <c r="J26" s="64"/>
      <c r="K26" s="65">
        <v>1.7250000000000001</v>
      </c>
      <c r="L26" s="64"/>
      <c r="M26" s="65">
        <v>1.585</v>
      </c>
      <c r="Q26" s="54" t="s">
        <v>85</v>
      </c>
    </row>
    <row r="27" spans="1:30" x14ac:dyDescent="0.2">
      <c r="I27" s="65"/>
      <c r="K27" s="65"/>
      <c r="M27" s="65"/>
      <c r="Q27" s="54" t="s">
        <v>86</v>
      </c>
      <c r="S27" s="72">
        <f>ROUND(((C12/C50)*100),2)</f>
        <v>48.08</v>
      </c>
      <c r="T27" s="73" t="s">
        <v>4</v>
      </c>
      <c r="U27" s="72">
        <f>ROUND(((E12/E50)*100),2)</f>
        <v>49.17</v>
      </c>
      <c r="V27" s="73" t="s">
        <v>4</v>
      </c>
      <c r="W27" s="72">
        <f>ROUND(((G12/G50)*100),2)</f>
        <v>41.87</v>
      </c>
      <c r="X27" s="73" t="s">
        <v>4</v>
      </c>
      <c r="Y27" s="72">
        <f>ROUND(((I12/I50)*100),2)</f>
        <v>42.31</v>
      </c>
      <c r="Z27" s="73" t="s">
        <v>4</v>
      </c>
      <c r="AA27" s="72">
        <f>ROUND(((K12/K50)*100),2)</f>
        <v>42.82</v>
      </c>
      <c r="AB27" s="73" t="s">
        <v>4</v>
      </c>
      <c r="AC27" s="72">
        <f>ROUND(AVERAGE(S27:AB27),2)</f>
        <v>44.85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5">
        <v>1400000</v>
      </c>
      <c r="E28" s="65">
        <v>0</v>
      </c>
      <c r="G28" s="65">
        <f>0.1*1000000</f>
        <v>100000</v>
      </c>
      <c r="I28" s="65">
        <f>0.4*1000000</f>
        <v>400000</v>
      </c>
      <c r="K28" s="65">
        <f>0.7*1000000</f>
        <v>700000</v>
      </c>
      <c r="M28" s="65">
        <f>0.7*1000000</f>
        <v>700000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I29" s="65"/>
      <c r="K29" s="65"/>
      <c r="M29" s="65"/>
      <c r="Q29" s="54" t="s">
        <v>89</v>
      </c>
      <c r="S29" s="74">
        <f>ROUND(((C16/C50)*100),2)</f>
        <v>51.92</v>
      </c>
      <c r="T29" s="73"/>
      <c r="U29" s="74">
        <f>ROUND(((E16/E50)*100),2)</f>
        <v>50.83</v>
      </c>
      <c r="V29" s="73"/>
      <c r="W29" s="74">
        <f>ROUND(((G16/G50)*100),2)</f>
        <v>58.13</v>
      </c>
      <c r="X29" s="73"/>
      <c r="Y29" s="74">
        <f>ROUND(((I16/I50)*100),2)</f>
        <v>57.69</v>
      </c>
      <c r="Z29" s="73"/>
      <c r="AA29" s="74">
        <f>ROUND(((K16/K50)*100),2)</f>
        <v>57.18</v>
      </c>
      <c r="AB29" s="73"/>
      <c r="AC29" s="72">
        <f>ROUND(AVERAGE(S29:AB29),2)</f>
        <v>55.15</v>
      </c>
      <c r="AD29" s="73"/>
    </row>
    <row r="30" spans="1:30" x14ac:dyDescent="0.2">
      <c r="A30" s="54" t="s">
        <v>90</v>
      </c>
      <c r="B30" s="54" t="s">
        <v>91</v>
      </c>
      <c r="C30" s="68">
        <f>68.4*1000000</f>
        <v>68400000</v>
      </c>
      <c r="E30" s="68">
        <f>36951*1000</f>
        <v>36951000</v>
      </c>
      <c r="G30" s="68">
        <f>24356*1000</f>
        <v>24356000</v>
      </c>
      <c r="I30" s="68">
        <f>20135*1000</f>
        <v>20135000</v>
      </c>
      <c r="K30" s="68">
        <f>21765*1000</f>
        <v>21765000</v>
      </c>
      <c r="M30" s="68">
        <f>22224*1000</f>
        <v>22224000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I31" s="65"/>
      <c r="K31" s="65"/>
      <c r="M31" s="65"/>
    </row>
    <row r="32" spans="1:30" x14ac:dyDescent="0.2">
      <c r="A32" s="54" t="s">
        <v>93</v>
      </c>
      <c r="B32" s="54" t="s">
        <v>94</v>
      </c>
      <c r="C32" s="64">
        <f>118.6*1000000</f>
        <v>118600000</v>
      </c>
      <c r="E32" s="64">
        <f>87212*1000</f>
        <v>87212000</v>
      </c>
      <c r="G32" s="64">
        <f>89796*1000</f>
        <v>89796000</v>
      </c>
      <c r="I32" s="64">
        <f>83466*1000</f>
        <v>83466000</v>
      </c>
      <c r="K32" s="64">
        <f>71498*1000</f>
        <v>71498000</v>
      </c>
      <c r="M32" s="64">
        <f>65153*1000</f>
        <v>65153000</v>
      </c>
      <c r="Q32" s="54" t="s">
        <v>95</v>
      </c>
    </row>
    <row r="33" spans="1:30" x14ac:dyDescent="0.2">
      <c r="A33" s="76"/>
      <c r="B33" s="76"/>
      <c r="C33" s="77"/>
      <c r="D33" s="76"/>
      <c r="E33" s="77"/>
      <c r="F33" s="76"/>
      <c r="G33" s="77"/>
      <c r="H33" s="76"/>
      <c r="I33" s="78"/>
      <c r="J33" s="76"/>
      <c r="K33" s="78"/>
      <c r="L33" s="76"/>
      <c r="M33" s="78"/>
      <c r="Q33" s="54" t="s">
        <v>96</v>
      </c>
      <c r="S33" s="72">
        <f>ROUND((((C12+C19)/C56)*100),2)</f>
        <v>51.63</v>
      </c>
      <c r="T33" s="73" t="s">
        <v>4</v>
      </c>
      <c r="U33" s="72">
        <f>ROUND((((E12+E19)/E56)*100),2)</f>
        <v>52.65</v>
      </c>
      <c r="V33" s="73" t="s">
        <v>4</v>
      </c>
      <c r="W33" s="72">
        <f>ROUND((((G12+G19)/G56)*100),2)</f>
        <v>49.06</v>
      </c>
      <c r="X33" s="73" t="s">
        <v>4</v>
      </c>
      <c r="Y33" s="72">
        <f>ROUND((((I12+I19)/I56)*100),2)</f>
        <v>50.49</v>
      </c>
      <c r="Z33" s="73" t="s">
        <v>4</v>
      </c>
      <c r="AA33" s="72">
        <f>ROUND((((K12+K19)/K56)*100),2)</f>
        <v>50.02</v>
      </c>
      <c r="AB33" s="73" t="s">
        <v>4</v>
      </c>
      <c r="AC33" s="72">
        <f>ROUND(AVERAGE(S33:AB33),2)</f>
        <v>50.77</v>
      </c>
      <c r="AD33" s="73" t="s">
        <v>4</v>
      </c>
    </row>
    <row r="34" spans="1:30" x14ac:dyDescent="0.2">
      <c r="A34" s="54" t="s">
        <v>97</v>
      </c>
      <c r="B34" s="54" t="s">
        <v>98</v>
      </c>
      <c r="C34" s="64">
        <f>C32</f>
        <v>118600000</v>
      </c>
      <c r="E34" s="64">
        <f>E32</f>
        <v>87212000</v>
      </c>
      <c r="G34" s="64">
        <f>G32</f>
        <v>89796000</v>
      </c>
      <c r="I34" s="64">
        <f>I32</f>
        <v>83466000</v>
      </c>
      <c r="K34" s="64">
        <f>K32</f>
        <v>71498000</v>
      </c>
      <c r="M34" s="64">
        <f>M32</f>
        <v>65153000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I35" s="65"/>
      <c r="K35" s="65"/>
      <c r="M35" s="65"/>
      <c r="Q35" s="54" t="s">
        <v>89</v>
      </c>
      <c r="S35" s="74">
        <f>ROUND((((C16)/C56)*100),2)</f>
        <v>48.37</v>
      </c>
      <c r="T35" s="73"/>
      <c r="U35" s="74">
        <f>ROUND((((E16)/E56)*100),2)</f>
        <v>47.35</v>
      </c>
      <c r="V35" s="73"/>
      <c r="W35" s="74">
        <f>ROUND((((G16)/G56)*100),2)</f>
        <v>50.94</v>
      </c>
      <c r="X35" s="73"/>
      <c r="Y35" s="74">
        <f>ROUND((((I16)/I56)*100),2)</f>
        <v>49.51</v>
      </c>
      <c r="Z35" s="73"/>
      <c r="AA35" s="74">
        <f>ROUND((((K16)/K56)*100),2)</f>
        <v>49.98</v>
      </c>
      <c r="AB35" s="73"/>
      <c r="AC35" s="72">
        <f>ROUND(AVERAGE(S35:AB35),2)</f>
        <v>49.23</v>
      </c>
      <c r="AD35" s="73"/>
    </row>
    <row r="36" spans="1:30" x14ac:dyDescent="0.2">
      <c r="A36" s="54" t="s">
        <v>99</v>
      </c>
      <c r="B36" s="54" t="s">
        <v>100</v>
      </c>
      <c r="C36" s="65">
        <v>0</v>
      </c>
      <c r="D36" s="65"/>
      <c r="E36" s="65">
        <v>0</v>
      </c>
      <c r="F36" s="65"/>
      <c r="G36" s="65">
        <v>0</v>
      </c>
      <c r="I36" s="65">
        <v>0</v>
      </c>
      <c r="K36" s="65">
        <v>0</v>
      </c>
      <c r="M36" s="65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I37" s="65"/>
      <c r="K37" s="65"/>
    </row>
    <row r="38" spans="1:30" x14ac:dyDescent="0.2">
      <c r="A38" s="54" t="s">
        <v>101</v>
      </c>
      <c r="B38" s="54" t="s">
        <v>102</v>
      </c>
      <c r="C38" s="68">
        <f>57*1000000</f>
        <v>57000000</v>
      </c>
      <c r="E38" s="68">
        <f>44058*1000</f>
        <v>44058000</v>
      </c>
      <c r="G38" s="68">
        <f>37359*1000</f>
        <v>37359000</v>
      </c>
      <c r="I38" s="68">
        <f>33363*1000</f>
        <v>33363000</v>
      </c>
      <c r="K38" s="68">
        <f>29106*1000</f>
        <v>29106000</v>
      </c>
      <c r="M38" s="68">
        <f>26191*1000</f>
        <v>26191000</v>
      </c>
    </row>
    <row r="39" spans="1:30" x14ac:dyDescent="0.2">
      <c r="I39" s="65"/>
      <c r="K39" s="65"/>
      <c r="M39" s="65"/>
    </row>
    <row r="40" spans="1:30" x14ac:dyDescent="0.2">
      <c r="A40" s="54" t="s">
        <v>103</v>
      </c>
      <c r="B40" s="54" t="s">
        <v>104</v>
      </c>
      <c r="C40" s="64">
        <f>C32</f>
        <v>118600000</v>
      </c>
      <c r="E40" s="64">
        <f>E32</f>
        <v>87212000</v>
      </c>
      <c r="G40" s="64">
        <f>G32</f>
        <v>89796000</v>
      </c>
      <c r="I40" s="64">
        <f>I32</f>
        <v>83466000</v>
      </c>
      <c r="K40" s="64">
        <f>K32</f>
        <v>71498000</v>
      </c>
      <c r="M40" s="64">
        <f>M32</f>
        <v>65153000</v>
      </c>
      <c r="N40" s="66"/>
      <c r="O40" s="66"/>
      <c r="P40" s="66"/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4">
        <f>239.4*1000000</f>
        <v>239400000</v>
      </c>
      <c r="E41" s="64">
        <f>203482*1000</f>
        <v>203482000</v>
      </c>
      <c r="G41" s="64">
        <f>158882*1000</f>
        <v>158882000</v>
      </c>
      <c r="I41" s="64">
        <f>150504*1000</f>
        <v>150504000</v>
      </c>
      <c r="K41" s="64">
        <f>158916*1000</f>
        <v>158916000</v>
      </c>
      <c r="M41" s="64">
        <f>102964*1000</f>
        <v>102964000</v>
      </c>
      <c r="N41" s="66"/>
      <c r="O41" s="66"/>
      <c r="P41" s="66"/>
      <c r="Q41" s="66"/>
      <c r="R41" s="66"/>
    </row>
    <row r="42" spans="1:30" x14ac:dyDescent="0.2">
      <c r="A42" s="54" t="s">
        <v>108</v>
      </c>
      <c r="B42" s="54" t="s">
        <v>109</v>
      </c>
      <c r="C42" s="55">
        <f>(-10.3+3.3+0.2+0.4+0.4-2.9-0.7+7-2.2+5.7)*1000000</f>
        <v>900000.00000000035</v>
      </c>
      <c r="E42" s="55">
        <f>(2270+293+20102+18689-16795-1288+3928+1462+1367)*1000</f>
        <v>30028000</v>
      </c>
      <c r="G42" s="55">
        <f>(-11159-7847-38671+9124+2724+14919+664-1231-2771)*1000</f>
        <v>-34248000</v>
      </c>
      <c r="I42" s="65">
        <f>(1634-9517-18464-1520+8285-4575+3176+1198-4860)*1000</f>
        <v>-24643000</v>
      </c>
      <c r="K42" s="65">
        <f>(-7426+1709-4973+2424+4941+7165+2238-2473-5723)*1000</f>
        <v>-2118000</v>
      </c>
      <c r="M42" s="65">
        <f>(36489+8227-7812+11115-62021-4750-1811+2120-16064)*1000</f>
        <v>-34507000</v>
      </c>
      <c r="N42" s="66"/>
      <c r="O42" s="66"/>
      <c r="P42" s="66"/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4">
        <f>65.7*1000000</f>
        <v>65700000</v>
      </c>
      <c r="E43" s="64">
        <f>65501*1000</f>
        <v>65501000</v>
      </c>
      <c r="G43" s="65">
        <f>68973*1000</f>
        <v>68973000</v>
      </c>
      <c r="I43" s="65">
        <f>62661*1000</f>
        <v>62661000</v>
      </c>
      <c r="K43" s="65">
        <f>58117*1000</f>
        <v>58117000</v>
      </c>
      <c r="M43" s="65">
        <f>45423*1000</f>
        <v>45423000</v>
      </c>
      <c r="Q43" s="54" t="s">
        <v>113</v>
      </c>
      <c r="S43" s="72">
        <f>ROUND(C21/C52,4)*100</f>
        <v>4.5199999999999996</v>
      </c>
      <c r="T43" s="73" t="s">
        <v>4</v>
      </c>
      <c r="U43" s="72">
        <f>ROUND(E21/E52,4)*100</f>
        <v>4.33</v>
      </c>
      <c r="V43" s="73" t="s">
        <v>4</v>
      </c>
      <c r="W43" s="72">
        <f>ROUND(G21/G52,4)*100</f>
        <v>4.05</v>
      </c>
      <c r="X43" s="73" t="s">
        <v>4</v>
      </c>
      <c r="Y43" s="72">
        <f>ROUND(I21/I52,4)*100</f>
        <v>3.83</v>
      </c>
      <c r="Z43" s="73" t="s">
        <v>4</v>
      </c>
      <c r="AA43" s="72">
        <f>ROUND(K21/K52,4)*100</f>
        <v>4.66</v>
      </c>
      <c r="AB43" s="73" t="s">
        <v>4</v>
      </c>
      <c r="AC43" s="72">
        <f>ROUND(AVERAGE(S43:AB43),2)</f>
        <v>4.28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4">
        <f>43.2*1000000</f>
        <v>43200000</v>
      </c>
      <c r="E44" s="64">
        <f>28078*1000</f>
        <v>28078000</v>
      </c>
      <c r="G44" s="64">
        <f>33832*1000</f>
        <v>33832000</v>
      </c>
      <c r="I44" s="64">
        <f>29231*1000</f>
        <v>29231000</v>
      </c>
      <c r="K44" s="64">
        <f>23538*1000</f>
        <v>23538000</v>
      </c>
      <c r="M44" s="64">
        <f>21091*1000</f>
        <v>21091000</v>
      </c>
      <c r="Q44" s="54" t="s">
        <v>116</v>
      </c>
      <c r="S44" s="72">
        <f>(ROUND((C52/(AVERAGE(C48,E48))*100),2))</f>
        <v>199.43</v>
      </c>
      <c r="U44" s="72">
        <f>(ROUND((E52/(AVERAGE(E48,G48))*100),2))</f>
        <v>212.13</v>
      </c>
      <c r="W44" s="72">
        <f>(ROUND((G52/(AVERAGE(G48,I48))*100),2))</f>
        <v>274.16000000000003</v>
      </c>
      <c r="Y44" s="72">
        <f>(ROUND((I52/(AVERAGE(I48,K48))*100),2))</f>
        <v>294.54000000000002</v>
      </c>
      <c r="AA44" s="72">
        <f>(ROUND((K52/(AVERAGE(K48,M48))*100),2))</f>
        <v>246.4</v>
      </c>
      <c r="AC44" s="72">
        <f>ROUND(AVERAGE(S44:AB44),2)</f>
        <v>245.33</v>
      </c>
    </row>
    <row r="45" spans="1:30" x14ac:dyDescent="0.2">
      <c r="I45" s="65"/>
      <c r="K45" s="65"/>
      <c r="M45" s="65"/>
      <c r="Q45" s="54" t="s">
        <v>117</v>
      </c>
      <c r="S45" s="72">
        <f>ROUND(((+C26/C52)*100),2)</f>
        <v>2.16</v>
      </c>
      <c r="U45" s="72">
        <f>ROUND(((+E26/E52)*100),2)</f>
        <v>2.11</v>
      </c>
      <c r="W45" s="72">
        <f>ROUND(((+G26/G52)*100),2)</f>
        <v>1.68</v>
      </c>
      <c r="Y45" s="72">
        <f>ROUND(((+I26/I52)*100),2)</f>
        <v>1.52</v>
      </c>
      <c r="AA45" s="72">
        <f>ROUND(((+K26/K52)*100),2)</f>
        <v>1.89</v>
      </c>
      <c r="AC45" s="72">
        <f>ROUND(AVERAGE(S45:AB45),2)</f>
        <v>1.87</v>
      </c>
    </row>
    <row r="46" spans="1:30" x14ac:dyDescent="0.2">
      <c r="A46" s="54" t="s">
        <v>118</v>
      </c>
      <c r="I46" s="65"/>
      <c r="K46" s="65"/>
      <c r="M46" s="65"/>
      <c r="Q46" s="54" t="s">
        <v>119</v>
      </c>
      <c r="S46" s="72">
        <f>ROUND(((+C38/C34)*100),2)</f>
        <v>48.06</v>
      </c>
      <c r="U46" s="72">
        <f>ROUND(((+E38/E34)*100),2)</f>
        <v>50.52</v>
      </c>
      <c r="W46" s="72">
        <f>ROUND(((+G38/G34)*100),2)</f>
        <v>41.6</v>
      </c>
      <c r="Y46" s="72">
        <f>ROUND(((+I38/I34)*100),2)</f>
        <v>39.97</v>
      </c>
      <c r="AA46" s="72">
        <f>ROUND(((+K38/K34)*100),2)</f>
        <v>40.71</v>
      </c>
      <c r="AC46" s="72">
        <f>ROUND(AVERAGE(S46:AB46),2)</f>
        <v>44.17</v>
      </c>
    </row>
    <row r="47" spans="1:30" x14ac:dyDescent="0.2">
      <c r="I47" s="65"/>
      <c r="K47" s="65"/>
      <c r="M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55">
        <f>C16/C15</f>
        <v>60.710074675750036</v>
      </c>
      <c r="E48" s="55">
        <f>E16/E15</f>
        <v>56.041606205473748</v>
      </c>
      <c r="G48" s="55">
        <f>G16/G15</f>
        <v>46.941061870026395</v>
      </c>
      <c r="I48" s="55">
        <f>I16/I15</f>
        <v>43.846616985955016</v>
      </c>
      <c r="K48" s="55">
        <f>K16/K15</f>
        <v>39.920475739070127</v>
      </c>
      <c r="M48" s="55">
        <f>M16/M15</f>
        <v>34.234617688025004</v>
      </c>
      <c r="N48" s="66"/>
      <c r="O48" s="66"/>
      <c r="P48" s="66"/>
      <c r="Q48" s="66" t="s">
        <v>122</v>
      </c>
      <c r="R48" s="66"/>
      <c r="S48" s="72">
        <f>ROUND(((C34/AVERAGE(C16,E16))*100),2)</f>
        <v>9</v>
      </c>
      <c r="T48" s="54" t="s">
        <v>4</v>
      </c>
      <c r="U48" s="72">
        <f>ROUND(((E34/AVERAGE(E16,G16))*100),2)</f>
        <v>8.39</v>
      </c>
      <c r="V48" s="54" t="s">
        <v>4</v>
      </c>
      <c r="W48" s="72">
        <f>ROUND(((G34/AVERAGE(G16,I16))*100),2)</f>
        <v>11.18</v>
      </c>
      <c r="X48" s="54" t="s">
        <v>4</v>
      </c>
      <c r="Y48" s="72">
        <f>ROUND(((I34/AVERAGE(I16,K16))*100),2)</f>
        <v>11.35</v>
      </c>
      <c r="Z48" s="54" t="s">
        <v>4</v>
      </c>
      <c r="AA48" s="72">
        <f>ROUND(((K34/AVERAGE(K16,M16))*100),2)</f>
        <v>11.36</v>
      </c>
      <c r="AB48" s="54" t="s">
        <v>4</v>
      </c>
      <c r="AC48" s="72">
        <f>ROUND(AVERAGE(S48:AB48),2)</f>
        <v>10.26</v>
      </c>
      <c r="AD48" s="54" t="s">
        <v>4</v>
      </c>
    </row>
    <row r="49" spans="1:30" x14ac:dyDescent="0.2">
      <c r="I49" s="55"/>
      <c r="K49" s="55"/>
      <c r="M49" s="5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55">
        <f>SUM(C12:C13,C16:C17)</f>
        <v>2677400000</v>
      </c>
      <c r="E50" s="55">
        <f>SUM(E12:E13,E16:E17)</f>
        <v>2451684000</v>
      </c>
      <c r="G50" s="55">
        <f>SUM(G12:G13,G16:G17)</f>
        <v>1432672000</v>
      </c>
      <c r="I50" s="55">
        <f>SUM(I12:I13,I16:I17)</f>
        <v>1341995000</v>
      </c>
      <c r="K50" s="55">
        <f>SUM(K12:K13,K16:K17)</f>
        <v>1219184000</v>
      </c>
      <c r="M50" s="55">
        <f>SUM(M12:M13,M16:M17)</f>
        <v>1047345000</v>
      </c>
      <c r="N50" s="66"/>
      <c r="O50" s="66"/>
      <c r="P50" s="66"/>
      <c r="Q50" s="66" t="s">
        <v>124</v>
      </c>
      <c r="R50" s="66"/>
      <c r="S50" s="72">
        <f>ROUND((C54/C62),2)</f>
        <v>5.01</v>
      </c>
      <c r="T50" s="73" t="s">
        <v>125</v>
      </c>
      <c r="U50" s="72">
        <f>ROUND((E54/E62),2)</f>
        <v>6.36</v>
      </c>
      <c r="V50" s="73" t="s">
        <v>125</v>
      </c>
      <c r="W50" s="72">
        <f>ROUND((G54/G62),2)</f>
        <v>3.7</v>
      </c>
      <c r="X50" s="73" t="s">
        <v>125</v>
      </c>
      <c r="Y50" s="72">
        <f>ROUND((I54/I62),2)</f>
        <v>4.04</v>
      </c>
      <c r="Z50" s="73" t="s">
        <v>125</v>
      </c>
      <c r="AA50" s="72">
        <f>ROUND((K54/K62),2)</f>
        <v>3.99</v>
      </c>
      <c r="AB50" s="73" t="s">
        <v>125</v>
      </c>
      <c r="AC50" s="72">
        <f>ROUND(AVERAGE(S50:AB50),2)</f>
        <v>4.62</v>
      </c>
      <c r="AD50" s="54" t="s">
        <v>125</v>
      </c>
    </row>
    <row r="51" spans="1:30" x14ac:dyDescent="0.2">
      <c r="I51" s="55"/>
      <c r="K51" s="55"/>
      <c r="M51" s="55"/>
      <c r="N51" s="66"/>
      <c r="O51" s="66"/>
      <c r="P51" s="66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55">
        <f>AVERAGE(C22:C23)</f>
        <v>116.42</v>
      </c>
      <c r="E52" s="55">
        <f>AVERAGE(E22:E23)</f>
        <v>109.22999999999999</v>
      </c>
      <c r="G52" s="55">
        <f>AVERAGE(G22:G23)</f>
        <v>124.45</v>
      </c>
      <c r="I52" s="55">
        <f>AVERAGE(I22:I23)</f>
        <v>123.36500000000001</v>
      </c>
      <c r="K52" s="55">
        <f>AVERAGE(K22:K23)</f>
        <v>91.36</v>
      </c>
      <c r="M52" s="55">
        <f>AVERAGE(M22:M23)</f>
        <v>88.545000000000002</v>
      </c>
      <c r="N52" s="66"/>
      <c r="O52" s="66"/>
      <c r="P52" s="66"/>
      <c r="Q52" s="66" t="s">
        <v>127</v>
      </c>
      <c r="R52" s="66"/>
      <c r="S52" s="72">
        <f>ROUND(((C60/C54)*100),2)</f>
        <v>16.100000000000001</v>
      </c>
      <c r="T52" s="73" t="s">
        <v>4</v>
      </c>
      <c r="U52" s="72">
        <f>ROUND(((E60/E54)*100),2)</f>
        <v>16.850000000000001</v>
      </c>
      <c r="V52" s="73" t="s">
        <v>4</v>
      </c>
      <c r="W52" s="72">
        <f>ROUND(((G60/G54)*100),2)</f>
        <v>15.53</v>
      </c>
      <c r="X52" s="73" t="s">
        <v>4</v>
      </c>
      <c r="Y52" s="72">
        <f>ROUND(((I60/I54)*100),2)</f>
        <v>15.89</v>
      </c>
      <c r="Z52" s="73" t="s">
        <v>4</v>
      </c>
      <c r="AA52" s="72">
        <f>ROUND(((K60/K54)*100),2)</f>
        <v>22.37</v>
      </c>
      <c r="AB52" s="73" t="s">
        <v>4</v>
      </c>
      <c r="AC52" s="72">
        <f>ROUND(AVERAGE(S52:AB52),2)</f>
        <v>17.350000000000001</v>
      </c>
      <c r="AD52" s="54" t="s">
        <v>4</v>
      </c>
    </row>
    <row r="53" spans="1:30" x14ac:dyDescent="0.2">
      <c r="I53" s="55"/>
      <c r="K53" s="55"/>
      <c r="M53" s="55"/>
      <c r="N53" s="79"/>
      <c r="O53" s="79"/>
      <c r="P53" s="79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80">
        <f>+C19+C12</f>
        <v>1483700000</v>
      </c>
      <c r="E54" s="80">
        <f>+E19+E12</f>
        <v>1385433000</v>
      </c>
      <c r="G54" s="80">
        <f>+G19+G12</f>
        <v>802028000</v>
      </c>
      <c r="I54" s="80">
        <f>+I19+I12</f>
        <v>789499000</v>
      </c>
      <c r="K54" s="80">
        <f>+K19+K12</f>
        <v>697743000</v>
      </c>
      <c r="M54" s="80">
        <f>+M19+M12</f>
        <v>733139000</v>
      </c>
      <c r="N54" s="79"/>
      <c r="O54" s="79"/>
      <c r="P54" s="79"/>
      <c r="Q54" s="79" t="s">
        <v>128</v>
      </c>
      <c r="R54" s="79"/>
      <c r="S54" s="72">
        <f>S33</f>
        <v>51.63</v>
      </c>
      <c r="T54" s="73" t="s">
        <v>4</v>
      </c>
      <c r="U54" s="72">
        <f>U33</f>
        <v>52.65</v>
      </c>
      <c r="V54" s="73" t="s">
        <v>4</v>
      </c>
      <c r="W54" s="72">
        <f>W33</f>
        <v>49.06</v>
      </c>
      <c r="X54" s="73" t="s">
        <v>4</v>
      </c>
      <c r="Y54" s="72">
        <f>Y33</f>
        <v>50.49</v>
      </c>
      <c r="Z54" s="73" t="s">
        <v>4</v>
      </c>
      <c r="AA54" s="72">
        <f>AA33</f>
        <v>50.02</v>
      </c>
      <c r="AB54" s="73" t="s">
        <v>4</v>
      </c>
      <c r="AC54" s="72">
        <f>ROUND(AVERAGE(S54:AB54),2)</f>
        <v>50.77</v>
      </c>
      <c r="AD54" s="73" t="s">
        <v>4</v>
      </c>
    </row>
    <row r="55" spans="1:30" x14ac:dyDescent="0.2">
      <c r="I55" s="55"/>
      <c r="K55" s="55"/>
      <c r="M55" s="55"/>
    </row>
    <row r="56" spans="1:30" x14ac:dyDescent="0.2">
      <c r="A56" s="54" t="s">
        <v>14</v>
      </c>
      <c r="B56" s="54" t="s">
        <v>121</v>
      </c>
      <c r="C56" s="55">
        <f>SUM(C50,C19)</f>
        <v>2873900000</v>
      </c>
      <c r="E56" s="55">
        <f>SUM(E50,E19)</f>
        <v>2631537000</v>
      </c>
      <c r="G56" s="55">
        <f>SUM(G50,G19)</f>
        <v>1634829000</v>
      </c>
      <c r="I56" s="55">
        <f>SUM(I50,I19)</f>
        <v>1563629000</v>
      </c>
      <c r="K56" s="55">
        <f>SUM(K50,K19)</f>
        <v>1394828000</v>
      </c>
      <c r="M56" s="55">
        <f>SUM(M50,M19)</f>
        <v>1294716000</v>
      </c>
    </row>
    <row r="57" spans="1:30" x14ac:dyDescent="0.2">
      <c r="I57" s="55"/>
      <c r="K57" s="55"/>
      <c r="M57" s="55"/>
    </row>
    <row r="58" spans="1:30" x14ac:dyDescent="0.2">
      <c r="A58" s="54" t="s">
        <v>129</v>
      </c>
      <c r="B58" s="54" t="s">
        <v>121</v>
      </c>
      <c r="C58" s="55">
        <f>SUM(C13,C17)</f>
        <v>0</v>
      </c>
      <c r="E58" s="55">
        <f>SUM(E13,E17)</f>
        <v>0</v>
      </c>
      <c r="G58" s="55">
        <f>SUM(G13,G17)</f>
        <v>0</v>
      </c>
      <c r="I58" s="55">
        <f>SUM(I13,I17)</f>
        <v>0</v>
      </c>
      <c r="K58" s="55">
        <f>SUM(K13,K17)</f>
        <v>0</v>
      </c>
      <c r="M58" s="55">
        <f>SUM(M13,M17)</f>
        <v>0</v>
      </c>
    </row>
    <row r="59" spans="1:30" x14ac:dyDescent="0.2">
      <c r="I59" s="55"/>
      <c r="K59" s="55"/>
      <c r="M59" s="55"/>
    </row>
    <row r="60" spans="1:30" x14ac:dyDescent="0.2">
      <c r="A60" s="82" t="s">
        <v>130</v>
      </c>
      <c r="B60" s="54" t="s">
        <v>121</v>
      </c>
      <c r="C60" s="55">
        <f>ROUND(C41+C42-C28,3)</f>
        <v>238900000</v>
      </c>
      <c r="E60" s="55">
        <f>ROUND(E41+E42-E28,3)</f>
        <v>233510000</v>
      </c>
      <c r="G60" s="55">
        <f>ROUND(G41+G42-G28,3)</f>
        <v>124534000</v>
      </c>
      <c r="I60" s="55">
        <f>ROUND(I41+I42-I28,3)</f>
        <v>125461000</v>
      </c>
      <c r="K60" s="55">
        <f>ROUND(K41+K42-K28,3)</f>
        <v>156098000</v>
      </c>
      <c r="M60" s="55">
        <f>ROUND(M41+M42-M28,3)</f>
        <v>67757000</v>
      </c>
    </row>
    <row r="61" spans="1:30" x14ac:dyDescent="0.2">
      <c r="A61" s="82"/>
      <c r="I61" s="55"/>
      <c r="K61" s="55"/>
      <c r="M61" s="55"/>
    </row>
    <row r="62" spans="1:30" x14ac:dyDescent="0.2">
      <c r="A62" s="54" t="s">
        <v>131</v>
      </c>
      <c r="B62" s="54" t="s">
        <v>121</v>
      </c>
      <c r="C62" s="55">
        <f>C40+C44+C43+C30</f>
        <v>295900000</v>
      </c>
      <c r="E62" s="55">
        <f>E40+E44+E43+E30</f>
        <v>217742000</v>
      </c>
      <c r="G62" s="55">
        <f>G40+G44+G43+G30</f>
        <v>216957000</v>
      </c>
      <c r="I62" s="55">
        <f>I40+I44+I43+I30</f>
        <v>195493000</v>
      </c>
      <c r="K62" s="55">
        <f>K40+K44+K43+K30</f>
        <v>174918000</v>
      </c>
      <c r="M62" s="55">
        <f>M40+M44+M43+M30</f>
        <v>153891000</v>
      </c>
    </row>
    <row r="63" spans="1:30" x14ac:dyDescent="0.2">
      <c r="M63" s="83"/>
    </row>
    <row r="64" spans="1:30" x14ac:dyDescent="0.2">
      <c r="M64" s="83"/>
    </row>
    <row r="71" spans="13:13" x14ac:dyDescent="0.2">
      <c r="M71" s="83"/>
    </row>
    <row r="81" spans="13:223" x14ac:dyDescent="0.2">
      <c r="HK81" s="84"/>
      <c r="HL81" s="84"/>
      <c r="HO81" s="54" t="s">
        <v>132</v>
      </c>
    </row>
    <row r="94" spans="13:223" x14ac:dyDescent="0.2">
      <c r="M94" s="83"/>
    </row>
    <row r="95" spans="13:223" x14ac:dyDescent="0.2">
      <c r="M95" s="83"/>
    </row>
    <row r="96" spans="13:223" x14ac:dyDescent="0.2">
      <c r="M96" s="83"/>
    </row>
    <row r="97" spans="13:13" x14ac:dyDescent="0.2">
      <c r="M97" s="83"/>
    </row>
    <row r="98" spans="13:13" x14ac:dyDescent="0.2">
      <c r="M98" s="83"/>
    </row>
    <row r="99" spans="13:13" x14ac:dyDescent="0.2">
      <c r="M99" s="83"/>
    </row>
    <row r="100" spans="13:13" x14ac:dyDescent="0.2">
      <c r="M100" s="83"/>
    </row>
    <row r="101" spans="13:13" x14ac:dyDescent="0.2">
      <c r="M101" s="83"/>
    </row>
    <row r="102" spans="13:13" x14ac:dyDescent="0.2">
      <c r="M102" s="83"/>
    </row>
    <row r="103" spans="13:13" x14ac:dyDescent="0.2">
      <c r="M103" s="83"/>
    </row>
    <row r="104" spans="13:13" x14ac:dyDescent="0.2">
      <c r="M104" s="83"/>
    </row>
    <row r="105" spans="13:13" x14ac:dyDescent="0.2">
      <c r="M105" s="83"/>
    </row>
    <row r="106" spans="13:13" x14ac:dyDescent="0.2">
      <c r="M106" s="83"/>
    </row>
    <row r="107" spans="13:13" x14ac:dyDescent="0.2">
      <c r="M107" s="83"/>
    </row>
    <row r="108" spans="13:13" x14ac:dyDescent="0.2">
      <c r="M108" s="83"/>
    </row>
    <row r="109" spans="13:13" x14ac:dyDescent="0.2">
      <c r="M109" s="83"/>
    </row>
    <row r="110" spans="13:13" x14ac:dyDescent="0.2">
      <c r="M110" s="83"/>
    </row>
    <row r="111" spans="13:13" x14ac:dyDescent="0.2">
      <c r="M111" s="83"/>
    </row>
    <row r="112" spans="13:13" x14ac:dyDescent="0.2">
      <c r="M112" s="83"/>
    </row>
    <row r="113" spans="13:13" x14ac:dyDescent="0.2">
      <c r="M113" s="83"/>
    </row>
    <row r="114" spans="13:13" x14ac:dyDescent="0.2">
      <c r="M114" s="83"/>
    </row>
    <row r="115" spans="13:13" x14ac:dyDescent="0.2">
      <c r="M115" s="83"/>
    </row>
    <row r="116" spans="13:13" x14ac:dyDescent="0.2">
      <c r="M116" s="83"/>
    </row>
    <row r="117" spans="13:13" x14ac:dyDescent="0.2">
      <c r="M117" s="83"/>
    </row>
    <row r="118" spans="13:13" x14ac:dyDescent="0.2">
      <c r="M118" s="83"/>
    </row>
    <row r="119" spans="13:13" x14ac:dyDescent="0.2">
      <c r="M119" s="83"/>
    </row>
    <row r="120" spans="13:13" x14ac:dyDescent="0.2">
      <c r="M120" s="83"/>
    </row>
    <row r="121" spans="13:13" x14ac:dyDescent="0.2">
      <c r="M121" s="83"/>
    </row>
    <row r="122" spans="13:13" x14ac:dyDescent="0.2">
      <c r="M122" s="83"/>
    </row>
    <row r="123" spans="13:13" x14ac:dyDescent="0.2">
      <c r="M123" s="83"/>
    </row>
    <row r="124" spans="13:13" x14ac:dyDescent="0.2">
      <c r="M124" s="83"/>
    </row>
    <row r="125" spans="13:13" x14ac:dyDescent="0.2">
      <c r="M125" s="83"/>
    </row>
    <row r="126" spans="13:13" x14ac:dyDescent="0.2">
      <c r="M126" s="83"/>
    </row>
    <row r="127" spans="13:13" x14ac:dyDescent="0.2">
      <c r="M127" s="83"/>
    </row>
    <row r="128" spans="13:13" x14ac:dyDescent="0.2">
      <c r="M128" s="83"/>
    </row>
    <row r="129" spans="13:13" x14ac:dyDescent="0.2">
      <c r="M129" s="83"/>
    </row>
    <row r="130" spans="13:13" x14ac:dyDescent="0.2">
      <c r="M130" s="83"/>
    </row>
    <row r="131" spans="13:13" x14ac:dyDescent="0.2">
      <c r="M131" s="83"/>
    </row>
    <row r="132" spans="13:13" x14ac:dyDescent="0.2">
      <c r="M132" s="83"/>
    </row>
    <row r="133" spans="13:13" x14ac:dyDescent="0.2">
      <c r="M133" s="83"/>
    </row>
    <row r="134" spans="13:13" x14ac:dyDescent="0.2">
      <c r="M134" s="83"/>
    </row>
    <row r="135" spans="13:13" x14ac:dyDescent="0.2">
      <c r="M135" s="83"/>
    </row>
    <row r="136" spans="13:13" x14ac:dyDescent="0.2">
      <c r="M136" s="83"/>
    </row>
    <row r="137" spans="13:13" x14ac:dyDescent="0.2">
      <c r="M137" s="83"/>
    </row>
    <row r="138" spans="13:13" x14ac:dyDescent="0.2">
      <c r="M138" s="83"/>
    </row>
    <row r="139" spans="13:13" x14ac:dyDescent="0.2">
      <c r="M139" s="83"/>
    </row>
    <row r="140" spans="13:13" x14ac:dyDescent="0.2">
      <c r="M140" s="83"/>
    </row>
    <row r="141" spans="13:13" x14ac:dyDescent="0.2">
      <c r="M141" s="83"/>
    </row>
    <row r="142" spans="13:13" x14ac:dyDescent="0.2">
      <c r="M142" s="83"/>
    </row>
    <row r="143" spans="13:13" x14ac:dyDescent="0.2">
      <c r="M143" s="83"/>
    </row>
    <row r="144" spans="13:13" x14ac:dyDescent="0.2">
      <c r="M144" s="83"/>
    </row>
    <row r="145" spans="13:13" x14ac:dyDescent="0.2">
      <c r="M145" s="83"/>
    </row>
    <row r="146" spans="13:13" x14ac:dyDescent="0.2">
      <c r="M146" s="83"/>
    </row>
    <row r="147" spans="13:13" x14ac:dyDescent="0.2">
      <c r="M147" s="83"/>
    </row>
    <row r="148" spans="13:13" x14ac:dyDescent="0.2">
      <c r="M148" s="83"/>
    </row>
    <row r="149" spans="13:13" x14ac:dyDescent="0.2">
      <c r="M149" s="83"/>
    </row>
    <row r="150" spans="13:13" x14ac:dyDescent="0.2">
      <c r="M150" s="83"/>
    </row>
    <row r="151" spans="13:13" x14ac:dyDescent="0.2">
      <c r="M151" s="83"/>
    </row>
    <row r="152" spans="13:13" x14ac:dyDescent="0.2">
      <c r="M152" s="83"/>
    </row>
    <row r="153" spans="13:13" x14ac:dyDescent="0.2">
      <c r="M153" s="83"/>
    </row>
    <row r="154" spans="13:13" x14ac:dyDescent="0.2">
      <c r="M154" s="83"/>
    </row>
  </sheetData>
  <mergeCells count="5">
    <mergeCell ref="I6:M6"/>
    <mergeCell ref="I7:M7"/>
    <mergeCell ref="I8:M8"/>
    <mergeCell ref="AC24:AD24"/>
    <mergeCell ref="AC25:AD25"/>
  </mergeCells>
  <printOptions horizontalCentered="1"/>
  <pageMargins left="0.75" right="0.75" top="1" bottom="1" header="0.5" footer="0.5"/>
  <pageSetup scale="1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FBE8-38B2-4051-8203-A3FA8F1AFF6F}">
  <sheetPr>
    <pageSetUpPr fitToPage="1"/>
  </sheetPr>
  <dimension ref="A1:HO154"/>
  <sheetViews>
    <sheetView zoomScale="80" zoomScaleNormal="80" workbookViewId="0">
      <selection activeCell="D10" sqref="D10"/>
    </sheetView>
  </sheetViews>
  <sheetFormatPr defaultColWidth="9.140625" defaultRowHeight="12.75" x14ac:dyDescent="0.2"/>
  <cols>
    <col min="1" max="1" width="36.140625" style="54" customWidth="1"/>
    <col min="2" max="2" width="15.140625" style="54" bestFit="1" customWidth="1"/>
    <col min="3" max="3" width="16.140625" style="54" customWidth="1"/>
    <col min="4" max="4" width="2.140625" style="54" customWidth="1"/>
    <col min="5" max="5" width="16.140625" style="54" customWidth="1"/>
    <col min="6" max="6" width="2.140625" style="54" customWidth="1"/>
    <col min="7" max="7" width="16.140625" style="54" customWidth="1"/>
    <col min="8" max="8" width="2.140625" style="54" customWidth="1"/>
    <col min="9" max="9" width="17.85546875" style="54" customWidth="1"/>
    <col min="10" max="10" width="2.140625" style="54" customWidth="1"/>
    <col min="11" max="11" width="18.5703125" style="54" customWidth="1"/>
    <col min="12" max="12" width="1.85546875" style="54" customWidth="1"/>
    <col min="13" max="13" width="18.5703125" style="54" customWidth="1"/>
    <col min="14" max="16" width="3.140625" style="54" customWidth="1"/>
    <col min="17" max="17" width="53.140625" style="54" bestFit="1" customWidth="1"/>
    <col min="18" max="18" width="3.140625" style="54" customWidth="1"/>
    <col min="19" max="19" width="14.85546875" style="54" customWidth="1"/>
    <col min="20" max="20" width="3" style="54" customWidth="1"/>
    <col min="21" max="21" width="14.85546875" style="54" customWidth="1"/>
    <col min="22" max="22" width="3" style="54" customWidth="1"/>
    <col min="23" max="23" width="14.85546875" style="54" customWidth="1"/>
    <col min="24" max="24" width="3" style="54" customWidth="1"/>
    <col min="25" max="25" width="11" style="54" bestFit="1" customWidth="1"/>
    <col min="26" max="26" width="2.5703125" style="54" bestFit="1" customWidth="1"/>
    <col min="27" max="27" width="11" style="54" bestFit="1" customWidth="1"/>
    <col min="28" max="28" width="2.5703125" style="54" customWidth="1"/>
    <col min="29" max="29" width="10.5703125" style="54" customWidth="1"/>
    <col min="30" max="30" width="2.5703125" style="54" customWidth="1"/>
    <col min="31" max="31" width="9.140625" style="54"/>
    <col min="32" max="32" width="4.42578125" style="54" customWidth="1"/>
    <col min="33" max="33" width="3.5703125" style="54" customWidth="1"/>
    <col min="34" max="34" width="22.140625" style="54" customWidth="1"/>
    <col min="35" max="16384" width="9.140625" style="54"/>
  </cols>
  <sheetData>
    <row r="1" spans="1:29" ht="16.350000000000001" customHeight="1" x14ac:dyDescent="0.2">
      <c r="A1" s="85"/>
    </row>
    <row r="2" spans="1:29" ht="16.350000000000001" customHeight="1" x14ac:dyDescent="0.2">
      <c r="A2" s="85"/>
    </row>
    <row r="3" spans="1:29" ht="16.350000000000001" customHeight="1" x14ac:dyDescent="0.2">
      <c r="A3" s="85"/>
      <c r="I3" s="86"/>
    </row>
    <row r="4" spans="1:29" ht="16.350000000000001" customHeight="1" thickBot="1" x14ac:dyDescent="0.25">
      <c r="A4" s="85"/>
      <c r="I4" s="86"/>
    </row>
    <row r="5" spans="1:29" ht="15" x14ac:dyDescent="0.35">
      <c r="A5" s="87" t="s">
        <v>136</v>
      </c>
    </row>
    <row r="6" spans="1:29" ht="15.75" thickBot="1" x14ac:dyDescent="0.3">
      <c r="A6" s="88" t="s">
        <v>19</v>
      </c>
      <c r="I6" s="195" t="s">
        <v>137</v>
      </c>
      <c r="J6" s="198"/>
      <c r="K6" s="198"/>
      <c r="L6" s="198"/>
      <c r="M6" s="198"/>
      <c r="N6" s="60"/>
      <c r="O6" s="60"/>
      <c r="P6" s="60"/>
      <c r="Q6" s="60" t="str">
        <f>I6</f>
        <v>New Jersey Resources</v>
      </c>
      <c r="R6" s="60"/>
      <c r="S6" s="60"/>
      <c r="T6" s="61"/>
      <c r="U6" s="60"/>
      <c r="V6" s="61"/>
      <c r="W6" s="60"/>
      <c r="X6" s="61"/>
      <c r="Y6" s="61"/>
      <c r="Z6" s="62"/>
      <c r="AA6" s="61"/>
      <c r="AB6" s="61"/>
      <c r="AC6" s="61"/>
    </row>
    <row r="7" spans="1:29" ht="15" x14ac:dyDescent="0.25">
      <c r="I7" s="195" t="s">
        <v>54</v>
      </c>
      <c r="J7" s="198"/>
      <c r="K7" s="198"/>
      <c r="L7" s="198"/>
      <c r="M7" s="198"/>
      <c r="N7" s="61"/>
      <c r="O7" s="61"/>
      <c r="P7" s="61"/>
      <c r="Q7" s="61" t="str">
        <f>I7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5" x14ac:dyDescent="0.25">
      <c r="I8" s="195" t="s">
        <v>138</v>
      </c>
      <c r="J8" s="198"/>
      <c r="K8" s="198"/>
      <c r="L8" s="198"/>
      <c r="M8" s="198"/>
      <c r="N8" s="62"/>
      <c r="O8" s="62"/>
      <c r="P8" s="62"/>
      <c r="Q8" s="62" t="str">
        <f>I8</f>
        <v>2019 - 2024, Inclusive</v>
      </c>
      <c r="R8" s="62"/>
      <c r="S8" s="62"/>
      <c r="T8" s="61"/>
      <c r="U8" s="62"/>
      <c r="V8" s="61"/>
      <c r="W8" s="62"/>
      <c r="X8" s="61"/>
      <c r="Y8" s="61"/>
      <c r="Z8" s="62"/>
      <c r="AA8" s="61"/>
      <c r="AB8" s="61"/>
      <c r="AC8" s="61"/>
    </row>
    <row r="9" spans="1:29" x14ac:dyDescent="0.2"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139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68">
        <f>(2879464+189006)*1000</f>
        <v>3068470000</v>
      </c>
      <c r="E12" s="68">
        <f>(2768017+116155)*1000</f>
        <v>2884172000</v>
      </c>
      <c r="G12" s="68">
        <f>2485402000+75069000</f>
        <v>2560471000</v>
      </c>
      <c r="I12" s="64">
        <f>2162164000+72840000</f>
        <v>2235004000</v>
      </c>
      <c r="K12" s="64">
        <f>2259466000+27236000</f>
        <v>2286702000</v>
      </c>
      <c r="M12" s="65">
        <f>1537177000+21419000</f>
        <v>1558596000</v>
      </c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ht="14.45" customHeight="1" x14ac:dyDescent="0.2">
      <c r="A13" s="54" t="s">
        <v>60</v>
      </c>
      <c r="B13" s="54" t="s">
        <v>61</v>
      </c>
      <c r="C13" s="65">
        <v>0</v>
      </c>
      <c r="E13" s="65">
        <v>0</v>
      </c>
      <c r="G13" s="65">
        <v>0</v>
      </c>
      <c r="I13" s="65">
        <v>0</v>
      </c>
      <c r="K13" s="65">
        <v>0</v>
      </c>
      <c r="M13" s="65">
        <v>0</v>
      </c>
      <c r="Y13" s="58" t="s">
        <v>62</v>
      </c>
      <c r="Z13" s="58"/>
      <c r="AA13" s="58"/>
      <c r="AB13" s="61"/>
      <c r="AC13" s="61" t="s">
        <v>63</v>
      </c>
    </row>
    <row r="14" spans="1:29" x14ac:dyDescent="0.2">
      <c r="I14" s="65"/>
      <c r="K14" s="65"/>
      <c r="M14" s="65"/>
      <c r="N14" s="66"/>
      <c r="O14" s="66"/>
      <c r="P14" s="66"/>
      <c r="Q14" s="66" t="s">
        <v>64</v>
      </c>
      <c r="R14" s="66"/>
      <c r="S14" s="66"/>
      <c r="T14" s="66"/>
      <c r="U14" s="66"/>
      <c r="V14" s="66"/>
      <c r="W14" s="66"/>
      <c r="X14" s="66"/>
    </row>
    <row r="15" spans="1:29" x14ac:dyDescent="0.2">
      <c r="A15" s="54" t="s">
        <v>65</v>
      </c>
      <c r="B15" s="54" t="s">
        <v>66</v>
      </c>
      <c r="C15" s="68">
        <v>99461448</v>
      </c>
      <c r="E15" s="68">
        <v>97584455</v>
      </c>
      <c r="G15" s="68">
        <v>96249859</v>
      </c>
      <c r="I15" s="64">
        <v>95709662</v>
      </c>
      <c r="K15" s="64">
        <v>95949183</v>
      </c>
      <c r="M15" s="65">
        <f>89998788-660734</f>
        <v>89338054</v>
      </c>
    </row>
    <row r="16" spans="1:29" x14ac:dyDescent="0.2">
      <c r="A16" s="54" t="s">
        <v>6</v>
      </c>
      <c r="B16" s="54" t="s">
        <v>67</v>
      </c>
      <c r="C16" s="68">
        <f>2200443*1000</f>
        <v>2200443000</v>
      </c>
      <c r="E16" s="68">
        <f>1990735*1000</f>
        <v>1990735000</v>
      </c>
      <c r="G16" s="68">
        <v>1817210000</v>
      </c>
      <c r="I16" s="64">
        <v>1630862000</v>
      </c>
      <c r="K16" s="64">
        <v>1844692000</v>
      </c>
      <c r="M16" s="65">
        <v>1551717000</v>
      </c>
      <c r="N16" s="66"/>
      <c r="O16" s="66"/>
      <c r="P16" s="66"/>
      <c r="Q16" s="66" t="s">
        <v>68</v>
      </c>
      <c r="R16" s="66"/>
      <c r="S16" s="66"/>
      <c r="T16" s="66"/>
      <c r="U16" s="66"/>
      <c r="V16" s="66"/>
      <c r="W16" s="66"/>
      <c r="X16" s="66"/>
    </row>
    <row r="17" spans="1:30" x14ac:dyDescent="0.2">
      <c r="A17" s="54" t="s">
        <v>69</v>
      </c>
      <c r="B17" s="54" t="s">
        <v>66</v>
      </c>
      <c r="C17" s="65">
        <v>0</v>
      </c>
      <c r="E17" s="65">
        <v>0</v>
      </c>
      <c r="G17" s="65">
        <v>0</v>
      </c>
      <c r="I17" s="65">
        <v>0</v>
      </c>
      <c r="K17" s="65">
        <v>0</v>
      </c>
      <c r="M17" s="65">
        <v>0</v>
      </c>
      <c r="Q17" s="54" t="s">
        <v>70</v>
      </c>
      <c r="S17" s="69">
        <f>C50/1000000</f>
        <v>5268.9129999999996</v>
      </c>
      <c r="T17" s="69"/>
      <c r="U17" s="69">
        <f>E50/1000000</f>
        <v>4874.9070000000002</v>
      </c>
      <c r="V17" s="69"/>
      <c r="W17" s="69">
        <f>G50/1000000</f>
        <v>4377.6809999999996</v>
      </c>
      <c r="X17" s="69"/>
      <c r="Y17" s="69">
        <f>I50/1000000</f>
        <v>3865.866</v>
      </c>
      <c r="Z17" s="69"/>
      <c r="AA17" s="69">
        <f>K50/1000000</f>
        <v>4131.3940000000002</v>
      </c>
      <c r="AB17" s="69"/>
    </row>
    <row r="18" spans="1:30" x14ac:dyDescent="0.2">
      <c r="I18" s="65"/>
      <c r="K18" s="65"/>
      <c r="M18" s="65"/>
      <c r="Q18" s="54" t="s">
        <v>71</v>
      </c>
      <c r="S18" s="70">
        <f>C19/1000000</f>
        <v>291.8</v>
      </c>
      <c r="T18" s="69"/>
      <c r="U18" s="70">
        <f>E19/1000000</f>
        <v>252.1</v>
      </c>
      <c r="V18" s="69"/>
      <c r="W18" s="70">
        <f>G19/1000000</f>
        <v>423.95</v>
      </c>
      <c r="X18" s="69"/>
      <c r="Y18" s="70">
        <f>I19/1000000</f>
        <v>377.3</v>
      </c>
      <c r="Z18" s="69"/>
      <c r="AA18" s="70">
        <f>K19/1000000</f>
        <v>125.35</v>
      </c>
      <c r="AB18" s="69"/>
    </row>
    <row r="19" spans="1:30" x14ac:dyDescent="0.2">
      <c r="A19" s="54" t="s">
        <v>72</v>
      </c>
      <c r="B19" s="54" t="s">
        <v>73</v>
      </c>
      <c r="C19" s="64">
        <f>291800*1000</f>
        <v>291800000</v>
      </c>
      <c r="E19" s="64">
        <f>(252100)*1000</f>
        <v>252100000</v>
      </c>
      <c r="G19" s="64">
        <v>423950000</v>
      </c>
      <c r="I19" s="64">
        <v>377300000</v>
      </c>
      <c r="K19" s="64">
        <v>125350000</v>
      </c>
      <c r="M19" s="65">
        <v>25450000</v>
      </c>
      <c r="Q19" s="54" t="s">
        <v>74</v>
      </c>
      <c r="S19" s="71">
        <f>SUM(S17:S18)</f>
        <v>5560.7129999999997</v>
      </c>
      <c r="T19" s="69"/>
      <c r="U19" s="71">
        <f>SUM(U17:U18)</f>
        <v>5127.0070000000005</v>
      </c>
      <c r="V19" s="69"/>
      <c r="W19" s="71">
        <f>SUM(W17:W18)</f>
        <v>4801.6309999999994</v>
      </c>
      <c r="X19" s="69"/>
      <c r="Y19" s="71">
        <f>SUM(Y17:Y18)</f>
        <v>4243.1660000000002</v>
      </c>
      <c r="Z19" s="69"/>
      <c r="AA19" s="71">
        <f>SUM(AA17:AA18)</f>
        <v>4256.7440000000006</v>
      </c>
      <c r="AB19" s="69"/>
    </row>
    <row r="20" spans="1:30" x14ac:dyDescent="0.2">
      <c r="I20" s="65"/>
      <c r="K20" s="65"/>
      <c r="M20" s="65"/>
    </row>
    <row r="21" spans="1:30" x14ac:dyDescent="0.2">
      <c r="A21" s="54" t="s">
        <v>75</v>
      </c>
      <c r="B21" s="54" t="s">
        <v>76</v>
      </c>
      <c r="C21" s="65">
        <v>2.92</v>
      </c>
      <c r="E21" s="65">
        <v>2.71</v>
      </c>
      <c r="G21" s="65">
        <v>2.85</v>
      </c>
      <c r="I21" s="65">
        <v>1.22</v>
      </c>
      <c r="K21" s="65">
        <v>2.04</v>
      </c>
      <c r="M21" s="65">
        <v>1.89</v>
      </c>
      <c r="N21" s="66"/>
      <c r="O21" s="66"/>
      <c r="P21" s="66"/>
      <c r="Q21" s="66" t="s">
        <v>77</v>
      </c>
      <c r="R21" s="66"/>
    </row>
    <row r="22" spans="1:30" x14ac:dyDescent="0.2">
      <c r="A22" s="54" t="s">
        <v>78</v>
      </c>
      <c r="B22" s="54" t="s">
        <v>79</v>
      </c>
      <c r="C22" s="54">
        <v>51.61</v>
      </c>
      <c r="E22" s="54">
        <v>55.46</v>
      </c>
      <c r="G22" s="54">
        <v>50.71</v>
      </c>
      <c r="I22" s="54">
        <v>44.15</v>
      </c>
      <c r="K22" s="65">
        <v>45.46</v>
      </c>
      <c r="M22" s="65">
        <v>51.13</v>
      </c>
      <c r="Q22" s="54" t="s">
        <v>80</v>
      </c>
      <c r="S22" s="72">
        <f>(ROUND((C30/(AVERAGE(C54,E54))*100),2))</f>
        <v>4.01</v>
      </c>
      <c r="T22" s="73" t="s">
        <v>4</v>
      </c>
      <c r="U22" s="72">
        <f>(ROUND((E30/(AVERAGE(E54,G54))*100),2))</f>
        <v>4.0199999999999996</v>
      </c>
      <c r="V22" s="73" t="s">
        <v>4</v>
      </c>
      <c r="W22" s="72">
        <f>(ROUND((G30/(AVERAGE(G54,I54))*100),2))</f>
        <v>3.07</v>
      </c>
      <c r="X22" s="73" t="s">
        <v>4</v>
      </c>
      <c r="Y22" s="72">
        <f>(ROUND((I30/(AVERAGE(I54,K54))*100),2))</f>
        <v>3.13</v>
      </c>
      <c r="Z22" s="73" t="s">
        <v>4</v>
      </c>
      <c r="AA22" s="72">
        <f>(ROUND((K30/(AVERAGE(K54,M54))*100),2))</f>
        <v>3.38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39.479999999999997</v>
      </c>
      <c r="E23" s="54">
        <v>39.340000000000003</v>
      </c>
      <c r="G23" s="54">
        <v>38.29</v>
      </c>
      <c r="I23" s="54">
        <v>33.67</v>
      </c>
      <c r="K23" s="65">
        <v>24.61</v>
      </c>
      <c r="M23" s="65">
        <v>43.82</v>
      </c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I24" s="65"/>
      <c r="K24" s="65"/>
      <c r="M24" s="65"/>
      <c r="AC24" s="194" t="s">
        <v>1</v>
      </c>
      <c r="AD24" s="194"/>
    </row>
    <row r="25" spans="1:30" x14ac:dyDescent="0.2">
      <c r="I25" s="65"/>
      <c r="K25" s="65"/>
      <c r="M25" s="65"/>
      <c r="N25" s="66"/>
      <c r="O25" s="66"/>
      <c r="P25" s="66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65">
        <v>1.71</v>
      </c>
      <c r="E26" s="65">
        <v>1.59</v>
      </c>
      <c r="G26" s="65">
        <v>1.4775</v>
      </c>
      <c r="I26" s="65">
        <v>1.36</v>
      </c>
      <c r="K26" s="65">
        <v>1.27</v>
      </c>
      <c r="M26" s="65">
        <v>1.19</v>
      </c>
      <c r="Q26" s="54" t="s">
        <v>85</v>
      </c>
    </row>
    <row r="27" spans="1:30" x14ac:dyDescent="0.2">
      <c r="I27" s="65"/>
      <c r="K27" s="65"/>
      <c r="M27" s="65"/>
      <c r="Q27" s="54" t="s">
        <v>86</v>
      </c>
      <c r="S27" s="72">
        <f>ROUND(((C12/C50)*100),2)</f>
        <v>58.24</v>
      </c>
      <c r="T27" s="73" t="s">
        <v>4</v>
      </c>
      <c r="U27" s="72">
        <f>ROUND(((E12/E50)*100),2)</f>
        <v>59.16</v>
      </c>
      <c r="V27" s="73" t="s">
        <v>4</v>
      </c>
      <c r="W27" s="72">
        <f>ROUND(((G12/G50)*100),2)</f>
        <v>58.49</v>
      </c>
      <c r="X27" s="73" t="s">
        <v>4</v>
      </c>
      <c r="Y27" s="72">
        <f>ROUND(((I12/I50)*100),2)</f>
        <v>57.81</v>
      </c>
      <c r="Z27" s="73" t="s">
        <v>4</v>
      </c>
      <c r="AA27" s="72">
        <f>ROUND(((K12/K50)*100),2)</f>
        <v>55.35</v>
      </c>
      <c r="AB27" s="73" t="s">
        <v>4</v>
      </c>
      <c r="AC27" s="72">
        <f>ROUND(AVERAGE(S27:AB27),2)</f>
        <v>57.81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8">
        <f>11490*1000</f>
        <v>11490000</v>
      </c>
      <c r="E28" s="68">
        <f>10525*1000</f>
        <v>10525000</v>
      </c>
      <c r="G28" s="68">
        <v>5817000</v>
      </c>
      <c r="I28" s="65">
        <v>22253000</v>
      </c>
      <c r="K28" s="65">
        <v>19733000</v>
      </c>
      <c r="M28" s="65">
        <v>10202000</v>
      </c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I29" s="65"/>
      <c r="K29" s="65"/>
      <c r="M29" s="65"/>
      <c r="Q29" s="54" t="s">
        <v>89</v>
      </c>
      <c r="S29" s="74">
        <f>ROUND(((C16/C50)*100),2)</f>
        <v>41.76</v>
      </c>
      <c r="T29" s="73"/>
      <c r="U29" s="74">
        <f>ROUND(((E16/E50)*100),2)</f>
        <v>40.840000000000003</v>
      </c>
      <c r="V29" s="73"/>
      <c r="W29" s="74">
        <f>ROUND(((G16/G50)*100),2)</f>
        <v>41.51</v>
      </c>
      <c r="X29" s="73"/>
      <c r="Y29" s="74">
        <f>ROUND(((I16/I50)*100),2)</f>
        <v>42.19</v>
      </c>
      <c r="Z29" s="73"/>
      <c r="AA29" s="74">
        <f>ROUND(((K16/K50)*100),2)</f>
        <v>44.65</v>
      </c>
      <c r="AB29" s="73"/>
      <c r="AC29" s="72">
        <f>ROUND(AVERAGE(S29:AB29),2)</f>
        <v>42.19</v>
      </c>
      <c r="AD29" s="73"/>
    </row>
    <row r="30" spans="1:30" x14ac:dyDescent="0.2">
      <c r="A30" s="54" t="s">
        <v>90</v>
      </c>
      <c r="B30" s="54" t="s">
        <v>91</v>
      </c>
      <c r="C30" s="68">
        <f>130275*1000</f>
        <v>130275000</v>
      </c>
      <c r="E30" s="68">
        <f>123014*1000</f>
        <v>123014000</v>
      </c>
      <c r="G30" s="68">
        <v>85830000</v>
      </c>
      <c r="I30" s="65">
        <v>78559000</v>
      </c>
      <c r="K30" s="65">
        <v>67597000</v>
      </c>
      <c r="M30" s="65">
        <v>47082000</v>
      </c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I31" s="65"/>
      <c r="K31" s="65"/>
      <c r="M31" s="65"/>
    </row>
    <row r="32" spans="1:30" x14ac:dyDescent="0.2">
      <c r="A32" s="54" t="s">
        <v>93</v>
      </c>
      <c r="B32" s="54" t="s">
        <v>94</v>
      </c>
      <c r="C32" s="65">
        <f>289775*1000</f>
        <v>289775000</v>
      </c>
      <c r="E32" s="65">
        <f>264724*1000</f>
        <v>264724000</v>
      </c>
      <c r="G32" s="65">
        <v>274922000</v>
      </c>
      <c r="I32" s="65">
        <v>193919000</v>
      </c>
      <c r="K32" s="65">
        <v>193919000</v>
      </c>
      <c r="M32" s="65">
        <v>169505000</v>
      </c>
      <c r="Q32" s="54" t="s">
        <v>95</v>
      </c>
    </row>
    <row r="33" spans="1:30" x14ac:dyDescent="0.2">
      <c r="A33" s="76"/>
      <c r="B33" s="76"/>
      <c r="C33" s="76"/>
      <c r="D33" s="76"/>
      <c r="E33" s="76"/>
      <c r="F33" s="76"/>
      <c r="G33" s="76"/>
      <c r="H33" s="76"/>
      <c r="I33" s="78"/>
      <c r="J33" s="76"/>
      <c r="K33" s="78"/>
      <c r="L33" s="76"/>
      <c r="M33" s="78"/>
      <c r="Q33" s="54" t="s">
        <v>96</v>
      </c>
      <c r="S33" s="72">
        <f>ROUND((((C12+C19)/C56)*100),2)</f>
        <v>60.43</v>
      </c>
      <c r="T33" s="73" t="s">
        <v>4</v>
      </c>
      <c r="U33" s="72">
        <f>ROUND((((E12+E19)/E56)*100),2)</f>
        <v>61.17</v>
      </c>
      <c r="V33" s="73" t="s">
        <v>4</v>
      </c>
      <c r="W33" s="72">
        <f>ROUND((((G12+G19)/G56)*100),2)</f>
        <v>62.15</v>
      </c>
      <c r="X33" s="73" t="s">
        <v>4</v>
      </c>
      <c r="Y33" s="72">
        <f>ROUND((((I12+I19)/I56)*100),2)</f>
        <v>61.56</v>
      </c>
      <c r="Z33" s="73" t="s">
        <v>4</v>
      </c>
      <c r="AA33" s="72">
        <f>ROUND((((K12+K19)/K56)*100),2)</f>
        <v>56.66</v>
      </c>
      <c r="AB33" s="73" t="s">
        <v>4</v>
      </c>
      <c r="AC33" s="72">
        <f>ROUND(AVERAGE(S33:AB33),2)</f>
        <v>60.39</v>
      </c>
      <c r="AD33" s="73" t="s">
        <v>4</v>
      </c>
    </row>
    <row r="34" spans="1:30" x14ac:dyDescent="0.2">
      <c r="A34" s="54" t="s">
        <v>97</v>
      </c>
      <c r="B34" s="54" t="s">
        <v>98</v>
      </c>
      <c r="C34" s="65">
        <f>C32</f>
        <v>289775000</v>
      </c>
      <c r="E34" s="65">
        <f>E32</f>
        <v>264724000</v>
      </c>
      <c r="G34" s="65">
        <f>G32</f>
        <v>274922000</v>
      </c>
      <c r="I34" s="65">
        <v>193919000</v>
      </c>
      <c r="K34" s="65">
        <v>193919000</v>
      </c>
      <c r="M34" s="65">
        <v>169505000</v>
      </c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I35" s="65"/>
      <c r="K35" s="65"/>
      <c r="M35" s="65"/>
      <c r="Q35" s="54" t="s">
        <v>89</v>
      </c>
      <c r="S35" s="74">
        <f>ROUND((((C16)/C56)*100),2)</f>
        <v>39.57</v>
      </c>
      <c r="T35" s="73"/>
      <c r="U35" s="74">
        <f>ROUND((((E16)/E56)*100),2)</f>
        <v>38.83</v>
      </c>
      <c r="V35" s="73"/>
      <c r="W35" s="74">
        <f>ROUND((((G16)/G56)*100),2)</f>
        <v>37.85</v>
      </c>
      <c r="X35" s="73"/>
      <c r="Y35" s="74">
        <f>ROUND((((I16)/I56)*100),2)</f>
        <v>38.44</v>
      </c>
      <c r="Z35" s="73"/>
      <c r="AA35" s="74">
        <f>ROUND((((K16)/K56)*100),2)</f>
        <v>43.34</v>
      </c>
      <c r="AB35" s="73"/>
      <c r="AC35" s="72">
        <f>ROUND(AVERAGE(S35:AB35),2)</f>
        <v>39.61</v>
      </c>
      <c r="AD35" s="73"/>
    </row>
    <row r="36" spans="1:30" x14ac:dyDescent="0.2">
      <c r="A36" s="54" t="s">
        <v>99</v>
      </c>
      <c r="B36" s="54" t="s">
        <v>100</v>
      </c>
      <c r="C36" s="65">
        <v>0</v>
      </c>
      <c r="E36" s="65">
        <v>0</v>
      </c>
      <c r="G36" s="65">
        <v>0</v>
      </c>
      <c r="I36" s="65">
        <v>0</v>
      </c>
      <c r="K36" s="65">
        <v>0</v>
      </c>
      <c r="M36" s="65">
        <v>0</v>
      </c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I37" s="65"/>
      <c r="K37" s="65"/>
      <c r="M37" s="65"/>
    </row>
    <row r="38" spans="1:30" x14ac:dyDescent="0.2">
      <c r="A38" s="54" t="s">
        <v>101</v>
      </c>
      <c r="B38" s="54" t="s">
        <v>102</v>
      </c>
      <c r="C38" s="89">
        <f>165063*1000</f>
        <v>165063000</v>
      </c>
      <c r="E38" s="89">
        <f>150973*1000</f>
        <v>150973000</v>
      </c>
      <c r="G38" s="89">
        <v>127704000</v>
      </c>
      <c r="I38" s="65">
        <v>116960000</v>
      </c>
      <c r="K38" s="65">
        <v>117804000</v>
      </c>
      <c r="M38" s="65">
        <v>104059000</v>
      </c>
    </row>
    <row r="39" spans="1:30" x14ac:dyDescent="0.2">
      <c r="I39" s="65"/>
      <c r="K39" s="65"/>
      <c r="M39" s="65"/>
    </row>
    <row r="40" spans="1:30" x14ac:dyDescent="0.2">
      <c r="A40" s="54" t="s">
        <v>103</v>
      </c>
      <c r="B40" s="54" t="s">
        <v>104</v>
      </c>
      <c r="C40" s="65">
        <f>C32</f>
        <v>289775000</v>
      </c>
      <c r="E40" s="65">
        <f>E32</f>
        <v>264724000</v>
      </c>
      <c r="G40" s="65">
        <f>G32</f>
        <v>274922000</v>
      </c>
      <c r="I40" s="65">
        <f>I32</f>
        <v>193919000</v>
      </c>
      <c r="K40" s="65">
        <v>193919000</v>
      </c>
      <c r="M40" s="65">
        <v>169505000</v>
      </c>
      <c r="N40" s="66"/>
      <c r="O40" s="66"/>
      <c r="P40" s="66"/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8">
        <f>427407*1000</f>
        <v>427407000</v>
      </c>
      <c r="E41" s="68">
        <f>478993*1000</f>
        <v>478993000</v>
      </c>
      <c r="G41" s="68">
        <v>323480000</v>
      </c>
      <c r="I41" s="65">
        <v>390954000</v>
      </c>
      <c r="K41" s="65">
        <v>213481000</v>
      </c>
      <c r="M41" s="65">
        <v>189350000</v>
      </c>
      <c r="N41" s="66"/>
      <c r="O41" s="66"/>
      <c r="P41" s="66"/>
      <c r="Q41" s="66"/>
      <c r="R41" s="66"/>
    </row>
    <row r="42" spans="1:30" x14ac:dyDescent="0.2">
      <c r="A42" s="54" t="s">
        <v>108</v>
      </c>
      <c r="B42" s="54" t="s">
        <v>109</v>
      </c>
      <c r="C42" s="89">
        <f>61058*1000</f>
        <v>61058000</v>
      </c>
      <c r="E42" s="89">
        <f>61525*1000</f>
        <v>61525000</v>
      </c>
      <c r="G42" s="89">
        <f>-77687000</f>
        <v>-77687000</v>
      </c>
      <c r="I42" s="65">
        <v>10254000</v>
      </c>
      <c r="K42" s="65">
        <v>-8096000</v>
      </c>
      <c r="M42" s="65">
        <v>-27759000</v>
      </c>
      <c r="N42" s="66"/>
      <c r="O42" s="66"/>
      <c r="P42" s="66"/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8">
        <f>166567*1000</f>
        <v>166567000</v>
      </c>
      <c r="E43" s="68">
        <f>152941*1000</f>
        <v>152941000</v>
      </c>
      <c r="G43" s="68">
        <v>129249000</v>
      </c>
      <c r="I43" s="65">
        <v>111387000</v>
      </c>
      <c r="K43" s="65">
        <v>119894000</v>
      </c>
      <c r="M43" s="65">
        <v>91730000</v>
      </c>
      <c r="Q43" s="54" t="s">
        <v>113</v>
      </c>
      <c r="S43" s="72">
        <f>ROUND(C21/C52,4)*100</f>
        <v>6.41</v>
      </c>
      <c r="T43" s="73" t="s">
        <v>4</v>
      </c>
      <c r="U43" s="72">
        <f>ROUND(E21/E52,4)*100</f>
        <v>5.72</v>
      </c>
      <c r="V43" s="73" t="s">
        <v>4</v>
      </c>
      <c r="W43" s="72">
        <f>ROUND(G21/G52,4)*100</f>
        <v>6.4</v>
      </c>
      <c r="X43" s="73" t="s">
        <v>4</v>
      </c>
      <c r="Y43" s="72">
        <f>ROUND(I21/I52,4)*100</f>
        <v>3.1399999999999997</v>
      </c>
      <c r="Z43" s="73" t="s">
        <v>4</v>
      </c>
      <c r="AA43" s="72">
        <f>ROUND(K21/K52,4)*100</f>
        <v>5.82</v>
      </c>
      <c r="AB43" s="73" t="s">
        <v>4</v>
      </c>
      <c r="AC43" s="72">
        <f>ROUND(AVERAGE(S43:AB43),2)</f>
        <v>5.5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8">
        <f>84906*1000</f>
        <v>84906000</v>
      </c>
      <c r="E44" s="68">
        <f>49275*1000</f>
        <v>49275000</v>
      </c>
      <c r="G44" s="68">
        <v>76195000</v>
      </c>
      <c r="I44" s="65">
        <v>33286000</v>
      </c>
      <c r="K44" s="65">
        <v>-6944000</v>
      </c>
      <c r="M44" s="65">
        <v>-37751000</v>
      </c>
      <c r="Q44" s="54" t="s">
        <v>116</v>
      </c>
      <c r="S44" s="72">
        <f>(ROUND((C52/(AVERAGE(C48,E48))*100),2))</f>
        <v>214.21</v>
      </c>
      <c r="U44" s="72">
        <f>(ROUND((E52/(AVERAGE(E48,G48))*100),2))</f>
        <v>241.34</v>
      </c>
      <c r="W44" s="72">
        <f>(ROUND((G52/(AVERAGE(G48,I48))*100),2))</f>
        <v>247.77</v>
      </c>
      <c r="Y44" s="72">
        <f>(ROUND((I52/(AVERAGE(I48,K48))*100),2))</f>
        <v>214.58</v>
      </c>
      <c r="AA44" s="72">
        <f>(ROUND((K52/(AVERAGE(K48,M48))*100),2))</f>
        <v>191.48</v>
      </c>
      <c r="AC44" s="72">
        <f>ROUND(AVERAGE(S44:AB44),2)</f>
        <v>221.88</v>
      </c>
    </row>
    <row r="45" spans="1:30" x14ac:dyDescent="0.2">
      <c r="I45" s="65"/>
      <c r="K45" s="65"/>
      <c r="M45" s="65"/>
      <c r="Q45" s="54" t="s">
        <v>117</v>
      </c>
      <c r="S45" s="72">
        <f>ROUND(((+C26/C52)*100),2)</f>
        <v>3.75</v>
      </c>
      <c r="U45" s="72">
        <f>ROUND(((+E26/E52)*100),2)</f>
        <v>3.35</v>
      </c>
      <c r="W45" s="72">
        <f>ROUND(((+G26/G52)*100),2)</f>
        <v>3.32</v>
      </c>
      <c r="Y45" s="72">
        <f>ROUND(((+I26/I52)*100),2)</f>
        <v>3.5</v>
      </c>
      <c r="AA45" s="72">
        <f>ROUND(((+K26/K52)*100),2)</f>
        <v>3.62</v>
      </c>
      <c r="AC45" s="72">
        <f>ROUND(AVERAGE(S45:AB45),2)</f>
        <v>3.51</v>
      </c>
    </row>
    <row r="46" spans="1:30" x14ac:dyDescent="0.2">
      <c r="A46" s="54" t="s">
        <v>118</v>
      </c>
      <c r="I46" s="65"/>
      <c r="K46" s="65"/>
      <c r="M46" s="65"/>
      <c r="Q46" s="54" t="s">
        <v>119</v>
      </c>
      <c r="S46" s="72">
        <f>ROUND(((+C38/C34)*100),2)</f>
        <v>56.96</v>
      </c>
      <c r="U46" s="72">
        <f>ROUND(((+E38/E34)*100),2)</f>
        <v>57.03</v>
      </c>
      <c r="W46" s="72">
        <f>ROUND(((+G38/G34)*100),2)</f>
        <v>46.45</v>
      </c>
      <c r="Y46" s="72">
        <f>ROUND(((+I38/I34)*100),2)</f>
        <v>60.31</v>
      </c>
      <c r="AA46" s="72">
        <f>ROUND(((+K38/K34)*100),2)</f>
        <v>60.75</v>
      </c>
      <c r="AC46" s="72">
        <f>ROUND(AVERAGE(S46:AB46),2)</f>
        <v>56.3</v>
      </c>
    </row>
    <row r="47" spans="1:30" x14ac:dyDescent="0.2">
      <c r="I47" s="65"/>
      <c r="K47" s="65"/>
      <c r="M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22.123576966223133</v>
      </c>
      <c r="E48" s="65">
        <f>E16/E15</f>
        <v>20.400124179614469</v>
      </c>
      <c r="G48" s="65">
        <f>G16/G15</f>
        <v>18.88013155427064</v>
      </c>
      <c r="I48" s="65">
        <f>I16/I15</f>
        <v>17.039679860116944</v>
      </c>
      <c r="K48" s="65">
        <f>K16/K15</f>
        <v>19.22571868068955</v>
      </c>
      <c r="M48" s="65">
        <f>M16/M15</f>
        <v>17.369048580350764</v>
      </c>
      <c r="N48" s="66"/>
      <c r="O48" s="66"/>
      <c r="P48" s="66"/>
      <c r="Q48" s="66" t="s">
        <v>122</v>
      </c>
      <c r="R48" s="66"/>
      <c r="S48" s="72">
        <f>ROUND(((C34/AVERAGE(C16,E16))*100),2)</f>
        <v>13.83</v>
      </c>
      <c r="T48" s="54" t="s">
        <v>4</v>
      </c>
      <c r="U48" s="72">
        <f>ROUND(((E34/AVERAGE(E16,G16))*100),2)</f>
        <v>13.9</v>
      </c>
      <c r="V48" s="54" t="s">
        <v>4</v>
      </c>
      <c r="W48" s="72">
        <f>ROUND(((G34/AVERAGE(G16,I16))*100),2)</f>
        <v>15.95</v>
      </c>
      <c r="X48" s="54" t="s">
        <v>4</v>
      </c>
      <c r="Y48" s="72">
        <f>ROUND(((I34/AVERAGE(I16,K16))*100),2)</f>
        <v>11.16</v>
      </c>
      <c r="Z48" s="54" t="s">
        <v>4</v>
      </c>
      <c r="AA48" s="72">
        <f>ROUND(((K34/AVERAGE(K16,M16))*100),2)</f>
        <v>11.42</v>
      </c>
      <c r="AB48" s="54" t="s">
        <v>4</v>
      </c>
      <c r="AC48" s="72">
        <f>ROUND(AVERAGE(S48:AB48),2)</f>
        <v>13.25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M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5268913000</v>
      </c>
      <c r="E50" s="65">
        <f>SUM(E12:E13,E16:E17)</f>
        <v>4874907000</v>
      </c>
      <c r="G50" s="65">
        <f>SUM(G12:G13,G16:G17)</f>
        <v>4377681000</v>
      </c>
      <c r="I50" s="65">
        <f>SUM(I12:I13,I16:I17)</f>
        <v>3865866000</v>
      </c>
      <c r="K50" s="65">
        <f>SUM(K12:K13,K16:K17)</f>
        <v>4131394000</v>
      </c>
      <c r="M50" s="65">
        <f>SUM(M12:M13,M16:M17)</f>
        <v>3110313000</v>
      </c>
      <c r="N50" s="66"/>
      <c r="O50" s="66"/>
      <c r="P50" s="66"/>
      <c r="Q50" s="66" t="s">
        <v>124</v>
      </c>
      <c r="R50" s="66"/>
      <c r="S50" s="72">
        <f>ROUND((C54/C62),2)</f>
        <v>5</v>
      </c>
      <c r="T50" s="73" t="s">
        <v>125</v>
      </c>
      <c r="U50" s="72">
        <f>ROUND((E54/E62),2)</f>
        <v>5.32</v>
      </c>
      <c r="V50" s="73" t="s">
        <v>125</v>
      </c>
      <c r="W50" s="72">
        <f>ROUND((G54/G62),2)</f>
        <v>5.27</v>
      </c>
      <c r="X50" s="73" t="s">
        <v>125</v>
      </c>
      <c r="Y50" s="72">
        <f>ROUND((I54/I62),2)</f>
        <v>6.26</v>
      </c>
      <c r="Z50" s="73" t="s">
        <v>125</v>
      </c>
      <c r="AA50" s="72">
        <f>ROUND((K54/K62),2)</f>
        <v>6.44</v>
      </c>
      <c r="AB50" s="73" t="s">
        <v>125</v>
      </c>
      <c r="AC50" s="72">
        <f>ROUND(AVERAGE(S50:AB50),2)</f>
        <v>5.66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M51" s="65"/>
      <c r="N51" s="66"/>
      <c r="O51" s="66"/>
      <c r="P51" s="66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45.545000000000002</v>
      </c>
      <c r="E52" s="65">
        <f>AVERAGE(E22:E23)</f>
        <v>47.400000000000006</v>
      </c>
      <c r="G52" s="65">
        <f>AVERAGE(G22:G23)</f>
        <v>44.5</v>
      </c>
      <c r="I52" s="65">
        <f>AVERAGE(I22:I23)</f>
        <v>38.909999999999997</v>
      </c>
      <c r="K52" s="65">
        <f>AVERAGE(K22:K23)</f>
        <v>35.034999999999997</v>
      </c>
      <c r="M52" s="65">
        <f>AVERAGE(M22:M23)</f>
        <v>47.475000000000001</v>
      </c>
      <c r="N52" s="66"/>
      <c r="O52" s="66"/>
      <c r="P52" s="66"/>
      <c r="Q52" s="66" t="s">
        <v>127</v>
      </c>
      <c r="R52" s="66"/>
      <c r="S52" s="72">
        <f>ROUND(((C60/C54)*100),2)</f>
        <v>14.19</v>
      </c>
      <c r="T52" s="73" t="s">
        <v>4</v>
      </c>
      <c r="U52" s="72">
        <f>ROUND(((E60/E54)*100),2)</f>
        <v>16.899999999999999</v>
      </c>
      <c r="V52" s="73" t="s">
        <v>4</v>
      </c>
      <c r="W52" s="72">
        <f>ROUND(((G60/G54)*100),2)</f>
        <v>8.0399999999999991</v>
      </c>
      <c r="X52" s="73" t="s">
        <v>4</v>
      </c>
      <c r="Y52" s="72">
        <f>ROUND(((I60/I54)*100),2)</f>
        <v>14.51</v>
      </c>
      <c r="Z52" s="73" t="s">
        <v>4</v>
      </c>
      <c r="AA52" s="72">
        <f>ROUND(((K60/K54)*100),2)</f>
        <v>7.7</v>
      </c>
      <c r="AB52" s="73" t="s">
        <v>4</v>
      </c>
      <c r="AC52" s="72">
        <f>ROUND(AVERAGE(S52:AB52),2)</f>
        <v>12.27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M53" s="65"/>
      <c r="N53" s="79"/>
      <c r="O53" s="79"/>
      <c r="P53" s="79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81">
        <f>+C19+C12</f>
        <v>3360270000</v>
      </c>
      <c r="E54" s="81">
        <f>+E19+E12</f>
        <v>3136272000</v>
      </c>
      <c r="G54" s="81">
        <f>+G19+G12</f>
        <v>2984421000</v>
      </c>
      <c r="I54" s="81">
        <f>+I19+I12</f>
        <v>2612304000</v>
      </c>
      <c r="K54" s="81">
        <f>+K19+K12</f>
        <v>2412052000</v>
      </c>
      <c r="M54" s="81">
        <f>+M19+M12</f>
        <v>1584046000</v>
      </c>
      <c r="N54" s="79"/>
      <c r="O54" s="79"/>
      <c r="P54" s="79"/>
      <c r="Q54" s="79" t="s">
        <v>128</v>
      </c>
      <c r="R54" s="79"/>
      <c r="S54" s="72">
        <f>S33</f>
        <v>60.43</v>
      </c>
      <c r="T54" s="73" t="s">
        <v>4</v>
      </c>
      <c r="U54" s="72">
        <f>U33</f>
        <v>61.17</v>
      </c>
      <c r="V54" s="73" t="s">
        <v>4</v>
      </c>
      <c r="W54" s="72">
        <f>W33</f>
        <v>62.15</v>
      </c>
      <c r="X54" s="73" t="s">
        <v>4</v>
      </c>
      <c r="Y54" s="72">
        <f>Y33</f>
        <v>61.56</v>
      </c>
      <c r="Z54" s="73" t="s">
        <v>4</v>
      </c>
      <c r="AA54" s="72">
        <f>AA33</f>
        <v>56.66</v>
      </c>
      <c r="AB54" s="73" t="s">
        <v>4</v>
      </c>
      <c r="AC54" s="72">
        <f>ROUND(AVERAGE(S54:AB54),2)</f>
        <v>60.39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M55" s="65"/>
    </row>
    <row r="56" spans="1:30" x14ac:dyDescent="0.2">
      <c r="A56" s="54" t="s">
        <v>14</v>
      </c>
      <c r="B56" s="54" t="s">
        <v>121</v>
      </c>
      <c r="C56" s="65">
        <f>SUM(C50,C19)</f>
        <v>5560713000</v>
      </c>
      <c r="E56" s="65">
        <f>SUM(E50,E19)</f>
        <v>5127007000</v>
      </c>
      <c r="G56" s="65">
        <f>SUM(G50,G19)</f>
        <v>4801631000</v>
      </c>
      <c r="I56" s="65">
        <f>SUM(I50,I19)</f>
        <v>4243166000</v>
      </c>
      <c r="K56" s="65">
        <f>SUM(K50,K19)</f>
        <v>4256744000</v>
      </c>
      <c r="M56" s="65">
        <f>SUM(M50,M19)</f>
        <v>3135763000</v>
      </c>
    </row>
    <row r="57" spans="1:30" x14ac:dyDescent="0.2">
      <c r="C57" s="65"/>
      <c r="E57" s="65"/>
      <c r="G57" s="65"/>
      <c r="I57" s="65"/>
      <c r="K57" s="65"/>
      <c r="M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M58" s="65">
        <f>SUM(M13,M17)</f>
        <v>0</v>
      </c>
    </row>
    <row r="59" spans="1:30" x14ac:dyDescent="0.2">
      <c r="C59" s="65"/>
      <c r="E59" s="65"/>
      <c r="G59" s="65"/>
      <c r="I59" s="65"/>
      <c r="K59" s="65"/>
      <c r="M59" s="65"/>
    </row>
    <row r="60" spans="1:30" x14ac:dyDescent="0.2">
      <c r="A60" s="82" t="s">
        <v>130</v>
      </c>
      <c r="B60" s="54" t="s">
        <v>121</v>
      </c>
      <c r="C60" s="65">
        <f>ROUND(C41+C42-C28,3)</f>
        <v>476975000</v>
      </c>
      <c r="E60" s="65">
        <f>ROUND(E41+E42-E28,3)</f>
        <v>529993000</v>
      </c>
      <c r="G60" s="65">
        <f>ROUND(G41+G42-G28,3)</f>
        <v>239976000</v>
      </c>
      <c r="I60" s="65">
        <f>ROUND(I41+I42-I28,3)</f>
        <v>378955000</v>
      </c>
      <c r="K60" s="65">
        <f>ROUND(K41+K42-K28,3)</f>
        <v>185652000</v>
      </c>
      <c r="M60" s="65">
        <f>ROUND(M41+M42-M28,3)</f>
        <v>151389000</v>
      </c>
    </row>
    <row r="61" spans="1:30" x14ac:dyDescent="0.2">
      <c r="A61" s="82"/>
      <c r="C61" s="65"/>
      <c r="E61" s="65"/>
      <c r="G61" s="65"/>
      <c r="I61" s="65"/>
      <c r="K61" s="65"/>
      <c r="M61" s="65"/>
    </row>
    <row r="62" spans="1:30" x14ac:dyDescent="0.2">
      <c r="A62" s="54" t="s">
        <v>131</v>
      </c>
      <c r="B62" s="54" t="s">
        <v>121</v>
      </c>
      <c r="C62" s="65">
        <f>C40+C44+C43+C30</f>
        <v>671523000</v>
      </c>
      <c r="E62" s="65">
        <f>E40+E44+E43+E30</f>
        <v>589954000</v>
      </c>
      <c r="G62" s="65">
        <f>G40+G44+G43+G30</f>
        <v>566196000</v>
      </c>
      <c r="I62" s="65">
        <f>I40+I44+I43+I30</f>
        <v>417151000</v>
      </c>
      <c r="K62" s="65">
        <f>K40+K44+K43+K30</f>
        <v>374466000</v>
      </c>
      <c r="M62" s="65">
        <f>M40+M44+M43+M30</f>
        <v>270566000</v>
      </c>
    </row>
    <row r="63" spans="1:30" x14ac:dyDescent="0.2">
      <c r="M63" s="83"/>
    </row>
    <row r="64" spans="1:30" x14ac:dyDescent="0.2">
      <c r="M64" s="83"/>
    </row>
    <row r="71" spans="13:13" x14ac:dyDescent="0.2">
      <c r="M71" s="83"/>
    </row>
    <row r="81" spans="13:223" x14ac:dyDescent="0.2">
      <c r="HK81" s="84"/>
      <c r="HL81" s="84"/>
      <c r="HO81" s="54" t="s">
        <v>132</v>
      </c>
    </row>
    <row r="94" spans="13:223" x14ac:dyDescent="0.2">
      <c r="M94" s="83"/>
    </row>
    <row r="95" spans="13:223" x14ac:dyDescent="0.2">
      <c r="M95" s="83"/>
    </row>
    <row r="96" spans="13:223" x14ac:dyDescent="0.2">
      <c r="M96" s="83"/>
    </row>
    <row r="97" spans="13:13" x14ac:dyDescent="0.2">
      <c r="M97" s="83"/>
    </row>
    <row r="98" spans="13:13" x14ac:dyDescent="0.2">
      <c r="M98" s="83"/>
    </row>
    <row r="99" spans="13:13" x14ac:dyDescent="0.2">
      <c r="M99" s="83"/>
    </row>
    <row r="100" spans="13:13" x14ac:dyDescent="0.2">
      <c r="M100" s="83"/>
    </row>
    <row r="101" spans="13:13" x14ac:dyDescent="0.2">
      <c r="M101" s="83"/>
    </row>
    <row r="102" spans="13:13" x14ac:dyDescent="0.2">
      <c r="M102" s="83"/>
    </row>
    <row r="103" spans="13:13" x14ac:dyDescent="0.2">
      <c r="M103" s="83"/>
    </row>
    <row r="104" spans="13:13" x14ac:dyDescent="0.2">
      <c r="M104" s="83"/>
    </row>
    <row r="105" spans="13:13" x14ac:dyDescent="0.2">
      <c r="M105" s="83"/>
    </row>
    <row r="106" spans="13:13" x14ac:dyDescent="0.2">
      <c r="M106" s="83"/>
    </row>
    <row r="107" spans="13:13" x14ac:dyDescent="0.2">
      <c r="M107" s="83"/>
    </row>
    <row r="108" spans="13:13" x14ac:dyDescent="0.2">
      <c r="M108" s="83"/>
    </row>
    <row r="109" spans="13:13" x14ac:dyDescent="0.2">
      <c r="M109" s="83"/>
    </row>
    <row r="110" spans="13:13" x14ac:dyDescent="0.2">
      <c r="M110" s="83"/>
    </row>
    <row r="111" spans="13:13" x14ac:dyDescent="0.2">
      <c r="M111" s="83"/>
    </row>
    <row r="112" spans="13:13" x14ac:dyDescent="0.2">
      <c r="M112" s="83"/>
    </row>
    <row r="113" spans="13:13" x14ac:dyDescent="0.2">
      <c r="M113" s="83"/>
    </row>
    <row r="114" spans="13:13" x14ac:dyDescent="0.2">
      <c r="M114" s="83"/>
    </row>
    <row r="115" spans="13:13" x14ac:dyDescent="0.2">
      <c r="M115" s="83"/>
    </row>
    <row r="116" spans="13:13" x14ac:dyDescent="0.2">
      <c r="M116" s="83"/>
    </row>
    <row r="117" spans="13:13" x14ac:dyDescent="0.2">
      <c r="M117" s="83"/>
    </row>
    <row r="118" spans="13:13" x14ac:dyDescent="0.2">
      <c r="M118" s="83"/>
    </row>
    <row r="119" spans="13:13" x14ac:dyDescent="0.2">
      <c r="M119" s="83"/>
    </row>
    <row r="120" spans="13:13" x14ac:dyDescent="0.2">
      <c r="M120" s="83"/>
    </row>
    <row r="121" spans="13:13" x14ac:dyDescent="0.2">
      <c r="M121" s="83"/>
    </row>
    <row r="122" spans="13:13" x14ac:dyDescent="0.2">
      <c r="M122" s="83"/>
    </row>
    <row r="123" spans="13:13" x14ac:dyDescent="0.2">
      <c r="M123" s="83"/>
    </row>
    <row r="124" spans="13:13" x14ac:dyDescent="0.2">
      <c r="M124" s="83"/>
    </row>
    <row r="125" spans="13:13" x14ac:dyDescent="0.2">
      <c r="M125" s="83"/>
    </row>
    <row r="126" spans="13:13" x14ac:dyDescent="0.2">
      <c r="M126" s="83"/>
    </row>
    <row r="127" spans="13:13" x14ac:dyDescent="0.2">
      <c r="M127" s="83"/>
    </row>
    <row r="128" spans="13:13" x14ac:dyDescent="0.2">
      <c r="M128" s="83"/>
    </row>
    <row r="129" spans="13:13" x14ac:dyDescent="0.2">
      <c r="M129" s="83"/>
    </row>
    <row r="130" spans="13:13" x14ac:dyDescent="0.2">
      <c r="M130" s="83"/>
    </row>
    <row r="131" spans="13:13" x14ac:dyDescent="0.2">
      <c r="M131" s="83"/>
    </row>
    <row r="132" spans="13:13" x14ac:dyDescent="0.2">
      <c r="M132" s="83"/>
    </row>
    <row r="133" spans="13:13" x14ac:dyDescent="0.2">
      <c r="M133" s="83"/>
    </row>
    <row r="134" spans="13:13" x14ac:dyDescent="0.2">
      <c r="M134" s="83"/>
    </row>
    <row r="135" spans="13:13" x14ac:dyDescent="0.2">
      <c r="M135" s="83"/>
    </row>
    <row r="136" spans="13:13" x14ac:dyDescent="0.2">
      <c r="M136" s="83"/>
    </row>
    <row r="137" spans="13:13" x14ac:dyDescent="0.2">
      <c r="M137" s="83"/>
    </row>
    <row r="138" spans="13:13" x14ac:dyDescent="0.2">
      <c r="M138" s="83"/>
    </row>
    <row r="139" spans="13:13" x14ac:dyDescent="0.2">
      <c r="M139" s="83"/>
    </row>
    <row r="140" spans="13:13" x14ac:dyDescent="0.2">
      <c r="M140" s="83"/>
    </row>
    <row r="141" spans="13:13" x14ac:dyDescent="0.2">
      <c r="M141" s="83"/>
    </row>
    <row r="142" spans="13:13" x14ac:dyDescent="0.2">
      <c r="M142" s="83"/>
    </row>
    <row r="143" spans="13:13" x14ac:dyDescent="0.2">
      <c r="M143" s="83"/>
    </row>
    <row r="144" spans="13:13" x14ac:dyDescent="0.2">
      <c r="M144" s="83"/>
    </row>
    <row r="145" spans="13:13" x14ac:dyDescent="0.2">
      <c r="M145" s="83"/>
    </row>
    <row r="146" spans="13:13" x14ac:dyDescent="0.2">
      <c r="M146" s="83"/>
    </row>
    <row r="147" spans="13:13" x14ac:dyDescent="0.2">
      <c r="M147" s="83"/>
    </row>
    <row r="148" spans="13:13" x14ac:dyDescent="0.2">
      <c r="M148" s="83"/>
    </row>
    <row r="149" spans="13:13" x14ac:dyDescent="0.2">
      <c r="M149" s="83"/>
    </row>
    <row r="150" spans="13:13" x14ac:dyDescent="0.2">
      <c r="M150" s="83"/>
    </row>
    <row r="151" spans="13:13" x14ac:dyDescent="0.2">
      <c r="M151" s="83"/>
    </row>
    <row r="152" spans="13:13" x14ac:dyDescent="0.2">
      <c r="M152" s="83"/>
    </row>
    <row r="153" spans="13:13" x14ac:dyDescent="0.2">
      <c r="M153" s="83"/>
    </row>
    <row r="154" spans="13:13" x14ac:dyDescent="0.2">
      <c r="M154" s="83"/>
    </row>
  </sheetData>
  <mergeCells count="5">
    <mergeCell ref="I6:M6"/>
    <mergeCell ref="I7:M7"/>
    <mergeCell ref="I8:M8"/>
    <mergeCell ref="AC24:AD24"/>
    <mergeCell ref="AC25:AD25"/>
  </mergeCells>
  <printOptions horizontalCentered="1"/>
  <pageMargins left="0.75" right="0.75" top="1" bottom="1" header="0.5" footer="0.5"/>
  <pageSetup scale="1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D810-31B3-424A-8762-10E28ABF99D6}">
  <sheetPr>
    <pageSetUpPr fitToPage="1"/>
  </sheetPr>
  <dimension ref="A1:HO154"/>
  <sheetViews>
    <sheetView zoomScale="80" zoomScaleNormal="80" workbookViewId="0">
      <selection activeCell="D10" sqref="D10"/>
    </sheetView>
  </sheetViews>
  <sheetFormatPr defaultColWidth="9.140625" defaultRowHeight="12.75" x14ac:dyDescent="0.2"/>
  <cols>
    <col min="1" max="1" width="36.140625" style="54" customWidth="1"/>
    <col min="2" max="2" width="15.140625" style="54" bestFit="1" customWidth="1"/>
    <col min="3" max="3" width="19" style="54" customWidth="1"/>
    <col min="4" max="4" width="3.140625" style="54" customWidth="1"/>
    <col min="5" max="5" width="19" style="54" customWidth="1"/>
    <col min="6" max="6" width="3.140625" style="54" customWidth="1"/>
    <col min="7" max="7" width="19" style="54" customWidth="1"/>
    <col min="8" max="8" width="3.140625" style="54" customWidth="1"/>
    <col min="9" max="9" width="18.85546875" style="54" customWidth="1"/>
    <col min="10" max="10" width="3.140625" style="54" customWidth="1"/>
    <col min="11" max="11" width="18.5703125" style="54" customWidth="1"/>
    <col min="12" max="12" width="2.5703125" style="54" customWidth="1"/>
    <col min="13" max="13" width="18.5703125" style="54" customWidth="1"/>
    <col min="14" max="16" width="3.140625" style="54" customWidth="1"/>
    <col min="17" max="17" width="53.140625" style="54" bestFit="1" customWidth="1"/>
    <col min="18" max="18" width="3.140625" style="54" customWidth="1"/>
    <col min="19" max="19" width="15.140625" style="54" customWidth="1"/>
    <col min="20" max="20" width="3.7109375" style="54" customWidth="1"/>
    <col min="21" max="21" width="14.85546875" style="54" customWidth="1"/>
    <col min="22" max="22" width="3.5703125" style="54" customWidth="1"/>
    <col min="23" max="23" width="14.85546875" style="54" customWidth="1"/>
    <col min="24" max="24" width="3.5703125" style="54" customWidth="1"/>
    <col min="25" max="25" width="12.42578125" style="54" customWidth="1"/>
    <col min="26" max="26" width="2.5703125" style="54" bestFit="1" customWidth="1"/>
    <col min="27" max="27" width="12.140625" style="54" bestFit="1" customWidth="1"/>
    <col min="28" max="28" width="2.5703125" style="54" customWidth="1"/>
    <col min="29" max="29" width="10.5703125" style="54" customWidth="1"/>
    <col min="30" max="30" width="2.5703125" style="54" customWidth="1"/>
    <col min="31" max="31" width="9.140625" style="54"/>
    <col min="32" max="32" width="4.42578125" style="54" customWidth="1"/>
    <col min="33" max="33" width="3.5703125" style="54" customWidth="1"/>
    <col min="34" max="34" width="22.140625" style="54" customWidth="1"/>
    <col min="35" max="16384" width="9.140625" style="54"/>
  </cols>
  <sheetData>
    <row r="1" spans="1:29" ht="16.5" customHeight="1" x14ac:dyDescent="0.2">
      <c r="A1" s="85"/>
    </row>
    <row r="2" spans="1:29" ht="16.5" customHeight="1" x14ac:dyDescent="0.2">
      <c r="A2" s="85"/>
    </row>
    <row r="3" spans="1:29" ht="16.5" customHeight="1" x14ac:dyDescent="0.25">
      <c r="A3" s="85"/>
      <c r="I3"/>
    </row>
    <row r="4" spans="1:29" ht="16.5" customHeight="1" thickBot="1" x14ac:dyDescent="0.3">
      <c r="A4" s="85"/>
      <c r="I4"/>
    </row>
    <row r="5" spans="1:29" ht="15" x14ac:dyDescent="0.35">
      <c r="A5" s="87" t="s">
        <v>136</v>
      </c>
    </row>
    <row r="6" spans="1:29" ht="15.75" thickBot="1" x14ac:dyDescent="0.3">
      <c r="A6" s="88" t="s">
        <v>21</v>
      </c>
      <c r="I6" s="195" t="s">
        <v>140</v>
      </c>
      <c r="J6" s="198"/>
      <c r="K6" s="198"/>
      <c r="L6" s="198"/>
      <c r="M6" s="198"/>
      <c r="N6" s="59"/>
      <c r="O6" s="59"/>
      <c r="Q6" s="60" t="str">
        <f>I6</f>
        <v>NiSource Inc.</v>
      </c>
      <c r="S6" s="60"/>
      <c r="T6" s="60"/>
      <c r="U6" s="60"/>
      <c r="V6" s="61"/>
      <c r="W6" s="60"/>
      <c r="X6" s="61"/>
      <c r="Y6" s="61"/>
      <c r="Z6" s="62"/>
      <c r="AA6" s="61"/>
      <c r="AB6" s="61"/>
      <c r="AC6" s="61"/>
    </row>
    <row r="7" spans="1:29" ht="15" x14ac:dyDescent="0.25">
      <c r="I7" s="195" t="s">
        <v>54</v>
      </c>
      <c r="J7" s="198"/>
      <c r="K7" s="198"/>
      <c r="L7" s="198"/>
      <c r="M7" s="198"/>
      <c r="N7" s="59"/>
      <c r="O7" s="59"/>
      <c r="Q7" s="61" t="str">
        <f>I7</f>
        <v>CAPITALIZATION AND FINANCIAL STATISTICS  (1)</v>
      </c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5" x14ac:dyDescent="0.25">
      <c r="I8" s="195" t="s">
        <v>138</v>
      </c>
      <c r="J8" s="198"/>
      <c r="K8" s="198"/>
      <c r="L8" s="198"/>
      <c r="M8" s="198"/>
      <c r="N8" s="59"/>
      <c r="O8" s="59"/>
      <c r="Q8" s="62" t="str">
        <f>I8</f>
        <v>2019 - 2024, Inclusive</v>
      </c>
      <c r="S8" s="62"/>
      <c r="T8" s="62"/>
      <c r="U8" s="62"/>
      <c r="V8" s="61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141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N10" s="63"/>
      <c r="O10" s="63"/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65">
        <f>(12074.5+1281.2)*1000000</f>
        <v>13355700000</v>
      </c>
      <c r="E12" s="65">
        <f>(11055.5+23.8)*1000000</f>
        <v>11079300000</v>
      </c>
      <c r="G12" s="65">
        <v>9553600000</v>
      </c>
      <c r="I12" s="65">
        <f>9183400000+58100000</f>
        <v>9241500000</v>
      </c>
      <c r="K12" s="65">
        <f>9219800000+23300000</f>
        <v>9243100000</v>
      </c>
      <c r="L12" s="90"/>
      <c r="M12" s="65">
        <f>7856200000+13400000</f>
        <v>7869600000</v>
      </c>
      <c r="N12" s="65"/>
      <c r="O12" s="65"/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x14ac:dyDescent="0.2">
      <c r="A13" s="54" t="s">
        <v>60</v>
      </c>
      <c r="B13" s="54" t="s">
        <v>61</v>
      </c>
      <c r="C13" s="65">
        <v>0</v>
      </c>
      <c r="E13" s="65">
        <f>486.1*1000000</f>
        <v>486100000</v>
      </c>
      <c r="G13" s="65">
        <v>1546500000</v>
      </c>
      <c r="I13" s="65">
        <v>1546500000</v>
      </c>
      <c r="K13" s="65">
        <v>880000000</v>
      </c>
      <c r="M13" s="65">
        <v>880000000</v>
      </c>
      <c r="N13" s="65"/>
      <c r="O13" s="65"/>
      <c r="Y13" s="61" t="s">
        <v>62</v>
      </c>
      <c r="Z13" s="61"/>
      <c r="AA13" s="61"/>
      <c r="AB13" s="61"/>
      <c r="AC13" s="61" t="s">
        <v>63</v>
      </c>
    </row>
    <row r="14" spans="1:29" x14ac:dyDescent="0.2">
      <c r="C14" s="65"/>
      <c r="E14" s="65"/>
      <c r="G14" s="65"/>
      <c r="I14" s="65"/>
      <c r="K14" s="65"/>
      <c r="M14" s="65"/>
      <c r="Q14" s="66" t="s">
        <v>64</v>
      </c>
      <c r="S14" s="66"/>
      <c r="T14" s="66"/>
      <c r="U14" s="66"/>
      <c r="V14" s="66"/>
      <c r="W14" s="66"/>
      <c r="X14" s="66"/>
    </row>
    <row r="15" spans="1:29" x14ac:dyDescent="0.2">
      <c r="A15" s="54" t="s">
        <v>65</v>
      </c>
      <c r="B15" s="54" t="s">
        <v>66</v>
      </c>
      <c r="C15" s="65">
        <v>469822472</v>
      </c>
      <c r="E15" s="65">
        <v>447381671</v>
      </c>
      <c r="G15" s="65">
        <v>412142602</v>
      </c>
      <c r="I15" s="65">
        <v>405303023</v>
      </c>
      <c r="K15" s="65">
        <v>391760051</v>
      </c>
      <c r="M15" s="65">
        <v>382135680</v>
      </c>
      <c r="N15" s="65"/>
      <c r="O15" s="65"/>
    </row>
    <row r="16" spans="1:29" x14ac:dyDescent="0.2">
      <c r="A16" s="54" t="s">
        <v>6</v>
      </c>
      <c r="B16" s="54" t="s">
        <v>67</v>
      </c>
      <c r="C16" s="65">
        <f>((8684.2)*1000000)-C13</f>
        <v>8684200000</v>
      </c>
      <c r="E16" s="65">
        <f>((8269.6)*1000000)-E13</f>
        <v>7783500000</v>
      </c>
      <c r="G16" s="65">
        <f>((7575.4)*1000000)-G13</f>
        <v>6028900000</v>
      </c>
      <c r="I16" s="65">
        <f>6947300000-I13</f>
        <v>5400800000</v>
      </c>
      <c r="K16" s="65">
        <f>5752200000-K13</f>
        <v>4872200000</v>
      </c>
      <c r="L16" s="90"/>
      <c r="M16" s="65">
        <f>5986700000-M13</f>
        <v>5106700000</v>
      </c>
      <c r="N16" s="65"/>
      <c r="O16" s="65"/>
      <c r="Q16" s="66" t="s">
        <v>68</v>
      </c>
      <c r="S16" s="66"/>
      <c r="T16" s="66"/>
      <c r="U16" s="66"/>
      <c r="V16" s="66"/>
      <c r="W16" s="66"/>
      <c r="X16" s="66"/>
    </row>
    <row r="17" spans="1:30" x14ac:dyDescent="0.2">
      <c r="A17" s="54" t="s">
        <v>69</v>
      </c>
      <c r="B17" s="54" t="s">
        <v>66</v>
      </c>
      <c r="C17" s="65">
        <v>0</v>
      </c>
      <c r="E17" s="65">
        <v>0</v>
      </c>
      <c r="G17" s="65">
        <v>0</v>
      </c>
      <c r="I17" s="65">
        <v>0</v>
      </c>
      <c r="K17" s="65">
        <v>0</v>
      </c>
      <c r="L17" s="90"/>
      <c r="M17" s="65">
        <v>0</v>
      </c>
      <c r="N17" s="91"/>
      <c r="O17" s="91"/>
      <c r="Q17" s="54" t="s">
        <v>70</v>
      </c>
      <c r="S17" s="69">
        <f>C50/1000000</f>
        <v>22039.9</v>
      </c>
      <c r="T17" s="69"/>
      <c r="U17" s="69">
        <f>E50/1000000</f>
        <v>19348.900000000001</v>
      </c>
      <c r="V17" s="69"/>
      <c r="W17" s="69">
        <f>G50/1000000</f>
        <v>17129</v>
      </c>
      <c r="X17" s="69"/>
      <c r="Y17" s="69">
        <f>I50/1000000</f>
        <v>16188.8</v>
      </c>
      <c r="Z17" s="69"/>
      <c r="AA17" s="69">
        <f>K50/1000000</f>
        <v>14995.3</v>
      </c>
      <c r="AB17" s="69"/>
    </row>
    <row r="18" spans="1:30" x14ac:dyDescent="0.2">
      <c r="C18" s="65"/>
      <c r="E18" s="65"/>
      <c r="G18" s="65"/>
      <c r="I18" s="65"/>
      <c r="K18" s="65"/>
      <c r="L18" s="90"/>
      <c r="M18" s="65"/>
      <c r="N18" s="90"/>
      <c r="O18" s="90"/>
      <c r="Q18" s="54" t="s">
        <v>71</v>
      </c>
      <c r="S18" s="70">
        <f>C19/1000000</f>
        <v>604.6</v>
      </c>
      <c r="T18" s="69"/>
      <c r="U18" s="70">
        <f>E19/1000000</f>
        <v>3048.6</v>
      </c>
      <c r="V18" s="69"/>
      <c r="W18" s="70">
        <f>G19/1000000</f>
        <v>1761.9</v>
      </c>
      <c r="X18" s="69"/>
      <c r="Y18" s="70">
        <f>I19/1000000</f>
        <v>560</v>
      </c>
      <c r="Z18" s="69"/>
      <c r="AA18" s="70">
        <f>K19/1000000</f>
        <v>503</v>
      </c>
      <c r="AB18" s="69"/>
    </row>
    <row r="19" spans="1:30" x14ac:dyDescent="0.2">
      <c r="A19" s="54" t="s">
        <v>72</v>
      </c>
      <c r="B19" s="54" t="s">
        <v>73</v>
      </c>
      <c r="C19" s="65">
        <f>604.6*1000000</f>
        <v>604600000</v>
      </c>
      <c r="E19" s="65">
        <f>3048.6*1000000</f>
        <v>3048600000</v>
      </c>
      <c r="G19" s="65">
        <f>1761.9*1000000</f>
        <v>1761900000</v>
      </c>
      <c r="I19" s="65">
        <v>560000000</v>
      </c>
      <c r="K19" s="65">
        <v>503000000</v>
      </c>
      <c r="L19" s="90"/>
      <c r="M19" s="65">
        <v>1773200000</v>
      </c>
      <c r="N19" s="65"/>
      <c r="O19" s="65"/>
      <c r="Q19" s="54" t="s">
        <v>74</v>
      </c>
      <c r="S19" s="71">
        <f>SUM(S17:S18)</f>
        <v>22644.5</v>
      </c>
      <c r="T19" s="69"/>
      <c r="U19" s="71">
        <f>SUM(U17:U18)</f>
        <v>22397.5</v>
      </c>
      <c r="V19" s="69"/>
      <c r="W19" s="71">
        <f>SUM(W17:W18)</f>
        <v>18890.900000000001</v>
      </c>
      <c r="X19" s="69"/>
      <c r="Y19" s="71">
        <f>SUM(Y17:Y18)</f>
        <v>16748.8</v>
      </c>
      <c r="Z19" s="69"/>
      <c r="AA19" s="71">
        <f>SUM(AA17:AA18)</f>
        <v>15498.3</v>
      </c>
      <c r="AB19" s="69"/>
    </row>
    <row r="20" spans="1:30" x14ac:dyDescent="0.2">
      <c r="I20" s="65"/>
      <c r="K20" s="65"/>
      <c r="L20" s="90"/>
      <c r="M20" s="65"/>
      <c r="N20" s="92"/>
      <c r="O20" s="92"/>
    </row>
    <row r="21" spans="1:30" x14ac:dyDescent="0.2">
      <c r="A21" s="54" t="s">
        <v>75</v>
      </c>
      <c r="B21" s="54" t="s">
        <v>76</v>
      </c>
      <c r="C21" s="65">
        <v>1.62</v>
      </c>
      <c r="E21" s="65">
        <v>1.48</v>
      </c>
      <c r="G21" s="65">
        <v>1.7</v>
      </c>
      <c r="I21" s="65">
        <v>1.27</v>
      </c>
      <c r="K21" s="65">
        <v>-0.19</v>
      </c>
      <c r="L21" s="90"/>
      <c r="M21" s="65">
        <v>0.87</v>
      </c>
      <c r="N21" s="65"/>
      <c r="O21" s="65"/>
      <c r="Q21" s="66" t="s">
        <v>77</v>
      </c>
    </row>
    <row r="22" spans="1:30" x14ac:dyDescent="0.2">
      <c r="A22" s="54" t="s">
        <v>78</v>
      </c>
      <c r="B22" s="54" t="s">
        <v>79</v>
      </c>
      <c r="C22" s="54">
        <v>38.25</v>
      </c>
      <c r="E22" s="54">
        <v>28.89</v>
      </c>
      <c r="G22" s="54">
        <v>32.46</v>
      </c>
      <c r="I22" s="54">
        <v>27.7</v>
      </c>
      <c r="K22" s="65">
        <v>30.21</v>
      </c>
      <c r="M22" s="65">
        <v>30.56</v>
      </c>
      <c r="N22" s="91"/>
      <c r="O22" s="91"/>
      <c r="Q22" s="54" t="s">
        <v>80</v>
      </c>
      <c r="S22" s="72">
        <f>(ROUND((C30/(AVERAGE(C54,E54))*100),2))</f>
        <v>3.68</v>
      </c>
      <c r="T22" s="73" t="s">
        <v>4</v>
      </c>
      <c r="U22" s="72">
        <f>(ROUND((E30/(AVERAGE(E54,G54))*100),2))</f>
        <v>3.85</v>
      </c>
      <c r="V22" s="73" t="s">
        <v>4</v>
      </c>
      <c r="W22" s="72">
        <f>(ROUND((G30/(AVERAGE(G54,I54))*100),2))</f>
        <v>3.42</v>
      </c>
      <c r="X22" s="73" t="s">
        <v>4</v>
      </c>
      <c r="Y22" s="72">
        <f>(ROUND((I30/(AVERAGE(I54,K54))*100),2))</f>
        <v>3.49</v>
      </c>
      <c r="Z22" s="73" t="s">
        <v>4</v>
      </c>
      <c r="AA22" s="72">
        <f>(ROUND((K30/(AVERAGE(K54,M54))*100),2))</f>
        <v>3.82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54">
        <v>25.06</v>
      </c>
      <c r="E23" s="54">
        <v>23.18</v>
      </c>
      <c r="G23" s="54">
        <v>24.15</v>
      </c>
      <c r="I23" s="54">
        <v>21.26</v>
      </c>
      <c r="K23" s="65">
        <v>20.86</v>
      </c>
      <c r="M23" s="65">
        <v>25.07</v>
      </c>
      <c r="N23" s="91"/>
      <c r="O23" s="91"/>
      <c r="Q23" s="54" t="s">
        <v>82</v>
      </c>
      <c r="S23" s="93">
        <f>(ROUND((C36/(AVERAGE(C58,E58))*100),2))</f>
        <v>3.37</v>
      </c>
      <c r="T23" s="94"/>
      <c r="U23" s="93">
        <f>(ROUND((E36/(AVERAGE(E58,G58))*100),2))</f>
        <v>4.3099999999999996</v>
      </c>
      <c r="V23" s="94"/>
      <c r="W23" s="93">
        <f>(ROUND((G36/(AVERAGE(G58,I58))*100),2))</f>
        <v>3.56</v>
      </c>
      <c r="X23" s="94"/>
      <c r="Y23" s="93">
        <f>(ROUND((I36/(AVERAGE(I58,K58))*100),2))</f>
        <v>4.54</v>
      </c>
      <c r="Z23" s="94"/>
      <c r="AA23" s="93">
        <f>(ROUND((K36/(AVERAGE(K58,M58))*100),2))</f>
        <v>6.26</v>
      </c>
      <c r="AB23" s="94"/>
    </row>
    <row r="24" spans="1:30" x14ac:dyDescent="0.2">
      <c r="I24" s="65"/>
      <c r="K24" s="65"/>
      <c r="M24" s="65"/>
      <c r="N24" s="90"/>
      <c r="O24" s="90"/>
      <c r="AC24" s="194" t="s">
        <v>1</v>
      </c>
      <c r="AD24" s="194"/>
    </row>
    <row r="25" spans="1:30" x14ac:dyDescent="0.2">
      <c r="I25" s="65"/>
      <c r="K25" s="65"/>
      <c r="M25" s="65"/>
      <c r="N25" s="92"/>
      <c r="O25" s="92"/>
      <c r="Q25" s="66" t="s">
        <v>83</v>
      </c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65">
        <v>1.06</v>
      </c>
      <c r="E26" s="65">
        <v>1</v>
      </c>
      <c r="G26" s="65">
        <v>0.94</v>
      </c>
      <c r="I26" s="65">
        <v>0.88</v>
      </c>
      <c r="K26" s="65">
        <v>0.84</v>
      </c>
      <c r="M26" s="65">
        <v>0.8</v>
      </c>
      <c r="N26" s="91"/>
      <c r="O26" s="91"/>
      <c r="Q26" s="54" t="s">
        <v>85</v>
      </c>
    </row>
    <row r="27" spans="1:30" x14ac:dyDescent="0.2">
      <c r="I27" s="65"/>
      <c r="K27" s="65"/>
      <c r="L27" s="90"/>
      <c r="M27" s="65"/>
      <c r="N27" s="92"/>
      <c r="O27" s="92"/>
      <c r="Q27" s="54" t="s">
        <v>86</v>
      </c>
      <c r="S27" s="72">
        <f>ROUND(((C12/C50)*100),2)</f>
        <v>60.6</v>
      </c>
      <c r="T27" s="73" t="s">
        <v>4</v>
      </c>
      <c r="U27" s="72">
        <f>ROUND(((E12/E50)*100),2)</f>
        <v>57.26</v>
      </c>
      <c r="V27" s="73" t="s">
        <v>4</v>
      </c>
      <c r="W27" s="72">
        <f>ROUND(((G12/G50)*100),2)</f>
        <v>55.77</v>
      </c>
      <c r="X27" s="73" t="s">
        <v>4</v>
      </c>
      <c r="Y27" s="72">
        <f>ROUND(((I12/I50)*100),2)</f>
        <v>57.09</v>
      </c>
      <c r="Z27" s="73" t="s">
        <v>4</v>
      </c>
      <c r="AA27" s="72">
        <f>ROUND(((K12/K50)*100),2)</f>
        <v>61.64</v>
      </c>
      <c r="AB27" s="73" t="s">
        <v>4</v>
      </c>
      <c r="AC27" s="72">
        <f>ROUND(AVERAGE(S27:AB27),2)</f>
        <v>58.47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5">
        <f>(40.1+75.1)*1000000</f>
        <v>115199999.99999999</v>
      </c>
      <c r="E28" s="65">
        <f>(25.3+25.2)*1000000</f>
        <v>50500000</v>
      </c>
      <c r="G28" s="65">
        <f>(6.7+15.1)*1000000</f>
        <v>21800000</v>
      </c>
      <c r="I28" s="65">
        <f>4600000+13100000</f>
        <v>17700000</v>
      </c>
      <c r="K28" s="65">
        <f>9900000+7000000</f>
        <v>16900000</v>
      </c>
      <c r="L28" s="90"/>
      <c r="M28" s="65">
        <f>8000000+7500000</f>
        <v>15500000</v>
      </c>
      <c r="N28" s="91"/>
      <c r="O28" s="91"/>
      <c r="Q28" s="54" t="s">
        <v>88</v>
      </c>
      <c r="S28" s="72">
        <f>ROUND(((SUM(C13,C17)/C50)*100),2)</f>
        <v>0</v>
      </c>
      <c r="T28" s="73"/>
      <c r="U28" s="72">
        <f>ROUND(((SUM(E13,E17)/E50)*100),2)</f>
        <v>2.5099999999999998</v>
      </c>
      <c r="V28" s="73"/>
      <c r="W28" s="72">
        <f>ROUND(((SUM(G13,G17)/G50)*100),2)</f>
        <v>9.0299999999999994</v>
      </c>
      <c r="X28" s="73"/>
      <c r="Y28" s="72">
        <f>ROUND(((SUM(I13,I17)/I50)*100),2)</f>
        <v>9.5500000000000007</v>
      </c>
      <c r="Z28" s="73"/>
      <c r="AA28" s="72">
        <f>ROUND(((SUM(K13,K17)/K50)*100),2)</f>
        <v>5.87</v>
      </c>
      <c r="AB28" s="73"/>
      <c r="AC28" s="72">
        <f>ROUND(AVERAGE(S28:AB28),2)</f>
        <v>5.39</v>
      </c>
      <c r="AD28" s="73"/>
    </row>
    <row r="29" spans="1:30" x14ac:dyDescent="0.2">
      <c r="C29" s="65"/>
      <c r="E29" s="65"/>
      <c r="G29" s="65"/>
      <c r="I29" s="65"/>
      <c r="K29" s="65"/>
      <c r="L29" s="90"/>
      <c r="M29" s="65"/>
      <c r="N29" s="92"/>
      <c r="O29" s="92"/>
      <c r="Q29" s="54" t="s">
        <v>89</v>
      </c>
      <c r="S29" s="74">
        <f>ROUND(((C16/C50)*100),2)</f>
        <v>39.4</v>
      </c>
      <c r="T29" s="73"/>
      <c r="U29" s="74">
        <f>ROUND(((E16/E50)*100),2)</f>
        <v>40.229999999999997</v>
      </c>
      <c r="V29" s="73"/>
      <c r="W29" s="74">
        <f>ROUND(((G16/G50)*100),2)</f>
        <v>35.200000000000003</v>
      </c>
      <c r="X29" s="73"/>
      <c r="Y29" s="74">
        <f>ROUND(((I16/I50)*100),2)</f>
        <v>33.36</v>
      </c>
      <c r="Z29" s="73"/>
      <c r="AA29" s="74">
        <f>ROUND(((K16/K50)*100),2)</f>
        <v>32.49</v>
      </c>
      <c r="AB29" s="73"/>
      <c r="AC29" s="72">
        <f>ROUND(AVERAGE(S29:AB29),2)</f>
        <v>36.14</v>
      </c>
      <c r="AD29" s="73"/>
    </row>
    <row r="30" spans="1:30" x14ac:dyDescent="0.2">
      <c r="A30" s="54" t="s">
        <v>90</v>
      </c>
      <c r="B30" s="54" t="s">
        <v>91</v>
      </c>
      <c r="C30" s="65">
        <f>517.2*1000000</f>
        <v>517200000.00000006</v>
      </c>
      <c r="E30" s="65">
        <f>489.6*1000000</f>
        <v>489600000</v>
      </c>
      <c r="G30" s="65">
        <f>361.6*1000000</f>
        <v>361600000</v>
      </c>
      <c r="I30" s="65">
        <v>341100000</v>
      </c>
      <c r="K30" s="65">
        <v>370700000</v>
      </c>
      <c r="L30" s="90"/>
      <c r="M30" s="65">
        <v>378900000</v>
      </c>
      <c r="N30" s="65"/>
      <c r="O30" s="65"/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C31" s="65"/>
      <c r="E31" s="65"/>
      <c r="G31" s="65"/>
      <c r="I31" s="65"/>
      <c r="K31" s="65"/>
      <c r="L31" s="90"/>
      <c r="M31" s="65"/>
      <c r="N31" s="92"/>
      <c r="O31" s="92"/>
    </row>
    <row r="32" spans="1:30" x14ac:dyDescent="0.2">
      <c r="A32" s="54" t="s">
        <v>93</v>
      </c>
      <c r="B32" s="54" t="s">
        <v>94</v>
      </c>
      <c r="C32" s="65">
        <f>760.4*1000000</f>
        <v>760400000</v>
      </c>
      <c r="E32" s="65">
        <f>714.3*1000000</f>
        <v>714300000</v>
      </c>
      <c r="G32" s="65">
        <f>804.1*1000000</f>
        <v>804100000</v>
      </c>
      <c r="I32" s="65">
        <v>584900000</v>
      </c>
      <c r="K32" s="65">
        <v>-17600000</v>
      </c>
      <c r="L32" s="90"/>
      <c r="M32" s="65">
        <v>383100000</v>
      </c>
      <c r="N32" s="65"/>
      <c r="O32" s="65"/>
      <c r="Q32" s="54" t="s">
        <v>95</v>
      </c>
    </row>
    <row r="33" spans="1:30" x14ac:dyDescent="0.2">
      <c r="A33" s="76"/>
      <c r="B33" s="76"/>
      <c r="C33" s="65"/>
      <c r="D33" s="76"/>
      <c r="E33" s="65"/>
      <c r="F33" s="76"/>
      <c r="G33" s="65"/>
      <c r="H33" s="76"/>
      <c r="I33" s="78"/>
      <c r="J33" s="76"/>
      <c r="K33" s="78"/>
      <c r="L33" s="95"/>
      <c r="M33" s="78"/>
      <c r="N33" s="96"/>
      <c r="O33" s="96"/>
      <c r="Q33" s="54" t="s">
        <v>96</v>
      </c>
      <c r="S33" s="72">
        <f>ROUND((((C12+C19)/C56)*100),2)</f>
        <v>61.65</v>
      </c>
      <c r="T33" s="73" t="s">
        <v>4</v>
      </c>
      <c r="U33" s="72">
        <f>ROUND((((E12+E19)/E56)*100),2)</f>
        <v>63.08</v>
      </c>
      <c r="V33" s="73" t="s">
        <v>4</v>
      </c>
      <c r="W33" s="72">
        <f>ROUND((((G12+G19)/G56)*100),2)</f>
        <v>59.9</v>
      </c>
      <c r="X33" s="73" t="s">
        <v>4</v>
      </c>
      <c r="Y33" s="72">
        <f>ROUND((((I12+I19)/I56)*100),2)</f>
        <v>58.52</v>
      </c>
      <c r="Z33" s="73" t="s">
        <v>4</v>
      </c>
      <c r="AA33" s="72">
        <f>ROUND((((K12+K19)/K56)*100),2)</f>
        <v>62.88</v>
      </c>
      <c r="AB33" s="73" t="s">
        <v>4</v>
      </c>
      <c r="AC33" s="72">
        <f>ROUND(AVERAGE(S33:AB33),2)</f>
        <v>61.21</v>
      </c>
      <c r="AD33" s="73" t="s">
        <v>4</v>
      </c>
    </row>
    <row r="34" spans="1:30" x14ac:dyDescent="0.2">
      <c r="A34" s="54" t="s">
        <v>97</v>
      </c>
      <c r="B34" s="54" t="s">
        <v>98</v>
      </c>
      <c r="C34" s="65">
        <f>739.7*1000000</f>
        <v>739700000</v>
      </c>
      <c r="E34" s="65">
        <f>661.7*1000000</f>
        <v>661700000</v>
      </c>
      <c r="G34" s="65">
        <f>749000000</f>
        <v>749000000</v>
      </c>
      <c r="I34" s="65">
        <v>529800000</v>
      </c>
      <c r="K34" s="65">
        <v>-72700000</v>
      </c>
      <c r="L34" s="90"/>
      <c r="M34" s="65">
        <v>328000000</v>
      </c>
      <c r="N34" s="91"/>
      <c r="O34" s="91"/>
      <c r="Q34" s="54" t="s">
        <v>88</v>
      </c>
      <c r="S34" s="72">
        <f>ROUND((((SUM(C13,C17))/C56)*100),2)</f>
        <v>0</v>
      </c>
      <c r="T34" s="73"/>
      <c r="U34" s="72">
        <f>ROUND((((SUM(E13,E17))/E56)*100),2)</f>
        <v>2.17</v>
      </c>
      <c r="V34" s="73"/>
      <c r="W34" s="72">
        <f>ROUND((((SUM(G13,G17))/G56)*100),2)</f>
        <v>8.19</v>
      </c>
      <c r="X34" s="73"/>
      <c r="Y34" s="72">
        <f>ROUND((((SUM(I13,I17))/I56)*100),2)</f>
        <v>9.23</v>
      </c>
      <c r="Z34" s="73"/>
      <c r="AA34" s="72">
        <f>ROUND((((SUM(K13,K17))/K56)*100),2)</f>
        <v>5.68</v>
      </c>
      <c r="AB34" s="73"/>
      <c r="AC34" s="72">
        <f>ROUND(AVERAGE(S34:AB34),2)</f>
        <v>5.05</v>
      </c>
      <c r="AD34" s="73"/>
    </row>
    <row r="35" spans="1:30" x14ac:dyDescent="0.2">
      <c r="C35" s="65"/>
      <c r="E35" s="65"/>
      <c r="G35" s="65"/>
      <c r="I35" s="65"/>
      <c r="K35" s="65"/>
      <c r="L35" s="90"/>
      <c r="M35" s="65"/>
      <c r="N35" s="90"/>
      <c r="O35" s="90"/>
      <c r="Q35" s="54" t="s">
        <v>89</v>
      </c>
      <c r="S35" s="74">
        <f>ROUND((((C16)/C56)*100),2)</f>
        <v>38.35</v>
      </c>
      <c r="T35" s="73"/>
      <c r="U35" s="74">
        <f>ROUND((((E16)/E56)*100),2)</f>
        <v>34.75</v>
      </c>
      <c r="V35" s="73"/>
      <c r="W35" s="74">
        <f>ROUND((((G16)/G56)*100),2)</f>
        <v>31.91</v>
      </c>
      <c r="X35" s="73"/>
      <c r="Y35" s="74">
        <f>ROUND((((I16)/I56)*100),2)</f>
        <v>32.25</v>
      </c>
      <c r="Z35" s="73"/>
      <c r="AA35" s="74">
        <f>ROUND((((K16)/K56)*100),2)</f>
        <v>31.44</v>
      </c>
      <c r="AB35" s="73"/>
      <c r="AC35" s="72">
        <f>ROUND(AVERAGE(S35:AB35),2)</f>
        <v>33.74</v>
      </c>
      <c r="AD35" s="73"/>
    </row>
    <row r="36" spans="1:30" x14ac:dyDescent="0.2">
      <c r="A36" s="54" t="s">
        <v>99</v>
      </c>
      <c r="B36" s="54" t="s">
        <v>100</v>
      </c>
      <c r="C36" s="65">
        <f>8.2*1000000</f>
        <v>8199999.9999999991</v>
      </c>
      <c r="E36" s="65">
        <f>43.8*1000000</f>
        <v>43800000</v>
      </c>
      <c r="G36" s="65">
        <v>55100000</v>
      </c>
      <c r="I36" s="65">
        <v>55100000</v>
      </c>
      <c r="K36" s="65">
        <v>55100000</v>
      </c>
      <c r="L36" s="90"/>
      <c r="M36" s="65">
        <v>56100000</v>
      </c>
      <c r="N36" s="91"/>
      <c r="O36" s="91"/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C37" s="65"/>
      <c r="E37" s="65"/>
      <c r="G37" s="65"/>
      <c r="I37" s="65"/>
      <c r="K37" s="65"/>
      <c r="L37" s="90"/>
      <c r="M37" s="65"/>
      <c r="N37" s="90"/>
      <c r="O37" s="90"/>
    </row>
    <row r="38" spans="1:30" x14ac:dyDescent="0.2">
      <c r="A38" s="54" t="s">
        <v>101</v>
      </c>
      <c r="B38" s="54" t="s">
        <v>102</v>
      </c>
      <c r="C38" s="65">
        <f>481*1000000</f>
        <v>481000000</v>
      </c>
      <c r="E38" s="65">
        <f>413.5*1000000</f>
        <v>413500000</v>
      </c>
      <c r="G38" s="65">
        <f>381.5*1000000</f>
        <v>381500000</v>
      </c>
      <c r="I38" s="65">
        <v>345200000</v>
      </c>
      <c r="K38" s="65">
        <v>321600000</v>
      </c>
      <c r="L38" s="90"/>
      <c r="M38" s="65">
        <v>298500000</v>
      </c>
      <c r="N38" s="65"/>
      <c r="O38" s="65"/>
    </row>
    <row r="39" spans="1:30" x14ac:dyDescent="0.2">
      <c r="C39" s="65"/>
      <c r="E39" s="65"/>
      <c r="G39" s="65"/>
      <c r="I39" s="65"/>
      <c r="K39" s="65"/>
      <c r="L39" s="90"/>
      <c r="M39" s="65"/>
      <c r="N39" s="92"/>
      <c r="O39" s="92"/>
    </row>
    <row r="40" spans="1:30" x14ac:dyDescent="0.2">
      <c r="A40" s="54" t="s">
        <v>103</v>
      </c>
      <c r="B40" s="54" t="s">
        <v>104</v>
      </c>
      <c r="C40" s="65">
        <f>C32</f>
        <v>760400000</v>
      </c>
      <c r="E40" s="65">
        <f>E32</f>
        <v>714300000</v>
      </c>
      <c r="G40" s="65">
        <f>G32</f>
        <v>804100000</v>
      </c>
      <c r="I40" s="65">
        <f>I32</f>
        <v>584900000</v>
      </c>
      <c r="K40" s="65">
        <v>-14200000</v>
      </c>
      <c r="L40" s="90"/>
      <c r="M40" s="65">
        <f>M32</f>
        <v>383100000</v>
      </c>
      <c r="N40" s="91"/>
      <c r="O40" s="91"/>
      <c r="Q40" s="66" t="s">
        <v>105</v>
      </c>
    </row>
    <row r="41" spans="1:30" x14ac:dyDescent="0.2">
      <c r="A41" s="54" t="s">
        <v>106</v>
      </c>
      <c r="B41" s="54" t="s">
        <v>107</v>
      </c>
      <c r="C41" s="65">
        <f>1781.5*1000000</f>
        <v>1781500000</v>
      </c>
      <c r="E41" s="65">
        <f>1935.1*1000000</f>
        <v>1935100000</v>
      </c>
      <c r="G41" s="65">
        <f>1409.4*1000000</f>
        <v>1409400000</v>
      </c>
      <c r="I41" s="65">
        <v>1217900000</v>
      </c>
      <c r="K41" s="65">
        <v>1104000000</v>
      </c>
      <c r="L41" s="90"/>
      <c r="M41" s="65">
        <v>1583300000</v>
      </c>
      <c r="N41" s="65"/>
      <c r="O41" s="65"/>
      <c r="Q41" s="66"/>
    </row>
    <row r="42" spans="1:30" x14ac:dyDescent="0.2">
      <c r="A42" s="54" t="s">
        <v>108</v>
      </c>
      <c r="B42" s="54" t="s">
        <v>109</v>
      </c>
      <c r="C42" s="65">
        <f>(-101.5+102+71.5-133.5+9.5-75.9-8.7-64.3-20.8+26.1)*1000000</f>
        <v>-195600000</v>
      </c>
      <c r="E42" s="65">
        <f>(184.1+233.9-171.8+126.5-102.9+36.7-26.2-22-10.1-48.3)*1000000</f>
        <v>199899999.99999997</v>
      </c>
      <c r="G42" s="65">
        <f>(-216.3-258.9+165+57.8+73.4-9.8-129.4+84.7-4.1-47.8)*1000000</f>
        <v>-285400000</v>
      </c>
      <c r="I42" s="65">
        <f>(-40.3-112.9+54.9-114.2+43-36.6+76.8-96.4-4.7-30)*1000000</f>
        <v>-260399999.99999997</v>
      </c>
      <c r="K42" s="65">
        <f>(-3.9-1.5-29.7+10+28.4+5.3+-6.9+-218.8-5.9+70.8-103.6-15+21.7)*1000000</f>
        <v>-249100000.00000009</v>
      </c>
      <c r="L42" s="90"/>
      <c r="M42" s="65">
        <f>(187.8-2-299.9+16.9+7.3+8.8+55.5+105.3-33.6-85.6-21.2-76.1+61.6)*1000000</f>
        <v>-75199999.999999955</v>
      </c>
      <c r="N42" s="65"/>
      <c r="O42" s="65"/>
      <c r="Q42" s="66" t="s">
        <v>110</v>
      </c>
    </row>
    <row r="43" spans="1:30" x14ac:dyDescent="0.2">
      <c r="A43" s="54" t="s">
        <v>111</v>
      </c>
      <c r="B43" s="54" t="s">
        <v>112</v>
      </c>
      <c r="C43" s="65">
        <f>1043.2*1000000</f>
        <v>1043200000</v>
      </c>
      <c r="E43" s="65">
        <f>908.2*1000000</f>
        <v>908200000</v>
      </c>
      <c r="G43" s="65">
        <f>820.8*1000000</f>
        <v>820800000</v>
      </c>
      <c r="I43" s="65">
        <v>748400000</v>
      </c>
      <c r="K43" s="65">
        <v>725900000</v>
      </c>
      <c r="L43" s="90"/>
      <c r="M43" s="65">
        <v>717400000</v>
      </c>
      <c r="N43" s="65"/>
      <c r="O43" s="65"/>
      <c r="Q43" s="54" t="s">
        <v>113</v>
      </c>
      <c r="S43" s="72">
        <f>ROUND(C21/C52,4)*100</f>
        <v>5.12</v>
      </c>
      <c r="T43" s="73" t="s">
        <v>4</v>
      </c>
      <c r="U43" s="72">
        <f>ROUND(E21/E52,4)*100</f>
        <v>5.6800000000000006</v>
      </c>
      <c r="V43" s="73" t="s">
        <v>4</v>
      </c>
      <c r="W43" s="72">
        <f>ROUND(G21/G52,4)*100</f>
        <v>6.01</v>
      </c>
      <c r="X43" s="73" t="s">
        <v>4</v>
      </c>
      <c r="Y43" s="72">
        <f>ROUND(I21/I52,4)*100</f>
        <v>5.19</v>
      </c>
      <c r="Z43" s="73" t="s">
        <v>4</v>
      </c>
      <c r="AA43" s="72">
        <f>ROUND(K21/K52,4)*100</f>
        <v>-0.74</v>
      </c>
      <c r="AB43" s="73" t="s">
        <v>4</v>
      </c>
      <c r="AC43" s="72">
        <f>ROUND(AVERAGE(S43:AB43),2)</f>
        <v>4.25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5">
        <f>158.1*1000000</f>
        <v>158100000</v>
      </c>
      <c r="E44" s="65">
        <f>139.5*1000000</f>
        <v>139500000</v>
      </c>
      <c r="G44" s="65">
        <f>164.6*1000000</f>
        <v>164600000</v>
      </c>
      <c r="I44" s="65">
        <v>117800000</v>
      </c>
      <c r="K44" s="65">
        <v>-17100000</v>
      </c>
      <c r="L44" s="90"/>
      <c r="M44" s="65">
        <v>123500000</v>
      </c>
      <c r="N44" s="91"/>
      <c r="O44" s="91"/>
      <c r="Q44" s="54" t="s">
        <v>116</v>
      </c>
      <c r="S44" s="72">
        <f>(ROUND((C52/(AVERAGE(C48,E48))*100),2))</f>
        <v>176.44</v>
      </c>
      <c r="U44" s="72">
        <f>(ROUND((E52/(AVERAGE(E48,G48))*100),2))</f>
        <v>162.59</v>
      </c>
      <c r="W44" s="72">
        <f>(ROUND((G52/(AVERAGE(G48,I48))*100),2))</f>
        <v>202.51</v>
      </c>
      <c r="Y44" s="72">
        <f>(ROUND((I52/(AVERAGE(I48,K48))*100),2))</f>
        <v>190.05</v>
      </c>
      <c r="AA44" s="72">
        <f>(ROUND((K52/(AVERAGE(K48,M48))*100),2))</f>
        <v>197.94</v>
      </c>
      <c r="AC44" s="72">
        <f>ROUND(AVERAGE(S44:AB44),2)</f>
        <v>185.91</v>
      </c>
    </row>
    <row r="45" spans="1:30" x14ac:dyDescent="0.2">
      <c r="I45" s="65"/>
      <c r="K45" s="65"/>
      <c r="M45" s="65"/>
      <c r="N45" s="65"/>
      <c r="O45" s="65"/>
      <c r="Q45" s="54" t="s">
        <v>117</v>
      </c>
      <c r="S45" s="72">
        <f>ROUND(((+C26/C52)*100),2)</f>
        <v>3.35</v>
      </c>
      <c r="U45" s="72">
        <f>ROUND(((+E26/E52)*100),2)</f>
        <v>3.84</v>
      </c>
      <c r="W45" s="72">
        <f>ROUND(((+G26/G52)*100),2)</f>
        <v>3.32</v>
      </c>
      <c r="Y45" s="72">
        <f>ROUND(((+I26/I52)*100),2)</f>
        <v>3.59</v>
      </c>
      <c r="AA45" s="72">
        <f>ROUND(((+K26/K52)*100),2)</f>
        <v>3.29</v>
      </c>
      <c r="AC45" s="72">
        <f>ROUND(AVERAGE(S45:AB45),2)</f>
        <v>3.48</v>
      </c>
    </row>
    <row r="46" spans="1:30" x14ac:dyDescent="0.2">
      <c r="A46" s="54" t="s">
        <v>118</v>
      </c>
      <c r="I46" s="65"/>
      <c r="K46" s="65"/>
      <c r="M46" s="65"/>
      <c r="N46" s="65"/>
      <c r="O46" s="65"/>
      <c r="Q46" s="54" t="s">
        <v>119</v>
      </c>
      <c r="S46" s="72">
        <f>ROUND(((+C38/C34)*100),2)</f>
        <v>65.03</v>
      </c>
      <c r="U46" s="72">
        <f>ROUND(((+E38/E34)*100),2)</f>
        <v>62.49</v>
      </c>
      <c r="W46" s="72">
        <f>ROUND(((+G38/G34)*100),2)</f>
        <v>50.93</v>
      </c>
      <c r="Y46" s="72">
        <f>ROUND(((+I38/I34)*100),2)</f>
        <v>65.16</v>
      </c>
      <c r="AA46" s="97" t="s">
        <v>142</v>
      </c>
      <c r="AC46" s="72">
        <f>ROUND(AVERAGE(S46:AB46),2)</f>
        <v>60.9</v>
      </c>
    </row>
    <row r="47" spans="1:30" x14ac:dyDescent="0.2">
      <c r="I47" s="65"/>
      <c r="K47" s="65"/>
      <c r="M47" s="65"/>
      <c r="N47" s="65"/>
      <c r="O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18.484003038492379</v>
      </c>
      <c r="E48" s="65">
        <f>E16/E15</f>
        <v>17.397896481995122</v>
      </c>
      <c r="G48" s="65">
        <f>G16/G15</f>
        <v>14.628189298421521</v>
      </c>
      <c r="I48" s="65">
        <f>I16/I15</f>
        <v>13.325338557862175</v>
      </c>
      <c r="K48" s="65">
        <f>K16/K15</f>
        <v>12.436694317256968</v>
      </c>
      <c r="M48" s="65">
        <f>M16/M15</f>
        <v>13.363578088285292</v>
      </c>
      <c r="N48" s="65"/>
      <c r="O48" s="65"/>
      <c r="Q48" s="66" t="s">
        <v>122</v>
      </c>
      <c r="S48" s="72">
        <f>ROUND(((C34/AVERAGE(C16,E16))*100),2)</f>
        <v>8.98</v>
      </c>
      <c r="T48" s="54" t="s">
        <v>4</v>
      </c>
      <c r="U48" s="72">
        <f>ROUND(((E34/AVERAGE(E16,G16))*100),2)</f>
        <v>9.58</v>
      </c>
      <c r="V48" s="54" t="s">
        <v>4</v>
      </c>
      <c r="W48" s="72">
        <f>ROUND(((G34/AVERAGE(G16,I16))*100),2)</f>
        <v>13.11</v>
      </c>
      <c r="X48" s="54" t="s">
        <v>4</v>
      </c>
      <c r="Y48" s="72">
        <f>ROUND(((I34/AVERAGE(I16,K16))*100),2)</f>
        <v>10.31</v>
      </c>
      <c r="Z48" s="54" t="s">
        <v>4</v>
      </c>
      <c r="AA48" s="72">
        <f>ROUND(((K34/AVERAGE(K16,M16))*100),2)</f>
        <v>-1.46</v>
      </c>
      <c r="AB48" s="54" t="s">
        <v>4</v>
      </c>
      <c r="AC48" s="72">
        <f>ROUND(AVERAGE(S48:AB48),2)</f>
        <v>8.1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M49" s="65"/>
      <c r="N49" s="65"/>
      <c r="O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22039900000</v>
      </c>
      <c r="E50" s="65">
        <f>SUM(E12:E13,E16:E17)</f>
        <v>19348900000</v>
      </c>
      <c r="G50" s="65">
        <f>SUM(G12:G13,G16:G17)</f>
        <v>17129000000</v>
      </c>
      <c r="I50" s="65">
        <f>SUM(I12:I13,I16:I17)</f>
        <v>16188800000</v>
      </c>
      <c r="K50" s="65">
        <f>SUM(K12:K13,K16:K17)</f>
        <v>14995300000</v>
      </c>
      <c r="M50" s="65">
        <f>SUM(M12:M13,M16:M17)</f>
        <v>13856300000</v>
      </c>
      <c r="N50" s="65"/>
      <c r="O50" s="65"/>
      <c r="Q50" s="66" t="s">
        <v>124</v>
      </c>
      <c r="S50" s="72">
        <f>ROUND((C54/C62),2)</f>
        <v>5.63</v>
      </c>
      <c r="T50" s="73" t="s">
        <v>125</v>
      </c>
      <c r="U50" s="72">
        <f>ROUND((E54/E62),2)</f>
        <v>6.27</v>
      </c>
      <c r="V50" s="73" t="s">
        <v>125</v>
      </c>
      <c r="W50" s="72">
        <f>ROUND((G54/G62),2)</f>
        <v>5.26</v>
      </c>
      <c r="X50" s="73" t="s">
        <v>125</v>
      </c>
      <c r="Y50" s="72">
        <f>ROUND((I54/I62),2)</f>
        <v>5.47</v>
      </c>
      <c r="Z50" s="73" t="s">
        <v>125</v>
      </c>
      <c r="AA50" s="72">
        <f>ROUND((K54/K62),2)</f>
        <v>9.15</v>
      </c>
      <c r="AB50" s="73" t="s">
        <v>125</v>
      </c>
      <c r="AC50" s="72">
        <f>ROUND(AVERAGE(S50:AB50),2)</f>
        <v>6.36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M51" s="65"/>
      <c r="N51" s="65"/>
      <c r="O51" s="65"/>
      <c r="Q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31.655000000000001</v>
      </c>
      <c r="E52" s="65">
        <f>AVERAGE(E22:E23)</f>
        <v>26.035</v>
      </c>
      <c r="G52" s="65">
        <f>AVERAGE(G22:G23)</f>
        <v>28.305</v>
      </c>
      <c r="I52" s="65">
        <f>AVERAGE(I22:I23)</f>
        <v>24.48</v>
      </c>
      <c r="K52" s="65">
        <f>AVERAGE(K22:K23)</f>
        <v>25.535</v>
      </c>
      <c r="M52" s="65">
        <f>AVERAGE(M22:M23)</f>
        <v>27.814999999999998</v>
      </c>
      <c r="N52" s="65"/>
      <c r="O52" s="65"/>
      <c r="Q52" s="66" t="s">
        <v>127</v>
      </c>
      <c r="S52" s="72">
        <f>ROUND(((C60/C54)*100),2)</f>
        <v>10.53</v>
      </c>
      <c r="T52" s="73" t="s">
        <v>4</v>
      </c>
      <c r="U52" s="72">
        <f>ROUND(((E60/E54)*100),2)</f>
        <v>14.75</v>
      </c>
      <c r="V52" s="73" t="s">
        <v>4</v>
      </c>
      <c r="W52" s="72">
        <f>ROUND(((G60/G54)*100),2)</f>
        <v>9.74</v>
      </c>
      <c r="X52" s="73" t="s">
        <v>4</v>
      </c>
      <c r="Y52" s="72">
        <f>ROUND(((I60/I54)*100),2)</f>
        <v>9.59</v>
      </c>
      <c r="Z52" s="73" t="s">
        <v>4</v>
      </c>
      <c r="AA52" s="72">
        <f>ROUND(((K60/K54)*100),2)</f>
        <v>8.6</v>
      </c>
      <c r="AB52" s="73" t="s">
        <v>4</v>
      </c>
      <c r="AC52" s="72">
        <f>ROUND(AVERAGE(S52:AB52),2)</f>
        <v>10.64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M53" s="65"/>
      <c r="N53" s="65"/>
      <c r="O53" s="65"/>
      <c r="Q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81">
        <f>+C19+C12</f>
        <v>13960300000</v>
      </c>
      <c r="E54" s="81">
        <f>+E19+E12</f>
        <v>14127900000</v>
      </c>
      <c r="G54" s="81">
        <f>+G19+G12</f>
        <v>11315500000</v>
      </c>
      <c r="I54" s="81">
        <f>+I19+I12</f>
        <v>9801500000</v>
      </c>
      <c r="K54" s="81">
        <f>+K19+K12</f>
        <v>9746100000</v>
      </c>
      <c r="M54" s="81">
        <f>+M19+M12</f>
        <v>9642800000</v>
      </c>
      <c r="N54" s="81"/>
      <c r="O54" s="81"/>
      <c r="Q54" s="79" t="s">
        <v>128</v>
      </c>
      <c r="S54" s="72">
        <f>S33</f>
        <v>61.65</v>
      </c>
      <c r="T54" s="73" t="s">
        <v>4</v>
      </c>
      <c r="U54" s="72">
        <f>U33</f>
        <v>63.08</v>
      </c>
      <c r="V54" s="73" t="s">
        <v>4</v>
      </c>
      <c r="W54" s="72">
        <f>W33</f>
        <v>59.9</v>
      </c>
      <c r="X54" s="73" t="s">
        <v>4</v>
      </c>
      <c r="Y54" s="72">
        <f>Y33</f>
        <v>58.52</v>
      </c>
      <c r="Z54" s="73" t="s">
        <v>4</v>
      </c>
      <c r="AA54" s="72">
        <f>AA33</f>
        <v>62.88</v>
      </c>
      <c r="AB54" s="73" t="s">
        <v>4</v>
      </c>
      <c r="AC54" s="72">
        <f>ROUND(AVERAGE(S54:AB54),2)</f>
        <v>61.21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M55" s="65"/>
      <c r="N55" s="65"/>
      <c r="O55" s="65"/>
    </row>
    <row r="56" spans="1:30" x14ac:dyDescent="0.2">
      <c r="A56" s="54" t="s">
        <v>14</v>
      </c>
      <c r="B56" s="54" t="s">
        <v>121</v>
      </c>
      <c r="C56" s="65">
        <f>SUM(C50,C19)</f>
        <v>22644500000</v>
      </c>
      <c r="E56" s="65">
        <f>SUM(E50,E19)</f>
        <v>22397500000</v>
      </c>
      <c r="G56" s="65">
        <f>SUM(G50,G19)</f>
        <v>18890900000</v>
      </c>
      <c r="I56" s="65">
        <f>SUM(I50,I19)</f>
        <v>16748800000</v>
      </c>
      <c r="K56" s="65">
        <f>SUM(K50,K19)</f>
        <v>15498300000</v>
      </c>
      <c r="M56" s="65">
        <f>SUM(M50,M19)</f>
        <v>15629500000</v>
      </c>
      <c r="N56" s="65"/>
      <c r="O56" s="65"/>
    </row>
    <row r="57" spans="1:30" x14ac:dyDescent="0.2">
      <c r="C57" s="65"/>
      <c r="E57" s="65"/>
      <c r="G57" s="65"/>
      <c r="I57" s="65"/>
      <c r="K57" s="65"/>
      <c r="M57" s="65"/>
      <c r="N57" s="65"/>
      <c r="O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486100000</v>
      </c>
      <c r="G58" s="65">
        <f>SUM(G13,G17)</f>
        <v>1546500000</v>
      </c>
      <c r="I58" s="65">
        <f>SUM(I13,I17)</f>
        <v>1546500000</v>
      </c>
      <c r="K58" s="65">
        <f>SUM(K13,K17)</f>
        <v>880000000</v>
      </c>
      <c r="M58" s="65">
        <f>SUM(M13,M17)</f>
        <v>880000000</v>
      </c>
      <c r="N58" s="65"/>
      <c r="O58" s="65"/>
    </row>
    <row r="59" spans="1:30" x14ac:dyDescent="0.2">
      <c r="C59" s="65"/>
      <c r="E59" s="65"/>
      <c r="G59" s="65"/>
      <c r="I59" s="65"/>
      <c r="K59" s="65"/>
      <c r="M59" s="65"/>
      <c r="N59" s="65"/>
      <c r="O59" s="65"/>
    </row>
    <row r="60" spans="1:30" x14ac:dyDescent="0.2">
      <c r="A60" s="82" t="s">
        <v>130</v>
      </c>
      <c r="B60" s="54" t="s">
        <v>121</v>
      </c>
      <c r="C60" s="65">
        <f>ROUND(C41+C42-C28,3)</f>
        <v>1470700000</v>
      </c>
      <c r="E60" s="65">
        <f>ROUND(E41+E42-E28,3)</f>
        <v>2084500000</v>
      </c>
      <c r="G60" s="65">
        <f>ROUND(G41+G42-G28,3)</f>
        <v>1102200000</v>
      </c>
      <c r="I60" s="65">
        <f>ROUND(I41+I42-I28,3)</f>
        <v>939800000</v>
      </c>
      <c r="K60" s="65">
        <f>ROUND(K41+K42-K28,3)</f>
        <v>838000000</v>
      </c>
      <c r="M60" s="65">
        <f>ROUND(M41+M42-M28,3)</f>
        <v>1492600000</v>
      </c>
      <c r="N60" s="65"/>
      <c r="O60" s="65"/>
    </row>
    <row r="61" spans="1:30" x14ac:dyDescent="0.2">
      <c r="A61" s="82"/>
      <c r="C61" s="65"/>
      <c r="E61" s="65"/>
      <c r="G61" s="65"/>
      <c r="I61" s="65"/>
      <c r="K61" s="65"/>
      <c r="M61" s="65"/>
      <c r="N61" s="65"/>
      <c r="O61" s="65"/>
    </row>
    <row r="62" spans="1:30" x14ac:dyDescent="0.2">
      <c r="A62" s="54" t="s">
        <v>131</v>
      </c>
      <c r="B62" s="54" t="s">
        <v>121</v>
      </c>
      <c r="C62" s="65">
        <f>C40+C44+C43+C30</f>
        <v>2478900000</v>
      </c>
      <c r="E62" s="65">
        <f>E40+E44+E43+E30</f>
        <v>2251600000</v>
      </c>
      <c r="G62" s="65">
        <f>G40+G44+G43+G30</f>
        <v>2151100000</v>
      </c>
      <c r="I62" s="65">
        <f>I40+I44+I43+I30</f>
        <v>1792200000</v>
      </c>
      <c r="K62" s="65">
        <f>K40+K44+K43+K30</f>
        <v>1065300000</v>
      </c>
      <c r="M62" s="65">
        <f>M40+M44+M43+M30</f>
        <v>1602900000</v>
      </c>
      <c r="N62" s="65"/>
      <c r="O62" s="65"/>
    </row>
    <row r="63" spans="1:30" x14ac:dyDescent="0.2">
      <c r="M63" s="83"/>
      <c r="N63" s="83"/>
      <c r="O63" s="83"/>
    </row>
    <row r="71" spans="13:15" x14ac:dyDescent="0.2">
      <c r="M71" s="83"/>
      <c r="N71" s="83"/>
      <c r="O71" s="83"/>
    </row>
    <row r="81" spans="13:223" x14ac:dyDescent="0.2">
      <c r="HK81" s="84"/>
      <c r="HL81" s="84"/>
      <c r="HO81" s="54" t="s">
        <v>132</v>
      </c>
    </row>
    <row r="94" spans="13:223" x14ac:dyDescent="0.2">
      <c r="M94" s="83"/>
      <c r="N94" s="83"/>
      <c r="O94" s="83"/>
    </row>
    <row r="95" spans="13:223" x14ac:dyDescent="0.2">
      <c r="M95" s="83"/>
      <c r="N95" s="83"/>
      <c r="O95" s="83"/>
    </row>
    <row r="96" spans="13:223" x14ac:dyDescent="0.2">
      <c r="M96" s="83"/>
      <c r="N96" s="83"/>
      <c r="O96" s="83"/>
    </row>
    <row r="97" spans="13:15" x14ac:dyDescent="0.2">
      <c r="M97" s="83"/>
      <c r="N97" s="83"/>
      <c r="O97" s="83"/>
    </row>
    <row r="98" spans="13:15" x14ac:dyDescent="0.2">
      <c r="M98" s="83"/>
      <c r="N98" s="83"/>
      <c r="O98" s="83"/>
    </row>
    <row r="99" spans="13:15" x14ac:dyDescent="0.2">
      <c r="M99" s="83"/>
      <c r="N99" s="83"/>
      <c r="O99" s="83"/>
    </row>
    <row r="100" spans="13:15" x14ac:dyDescent="0.2">
      <c r="M100" s="83"/>
      <c r="N100" s="83"/>
      <c r="O100" s="83"/>
    </row>
    <row r="101" spans="13:15" x14ac:dyDescent="0.2">
      <c r="M101" s="83"/>
      <c r="N101" s="83"/>
      <c r="O101" s="83"/>
    </row>
    <row r="102" spans="13:15" x14ac:dyDescent="0.2">
      <c r="M102" s="83"/>
      <c r="N102" s="83"/>
      <c r="O102" s="83"/>
    </row>
    <row r="103" spans="13:15" x14ac:dyDescent="0.2">
      <c r="M103" s="83"/>
      <c r="N103" s="83"/>
      <c r="O103" s="83"/>
    </row>
    <row r="104" spans="13:15" x14ac:dyDescent="0.2">
      <c r="M104" s="83"/>
      <c r="N104" s="83"/>
      <c r="O104" s="83"/>
    </row>
    <row r="105" spans="13:15" x14ac:dyDescent="0.2">
      <c r="M105" s="83"/>
      <c r="N105" s="83"/>
      <c r="O105" s="83"/>
    </row>
    <row r="106" spans="13:15" x14ac:dyDescent="0.2">
      <c r="M106" s="83"/>
      <c r="N106" s="83"/>
      <c r="O106" s="83"/>
    </row>
    <row r="107" spans="13:15" x14ac:dyDescent="0.2">
      <c r="M107" s="83"/>
      <c r="N107" s="83"/>
      <c r="O107" s="83"/>
    </row>
    <row r="108" spans="13:15" x14ac:dyDescent="0.2">
      <c r="M108" s="83"/>
      <c r="N108" s="83"/>
      <c r="O108" s="83"/>
    </row>
    <row r="109" spans="13:15" x14ac:dyDescent="0.2">
      <c r="M109" s="83"/>
      <c r="N109" s="83"/>
      <c r="O109" s="83"/>
    </row>
    <row r="110" spans="13:15" x14ac:dyDescent="0.2">
      <c r="M110" s="83"/>
      <c r="N110" s="83"/>
      <c r="O110" s="83"/>
    </row>
    <row r="111" spans="13:15" x14ac:dyDescent="0.2">
      <c r="M111" s="83"/>
      <c r="N111" s="83"/>
      <c r="O111" s="83"/>
    </row>
    <row r="112" spans="13:15" x14ac:dyDescent="0.2">
      <c r="M112" s="83"/>
      <c r="N112" s="83"/>
      <c r="O112" s="83"/>
    </row>
    <row r="113" spans="13:15" x14ac:dyDescent="0.2">
      <c r="M113" s="83"/>
      <c r="N113" s="83"/>
      <c r="O113" s="83"/>
    </row>
    <row r="114" spans="13:15" x14ac:dyDescent="0.2">
      <c r="M114" s="83"/>
      <c r="N114" s="83"/>
      <c r="O114" s="83"/>
    </row>
    <row r="115" spans="13:15" x14ac:dyDescent="0.2">
      <c r="M115" s="83"/>
      <c r="N115" s="83"/>
      <c r="O115" s="83"/>
    </row>
    <row r="116" spans="13:15" x14ac:dyDescent="0.2">
      <c r="M116" s="83"/>
      <c r="N116" s="83"/>
      <c r="O116" s="83"/>
    </row>
    <row r="117" spans="13:15" x14ac:dyDescent="0.2">
      <c r="M117" s="83"/>
      <c r="N117" s="83"/>
      <c r="O117" s="83"/>
    </row>
    <row r="118" spans="13:15" x14ac:dyDescent="0.2">
      <c r="M118" s="83"/>
      <c r="N118" s="83"/>
      <c r="O118" s="83"/>
    </row>
    <row r="119" spans="13:15" x14ac:dyDescent="0.2">
      <c r="M119" s="83"/>
      <c r="N119" s="83"/>
      <c r="O119" s="83"/>
    </row>
    <row r="120" spans="13:15" x14ac:dyDescent="0.2">
      <c r="M120" s="83"/>
      <c r="N120" s="83"/>
      <c r="O120" s="83"/>
    </row>
    <row r="121" spans="13:15" x14ac:dyDescent="0.2">
      <c r="M121" s="83"/>
      <c r="N121" s="83"/>
      <c r="O121" s="83"/>
    </row>
    <row r="122" spans="13:15" x14ac:dyDescent="0.2">
      <c r="M122" s="83"/>
      <c r="N122" s="83"/>
      <c r="O122" s="83"/>
    </row>
    <row r="123" spans="13:15" x14ac:dyDescent="0.2">
      <c r="M123" s="83"/>
      <c r="N123" s="83"/>
      <c r="O123" s="83"/>
    </row>
    <row r="124" spans="13:15" x14ac:dyDescent="0.2">
      <c r="M124" s="83"/>
      <c r="N124" s="83"/>
      <c r="O124" s="83"/>
    </row>
    <row r="125" spans="13:15" x14ac:dyDescent="0.2">
      <c r="M125" s="83"/>
      <c r="N125" s="83"/>
      <c r="O125" s="83"/>
    </row>
    <row r="126" spans="13:15" x14ac:dyDescent="0.2">
      <c r="M126" s="83"/>
      <c r="N126" s="83"/>
      <c r="O126" s="83"/>
    </row>
    <row r="127" spans="13:15" x14ac:dyDescent="0.2">
      <c r="M127" s="83"/>
      <c r="N127" s="83"/>
      <c r="O127" s="83"/>
    </row>
    <row r="128" spans="13:15" x14ac:dyDescent="0.2">
      <c r="M128" s="83"/>
      <c r="N128" s="83"/>
      <c r="O128" s="83"/>
    </row>
    <row r="129" spans="13:15" x14ac:dyDescent="0.2">
      <c r="M129" s="83"/>
      <c r="N129" s="83"/>
      <c r="O129" s="83"/>
    </row>
    <row r="130" spans="13:15" x14ac:dyDescent="0.2">
      <c r="M130" s="83"/>
      <c r="N130" s="83"/>
      <c r="O130" s="83"/>
    </row>
    <row r="131" spans="13:15" x14ac:dyDescent="0.2">
      <c r="M131" s="83"/>
      <c r="N131" s="83"/>
      <c r="O131" s="83"/>
    </row>
    <row r="132" spans="13:15" x14ac:dyDescent="0.2">
      <c r="M132" s="83"/>
      <c r="N132" s="83"/>
      <c r="O132" s="83"/>
    </row>
    <row r="133" spans="13:15" x14ac:dyDescent="0.2">
      <c r="M133" s="83"/>
      <c r="N133" s="83"/>
      <c r="O133" s="83"/>
    </row>
    <row r="134" spans="13:15" x14ac:dyDescent="0.2">
      <c r="M134" s="83"/>
      <c r="N134" s="83"/>
      <c r="O134" s="83"/>
    </row>
    <row r="135" spans="13:15" x14ac:dyDescent="0.2">
      <c r="M135" s="83"/>
      <c r="N135" s="83"/>
      <c r="O135" s="83"/>
    </row>
    <row r="136" spans="13:15" x14ac:dyDescent="0.2">
      <c r="M136" s="83"/>
      <c r="N136" s="83"/>
      <c r="O136" s="83"/>
    </row>
    <row r="137" spans="13:15" x14ac:dyDescent="0.2">
      <c r="M137" s="83"/>
      <c r="N137" s="83"/>
      <c r="O137" s="83"/>
    </row>
    <row r="138" spans="13:15" x14ac:dyDescent="0.2">
      <c r="M138" s="83"/>
      <c r="N138" s="83"/>
      <c r="O138" s="83"/>
    </row>
    <row r="139" spans="13:15" x14ac:dyDescent="0.2">
      <c r="M139" s="83"/>
      <c r="N139" s="83"/>
      <c r="O139" s="83"/>
    </row>
    <row r="140" spans="13:15" x14ac:dyDescent="0.2">
      <c r="M140" s="83"/>
      <c r="N140" s="83"/>
      <c r="O140" s="83"/>
    </row>
    <row r="141" spans="13:15" x14ac:dyDescent="0.2">
      <c r="M141" s="83"/>
      <c r="N141" s="83"/>
      <c r="O141" s="83"/>
    </row>
    <row r="142" spans="13:15" x14ac:dyDescent="0.2">
      <c r="M142" s="83"/>
      <c r="N142" s="83"/>
      <c r="O142" s="83"/>
    </row>
    <row r="143" spans="13:15" x14ac:dyDescent="0.2">
      <c r="M143" s="83"/>
      <c r="N143" s="83"/>
      <c r="O143" s="83"/>
    </row>
    <row r="144" spans="13:15" x14ac:dyDescent="0.2">
      <c r="M144" s="83"/>
      <c r="N144" s="83"/>
      <c r="O144" s="83"/>
    </row>
    <row r="145" spans="13:15" x14ac:dyDescent="0.2">
      <c r="M145" s="83"/>
      <c r="N145" s="83"/>
      <c r="O145" s="83"/>
    </row>
    <row r="146" spans="13:15" x14ac:dyDescent="0.2">
      <c r="M146" s="83"/>
      <c r="N146" s="83"/>
      <c r="O146" s="83"/>
    </row>
    <row r="147" spans="13:15" x14ac:dyDescent="0.2">
      <c r="M147" s="83"/>
      <c r="N147" s="83"/>
      <c r="O147" s="83"/>
    </row>
    <row r="148" spans="13:15" x14ac:dyDescent="0.2">
      <c r="M148" s="83"/>
      <c r="N148" s="83"/>
      <c r="O148" s="83"/>
    </row>
    <row r="149" spans="13:15" x14ac:dyDescent="0.2">
      <c r="M149" s="83"/>
      <c r="N149" s="83"/>
      <c r="O149" s="83"/>
    </row>
    <row r="150" spans="13:15" x14ac:dyDescent="0.2">
      <c r="M150" s="83"/>
      <c r="N150" s="83"/>
      <c r="O150" s="83"/>
    </row>
    <row r="151" spans="13:15" x14ac:dyDescent="0.2">
      <c r="M151" s="83"/>
      <c r="N151" s="83"/>
      <c r="O151" s="83"/>
    </row>
    <row r="152" spans="13:15" x14ac:dyDescent="0.2">
      <c r="M152" s="83"/>
      <c r="N152" s="83"/>
      <c r="O152" s="83"/>
    </row>
    <row r="153" spans="13:15" x14ac:dyDescent="0.2">
      <c r="M153" s="83"/>
      <c r="N153" s="83"/>
      <c r="O153" s="83"/>
    </row>
    <row r="154" spans="13:15" x14ac:dyDescent="0.2">
      <c r="M154" s="83"/>
      <c r="N154" s="83"/>
      <c r="O154" s="83"/>
    </row>
  </sheetData>
  <mergeCells count="5">
    <mergeCell ref="I6:M6"/>
    <mergeCell ref="I7:M7"/>
    <mergeCell ref="I8:M8"/>
    <mergeCell ref="AC24:AD24"/>
    <mergeCell ref="AC25:AD25"/>
  </mergeCells>
  <printOptions horizontalCentered="1"/>
  <pageMargins left="0.75" right="0.75" top="1" bottom="1" header="0.5" footer="0.5"/>
  <pageSetup scale="1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C2F-8B29-4B9F-A0DA-D7FD991CA49B}">
  <sheetPr>
    <pageSetUpPr fitToPage="1"/>
  </sheetPr>
  <dimension ref="A1:HO134"/>
  <sheetViews>
    <sheetView zoomScale="80" zoomScaleNormal="80" workbookViewId="0">
      <selection activeCell="D10" sqref="D10"/>
    </sheetView>
  </sheetViews>
  <sheetFormatPr defaultColWidth="9.140625" defaultRowHeight="12.75" x14ac:dyDescent="0.2"/>
  <cols>
    <col min="1" max="1" width="36.140625" style="54" customWidth="1"/>
    <col min="2" max="2" width="15.140625" style="54" bestFit="1" customWidth="1"/>
    <col min="3" max="3" width="16.140625" style="54" bestFit="1" customWidth="1"/>
    <col min="4" max="4" width="3.140625" style="54" customWidth="1"/>
    <col min="5" max="5" width="16.140625" style="54" bestFit="1" customWidth="1"/>
    <col min="6" max="6" width="3.140625" style="54" customWidth="1"/>
    <col min="7" max="7" width="16.140625" style="54" bestFit="1" customWidth="1"/>
    <col min="8" max="8" width="3.140625" style="54" customWidth="1"/>
    <col min="9" max="9" width="17.140625" style="54" customWidth="1"/>
    <col min="10" max="10" width="3.140625" style="54" customWidth="1"/>
    <col min="11" max="11" width="18.5703125" style="54" customWidth="1"/>
    <col min="12" max="12" width="2.5703125" style="54" customWidth="1"/>
    <col min="13" max="13" width="18.5703125" style="54" customWidth="1"/>
    <col min="14" max="16" width="3.140625" style="54" customWidth="1"/>
    <col min="17" max="17" width="53.42578125" style="54" customWidth="1"/>
    <col min="18" max="18" width="3.140625" style="54" customWidth="1"/>
    <col min="19" max="19" width="13.42578125" style="54" customWidth="1"/>
    <col min="20" max="20" width="3.140625" style="54" customWidth="1"/>
    <col min="21" max="21" width="11.85546875" style="54" customWidth="1"/>
    <col min="22" max="22" width="2.85546875" style="54" customWidth="1"/>
    <col min="23" max="23" width="11.85546875" style="54" customWidth="1"/>
    <col min="24" max="24" width="2.85546875" style="54" customWidth="1"/>
    <col min="25" max="25" width="11" style="54" customWidth="1"/>
    <col min="26" max="26" width="2.5703125" style="54" bestFit="1" customWidth="1"/>
    <col min="27" max="27" width="11" style="54" bestFit="1" customWidth="1"/>
    <col min="28" max="28" width="2.5703125" style="54" customWidth="1"/>
    <col min="29" max="29" width="10.5703125" style="54" customWidth="1"/>
    <col min="30" max="30" width="2.5703125" style="54" customWidth="1"/>
    <col min="31" max="31" width="9.140625" style="54"/>
    <col min="32" max="32" width="4.42578125" style="54" customWidth="1"/>
    <col min="33" max="33" width="3.5703125" style="54" customWidth="1"/>
    <col min="34" max="34" width="22.140625" style="54" customWidth="1"/>
    <col min="35" max="16384" width="9.140625" style="54"/>
  </cols>
  <sheetData>
    <row r="1" spans="1:29" ht="16.5" customHeight="1" x14ac:dyDescent="0.2">
      <c r="A1" s="85"/>
    </row>
    <row r="2" spans="1:29" ht="16.5" customHeight="1" x14ac:dyDescent="0.25">
      <c r="A2" s="85"/>
      <c r="I2"/>
    </row>
    <row r="3" spans="1:29" ht="16.5" customHeight="1" x14ac:dyDescent="0.25">
      <c r="A3" s="85"/>
      <c r="I3"/>
    </row>
    <row r="4" spans="1:29" ht="16.5" customHeight="1" thickBot="1" x14ac:dyDescent="0.25">
      <c r="A4" s="85"/>
    </row>
    <row r="5" spans="1:29" ht="15" x14ac:dyDescent="0.35">
      <c r="A5" s="87" t="s">
        <v>136</v>
      </c>
    </row>
    <row r="6" spans="1:29" ht="15.75" thickBot="1" x14ac:dyDescent="0.3">
      <c r="A6" s="88" t="s">
        <v>23</v>
      </c>
      <c r="I6" s="195" t="s">
        <v>143</v>
      </c>
      <c r="J6" s="198"/>
      <c r="K6" s="198"/>
      <c r="L6" s="198"/>
      <c r="M6" s="198"/>
      <c r="N6" s="59"/>
      <c r="O6" s="59"/>
      <c r="Q6" s="60" t="str">
        <f>I6</f>
        <v xml:space="preserve">Northwest Nat. Gas  </v>
      </c>
      <c r="R6" s="60"/>
      <c r="S6" s="60"/>
      <c r="T6" s="60"/>
      <c r="U6" s="60"/>
      <c r="V6" s="61"/>
      <c r="W6" s="60"/>
      <c r="X6" s="61"/>
      <c r="Y6" s="61"/>
      <c r="Z6" s="62"/>
      <c r="AA6" s="61"/>
      <c r="AB6" s="61"/>
      <c r="AC6" s="61"/>
    </row>
    <row r="7" spans="1:29" ht="15" x14ac:dyDescent="0.25">
      <c r="I7" s="195" t="s">
        <v>54</v>
      </c>
      <c r="J7" s="198"/>
      <c r="K7" s="198"/>
      <c r="L7" s="198"/>
      <c r="M7" s="198"/>
      <c r="N7" s="59"/>
      <c r="O7" s="59"/>
      <c r="Q7" s="61" t="str">
        <f>I7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5" x14ac:dyDescent="0.25">
      <c r="I8" s="195" t="s">
        <v>144</v>
      </c>
      <c r="J8" s="198"/>
      <c r="K8" s="198"/>
      <c r="L8" s="198"/>
      <c r="M8" s="198"/>
      <c r="N8" s="59"/>
      <c r="O8" s="59"/>
      <c r="Q8" s="62" t="str">
        <f>I8</f>
        <v>2018 - 2023, Inclusive</v>
      </c>
      <c r="R8" s="62"/>
      <c r="S8" s="62"/>
      <c r="T8" s="62"/>
      <c r="U8" s="62"/>
      <c r="V8" s="61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139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N10" s="63"/>
      <c r="O10" s="63"/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65">
        <f>(1679355+30787)*1000</f>
        <v>1710142000</v>
      </c>
      <c r="E12" s="65">
        <f>(1425435+150865)*1000</f>
        <v>1576300000</v>
      </c>
      <c r="G12" s="65">
        <f>1246167000+90697000</f>
        <v>1336864000</v>
      </c>
      <c r="I12" s="65">
        <f>1044587000+345000-27000000</f>
        <v>1017932000</v>
      </c>
      <c r="K12" s="65">
        <f>860081000+95344000</f>
        <v>955425000</v>
      </c>
      <c r="M12" s="65">
        <f>805955000+75109000</f>
        <v>881064000</v>
      </c>
      <c r="N12" s="65"/>
      <c r="O12" s="65"/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x14ac:dyDescent="0.2">
      <c r="A13" s="54" t="s">
        <v>60</v>
      </c>
      <c r="B13" s="54" t="s">
        <v>61</v>
      </c>
      <c r="C13" s="65">
        <v>0</v>
      </c>
      <c r="E13" s="65">
        <v>0</v>
      </c>
      <c r="G13" s="65">
        <v>0</v>
      </c>
      <c r="I13" s="65">
        <v>0</v>
      </c>
      <c r="K13" s="65">
        <v>0</v>
      </c>
      <c r="M13" s="65">
        <v>0</v>
      </c>
      <c r="N13" s="65"/>
      <c r="O13" s="65"/>
      <c r="Y13" s="61" t="s">
        <v>62</v>
      </c>
      <c r="Z13" s="61"/>
      <c r="AA13" s="61"/>
      <c r="AB13" s="61"/>
      <c r="AC13" s="61" t="s">
        <v>63</v>
      </c>
    </row>
    <row r="14" spans="1:29" x14ac:dyDescent="0.2">
      <c r="C14" s="65"/>
      <c r="E14" s="65"/>
      <c r="G14" s="65"/>
      <c r="I14" s="65"/>
      <c r="K14" s="65"/>
      <c r="M14" s="65"/>
      <c r="N14" s="65"/>
      <c r="O14" s="65"/>
      <c r="Q14" s="66" t="s">
        <v>64</v>
      </c>
      <c r="R14" s="66"/>
      <c r="S14" s="66"/>
      <c r="T14" s="66"/>
      <c r="U14" s="66"/>
      <c r="V14" s="66"/>
      <c r="W14" s="66"/>
      <c r="X14" s="66"/>
    </row>
    <row r="15" spans="1:29" x14ac:dyDescent="0.2">
      <c r="A15" s="54" t="s">
        <v>65</v>
      </c>
      <c r="B15" s="54" t="s">
        <v>66</v>
      </c>
      <c r="C15" s="65">
        <v>40222305</v>
      </c>
      <c r="E15" s="65">
        <f>37631*1000</f>
        <v>37631000</v>
      </c>
      <c r="G15" s="65">
        <v>35525000</v>
      </c>
      <c r="I15" s="65">
        <v>31129000</v>
      </c>
      <c r="K15" s="65">
        <v>30589000</v>
      </c>
      <c r="M15" s="65">
        <v>30472000</v>
      </c>
      <c r="N15" s="65"/>
      <c r="O15" s="65"/>
    </row>
    <row r="16" spans="1:29" x14ac:dyDescent="0.2">
      <c r="A16" s="54" t="s">
        <v>6</v>
      </c>
      <c r="B16" s="54" t="s">
        <v>67</v>
      </c>
      <c r="C16" s="65">
        <f>1385371*1000</f>
        <v>1385371000</v>
      </c>
      <c r="E16" s="65">
        <f>1283838*1000</f>
        <v>1283838000</v>
      </c>
      <c r="G16" s="65">
        <v>1175441000</v>
      </c>
      <c r="I16" s="65">
        <v>935146000</v>
      </c>
      <c r="K16" s="65">
        <v>888733000</v>
      </c>
      <c r="M16" s="65">
        <v>865999000</v>
      </c>
      <c r="N16" s="65"/>
      <c r="O16" s="65"/>
      <c r="Q16" s="66" t="s">
        <v>68</v>
      </c>
      <c r="R16" s="66"/>
      <c r="S16" s="66"/>
      <c r="T16" s="66"/>
      <c r="U16" s="66"/>
      <c r="V16" s="66"/>
      <c r="W16" s="66"/>
      <c r="X16" s="66"/>
    </row>
    <row r="17" spans="1:30" x14ac:dyDescent="0.2">
      <c r="A17" s="54" t="s">
        <v>69</v>
      </c>
      <c r="B17" s="54" t="s">
        <v>66</v>
      </c>
      <c r="C17" s="65">
        <v>0</v>
      </c>
      <c r="E17" s="65">
        <v>0</v>
      </c>
      <c r="G17" s="65">
        <v>0</v>
      </c>
      <c r="I17" s="65">
        <v>0</v>
      </c>
      <c r="K17" s="65">
        <v>0</v>
      </c>
      <c r="M17" s="65">
        <v>0</v>
      </c>
      <c r="N17" s="65"/>
      <c r="O17" s="65"/>
      <c r="Q17" s="54" t="s">
        <v>70</v>
      </c>
      <c r="S17" s="69">
        <f>C50/1000000</f>
        <v>3095.5129999999999</v>
      </c>
      <c r="T17" s="69"/>
      <c r="U17" s="69">
        <f>E50/1000000</f>
        <v>2860.1379999999999</v>
      </c>
      <c r="V17" s="69"/>
      <c r="W17" s="69">
        <f>G50/1000000</f>
        <v>2512.3049999999998</v>
      </c>
      <c r="X17" s="69"/>
      <c r="Y17" s="69">
        <f>I50/1000000</f>
        <v>1953.078</v>
      </c>
      <c r="Z17" s="69"/>
      <c r="AA17" s="69">
        <f>K50/1000000</f>
        <v>1844.1579999999999</v>
      </c>
      <c r="AB17" s="69"/>
    </row>
    <row r="18" spans="1:30" x14ac:dyDescent="0.2">
      <c r="C18" s="65"/>
      <c r="E18" s="65"/>
      <c r="G18" s="65"/>
      <c r="I18" s="65"/>
      <c r="K18" s="65"/>
      <c r="M18" s="65"/>
      <c r="N18" s="65"/>
      <c r="O18" s="65"/>
      <c r="Q18" s="54" t="s">
        <v>71</v>
      </c>
      <c r="S18" s="70">
        <f>C19/1000000</f>
        <v>170.11</v>
      </c>
      <c r="T18" s="69"/>
      <c r="U18" s="70">
        <f>E19/1000000</f>
        <v>89.78</v>
      </c>
      <c r="V18" s="69"/>
      <c r="W18" s="70">
        <f>G19/1000000</f>
        <v>258.2</v>
      </c>
      <c r="X18" s="69"/>
      <c r="Y18" s="70">
        <f>I19/1000000</f>
        <v>389.5</v>
      </c>
      <c r="Z18" s="69"/>
      <c r="AA18" s="70">
        <f>K19/1000000</f>
        <v>304.52499999999998</v>
      </c>
      <c r="AB18" s="69"/>
    </row>
    <row r="19" spans="1:30" x14ac:dyDescent="0.2">
      <c r="A19" s="54" t="s">
        <v>72</v>
      </c>
      <c r="B19" s="54" t="s">
        <v>73</v>
      </c>
      <c r="C19" s="65">
        <f>170110*1000</f>
        <v>170110000</v>
      </c>
      <c r="E19" s="65">
        <f>89780*1000</f>
        <v>89780000</v>
      </c>
      <c r="G19" s="65">
        <v>258200000</v>
      </c>
      <c r="I19" s="65">
        <v>389500000</v>
      </c>
      <c r="K19" s="65">
        <v>304525000</v>
      </c>
      <c r="M19" s="65">
        <v>149100000</v>
      </c>
      <c r="N19" s="65"/>
      <c r="O19" s="65"/>
      <c r="Q19" s="54" t="s">
        <v>74</v>
      </c>
      <c r="S19" s="71">
        <f>SUM(S17:S18)</f>
        <v>3265.623</v>
      </c>
      <c r="T19" s="69"/>
      <c r="U19" s="71">
        <f>SUM(U17:U18)</f>
        <v>2949.9180000000001</v>
      </c>
      <c r="V19" s="69"/>
      <c r="W19" s="71">
        <f>SUM(W17:W18)</f>
        <v>2770.5049999999997</v>
      </c>
      <c r="X19" s="69"/>
      <c r="Y19" s="71">
        <f>SUM(Y17:Y18)</f>
        <v>2342.578</v>
      </c>
      <c r="Z19" s="69"/>
      <c r="AA19" s="71">
        <f>SUM(AA17:AA18)</f>
        <v>2148.683</v>
      </c>
      <c r="AB19" s="69"/>
    </row>
    <row r="20" spans="1:30" x14ac:dyDescent="0.2">
      <c r="C20" s="65"/>
      <c r="E20" s="65"/>
      <c r="G20" s="65"/>
      <c r="I20" s="65"/>
      <c r="K20" s="65"/>
      <c r="M20" s="65"/>
      <c r="N20" s="65"/>
      <c r="O20" s="65"/>
    </row>
    <row r="21" spans="1:30" x14ac:dyDescent="0.2">
      <c r="A21" s="54" t="s">
        <v>75</v>
      </c>
      <c r="B21" s="54" t="s">
        <v>76</v>
      </c>
      <c r="C21" s="65">
        <v>2.0299999999999998</v>
      </c>
      <c r="E21" s="65">
        <v>2.59</v>
      </c>
      <c r="G21" s="65">
        <v>2.54</v>
      </c>
      <c r="I21" s="65">
        <v>2.56</v>
      </c>
      <c r="K21" s="65">
        <v>2.5099999999999998</v>
      </c>
      <c r="M21" s="65">
        <v>2.0699999999999998</v>
      </c>
      <c r="N21" s="65"/>
      <c r="O21" s="65"/>
      <c r="Q21" s="66" t="s">
        <v>77</v>
      </c>
      <c r="R21" s="66"/>
    </row>
    <row r="22" spans="1:30" x14ac:dyDescent="0.2">
      <c r="A22" s="54" t="s">
        <v>78</v>
      </c>
      <c r="B22" s="54" t="s">
        <v>79</v>
      </c>
      <c r="C22" s="72">
        <v>43.85</v>
      </c>
      <c r="E22" s="72">
        <v>52.27</v>
      </c>
      <c r="G22" s="72">
        <v>56.4</v>
      </c>
      <c r="I22" s="54">
        <v>56.39</v>
      </c>
      <c r="K22" s="65">
        <v>76.900000000000006</v>
      </c>
      <c r="M22" s="65">
        <v>73.86</v>
      </c>
      <c r="N22" s="65"/>
      <c r="O22" s="65"/>
      <c r="Q22" s="54" t="s">
        <v>80</v>
      </c>
      <c r="S22" s="72">
        <f>(ROUND((C30/(AVERAGE(C54,E54))*100),2))</f>
        <v>4.5199999999999996</v>
      </c>
      <c r="T22" s="73" t="s">
        <v>4</v>
      </c>
      <c r="U22" s="72">
        <f>(ROUND((E30/(AVERAGE(E54,G54))*100),2))</f>
        <v>4.7</v>
      </c>
      <c r="V22" s="73" t="s">
        <v>4</v>
      </c>
      <c r="W22" s="72">
        <f>(ROUND((G30/(AVERAGE(G54,I54))*100),2))</f>
        <v>3.55</v>
      </c>
      <c r="X22" s="73" t="s">
        <v>4</v>
      </c>
      <c r="Y22" s="72">
        <f>(ROUND((I30/(AVERAGE(I54,K54))*100),2))</f>
        <v>3.34</v>
      </c>
      <c r="Z22" s="73" t="s">
        <v>4</v>
      </c>
      <c r="AA22" s="72">
        <f>(ROUND((K30/(AVERAGE(K54,M54))*100),2))</f>
        <v>3.76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72">
        <v>34.950000000000003</v>
      </c>
      <c r="E23" s="72">
        <v>35.75</v>
      </c>
      <c r="G23" s="72">
        <v>42.73</v>
      </c>
      <c r="I23" s="54">
        <v>42.44</v>
      </c>
      <c r="K23" s="65">
        <v>43.41</v>
      </c>
      <c r="M23" s="65">
        <v>57.46</v>
      </c>
      <c r="N23" s="65"/>
      <c r="O23" s="65"/>
      <c r="Q23" s="54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I24" s="65"/>
      <c r="K24" s="65"/>
      <c r="M24" s="65"/>
      <c r="N24" s="65"/>
      <c r="O24" s="65"/>
      <c r="AC24" s="194" t="s">
        <v>1</v>
      </c>
      <c r="AD24" s="194"/>
    </row>
    <row r="25" spans="1:30" x14ac:dyDescent="0.2">
      <c r="I25" s="65"/>
      <c r="K25" s="65"/>
      <c r="M25" s="65"/>
      <c r="N25" s="65"/>
      <c r="O25" s="65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65">
        <v>1.95</v>
      </c>
      <c r="E26" s="65">
        <v>1.94</v>
      </c>
      <c r="G26" s="65">
        <v>1.93</v>
      </c>
      <c r="I26" s="65">
        <v>1.92</v>
      </c>
      <c r="K26" s="65">
        <v>1.91</v>
      </c>
      <c r="M26" s="65">
        <v>1.9</v>
      </c>
      <c r="N26" s="65"/>
      <c r="O26" s="65"/>
      <c r="Q26" s="54" t="s">
        <v>85</v>
      </c>
    </row>
    <row r="27" spans="1:30" x14ac:dyDescent="0.2">
      <c r="I27" s="65"/>
      <c r="K27" s="65"/>
      <c r="M27" s="65"/>
      <c r="N27" s="65"/>
      <c r="O27" s="65"/>
      <c r="Q27" s="54" t="s">
        <v>86</v>
      </c>
      <c r="S27" s="72">
        <f>ROUND(((C12/C50)*100),2)</f>
        <v>55.25</v>
      </c>
      <c r="T27" s="73" t="s">
        <v>4</v>
      </c>
      <c r="U27" s="72">
        <f>ROUND(((E12/E50)*100),2)</f>
        <v>55.11</v>
      </c>
      <c r="V27" s="73" t="s">
        <v>4</v>
      </c>
      <c r="W27" s="72">
        <f>ROUND(((G12/G50)*100),2)</f>
        <v>53.21</v>
      </c>
      <c r="X27" s="73" t="s">
        <v>4</v>
      </c>
      <c r="Y27" s="72">
        <f>ROUND(((I12/I50)*100),2)</f>
        <v>52.12</v>
      </c>
      <c r="Z27" s="73" t="s">
        <v>4</v>
      </c>
      <c r="AA27" s="72">
        <f>ROUND(((K12/K50)*100),2)</f>
        <v>51.81</v>
      </c>
      <c r="AB27" s="73" t="s">
        <v>4</v>
      </c>
      <c r="AC27" s="72">
        <f>ROUND(AVERAGE(S27:AB27),2)</f>
        <v>53.5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5">
        <v>0</v>
      </c>
      <c r="E28" s="65">
        <v>0</v>
      </c>
      <c r="G28" s="65">
        <v>0</v>
      </c>
      <c r="I28" s="65">
        <v>0</v>
      </c>
      <c r="K28" s="65">
        <v>0</v>
      </c>
      <c r="M28" s="65">
        <f>700000</f>
        <v>700000</v>
      </c>
      <c r="N28" s="65"/>
      <c r="O28" s="65"/>
      <c r="Q28" s="54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I29" s="65"/>
      <c r="K29" s="65"/>
      <c r="M29" s="65"/>
      <c r="N29" s="65"/>
      <c r="O29" s="65"/>
      <c r="Q29" s="54" t="s">
        <v>89</v>
      </c>
      <c r="S29" s="74">
        <f>ROUND(((C16/C50)*100),2)</f>
        <v>44.75</v>
      </c>
      <c r="T29" s="73"/>
      <c r="U29" s="74">
        <f>ROUND(((E16/E50)*100),2)</f>
        <v>44.89</v>
      </c>
      <c r="V29" s="73"/>
      <c r="W29" s="74">
        <f>ROUND(((G16/G50)*100),2)</f>
        <v>46.79</v>
      </c>
      <c r="X29" s="73"/>
      <c r="Y29" s="74">
        <f>ROUND(((I16/I50)*100),2)</f>
        <v>47.88</v>
      </c>
      <c r="Z29" s="73"/>
      <c r="AA29" s="74">
        <f>ROUND(((K16/K50)*100),2)</f>
        <v>48.19</v>
      </c>
      <c r="AB29" s="73"/>
      <c r="AC29" s="72">
        <f>ROUND(AVERAGE(S29:AB29),2)</f>
        <v>46.5</v>
      </c>
      <c r="AD29" s="73"/>
    </row>
    <row r="30" spans="1:30" x14ac:dyDescent="0.2">
      <c r="A30" s="54" t="s">
        <v>90</v>
      </c>
      <c r="B30" s="54" t="s">
        <v>91</v>
      </c>
      <c r="C30" s="65">
        <f>80092*1000</f>
        <v>80092000</v>
      </c>
      <c r="E30" s="65">
        <f>76566*1000</f>
        <v>76566000</v>
      </c>
      <c r="G30" s="65">
        <v>53247000</v>
      </c>
      <c r="I30" s="65">
        <v>44486000</v>
      </c>
      <c r="K30" s="65">
        <v>43052000</v>
      </c>
      <c r="M30" s="65">
        <v>42685000</v>
      </c>
      <c r="N30" s="65"/>
      <c r="O30" s="65"/>
      <c r="Q30" s="54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C31" s="65"/>
      <c r="E31" s="65"/>
      <c r="G31" s="65"/>
      <c r="I31" s="65"/>
      <c r="K31" s="65"/>
      <c r="M31" s="65"/>
      <c r="N31" s="65"/>
      <c r="O31" s="65"/>
    </row>
    <row r="32" spans="1:30" x14ac:dyDescent="0.2">
      <c r="A32" s="54" t="s">
        <v>93</v>
      </c>
      <c r="B32" s="54" t="s">
        <v>94</v>
      </c>
      <c r="C32" s="65">
        <f>78871*1000</f>
        <v>78871000</v>
      </c>
      <c r="E32" s="65">
        <f>93868*1000</f>
        <v>93868000</v>
      </c>
      <c r="G32" s="65">
        <v>86303000</v>
      </c>
      <c r="I32" s="65">
        <v>78666000</v>
      </c>
      <c r="K32" s="65">
        <v>76781000</v>
      </c>
      <c r="M32" s="65">
        <v>61735000</v>
      </c>
      <c r="N32" s="65"/>
      <c r="O32" s="65"/>
      <c r="Q32" s="54" t="s">
        <v>95</v>
      </c>
    </row>
    <row r="33" spans="1:30" x14ac:dyDescent="0.2">
      <c r="A33" s="76"/>
      <c r="B33" s="76"/>
      <c r="C33" s="65"/>
      <c r="D33" s="76"/>
      <c r="E33" s="65"/>
      <c r="F33" s="76"/>
      <c r="G33" s="65"/>
      <c r="H33" s="76"/>
      <c r="I33" s="78"/>
      <c r="J33" s="76"/>
      <c r="K33" s="78"/>
      <c r="L33" s="76"/>
      <c r="M33" s="78"/>
      <c r="N33" s="78"/>
      <c r="O33" s="78"/>
      <c r="Q33" s="54" t="s">
        <v>96</v>
      </c>
      <c r="S33" s="72">
        <f>ROUND((((C12+C19)/C56)*100),2)</f>
        <v>57.58</v>
      </c>
      <c r="T33" s="73" t="s">
        <v>4</v>
      </c>
      <c r="U33" s="72">
        <f>ROUND((((E12+E19)/E56)*100),2)</f>
        <v>56.48</v>
      </c>
      <c r="V33" s="73" t="s">
        <v>4</v>
      </c>
      <c r="W33" s="72">
        <f>ROUND((((G12+G19)/G56)*100),2)</f>
        <v>57.57</v>
      </c>
      <c r="X33" s="73" t="s">
        <v>4</v>
      </c>
      <c r="Y33" s="72">
        <f>ROUND((((I12+I19)/I56)*100),2)</f>
        <v>60.08</v>
      </c>
      <c r="Z33" s="73" t="s">
        <v>4</v>
      </c>
      <c r="AA33" s="72">
        <f>ROUND((((K12+K19)/K56)*100),2)</f>
        <v>58.64</v>
      </c>
      <c r="AB33" s="73" t="s">
        <v>4</v>
      </c>
      <c r="AC33" s="72">
        <f>ROUND(AVERAGE(S33:AB33),2)</f>
        <v>58.07</v>
      </c>
      <c r="AD33" s="73" t="s">
        <v>4</v>
      </c>
    </row>
    <row r="34" spans="1:30" x14ac:dyDescent="0.2">
      <c r="A34" s="54" t="s">
        <v>97</v>
      </c>
      <c r="B34" s="54" t="s">
        <v>98</v>
      </c>
      <c r="C34" s="65">
        <f>C32</f>
        <v>78871000</v>
      </c>
      <c r="E34" s="65">
        <f>E32</f>
        <v>93868000</v>
      </c>
      <c r="G34" s="65">
        <f>G32</f>
        <v>86303000</v>
      </c>
      <c r="I34" s="65">
        <f>I32</f>
        <v>78666000</v>
      </c>
      <c r="K34" s="65">
        <f>K32</f>
        <v>76781000</v>
      </c>
      <c r="M34" s="65">
        <f>M32</f>
        <v>61735000</v>
      </c>
      <c r="N34" s="65"/>
      <c r="O34" s="65"/>
      <c r="Q34" s="54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C35" s="65"/>
      <c r="E35" s="65"/>
      <c r="G35" s="65"/>
      <c r="I35" s="65"/>
      <c r="K35" s="65"/>
      <c r="M35" s="65"/>
      <c r="N35" s="65"/>
      <c r="O35" s="65"/>
      <c r="Q35" s="54" t="s">
        <v>89</v>
      </c>
      <c r="S35" s="74">
        <f>ROUND((((C16)/C56)*100),2)</f>
        <v>42.42</v>
      </c>
      <c r="T35" s="73"/>
      <c r="U35" s="74">
        <f>ROUND((((E16)/E56)*100),2)</f>
        <v>43.52</v>
      </c>
      <c r="V35" s="73"/>
      <c r="W35" s="74">
        <f>ROUND((((G16)/G56)*100),2)</f>
        <v>42.43</v>
      </c>
      <c r="X35" s="73"/>
      <c r="Y35" s="74">
        <f>ROUND((((I16)/I56)*100),2)</f>
        <v>39.92</v>
      </c>
      <c r="Z35" s="73"/>
      <c r="AA35" s="74">
        <f>ROUND((((K16)/K56)*100),2)</f>
        <v>41.36</v>
      </c>
      <c r="AB35" s="73"/>
      <c r="AC35" s="72">
        <f>ROUND(AVERAGE(S35:AB35),2)</f>
        <v>41.93</v>
      </c>
      <c r="AD35" s="73"/>
    </row>
    <row r="36" spans="1:30" x14ac:dyDescent="0.2">
      <c r="A36" s="54" t="s">
        <v>99</v>
      </c>
      <c r="B36" s="54" t="s">
        <v>100</v>
      </c>
      <c r="C36" s="65">
        <v>0</v>
      </c>
      <c r="E36" s="65">
        <v>0</v>
      </c>
      <c r="G36" s="65">
        <v>0</v>
      </c>
      <c r="I36" s="65">
        <v>0</v>
      </c>
      <c r="K36" s="65">
        <v>0</v>
      </c>
      <c r="M36" s="65">
        <v>0</v>
      </c>
      <c r="N36" s="65"/>
      <c r="O36" s="65"/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C37" s="65"/>
      <c r="E37" s="65"/>
      <c r="G37" s="65"/>
      <c r="I37" s="65"/>
      <c r="K37" s="65"/>
      <c r="M37" s="65"/>
      <c r="N37" s="65"/>
      <c r="O37" s="65"/>
    </row>
    <row r="38" spans="1:30" x14ac:dyDescent="0.2">
      <c r="A38" s="54" t="s">
        <v>101</v>
      </c>
      <c r="B38" s="54" t="s">
        <v>102</v>
      </c>
      <c r="C38" s="65">
        <f>75857*1000</f>
        <v>75857000</v>
      </c>
      <c r="E38" s="65">
        <f>70430*1000</f>
        <v>70430000</v>
      </c>
      <c r="G38" s="65">
        <v>65609000</v>
      </c>
      <c r="I38" s="65">
        <v>59410000</v>
      </c>
      <c r="K38" s="65">
        <v>58708000</v>
      </c>
      <c r="M38" s="65">
        <v>56833000</v>
      </c>
      <c r="N38" s="65"/>
      <c r="O38" s="65"/>
    </row>
    <row r="39" spans="1:30" x14ac:dyDescent="0.2">
      <c r="C39" s="65"/>
      <c r="E39" s="65"/>
      <c r="G39" s="65"/>
      <c r="I39" s="65"/>
      <c r="K39" s="65"/>
      <c r="M39" s="65"/>
      <c r="N39" s="65"/>
      <c r="O39" s="65"/>
    </row>
    <row r="40" spans="1:30" x14ac:dyDescent="0.2">
      <c r="A40" s="54" t="s">
        <v>103</v>
      </c>
      <c r="B40" s="54" t="s">
        <v>104</v>
      </c>
      <c r="C40" s="65">
        <f>C34</f>
        <v>78871000</v>
      </c>
      <c r="E40" s="65">
        <f>E34</f>
        <v>93868000</v>
      </c>
      <c r="G40" s="65">
        <f>G34</f>
        <v>86303000</v>
      </c>
      <c r="I40" s="65">
        <f>I34</f>
        <v>78666000</v>
      </c>
      <c r="K40" s="65">
        <f>K34</f>
        <v>76781000</v>
      </c>
      <c r="M40" s="65">
        <f>M34</f>
        <v>61735000</v>
      </c>
      <c r="N40" s="65"/>
      <c r="O40" s="65"/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5">
        <f>200282*1000</f>
        <v>200282000</v>
      </c>
      <c r="E41" s="65">
        <f>279949*1000</f>
        <v>279949000</v>
      </c>
      <c r="G41" s="65">
        <v>147672000</v>
      </c>
      <c r="I41" s="65">
        <v>160353000</v>
      </c>
      <c r="K41" s="65">
        <v>143020000</v>
      </c>
      <c r="M41" s="65">
        <v>185298000</v>
      </c>
      <c r="N41" s="65"/>
      <c r="O41" s="65"/>
      <c r="Q41" s="66"/>
      <c r="R41" s="66"/>
    </row>
    <row r="42" spans="1:30" x14ac:dyDescent="0.2">
      <c r="A42" s="54" t="s">
        <v>108</v>
      </c>
      <c r="B42" s="54" t="s">
        <v>109</v>
      </c>
      <c r="C42" s="65">
        <f>(-15302-2735+809-14144)*1000</f>
        <v>-31372000</v>
      </c>
      <c r="E42" s="65">
        <f>(50977-24105-1246-39958)*1000</f>
        <v>-14332000</v>
      </c>
      <c r="G42" s="65">
        <f>(-76454-29269+6908+24508)*1000</f>
        <v>-74307000</v>
      </c>
      <c r="I42" s="65">
        <f>(-44128-14571+3292+12118)*1000</f>
        <v>-43289000</v>
      </c>
      <c r="K42" s="65">
        <f>(-16799+1262-10710-15910+17590)*1000</f>
        <v>-24567000</v>
      </c>
      <c r="M42" s="65">
        <f>(5844-5969+4528-16485+145-23471)*1000</f>
        <v>-35408000</v>
      </c>
      <c r="N42" s="65"/>
      <c r="O42" s="65"/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5">
        <f>(137898+20162)*1000</f>
        <v>158060000</v>
      </c>
      <c r="E43" s="65">
        <f>(125581+17641)*1000</f>
        <v>143222000</v>
      </c>
      <c r="G43" s="65">
        <f>(116707+15873)*1000</f>
        <v>132580000</v>
      </c>
      <c r="I43" s="65">
        <v>113534000</v>
      </c>
      <c r="K43" s="65">
        <v>103683000</v>
      </c>
      <c r="M43" s="65">
        <v>91496000</v>
      </c>
      <c r="N43" s="65"/>
      <c r="O43" s="65"/>
      <c r="Q43" s="54" t="s">
        <v>113</v>
      </c>
      <c r="S43" s="72">
        <f>ROUND(C21/C52,4)*100</f>
        <v>5.1499999999999995</v>
      </c>
      <c r="T43" s="73" t="s">
        <v>4</v>
      </c>
      <c r="U43" s="72">
        <f>ROUND(E21/E52,4)*100</f>
        <v>5.89</v>
      </c>
      <c r="V43" s="73" t="s">
        <v>4</v>
      </c>
      <c r="W43" s="72">
        <f>ROUND(G21/G52,4)*100</f>
        <v>5.12</v>
      </c>
      <c r="X43" s="73" t="s">
        <v>4</v>
      </c>
      <c r="Y43" s="72">
        <f>ROUND(I21/I52,4)*100</f>
        <v>5.18</v>
      </c>
      <c r="Z43" s="73" t="s">
        <v>4</v>
      </c>
      <c r="AA43" s="72">
        <f>ROUND(K21/K52,4)*100</f>
        <v>4.17</v>
      </c>
      <c r="AB43" s="73" t="s">
        <v>4</v>
      </c>
      <c r="AC43" s="72">
        <f>ROUND(AVERAGE(S43:AB43),2)</f>
        <v>5.0999999999999996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5">
        <f>31071*1000</f>
        <v>31071000</v>
      </c>
      <c r="E44" s="65">
        <f>32362*1000</f>
        <v>32362000</v>
      </c>
      <c r="G44" s="65">
        <v>29130000</v>
      </c>
      <c r="I44" s="65">
        <v>27406000</v>
      </c>
      <c r="K44" s="65">
        <v>21082000</v>
      </c>
      <c r="M44" s="65">
        <v>12642000</v>
      </c>
      <c r="N44" s="65"/>
      <c r="O44" s="65"/>
      <c r="Q44" s="54" t="s">
        <v>116</v>
      </c>
      <c r="S44" s="72">
        <f>(ROUND((C52/(AVERAGE(C48,E48))*100),2))</f>
        <v>114.94</v>
      </c>
      <c r="U44" s="72">
        <f>(ROUND((E52/(AVERAGE(E48,G48))*100),2))</f>
        <v>130.97</v>
      </c>
      <c r="W44" s="72">
        <f>(ROUND((G52/(AVERAGE(G48,I48))*100),2))</f>
        <v>157.03</v>
      </c>
      <c r="Y44" s="72">
        <f>(ROUND((I52/(AVERAGE(I48,K48))*100),2))</f>
        <v>167.24</v>
      </c>
      <c r="AA44" s="72">
        <f>(ROUND((K52/(AVERAGE(K48,M48))*100),2))</f>
        <v>209.33</v>
      </c>
      <c r="AC44" s="72">
        <f>ROUND(AVERAGE(S44:AB44),2)</f>
        <v>155.9</v>
      </c>
    </row>
    <row r="45" spans="1:30" x14ac:dyDescent="0.2">
      <c r="I45" s="65"/>
      <c r="K45" s="65"/>
      <c r="M45" s="65"/>
      <c r="N45" s="65"/>
      <c r="O45" s="65"/>
      <c r="Q45" s="54" t="s">
        <v>117</v>
      </c>
      <c r="S45" s="72">
        <f>ROUND(((+C26/C52)*100),2)</f>
        <v>4.95</v>
      </c>
      <c r="U45" s="72">
        <f>ROUND(((+E26/E52)*100),2)</f>
        <v>4.41</v>
      </c>
      <c r="W45" s="72">
        <f>ROUND(((+G26/G52)*100),2)</f>
        <v>3.89</v>
      </c>
      <c r="Y45" s="72">
        <f>ROUND(((+I26/I52)*100),2)</f>
        <v>3.89</v>
      </c>
      <c r="AA45" s="72">
        <f>ROUND(((+K26/K52)*100),2)</f>
        <v>3.18</v>
      </c>
      <c r="AC45" s="72">
        <f>ROUND(AVERAGE(S45:AB45),2)</f>
        <v>4.0599999999999996</v>
      </c>
    </row>
    <row r="46" spans="1:30" x14ac:dyDescent="0.2">
      <c r="A46" s="54" t="s">
        <v>118</v>
      </c>
      <c r="I46" s="65"/>
      <c r="K46" s="65"/>
      <c r="M46" s="65"/>
      <c r="N46" s="65"/>
      <c r="O46" s="65"/>
      <c r="Q46" s="54" t="s">
        <v>119</v>
      </c>
      <c r="S46" s="72">
        <f>ROUND(((+C38/C34)*100),2)</f>
        <v>96.18</v>
      </c>
      <c r="U46" s="72">
        <f>ROUND(((+E38/E34)*100),2)</f>
        <v>75.03</v>
      </c>
      <c r="W46" s="72">
        <f>ROUND(((+G38/G34)*100),2)</f>
        <v>76.02</v>
      </c>
      <c r="Y46" s="72">
        <f>ROUND(((+I38/I34)*100),2)</f>
        <v>75.52</v>
      </c>
      <c r="AA46" s="72">
        <f>ROUND(((+K38/K34)*100),2)</f>
        <v>76.459999999999994</v>
      </c>
      <c r="AC46" s="72">
        <f>ROUND(AVERAGE(S46:AB46),2)</f>
        <v>79.84</v>
      </c>
    </row>
    <row r="47" spans="1:30" x14ac:dyDescent="0.2">
      <c r="I47" s="65"/>
      <c r="K47" s="65"/>
      <c r="M47" s="65"/>
      <c r="N47" s="65"/>
      <c r="O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34.442854530589436</v>
      </c>
      <c r="E48" s="65">
        <f>E16/E15</f>
        <v>34.116499694400893</v>
      </c>
      <c r="G48" s="65">
        <f>G16/G15</f>
        <v>33.087712878254749</v>
      </c>
      <c r="I48" s="65">
        <f>I16/I15</f>
        <v>30.040990716052555</v>
      </c>
      <c r="K48" s="65">
        <f>K16/K15</f>
        <v>29.05400634214914</v>
      </c>
      <c r="M48" s="65">
        <f>M16/M15</f>
        <v>28.41949986873195</v>
      </c>
      <c r="N48" s="65"/>
      <c r="O48" s="65"/>
      <c r="Q48" s="66" t="s">
        <v>122</v>
      </c>
      <c r="R48" s="66"/>
      <c r="S48" s="72">
        <f>ROUND(((C34/AVERAGE(C16,E16))*100),2)</f>
        <v>5.91</v>
      </c>
      <c r="T48" s="54" t="s">
        <v>4</v>
      </c>
      <c r="U48" s="72">
        <f>ROUND(((E34/AVERAGE(E16,G16))*100),2)</f>
        <v>7.63</v>
      </c>
      <c r="V48" s="54" t="s">
        <v>4</v>
      </c>
      <c r="W48" s="72">
        <f>ROUND(((G34/AVERAGE(G16,I16))*100),2)</f>
        <v>8.18</v>
      </c>
      <c r="X48" s="54" t="s">
        <v>4</v>
      </c>
      <c r="Y48" s="72">
        <f>ROUND(((I34/AVERAGE(I16,K16))*100),2)</f>
        <v>8.6300000000000008</v>
      </c>
      <c r="Z48" s="54" t="s">
        <v>4</v>
      </c>
      <c r="AA48" s="72">
        <f>ROUND(((K34/AVERAGE(K16,M16))*100),2)</f>
        <v>8.75</v>
      </c>
      <c r="AB48" s="54" t="s">
        <v>4</v>
      </c>
      <c r="AC48" s="72">
        <f>ROUND(AVERAGE(S48:AB48),2)</f>
        <v>7.82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M49" s="65"/>
      <c r="N49" s="65"/>
      <c r="O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3095513000</v>
      </c>
      <c r="E50" s="65">
        <f>SUM(E12:E13,E16:E17)</f>
        <v>2860138000</v>
      </c>
      <c r="G50" s="65">
        <f>SUM(G12:G13,G16:G17)</f>
        <v>2512305000</v>
      </c>
      <c r="I50" s="65">
        <f>SUM(I12:I13,I16:I17)</f>
        <v>1953078000</v>
      </c>
      <c r="K50" s="65">
        <f>SUM(K12:K13,K16:K17)</f>
        <v>1844158000</v>
      </c>
      <c r="M50" s="65">
        <f>SUM(M12:M13,M16:M17)</f>
        <v>1747063000</v>
      </c>
      <c r="N50" s="65"/>
      <c r="O50" s="65"/>
      <c r="Q50" s="66" t="s">
        <v>124</v>
      </c>
      <c r="R50" s="66"/>
      <c r="S50" s="72">
        <f>ROUND((C54/C62),2)</f>
        <v>5.4</v>
      </c>
      <c r="T50" s="73" t="s">
        <v>125</v>
      </c>
      <c r="U50" s="72">
        <f>ROUND((E54/E62),2)</f>
        <v>4.82</v>
      </c>
      <c r="V50" s="73" t="s">
        <v>125</v>
      </c>
      <c r="W50" s="72">
        <f>ROUND((G54/G62),2)</f>
        <v>5.29</v>
      </c>
      <c r="X50" s="73" t="s">
        <v>125</v>
      </c>
      <c r="Y50" s="72">
        <f>ROUND((I54/I62),2)</f>
        <v>5.33</v>
      </c>
      <c r="Z50" s="73" t="s">
        <v>125</v>
      </c>
      <c r="AA50" s="72">
        <f>ROUND((K54/K62),2)</f>
        <v>5.15</v>
      </c>
      <c r="AB50" s="73" t="s">
        <v>125</v>
      </c>
      <c r="AC50" s="72">
        <f>ROUND(AVERAGE(S50:AB50),2)</f>
        <v>5.2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M51" s="65"/>
      <c r="N51" s="65"/>
      <c r="O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39.400000000000006</v>
      </c>
      <c r="E52" s="65">
        <f>AVERAGE(E22:E23)</f>
        <v>44.010000000000005</v>
      </c>
      <c r="G52" s="65">
        <f>AVERAGE(G22:G23)</f>
        <v>49.564999999999998</v>
      </c>
      <c r="I52" s="65">
        <f>AVERAGE(I22:I23)</f>
        <v>49.414999999999999</v>
      </c>
      <c r="K52" s="65">
        <f>AVERAGE(K22:K23)</f>
        <v>60.155000000000001</v>
      </c>
      <c r="M52" s="65">
        <f>AVERAGE(M22:M23)</f>
        <v>65.66</v>
      </c>
      <c r="N52" s="65"/>
      <c r="O52" s="65"/>
      <c r="Q52" s="66" t="s">
        <v>127</v>
      </c>
      <c r="R52" s="66"/>
      <c r="S52" s="72">
        <f>ROUND(((C60/C54)*100),2)</f>
        <v>8.98</v>
      </c>
      <c r="T52" s="73" t="s">
        <v>4</v>
      </c>
      <c r="U52" s="72">
        <f>ROUND(((E60/E54)*100),2)</f>
        <v>15.94</v>
      </c>
      <c r="V52" s="73" t="s">
        <v>4</v>
      </c>
      <c r="W52" s="72">
        <f>ROUND(((G60/G54)*100),2)</f>
        <v>4.5999999999999996</v>
      </c>
      <c r="X52" s="73" t="s">
        <v>4</v>
      </c>
      <c r="Y52" s="72">
        <f>ROUND(((I60/I54)*100),2)</f>
        <v>8.32</v>
      </c>
      <c r="Z52" s="73" t="s">
        <v>4</v>
      </c>
      <c r="AA52" s="72">
        <f>ROUND(((K60/K54)*100),2)</f>
        <v>9.4</v>
      </c>
      <c r="AB52" s="73" t="s">
        <v>4</v>
      </c>
      <c r="AC52" s="72">
        <f>ROUND(AVERAGE(S52:AB52),2)</f>
        <v>9.4499999999999993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M53" s="65"/>
      <c r="N53" s="65"/>
      <c r="O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81">
        <f>+C19+C12</f>
        <v>1880252000</v>
      </c>
      <c r="E54" s="81">
        <f>+E19+E12</f>
        <v>1666080000</v>
      </c>
      <c r="G54" s="81">
        <f>+G19+G12</f>
        <v>1595064000</v>
      </c>
      <c r="I54" s="81">
        <f>+I19+I12</f>
        <v>1407432000</v>
      </c>
      <c r="K54" s="81">
        <f>+K19+K12</f>
        <v>1259950000</v>
      </c>
      <c r="M54" s="81">
        <f>+M19+M12</f>
        <v>1030164000</v>
      </c>
      <c r="N54" s="81"/>
      <c r="O54" s="81"/>
      <c r="Q54" s="79" t="s">
        <v>128</v>
      </c>
      <c r="R54" s="79"/>
      <c r="S54" s="72">
        <f>S33</f>
        <v>57.58</v>
      </c>
      <c r="T54" s="73" t="s">
        <v>4</v>
      </c>
      <c r="U54" s="72">
        <f>U33</f>
        <v>56.48</v>
      </c>
      <c r="V54" s="73" t="s">
        <v>4</v>
      </c>
      <c r="W54" s="72">
        <f>W33</f>
        <v>57.57</v>
      </c>
      <c r="X54" s="73" t="s">
        <v>4</v>
      </c>
      <c r="Y54" s="72">
        <f>Y33</f>
        <v>60.08</v>
      </c>
      <c r="Z54" s="73" t="s">
        <v>4</v>
      </c>
      <c r="AA54" s="72">
        <f>AA33</f>
        <v>58.64</v>
      </c>
      <c r="AB54" s="73" t="s">
        <v>4</v>
      </c>
      <c r="AC54" s="72">
        <f>ROUND(AVERAGE(S54:AB54),2)</f>
        <v>58.07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M55" s="65"/>
      <c r="N55" s="65"/>
      <c r="O55" s="65"/>
    </row>
    <row r="56" spans="1:30" x14ac:dyDescent="0.2">
      <c r="A56" s="54" t="s">
        <v>14</v>
      </c>
      <c r="B56" s="54" t="s">
        <v>121</v>
      </c>
      <c r="C56" s="65">
        <f>SUM(C50,C19)</f>
        <v>3265623000</v>
      </c>
      <c r="E56" s="65">
        <f>SUM(E50,E19)</f>
        <v>2949918000</v>
      </c>
      <c r="G56" s="65">
        <f>SUM(G50,G19)</f>
        <v>2770505000</v>
      </c>
      <c r="I56" s="65">
        <f>SUM(I50,I19)</f>
        <v>2342578000</v>
      </c>
      <c r="K56" s="65">
        <f>SUM(K50,K19)</f>
        <v>2148683000</v>
      </c>
      <c r="M56" s="65">
        <f>SUM(M50,M19)</f>
        <v>1896163000</v>
      </c>
      <c r="N56" s="65"/>
      <c r="O56" s="65"/>
    </row>
    <row r="57" spans="1:30" x14ac:dyDescent="0.2">
      <c r="C57" s="65"/>
      <c r="E57" s="65"/>
      <c r="G57" s="65"/>
      <c r="I57" s="65"/>
      <c r="K57" s="65"/>
      <c r="M57" s="65"/>
      <c r="N57" s="65"/>
      <c r="O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M58" s="65">
        <f>SUM(M13,M17)</f>
        <v>0</v>
      </c>
      <c r="N58" s="65"/>
      <c r="O58" s="65"/>
    </row>
    <row r="59" spans="1:30" x14ac:dyDescent="0.2">
      <c r="C59" s="65"/>
      <c r="E59" s="65"/>
      <c r="G59" s="65"/>
      <c r="I59" s="65"/>
      <c r="K59" s="65"/>
      <c r="M59" s="65"/>
      <c r="N59" s="65"/>
      <c r="O59" s="65"/>
    </row>
    <row r="60" spans="1:30" x14ac:dyDescent="0.2">
      <c r="A60" s="82" t="s">
        <v>130</v>
      </c>
      <c r="B60" s="54" t="s">
        <v>121</v>
      </c>
      <c r="C60" s="65">
        <f>ROUND(C41+C42-C28,3)</f>
        <v>168910000</v>
      </c>
      <c r="E60" s="65">
        <f>ROUND(E41+E42-E28,3)</f>
        <v>265617000</v>
      </c>
      <c r="G60" s="65">
        <f>ROUND(G41+G42-G28,3)</f>
        <v>73365000</v>
      </c>
      <c r="I60" s="65">
        <f>ROUND(I41+I42-I28,3)</f>
        <v>117064000</v>
      </c>
      <c r="K60" s="65">
        <f>ROUND(K41+K42-K28,3)</f>
        <v>118453000</v>
      </c>
      <c r="M60" s="65">
        <f>ROUND(M41+M42-M28,3)</f>
        <v>149190000</v>
      </c>
      <c r="N60" s="65"/>
      <c r="O60" s="65"/>
    </row>
    <row r="61" spans="1:30" x14ac:dyDescent="0.2">
      <c r="A61" s="82"/>
      <c r="C61" s="65"/>
      <c r="E61" s="65"/>
      <c r="G61" s="65"/>
      <c r="I61" s="65"/>
      <c r="K61" s="65"/>
      <c r="M61" s="65"/>
      <c r="N61" s="65"/>
      <c r="O61" s="65"/>
    </row>
    <row r="62" spans="1:30" x14ac:dyDescent="0.2">
      <c r="A62" s="54" t="s">
        <v>131</v>
      </c>
      <c r="B62" s="54" t="s">
        <v>121</v>
      </c>
      <c r="C62" s="65">
        <f>C40+C44+C43+C30</f>
        <v>348094000</v>
      </c>
      <c r="E62" s="65">
        <f>E40+E44+E43+E30</f>
        <v>346018000</v>
      </c>
      <c r="G62" s="65">
        <f>G40+G44+G43+G30</f>
        <v>301260000</v>
      </c>
      <c r="I62" s="65">
        <f>I40+I44+I43+I30</f>
        <v>264092000</v>
      </c>
      <c r="K62" s="65">
        <f>K40+K44+K43+K30</f>
        <v>244598000</v>
      </c>
      <c r="M62" s="65">
        <f>M40+M44+M43+M30</f>
        <v>208558000</v>
      </c>
      <c r="N62" s="65"/>
      <c r="O62" s="65"/>
    </row>
    <row r="63" spans="1:30" x14ac:dyDescent="0.2">
      <c r="M63" s="83"/>
      <c r="N63" s="83"/>
      <c r="O63" s="83"/>
    </row>
    <row r="64" spans="1:30" x14ac:dyDescent="0.2">
      <c r="M64" s="83"/>
      <c r="N64" s="83"/>
      <c r="O64" s="83"/>
    </row>
    <row r="74" spans="13:15" x14ac:dyDescent="0.2">
      <c r="M74" s="83"/>
      <c r="N74" s="83"/>
      <c r="O74" s="83"/>
    </row>
    <row r="75" spans="13:15" x14ac:dyDescent="0.2">
      <c r="M75" s="83"/>
      <c r="N75" s="83"/>
      <c r="O75" s="83"/>
    </row>
    <row r="76" spans="13:15" x14ac:dyDescent="0.2">
      <c r="M76" s="83"/>
      <c r="N76" s="83"/>
      <c r="O76" s="83"/>
    </row>
    <row r="77" spans="13:15" x14ac:dyDescent="0.2">
      <c r="M77" s="83"/>
      <c r="N77" s="83"/>
      <c r="O77" s="83"/>
    </row>
    <row r="78" spans="13:15" x14ac:dyDescent="0.2">
      <c r="M78" s="83"/>
      <c r="N78" s="83"/>
      <c r="O78" s="83"/>
    </row>
    <row r="79" spans="13:15" x14ac:dyDescent="0.2">
      <c r="M79" s="83"/>
      <c r="N79" s="83"/>
      <c r="O79" s="83"/>
    </row>
    <row r="80" spans="13:15" x14ac:dyDescent="0.2">
      <c r="M80" s="83"/>
      <c r="N80" s="83"/>
      <c r="O80" s="83"/>
    </row>
    <row r="81" spans="13:223" x14ac:dyDescent="0.2">
      <c r="M81" s="83"/>
      <c r="N81" s="83"/>
      <c r="O81" s="83"/>
      <c r="HK81" s="84"/>
      <c r="HL81" s="84"/>
      <c r="HO81" s="54" t="s">
        <v>132</v>
      </c>
    </row>
    <row r="98" spans="13:15" x14ac:dyDescent="0.2">
      <c r="M98" s="83"/>
      <c r="N98" s="83"/>
      <c r="O98" s="83"/>
    </row>
    <row r="99" spans="13:15" x14ac:dyDescent="0.2">
      <c r="M99" s="83"/>
      <c r="N99" s="83"/>
      <c r="O99" s="83"/>
    </row>
    <row r="100" spans="13:15" x14ac:dyDescent="0.2">
      <c r="M100" s="83"/>
      <c r="N100" s="83"/>
      <c r="O100" s="83"/>
    </row>
    <row r="101" spans="13:15" x14ac:dyDescent="0.2">
      <c r="M101" s="83"/>
      <c r="N101" s="83"/>
      <c r="O101" s="83"/>
    </row>
    <row r="102" spans="13:15" x14ac:dyDescent="0.2">
      <c r="M102" s="83"/>
      <c r="N102" s="83"/>
      <c r="O102" s="83"/>
    </row>
    <row r="103" spans="13:15" x14ac:dyDescent="0.2">
      <c r="M103" s="83"/>
      <c r="N103" s="83"/>
      <c r="O103" s="83"/>
    </row>
    <row r="104" spans="13:15" x14ac:dyDescent="0.2">
      <c r="M104" s="83"/>
      <c r="N104" s="83"/>
      <c r="O104" s="83"/>
    </row>
    <row r="105" spans="13:15" x14ac:dyDescent="0.2">
      <c r="M105" s="83"/>
      <c r="N105" s="83"/>
      <c r="O105" s="83"/>
    </row>
    <row r="106" spans="13:15" x14ac:dyDescent="0.2">
      <c r="M106" s="83"/>
      <c r="N106" s="83"/>
      <c r="O106" s="83"/>
    </row>
    <row r="107" spans="13:15" x14ac:dyDescent="0.2">
      <c r="M107" s="83"/>
      <c r="N107" s="83"/>
      <c r="O107" s="83"/>
    </row>
    <row r="108" spans="13:15" x14ac:dyDescent="0.2">
      <c r="M108" s="83"/>
      <c r="N108" s="83"/>
      <c r="O108" s="83"/>
    </row>
    <row r="109" spans="13:15" x14ac:dyDescent="0.2">
      <c r="M109" s="83"/>
      <c r="N109" s="83"/>
      <c r="O109" s="83"/>
    </row>
    <row r="110" spans="13:15" x14ac:dyDescent="0.2">
      <c r="M110" s="83"/>
      <c r="N110" s="83"/>
      <c r="O110" s="83"/>
    </row>
    <row r="111" spans="13:15" x14ac:dyDescent="0.2">
      <c r="M111" s="83"/>
      <c r="N111" s="83"/>
      <c r="O111" s="83"/>
    </row>
    <row r="112" spans="13:15" x14ac:dyDescent="0.2">
      <c r="M112" s="83"/>
      <c r="N112" s="83"/>
      <c r="O112" s="83"/>
    </row>
    <row r="113" spans="13:15" x14ac:dyDescent="0.2">
      <c r="M113" s="83"/>
      <c r="N113" s="83"/>
      <c r="O113" s="83"/>
    </row>
    <row r="114" spans="13:15" x14ac:dyDescent="0.2">
      <c r="M114" s="83"/>
      <c r="N114" s="83"/>
      <c r="O114" s="83"/>
    </row>
    <row r="115" spans="13:15" x14ac:dyDescent="0.2">
      <c r="M115" s="83"/>
      <c r="N115" s="83"/>
      <c r="O115" s="83"/>
    </row>
    <row r="116" spans="13:15" x14ac:dyDescent="0.2">
      <c r="M116" s="83"/>
      <c r="N116" s="83"/>
      <c r="O116" s="83"/>
    </row>
    <row r="117" spans="13:15" x14ac:dyDescent="0.2">
      <c r="M117" s="83"/>
      <c r="N117" s="83"/>
      <c r="O117" s="83"/>
    </row>
    <row r="118" spans="13:15" x14ac:dyDescent="0.2">
      <c r="M118" s="83"/>
      <c r="N118" s="83"/>
      <c r="O118" s="83"/>
    </row>
    <row r="119" spans="13:15" x14ac:dyDescent="0.2">
      <c r="M119" s="83"/>
      <c r="N119" s="83"/>
      <c r="O119" s="83"/>
    </row>
    <row r="120" spans="13:15" x14ac:dyDescent="0.2">
      <c r="M120" s="83"/>
      <c r="N120" s="83"/>
      <c r="O120" s="83"/>
    </row>
    <row r="121" spans="13:15" x14ac:dyDescent="0.2">
      <c r="M121" s="83"/>
      <c r="N121" s="83"/>
      <c r="O121" s="83"/>
    </row>
    <row r="122" spans="13:15" x14ac:dyDescent="0.2">
      <c r="M122" s="83"/>
      <c r="N122" s="83"/>
      <c r="O122" s="83"/>
    </row>
    <row r="123" spans="13:15" x14ac:dyDescent="0.2">
      <c r="M123" s="83"/>
      <c r="N123" s="83"/>
      <c r="O123" s="83"/>
    </row>
    <row r="124" spans="13:15" x14ac:dyDescent="0.2">
      <c r="M124" s="83"/>
      <c r="N124" s="83"/>
      <c r="O124" s="83"/>
    </row>
    <row r="125" spans="13:15" x14ac:dyDescent="0.2">
      <c r="M125" s="83"/>
      <c r="N125" s="83"/>
      <c r="O125" s="83"/>
    </row>
    <row r="126" spans="13:15" x14ac:dyDescent="0.2">
      <c r="M126" s="83"/>
      <c r="N126" s="83"/>
      <c r="O126" s="83"/>
    </row>
    <row r="127" spans="13:15" x14ac:dyDescent="0.2">
      <c r="M127" s="83"/>
      <c r="N127" s="83"/>
      <c r="O127" s="83"/>
    </row>
    <row r="128" spans="13:15" x14ac:dyDescent="0.2">
      <c r="M128" s="83"/>
      <c r="N128" s="83"/>
      <c r="O128" s="83"/>
    </row>
    <row r="129" spans="13:15" x14ac:dyDescent="0.2">
      <c r="M129" s="83"/>
      <c r="N129" s="83"/>
      <c r="O129" s="83"/>
    </row>
    <row r="130" spans="13:15" x14ac:dyDescent="0.2">
      <c r="M130" s="83"/>
      <c r="N130" s="83"/>
      <c r="O130" s="83"/>
    </row>
    <row r="131" spans="13:15" x14ac:dyDescent="0.2">
      <c r="M131" s="83"/>
      <c r="N131" s="83"/>
      <c r="O131" s="83"/>
    </row>
    <row r="132" spans="13:15" x14ac:dyDescent="0.2">
      <c r="M132" s="83"/>
      <c r="N132" s="83"/>
      <c r="O132" s="83"/>
    </row>
    <row r="133" spans="13:15" x14ac:dyDescent="0.2">
      <c r="M133" s="83"/>
      <c r="N133" s="83"/>
      <c r="O133" s="83"/>
    </row>
    <row r="134" spans="13:15" x14ac:dyDescent="0.2">
      <c r="M134" s="83"/>
      <c r="N134" s="83"/>
      <c r="O134" s="83"/>
    </row>
  </sheetData>
  <mergeCells count="5">
    <mergeCell ref="I6:M6"/>
    <mergeCell ref="I7:M7"/>
    <mergeCell ref="I8:M8"/>
    <mergeCell ref="AC24:AD24"/>
    <mergeCell ref="AC25:AD25"/>
  </mergeCells>
  <printOptions horizontalCentered="1"/>
  <pageMargins left="0.75" right="0.75" top="1" bottom="1" header="0.5" footer="0.5"/>
  <pageSetup scale="1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FB86-5F2E-428D-A3AA-B327BFD12153}">
  <sheetPr>
    <pageSetUpPr fitToPage="1"/>
  </sheetPr>
  <dimension ref="A1:HO154"/>
  <sheetViews>
    <sheetView zoomScale="80" zoomScaleNormal="80" workbookViewId="0">
      <selection activeCell="D10" sqref="D10"/>
    </sheetView>
  </sheetViews>
  <sheetFormatPr defaultColWidth="9.140625" defaultRowHeight="12.75" x14ac:dyDescent="0.2"/>
  <cols>
    <col min="1" max="1" width="36.140625" style="90" customWidth="1"/>
    <col min="2" max="2" width="15.140625" style="90" bestFit="1" customWidth="1"/>
    <col min="3" max="3" width="16.42578125" style="90" customWidth="1"/>
    <col min="4" max="4" width="3.140625" style="90" customWidth="1"/>
    <col min="5" max="5" width="16.42578125" style="90" customWidth="1"/>
    <col min="6" max="6" width="3.140625" style="90" customWidth="1"/>
    <col min="7" max="7" width="16.42578125" style="90" customWidth="1"/>
    <col min="8" max="8" width="3.140625" style="90" customWidth="1"/>
    <col min="9" max="9" width="20.140625" style="90" customWidth="1"/>
    <col min="10" max="10" width="3.140625" style="90" customWidth="1"/>
    <col min="11" max="11" width="18.5703125" style="90" customWidth="1"/>
    <col min="12" max="12" width="3.140625" style="90" customWidth="1"/>
    <col min="13" max="13" width="18.5703125" style="90" customWidth="1"/>
    <col min="14" max="16" width="3.140625" style="90" customWidth="1"/>
    <col min="17" max="17" width="53.140625" style="90" customWidth="1"/>
    <col min="18" max="18" width="3.140625" style="90" customWidth="1"/>
    <col min="19" max="19" width="14" style="90" customWidth="1"/>
    <col min="20" max="20" width="3.85546875" style="90" customWidth="1"/>
    <col min="21" max="21" width="14.5703125" style="90" customWidth="1"/>
    <col min="22" max="22" width="4.140625" style="90" customWidth="1"/>
    <col min="23" max="23" width="14.5703125" style="90" customWidth="1"/>
    <col min="24" max="24" width="4.140625" style="90" customWidth="1"/>
    <col min="25" max="25" width="11" style="90" bestFit="1" customWidth="1"/>
    <col min="26" max="26" width="2.5703125" style="90" bestFit="1" customWidth="1"/>
    <col min="27" max="27" width="11" style="90" bestFit="1" customWidth="1"/>
    <col min="28" max="28" width="2.5703125" style="90" customWidth="1"/>
    <col min="29" max="29" width="10.5703125" style="90" customWidth="1"/>
    <col min="30" max="30" width="2.5703125" style="90" customWidth="1"/>
    <col min="31" max="31" width="9.140625" style="90"/>
    <col min="32" max="32" width="4.42578125" style="90" customWidth="1"/>
    <col min="33" max="33" width="3.5703125" style="90" customWidth="1"/>
    <col min="34" max="34" width="22.140625" style="90" customWidth="1"/>
    <col min="35" max="16384" width="9.140625" style="90"/>
  </cols>
  <sheetData>
    <row r="1" spans="1:30" ht="16.5" customHeight="1" x14ac:dyDescent="0.2">
      <c r="A1" s="85"/>
    </row>
    <row r="2" spans="1:30" ht="16.5" customHeight="1" x14ac:dyDescent="0.2">
      <c r="A2" s="85"/>
    </row>
    <row r="3" spans="1:30" ht="16.5" customHeight="1" x14ac:dyDescent="0.25">
      <c r="A3" s="85"/>
      <c r="I3"/>
    </row>
    <row r="4" spans="1:30" ht="16.5" customHeight="1" thickBot="1" x14ac:dyDescent="0.3">
      <c r="A4" s="85"/>
      <c r="I4"/>
    </row>
    <row r="5" spans="1:30" ht="15" x14ac:dyDescent="0.35">
      <c r="A5" s="87" t="s">
        <v>136</v>
      </c>
      <c r="C5" s="89"/>
      <c r="E5" s="89"/>
      <c r="K5" s="98"/>
    </row>
    <row r="6" spans="1:30" ht="15.75" thickBot="1" x14ac:dyDescent="0.3">
      <c r="A6" s="88" t="s">
        <v>25</v>
      </c>
      <c r="I6" s="199" t="s">
        <v>24</v>
      </c>
      <c r="J6" s="198"/>
      <c r="K6" s="198"/>
      <c r="L6" s="198"/>
      <c r="M6" s="198"/>
      <c r="N6" s="59"/>
      <c r="O6" s="59"/>
      <c r="Q6" s="99" t="str">
        <f>I6</f>
        <v>ONE Gas, Inc.</v>
      </c>
      <c r="R6" s="99"/>
      <c r="S6" s="99"/>
      <c r="T6" s="99"/>
      <c r="U6" s="99"/>
      <c r="V6" s="100"/>
      <c r="W6" s="99"/>
      <c r="X6" s="100"/>
      <c r="Y6" s="100"/>
      <c r="Z6" s="101"/>
      <c r="AA6" s="100"/>
      <c r="AB6" s="100"/>
      <c r="AC6" s="100"/>
    </row>
    <row r="7" spans="1:30" ht="15" x14ac:dyDescent="0.25">
      <c r="I7" s="199" t="s">
        <v>54</v>
      </c>
      <c r="J7" s="198"/>
      <c r="K7" s="198"/>
      <c r="L7" s="198"/>
      <c r="M7" s="198"/>
      <c r="N7" s="59"/>
      <c r="O7" s="59"/>
      <c r="Q7" s="100" t="str">
        <f>I7</f>
        <v>CAPITALIZATION AND FINANCIAL STATISTICS  (1)</v>
      </c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</row>
    <row r="8" spans="1:30" ht="15" x14ac:dyDescent="0.25">
      <c r="B8" s="54"/>
      <c r="C8" s="54"/>
      <c r="D8" s="54"/>
      <c r="E8" s="54"/>
      <c r="F8" s="54"/>
      <c r="G8" s="54"/>
      <c r="H8" s="54"/>
      <c r="I8" s="195" t="s">
        <v>138</v>
      </c>
      <c r="J8" s="198"/>
      <c r="K8" s="198"/>
      <c r="L8" s="198"/>
      <c r="M8" s="198"/>
      <c r="N8" s="59"/>
      <c r="O8" s="59"/>
      <c r="Q8" s="101" t="str">
        <f>I8</f>
        <v>2019 - 2024, Inclusive</v>
      </c>
      <c r="R8" s="101"/>
      <c r="S8" s="101"/>
      <c r="T8" s="101"/>
      <c r="U8" s="101"/>
      <c r="V8" s="100"/>
      <c r="W8" s="101"/>
      <c r="X8" s="100"/>
      <c r="Y8" s="100"/>
      <c r="Z8" s="101"/>
      <c r="AA8" s="100"/>
      <c r="AB8" s="100"/>
      <c r="AC8" s="100"/>
    </row>
    <row r="9" spans="1:30" x14ac:dyDescent="0.2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Q9" s="100"/>
      <c r="R9" s="100"/>
      <c r="S9" s="100"/>
      <c r="T9" s="100"/>
      <c r="U9" s="100"/>
      <c r="V9" s="100"/>
      <c r="W9" s="100"/>
      <c r="X9" s="100"/>
      <c r="Y9" s="101"/>
      <c r="Z9" s="101"/>
      <c r="AA9" s="100"/>
      <c r="AB9" s="100"/>
      <c r="AC9" s="100"/>
    </row>
    <row r="10" spans="1:30" x14ac:dyDescent="0.2">
      <c r="B10" s="54" t="s">
        <v>141</v>
      </c>
      <c r="C10" s="63">
        <v>2024</v>
      </c>
      <c r="D10" s="54"/>
      <c r="E10" s="63">
        <v>2023</v>
      </c>
      <c r="F10" s="54"/>
      <c r="G10" s="63">
        <v>2022</v>
      </c>
      <c r="H10" s="54"/>
      <c r="I10" s="63">
        <v>2021</v>
      </c>
      <c r="J10" s="54"/>
      <c r="K10" s="63">
        <v>2020</v>
      </c>
      <c r="L10" s="54"/>
      <c r="M10" s="63">
        <v>2019</v>
      </c>
      <c r="N10" s="63"/>
      <c r="O10" s="63"/>
      <c r="Y10" s="101"/>
      <c r="Z10" s="101"/>
      <c r="AA10" s="100"/>
      <c r="AB10" s="100"/>
    </row>
    <row r="11" spans="1:30" x14ac:dyDescent="0.2">
      <c r="A11" s="90" t="s">
        <v>57</v>
      </c>
    </row>
    <row r="12" spans="1:30" x14ac:dyDescent="0.2">
      <c r="A12" s="90" t="s">
        <v>58</v>
      </c>
      <c r="B12" s="90" t="s">
        <v>59</v>
      </c>
      <c r="C12" s="65">
        <f>2131718000+14000</f>
        <v>2131732000</v>
      </c>
      <c r="E12" s="65">
        <f>1877895000+772984000-(473000000)</f>
        <v>2177879000</v>
      </c>
      <c r="G12" s="65">
        <f>2352400000-(700000000-150000000-77000000)</f>
        <v>1879400000</v>
      </c>
      <c r="I12" s="65">
        <f>3683378000-2000000000</f>
        <v>1683378000</v>
      </c>
      <c r="K12" s="65">
        <v>1601300000</v>
      </c>
      <c r="M12" s="65">
        <v>1286064000</v>
      </c>
      <c r="N12" s="65"/>
      <c r="O12" s="65"/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  <c r="AC12" s="54"/>
      <c r="AD12" s="54"/>
    </row>
    <row r="13" spans="1:30" x14ac:dyDescent="0.2">
      <c r="A13" s="90" t="s">
        <v>60</v>
      </c>
      <c r="B13" s="90" t="s">
        <v>61</v>
      </c>
      <c r="C13" s="65">
        <v>0</v>
      </c>
      <c r="E13" s="65">
        <v>0</v>
      </c>
      <c r="G13" s="65">
        <v>0</v>
      </c>
      <c r="I13" s="65">
        <v>0</v>
      </c>
      <c r="K13" s="65">
        <v>0</v>
      </c>
      <c r="M13" s="65">
        <v>0</v>
      </c>
      <c r="N13" s="65"/>
      <c r="O13" s="65"/>
      <c r="Y13" s="61" t="s">
        <v>62</v>
      </c>
      <c r="Z13" s="61"/>
      <c r="AA13" s="61"/>
      <c r="AB13" s="61"/>
      <c r="AC13" s="61" t="s">
        <v>63</v>
      </c>
      <c r="AD13" s="54"/>
    </row>
    <row r="14" spans="1:30" x14ac:dyDescent="0.2">
      <c r="C14" s="65"/>
      <c r="E14" s="65"/>
      <c r="G14" s="65"/>
      <c r="I14" s="65"/>
      <c r="K14" s="65"/>
      <c r="M14" s="65"/>
      <c r="N14" s="65"/>
      <c r="O14" s="65"/>
      <c r="Q14" s="102" t="s">
        <v>64</v>
      </c>
      <c r="R14" s="102"/>
      <c r="S14" s="102"/>
      <c r="T14" s="102"/>
      <c r="U14" s="102"/>
      <c r="V14" s="102"/>
      <c r="W14" s="102"/>
      <c r="X14" s="102"/>
      <c r="Y14" s="54"/>
      <c r="Z14" s="54"/>
      <c r="AA14" s="54"/>
      <c r="AB14" s="54"/>
      <c r="AC14" s="54"/>
      <c r="AD14" s="54"/>
    </row>
    <row r="15" spans="1:30" x14ac:dyDescent="0.2">
      <c r="A15" s="90" t="s">
        <v>65</v>
      </c>
      <c r="B15" s="90" t="s">
        <v>66</v>
      </c>
      <c r="C15" s="68">
        <v>59876861</v>
      </c>
      <c r="E15" s="68">
        <v>56545924</v>
      </c>
      <c r="G15" s="65">
        <v>55349954</v>
      </c>
      <c r="I15" s="65">
        <v>53633210</v>
      </c>
      <c r="K15" s="65">
        <v>53166733</v>
      </c>
      <c r="M15" s="65">
        <f>52771749</f>
        <v>52771749</v>
      </c>
      <c r="N15" s="65"/>
      <c r="O15" s="65"/>
      <c r="Y15" s="54"/>
      <c r="Z15" s="54"/>
      <c r="AA15" s="54"/>
      <c r="AB15" s="54"/>
      <c r="AC15" s="54"/>
      <c r="AD15" s="54"/>
    </row>
    <row r="16" spans="1:30" x14ac:dyDescent="0.2">
      <c r="A16" s="90" t="s">
        <v>6</v>
      </c>
      <c r="B16" s="90" t="s">
        <v>67</v>
      </c>
      <c r="C16" s="65">
        <f>3104548*1000</f>
        <v>3104548000</v>
      </c>
      <c r="E16" s="65">
        <f>2765877*1000</f>
        <v>2765877000</v>
      </c>
      <c r="G16" s="65">
        <v>2584426000</v>
      </c>
      <c r="I16" s="65">
        <v>2349532000</v>
      </c>
      <c r="K16" s="65">
        <v>2233311000</v>
      </c>
      <c r="M16" s="65">
        <v>2129390000</v>
      </c>
      <c r="N16" s="65"/>
      <c r="O16" s="65"/>
      <c r="Q16" s="102" t="s">
        <v>68</v>
      </c>
      <c r="R16" s="102"/>
      <c r="S16" s="102"/>
      <c r="T16" s="102"/>
      <c r="U16" s="102"/>
      <c r="V16" s="102"/>
      <c r="W16" s="102"/>
      <c r="X16" s="102"/>
      <c r="Y16" s="54"/>
      <c r="Z16" s="54"/>
      <c r="AA16" s="54"/>
      <c r="AB16" s="54"/>
      <c r="AC16" s="54"/>
      <c r="AD16" s="54"/>
    </row>
    <row r="17" spans="1:30" x14ac:dyDescent="0.2">
      <c r="A17" s="90" t="s">
        <v>69</v>
      </c>
      <c r="B17" s="90" t="s">
        <v>66</v>
      </c>
      <c r="C17" s="65">
        <v>0</v>
      </c>
      <c r="E17" s="65">
        <v>0</v>
      </c>
      <c r="G17" s="65">
        <v>0</v>
      </c>
      <c r="I17" s="65">
        <v>0</v>
      </c>
      <c r="K17" s="65">
        <v>0</v>
      </c>
      <c r="M17" s="65">
        <v>0</v>
      </c>
      <c r="N17" s="65"/>
      <c r="O17" s="65"/>
      <c r="Q17" s="90" t="s">
        <v>70</v>
      </c>
      <c r="S17" s="69">
        <f>C50/1000000</f>
        <v>5236.28</v>
      </c>
      <c r="T17" s="69"/>
      <c r="U17" s="69">
        <f>E50/1000000</f>
        <v>4943.7560000000003</v>
      </c>
      <c r="V17" s="69"/>
      <c r="W17" s="69">
        <f>G50/1000000</f>
        <v>4463.826</v>
      </c>
      <c r="X17" s="69"/>
      <c r="Y17" s="69">
        <f>I50/1000000</f>
        <v>4032.91</v>
      </c>
      <c r="Z17" s="69"/>
      <c r="AA17" s="69">
        <f>K50/1000000</f>
        <v>3834.6109999999999</v>
      </c>
      <c r="AB17" s="69"/>
      <c r="AC17" s="54"/>
      <c r="AD17" s="54"/>
    </row>
    <row r="18" spans="1:30" x14ac:dyDescent="0.2">
      <c r="C18" s="65"/>
      <c r="E18" s="65"/>
      <c r="G18" s="65"/>
      <c r="I18" s="65"/>
      <c r="K18" s="65"/>
      <c r="M18" s="65"/>
      <c r="N18" s="65"/>
      <c r="O18" s="65"/>
      <c r="Q18" s="90" t="s">
        <v>71</v>
      </c>
      <c r="S18" s="70">
        <f>C19/1000000</f>
        <v>914.6</v>
      </c>
      <c r="T18" s="69"/>
      <c r="U18" s="70">
        <f>E19/1000000</f>
        <v>88.5</v>
      </c>
      <c r="V18" s="69"/>
      <c r="W18" s="70">
        <f>G19/1000000</f>
        <v>552</v>
      </c>
      <c r="X18" s="69"/>
      <c r="Y18" s="70">
        <f>I19/1000000</f>
        <v>494</v>
      </c>
      <c r="Z18" s="69"/>
      <c r="AA18" s="70">
        <f>K19/1000000</f>
        <v>418.22500000000002</v>
      </c>
      <c r="AB18" s="69"/>
      <c r="AC18" s="54"/>
      <c r="AD18" s="54"/>
    </row>
    <row r="19" spans="1:30" x14ac:dyDescent="0.2">
      <c r="A19" s="90" t="s">
        <v>72</v>
      </c>
      <c r="B19" s="90" t="s">
        <v>73</v>
      </c>
      <c r="C19" s="65">
        <v>914600000</v>
      </c>
      <c r="E19" s="65">
        <v>88500000</v>
      </c>
      <c r="G19" s="65">
        <v>552000000</v>
      </c>
      <c r="I19" s="65">
        <v>494000000</v>
      </c>
      <c r="K19" s="65">
        <v>418225000</v>
      </c>
      <c r="M19" s="65">
        <v>516500000</v>
      </c>
      <c r="N19" s="65"/>
      <c r="O19" s="65"/>
      <c r="Q19" s="90" t="s">
        <v>74</v>
      </c>
      <c r="S19" s="71">
        <f>SUM(S17:S18)</f>
        <v>6150.88</v>
      </c>
      <c r="T19" s="69"/>
      <c r="U19" s="71">
        <f>SUM(U17:U18)</f>
        <v>5032.2560000000003</v>
      </c>
      <c r="V19" s="69"/>
      <c r="W19" s="71">
        <f>SUM(W17:W18)</f>
        <v>5015.826</v>
      </c>
      <c r="X19" s="69"/>
      <c r="Y19" s="71">
        <f>SUM(Y17:Y18)</f>
        <v>4526.91</v>
      </c>
      <c r="Z19" s="69"/>
      <c r="AA19" s="71">
        <f>SUM(AA17:AA18)</f>
        <v>4252.8360000000002</v>
      </c>
      <c r="AB19" s="69"/>
      <c r="AC19" s="54"/>
      <c r="AD19" s="54"/>
    </row>
    <row r="20" spans="1:30" x14ac:dyDescent="0.2">
      <c r="I20" s="65"/>
      <c r="K20" s="65"/>
      <c r="M20" s="65"/>
      <c r="N20" s="65"/>
      <c r="O20" s="65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1:30" x14ac:dyDescent="0.2">
      <c r="A21" s="90" t="s">
        <v>75</v>
      </c>
      <c r="B21" s="90" t="s">
        <v>76</v>
      </c>
      <c r="C21" s="65">
        <v>3.91</v>
      </c>
      <c r="E21" s="65">
        <v>4.1399999999999997</v>
      </c>
      <c r="G21" s="65">
        <v>4.08</v>
      </c>
      <c r="I21" s="65">
        <v>3.85</v>
      </c>
      <c r="K21" s="65">
        <v>3.68</v>
      </c>
      <c r="M21" s="65">
        <v>3.51</v>
      </c>
      <c r="N21" s="65"/>
      <c r="O21" s="65"/>
      <c r="Q21" s="102" t="s">
        <v>77</v>
      </c>
      <c r="R21" s="102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</row>
    <row r="22" spans="1:30" x14ac:dyDescent="0.2">
      <c r="A22" s="90" t="s">
        <v>78</v>
      </c>
      <c r="B22" s="54" t="s">
        <v>79</v>
      </c>
      <c r="C22" s="72">
        <v>78.69</v>
      </c>
      <c r="D22" s="54"/>
      <c r="E22" s="72">
        <v>83.9</v>
      </c>
      <c r="F22" s="54"/>
      <c r="G22" s="72">
        <v>91.88</v>
      </c>
      <c r="H22" s="54"/>
      <c r="I22" s="90">
        <v>81.37</v>
      </c>
      <c r="J22" s="54"/>
      <c r="K22" s="65">
        <v>96.69</v>
      </c>
      <c r="L22" s="54"/>
      <c r="M22" s="65">
        <v>96.27</v>
      </c>
      <c r="N22" s="65"/>
      <c r="O22" s="65"/>
      <c r="Q22" s="90" t="s">
        <v>80</v>
      </c>
      <c r="S22" s="72">
        <f>(ROUND((C30/(AVERAGE(C54,E54))*100),2))</f>
        <v>5.54</v>
      </c>
      <c r="T22" s="73" t="s">
        <v>4</v>
      </c>
      <c r="U22" s="72">
        <f>(ROUND((E30/(AVERAGE(E54,G54))*100),2))</f>
        <v>4.91</v>
      </c>
      <c r="V22" s="73" t="s">
        <v>4</v>
      </c>
      <c r="W22" s="72">
        <f>(ROUND((G30/(AVERAGE(G54,I54))*100),2))</f>
        <v>3.36</v>
      </c>
      <c r="X22" s="73" t="s">
        <v>4</v>
      </c>
      <c r="Y22" s="72">
        <f>(ROUND((I30/(AVERAGE(I54,K54))*100),2))</f>
        <v>2.87</v>
      </c>
      <c r="Z22" s="73" t="s">
        <v>4</v>
      </c>
      <c r="AA22" s="72">
        <f>(ROUND((K30/(AVERAGE(K54,M54))*100),2))</f>
        <v>3.27</v>
      </c>
      <c r="AB22" s="73" t="s">
        <v>4</v>
      </c>
      <c r="AC22" s="58"/>
      <c r="AD22" s="54"/>
    </row>
    <row r="23" spans="1:30" x14ac:dyDescent="0.2">
      <c r="A23" s="90" t="s">
        <v>81</v>
      </c>
      <c r="B23" s="54" t="s">
        <v>79</v>
      </c>
      <c r="C23" s="72">
        <v>58.33</v>
      </c>
      <c r="D23" s="54"/>
      <c r="E23" s="72">
        <v>57.63</v>
      </c>
      <c r="F23" s="54"/>
      <c r="G23" s="72">
        <v>70.03</v>
      </c>
      <c r="H23" s="54"/>
      <c r="I23" s="103">
        <v>63.3</v>
      </c>
      <c r="J23" s="54"/>
      <c r="K23" s="65">
        <v>66.55</v>
      </c>
      <c r="L23" s="54"/>
      <c r="M23" s="65">
        <v>76.13</v>
      </c>
      <c r="N23" s="65"/>
      <c r="O23" s="65"/>
      <c r="Q23" s="90" t="s">
        <v>82</v>
      </c>
      <c r="S23" s="72"/>
      <c r="T23" s="73"/>
      <c r="U23" s="72"/>
      <c r="V23" s="73"/>
      <c r="W23" s="72"/>
      <c r="X23" s="73"/>
      <c r="Y23" s="72"/>
      <c r="Z23" s="73"/>
      <c r="AA23" s="72"/>
      <c r="AB23" s="73"/>
      <c r="AC23" s="54"/>
      <c r="AD23" s="54"/>
    </row>
    <row r="24" spans="1:30" x14ac:dyDescent="0.2">
      <c r="B24" s="54"/>
      <c r="C24" s="54"/>
      <c r="D24" s="54"/>
      <c r="E24" s="54"/>
      <c r="F24" s="54"/>
      <c r="G24" s="54"/>
      <c r="H24" s="54"/>
      <c r="I24" s="65"/>
      <c r="J24" s="54"/>
      <c r="K24" s="65"/>
      <c r="L24" s="54"/>
      <c r="M24" s="65"/>
      <c r="N24" s="65"/>
      <c r="O24" s="65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194" t="s">
        <v>1</v>
      </c>
      <c r="AD24" s="194"/>
    </row>
    <row r="25" spans="1:30" x14ac:dyDescent="0.2">
      <c r="B25" s="54"/>
      <c r="C25" s="54"/>
      <c r="D25" s="54"/>
      <c r="E25" s="54"/>
      <c r="F25" s="54"/>
      <c r="G25" s="54"/>
      <c r="H25" s="54"/>
      <c r="I25" s="65"/>
      <c r="J25" s="54"/>
      <c r="K25" s="65"/>
      <c r="L25" s="54"/>
      <c r="M25" s="65"/>
      <c r="N25" s="65"/>
      <c r="O25" s="65"/>
      <c r="Q25" s="102" t="s">
        <v>83</v>
      </c>
      <c r="R25" s="102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194" t="s">
        <v>2</v>
      </c>
      <c r="AD25" s="194"/>
    </row>
    <row r="26" spans="1:30" x14ac:dyDescent="0.2">
      <c r="A26" s="90" t="s">
        <v>84</v>
      </c>
      <c r="B26" s="54" t="s">
        <v>79</v>
      </c>
      <c r="C26" s="65">
        <v>2.64</v>
      </c>
      <c r="D26" s="54"/>
      <c r="E26" s="65">
        <v>2.6</v>
      </c>
      <c r="F26" s="54"/>
      <c r="G26" s="65">
        <v>2.48</v>
      </c>
      <c r="H26" s="54"/>
      <c r="I26" s="65">
        <v>2.3199999999999998</v>
      </c>
      <c r="J26" s="54"/>
      <c r="K26" s="65">
        <v>2.16</v>
      </c>
      <c r="L26" s="54"/>
      <c r="M26" s="65">
        <v>2</v>
      </c>
      <c r="N26" s="65"/>
      <c r="O26" s="65"/>
      <c r="Q26" s="90" t="s">
        <v>85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</row>
    <row r="27" spans="1:30" x14ac:dyDescent="0.2">
      <c r="I27" s="65"/>
      <c r="K27" s="65"/>
      <c r="M27" s="65"/>
      <c r="N27" s="65"/>
      <c r="O27" s="65"/>
      <c r="Q27" s="90" t="s">
        <v>86</v>
      </c>
      <c r="S27" s="72">
        <f>ROUND(((C12/C50)*100),2)</f>
        <v>40.71</v>
      </c>
      <c r="T27" s="73" t="s">
        <v>4</v>
      </c>
      <c r="U27" s="72">
        <f>ROUND(((E12/E50)*100),2)</f>
        <v>44.05</v>
      </c>
      <c r="V27" s="73" t="s">
        <v>4</v>
      </c>
      <c r="W27" s="72">
        <f>ROUND(((G12/G50)*100),2)</f>
        <v>42.1</v>
      </c>
      <c r="X27" s="73" t="s">
        <v>4</v>
      </c>
      <c r="Y27" s="72">
        <f>ROUND(((I12/I50)*100),2)</f>
        <v>41.74</v>
      </c>
      <c r="Z27" s="73" t="s">
        <v>4</v>
      </c>
      <c r="AA27" s="72">
        <f>ROUND(((K12/K50)*100),2)</f>
        <v>41.76</v>
      </c>
      <c r="AB27" s="73" t="s">
        <v>4</v>
      </c>
      <c r="AC27" s="72">
        <f>ROUND(AVERAGE(S27:AB27),2)</f>
        <v>42.07</v>
      </c>
      <c r="AD27" s="73" t="s">
        <v>4</v>
      </c>
    </row>
    <row r="28" spans="1:30" x14ac:dyDescent="0.2">
      <c r="A28" s="90" t="s">
        <v>87</v>
      </c>
      <c r="B28" s="90" t="s">
        <v>87</v>
      </c>
      <c r="C28" s="65">
        <v>8200000</v>
      </c>
      <c r="E28" s="65">
        <v>5700000</v>
      </c>
      <c r="G28" s="65">
        <v>4500000</v>
      </c>
      <c r="I28" s="65">
        <v>4200000</v>
      </c>
      <c r="K28" s="65">
        <v>4200000</v>
      </c>
      <c r="M28" s="65">
        <v>4600000</v>
      </c>
      <c r="N28" s="65"/>
      <c r="O28" s="65"/>
      <c r="Q28" s="90" t="s">
        <v>88</v>
      </c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C29" s="65"/>
      <c r="E29" s="65"/>
      <c r="G29" s="65"/>
      <c r="I29" s="65"/>
      <c r="K29" s="65"/>
      <c r="M29" s="65"/>
      <c r="N29" s="65"/>
      <c r="O29" s="65"/>
      <c r="Q29" s="90" t="s">
        <v>89</v>
      </c>
      <c r="S29" s="74">
        <f>ROUND(((C16/C50)*100),2)</f>
        <v>59.29</v>
      </c>
      <c r="T29" s="73"/>
      <c r="U29" s="74">
        <f>ROUND(((E16/E50)*100),2)</f>
        <v>55.95</v>
      </c>
      <c r="V29" s="73"/>
      <c r="W29" s="74">
        <f>ROUND(((G16/G50)*100),2)</f>
        <v>57.9</v>
      </c>
      <c r="X29" s="73"/>
      <c r="Y29" s="74">
        <f>ROUND(((I16/I50)*100),2)</f>
        <v>58.26</v>
      </c>
      <c r="Z29" s="73"/>
      <c r="AA29" s="74">
        <f>ROUND(((K16/K50)*100),2)</f>
        <v>58.24</v>
      </c>
      <c r="AB29" s="73"/>
      <c r="AC29" s="72">
        <f>ROUND(AVERAGE(S29:AB29),2)</f>
        <v>57.93</v>
      </c>
      <c r="AD29" s="73"/>
    </row>
    <row r="30" spans="1:30" x14ac:dyDescent="0.2">
      <c r="A30" s="90" t="s">
        <v>90</v>
      </c>
      <c r="B30" s="90" t="s">
        <v>91</v>
      </c>
      <c r="C30" s="65">
        <v>147235000</v>
      </c>
      <c r="E30" s="65">
        <v>115339000</v>
      </c>
      <c r="G30" s="65">
        <v>77506000</v>
      </c>
      <c r="I30" s="65">
        <v>60301000</v>
      </c>
      <c r="K30" s="65">
        <v>62505000</v>
      </c>
      <c r="M30" s="65">
        <v>62681000</v>
      </c>
      <c r="N30" s="65"/>
      <c r="O30" s="65"/>
      <c r="Q30" s="90" t="s">
        <v>92</v>
      </c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C31" s="65"/>
      <c r="E31" s="65"/>
      <c r="G31" s="65"/>
      <c r="I31" s="65"/>
      <c r="K31" s="65"/>
      <c r="M31" s="65"/>
      <c r="N31" s="65"/>
      <c r="O31" s="65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</row>
    <row r="32" spans="1:30" x14ac:dyDescent="0.2">
      <c r="A32" s="90" t="s">
        <v>93</v>
      </c>
      <c r="B32" s="90" t="s">
        <v>94</v>
      </c>
      <c r="C32" s="65">
        <v>222850000</v>
      </c>
      <c r="E32" s="65">
        <v>231232000</v>
      </c>
      <c r="G32" s="65">
        <v>221742000</v>
      </c>
      <c r="I32" s="65">
        <v>206434000</v>
      </c>
      <c r="K32" s="65">
        <v>196412000</v>
      </c>
      <c r="M32" s="65">
        <v>186749000</v>
      </c>
      <c r="N32" s="65"/>
      <c r="O32" s="65"/>
      <c r="Q32" s="90" t="s">
        <v>95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</row>
    <row r="33" spans="1:30" x14ac:dyDescent="0.2">
      <c r="A33" s="95"/>
      <c r="B33" s="95"/>
      <c r="C33" s="65"/>
      <c r="D33" s="95"/>
      <c r="E33" s="65"/>
      <c r="F33" s="95"/>
      <c r="G33" s="65"/>
      <c r="H33" s="95"/>
      <c r="I33" s="78"/>
      <c r="J33" s="95"/>
      <c r="K33" s="78"/>
      <c r="L33" s="95"/>
      <c r="M33" s="78"/>
      <c r="N33" s="78"/>
      <c r="O33" s="78"/>
      <c r="Q33" s="90" t="s">
        <v>96</v>
      </c>
      <c r="S33" s="72">
        <f>ROUND((((C12+C19)/C56)*100),2)</f>
        <v>49.53</v>
      </c>
      <c r="T33" s="73" t="s">
        <v>4</v>
      </c>
      <c r="U33" s="72">
        <f>ROUND((((E12+E19)/E56)*100),2)</f>
        <v>45.04</v>
      </c>
      <c r="V33" s="73" t="s">
        <v>4</v>
      </c>
      <c r="W33" s="72">
        <f>ROUND((((G12+G19)/G56)*100),2)</f>
        <v>48.47</v>
      </c>
      <c r="X33" s="73" t="s">
        <v>4</v>
      </c>
      <c r="Y33" s="72">
        <f>ROUND((((I12+I19)/I56)*100),2)</f>
        <v>48.1</v>
      </c>
      <c r="Z33" s="73" t="s">
        <v>4</v>
      </c>
      <c r="AA33" s="72">
        <f>ROUND((((K12+K19)/K56)*100),2)</f>
        <v>47.49</v>
      </c>
      <c r="AB33" s="73" t="s">
        <v>4</v>
      </c>
      <c r="AC33" s="72">
        <f>ROUND(AVERAGE(S33:AB33),2)</f>
        <v>47.73</v>
      </c>
      <c r="AD33" s="73" t="s">
        <v>4</v>
      </c>
    </row>
    <row r="34" spans="1:30" x14ac:dyDescent="0.2">
      <c r="A34" s="90" t="s">
        <v>97</v>
      </c>
      <c r="B34" s="90" t="s">
        <v>98</v>
      </c>
      <c r="C34" s="64">
        <f>C32</f>
        <v>222850000</v>
      </c>
      <c r="E34" s="64">
        <v>231232000</v>
      </c>
      <c r="G34" s="64">
        <f>G32</f>
        <v>221742000</v>
      </c>
      <c r="I34" s="64">
        <f>I32</f>
        <v>206434000</v>
      </c>
      <c r="K34" s="64">
        <f>K32</f>
        <v>196412000</v>
      </c>
      <c r="M34" s="65">
        <f>M32</f>
        <v>186749000</v>
      </c>
      <c r="N34" s="65"/>
      <c r="O34" s="65"/>
      <c r="Q34" s="90" t="s">
        <v>88</v>
      </c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C35" s="65"/>
      <c r="E35" s="65"/>
      <c r="G35" s="65"/>
      <c r="I35" s="65"/>
      <c r="K35" s="65"/>
      <c r="M35" s="65"/>
      <c r="N35" s="65"/>
      <c r="O35" s="65"/>
      <c r="Q35" s="90" t="s">
        <v>89</v>
      </c>
      <c r="S35" s="74">
        <f>ROUND((((C16)/C56)*100),2)</f>
        <v>50.47</v>
      </c>
      <c r="T35" s="73"/>
      <c r="U35" s="74">
        <f>ROUND((((E16)/E56)*100),2)</f>
        <v>54.96</v>
      </c>
      <c r="V35" s="73"/>
      <c r="W35" s="74">
        <f>ROUND((((G16)/G56)*100),2)</f>
        <v>51.53</v>
      </c>
      <c r="X35" s="73"/>
      <c r="Y35" s="74">
        <f>ROUND((((I16)/I56)*100),2)</f>
        <v>51.9</v>
      </c>
      <c r="Z35" s="73"/>
      <c r="AA35" s="74">
        <f>ROUND((((K16)/K56)*100),2)</f>
        <v>52.51</v>
      </c>
      <c r="AB35" s="73"/>
      <c r="AC35" s="72">
        <f>ROUND(AVERAGE(S35:AB35),2)</f>
        <v>52.27</v>
      </c>
      <c r="AD35" s="73"/>
    </row>
    <row r="36" spans="1:30" x14ac:dyDescent="0.2">
      <c r="A36" s="90" t="s">
        <v>99</v>
      </c>
      <c r="B36" s="90" t="s">
        <v>100</v>
      </c>
      <c r="C36" s="64">
        <v>0</v>
      </c>
      <c r="E36" s="64">
        <v>0</v>
      </c>
      <c r="G36" s="64">
        <v>0</v>
      </c>
      <c r="I36" s="64">
        <v>0</v>
      </c>
      <c r="K36" s="64">
        <v>0</v>
      </c>
      <c r="M36" s="65">
        <v>0</v>
      </c>
      <c r="N36" s="65"/>
      <c r="O36" s="65"/>
      <c r="Q36" s="90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C37" s="65"/>
      <c r="E37" s="65"/>
      <c r="G37" s="65"/>
      <c r="I37" s="65"/>
      <c r="K37" s="65"/>
      <c r="M37" s="65"/>
      <c r="N37" s="65"/>
      <c r="O37" s="65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0" x14ac:dyDescent="0.2">
      <c r="A38" s="90" t="s">
        <v>101</v>
      </c>
      <c r="B38" s="90" t="s">
        <v>102</v>
      </c>
      <c r="C38" s="65">
        <v>149456000</v>
      </c>
      <c r="E38" s="65">
        <v>144094000</v>
      </c>
      <c r="G38" s="65">
        <v>133954000</v>
      </c>
      <c r="I38" s="64">
        <v>123912000</v>
      </c>
      <c r="K38" s="64">
        <v>114372000</v>
      </c>
      <c r="M38" s="65">
        <v>105424000</v>
      </c>
      <c r="N38" s="65"/>
      <c r="O38" s="65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</row>
    <row r="39" spans="1:30" x14ac:dyDescent="0.2">
      <c r="C39" s="65"/>
      <c r="E39" s="65"/>
      <c r="G39" s="65"/>
      <c r="I39" s="65"/>
      <c r="K39" s="65"/>
      <c r="M39" s="65"/>
      <c r="N39" s="65"/>
      <c r="O39" s="65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</row>
    <row r="40" spans="1:30" x14ac:dyDescent="0.2">
      <c r="A40" s="90" t="s">
        <v>103</v>
      </c>
      <c r="B40" s="90" t="s">
        <v>104</v>
      </c>
      <c r="C40" s="65">
        <f>C34</f>
        <v>222850000</v>
      </c>
      <c r="E40" s="65">
        <f>E34</f>
        <v>231232000</v>
      </c>
      <c r="G40" s="65">
        <f>G32</f>
        <v>221742000</v>
      </c>
      <c r="I40" s="65">
        <f>I32</f>
        <v>206434000</v>
      </c>
      <c r="K40" s="65">
        <f>K32</f>
        <v>196412000</v>
      </c>
      <c r="M40" s="65">
        <f>M32</f>
        <v>186749000</v>
      </c>
      <c r="N40" s="65"/>
      <c r="O40" s="65"/>
      <c r="Q40" s="102" t="s">
        <v>105</v>
      </c>
      <c r="R40" s="102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</row>
    <row r="41" spans="1:30" x14ac:dyDescent="0.2">
      <c r="A41" s="90" t="s">
        <v>106</v>
      </c>
      <c r="B41" s="90" t="s">
        <v>107</v>
      </c>
      <c r="C41" s="65">
        <v>368411000</v>
      </c>
      <c r="E41" s="65">
        <v>939532000</v>
      </c>
      <c r="G41" s="65">
        <v>1570842000</v>
      </c>
      <c r="I41" s="65">
        <f>-1535657000+1562574000+367210000</f>
        <v>394127000</v>
      </c>
      <c r="K41" s="65">
        <v>364500000</v>
      </c>
      <c r="M41" s="65">
        <v>310345000</v>
      </c>
      <c r="N41" s="65"/>
      <c r="O41" s="65"/>
      <c r="Q41" s="102"/>
      <c r="R41" s="102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</row>
    <row r="42" spans="1:30" x14ac:dyDescent="0.2">
      <c r="A42" s="90" t="s">
        <v>108</v>
      </c>
      <c r="B42" s="90" t="s">
        <v>109</v>
      </c>
      <c r="C42" s="65">
        <f>(-67289-14013-49677+25913-58952-15014+6815-5944-90829+19354-17091-11371)*1000</f>
        <v>-278098000</v>
      </c>
      <c r="E42" s="65">
        <f>(196272-6776-3947+82108-62023-90046-9559+4333+7249+38869+30017-2048)*1000</f>
        <v>184449000</v>
      </c>
      <c r="G42" s="65">
        <f>(-213656-15981-89559-47032+85915+11317-4600+52417+53992-23377-14107)*1000</f>
        <v>-204671000</v>
      </c>
      <c r="I42" s="65">
        <f>(-57902-2126-85700-49029+107207+3235-5574+18461-11190)*1000</f>
        <v>-82618000</v>
      </c>
      <c r="K42" s="65">
        <f>(-58423+2966+10313-40833+28376+15844+10041-38773+23648-3109-12877-7704)*1000</f>
        <v>-70531000</v>
      </c>
      <c r="M42" s="65">
        <f>(26415-11399+3036-47784-59293+316-3196+28203-35401+10689)*1000</f>
        <v>-88414000</v>
      </c>
      <c r="N42" s="65"/>
      <c r="O42" s="65"/>
      <c r="Q42" s="102" t="s">
        <v>110</v>
      </c>
      <c r="R42" s="102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</row>
    <row r="43" spans="1:30" x14ac:dyDescent="0.2">
      <c r="A43" s="90" t="s">
        <v>111</v>
      </c>
      <c r="B43" s="90" t="s">
        <v>112</v>
      </c>
      <c r="C43" s="65">
        <v>296699000</v>
      </c>
      <c r="E43" s="65">
        <v>279830000</v>
      </c>
      <c r="G43" s="65">
        <v>228479000</v>
      </c>
      <c r="I43" s="65">
        <v>207233000</v>
      </c>
      <c r="K43" s="65">
        <v>194881000</v>
      </c>
      <c r="M43" s="65">
        <v>180395000</v>
      </c>
      <c r="N43" s="65"/>
      <c r="O43" s="65"/>
      <c r="Q43" s="90" t="s">
        <v>113</v>
      </c>
      <c r="S43" s="72">
        <f>ROUND(C21/C52,4)*100</f>
        <v>5.71</v>
      </c>
      <c r="T43" s="73" t="s">
        <v>4</v>
      </c>
      <c r="U43" s="72">
        <f>ROUND(E21/E52,4)*100</f>
        <v>5.8500000000000005</v>
      </c>
      <c r="V43" s="73" t="s">
        <v>4</v>
      </c>
      <c r="W43" s="72">
        <f>ROUND(G21/G52,4)*100</f>
        <v>5.04</v>
      </c>
      <c r="X43" s="73" t="s">
        <v>4</v>
      </c>
      <c r="Y43" s="72">
        <f>ROUND(I21/I52,4)*100</f>
        <v>5.3199999999999994</v>
      </c>
      <c r="Z43" s="73" t="s">
        <v>4</v>
      </c>
      <c r="AA43" s="72">
        <f>ROUND(K21/K52,4)*100</f>
        <v>4.51</v>
      </c>
      <c r="AB43" s="73" t="s">
        <v>4</v>
      </c>
      <c r="AC43" s="72">
        <f>ROUND(AVERAGE(S43:AB43),2)</f>
        <v>5.29</v>
      </c>
      <c r="AD43" s="73" t="s">
        <v>4</v>
      </c>
    </row>
    <row r="44" spans="1:30" x14ac:dyDescent="0.2">
      <c r="A44" s="90" t="s">
        <v>114</v>
      </c>
      <c r="B44" s="90" t="s">
        <v>115</v>
      </c>
      <c r="C44" s="65">
        <v>36386000</v>
      </c>
      <c r="E44" s="65">
        <v>40495000</v>
      </c>
      <c r="G44" s="65">
        <v>46526000</v>
      </c>
      <c r="I44" s="65">
        <v>40316000</v>
      </c>
      <c r="K44" s="65">
        <v>41579000</v>
      </c>
      <c r="M44" s="65">
        <v>42852000</v>
      </c>
      <c r="N44" s="65"/>
      <c r="O44" s="65"/>
      <c r="Q44" s="90" t="s">
        <v>116</v>
      </c>
      <c r="S44" s="72">
        <f>(ROUND((C52/(AVERAGE(C48,E48))*100),2))</f>
        <v>135.97999999999999</v>
      </c>
      <c r="T44" s="54"/>
      <c r="U44" s="72">
        <f>(ROUND((E52/(AVERAGE(E48,G48))*100),2))</f>
        <v>148.03</v>
      </c>
      <c r="V44" s="54"/>
      <c r="W44" s="72">
        <f>(ROUND((G52/(AVERAGE(G48,I48))*100),2))</f>
        <v>178.91</v>
      </c>
      <c r="X44" s="54"/>
      <c r="Y44" s="72">
        <f>(ROUND((I52/(AVERAGE(I48,K48))*100),2))</f>
        <v>168.59</v>
      </c>
      <c r="Z44" s="54"/>
      <c r="AA44" s="72">
        <f>(ROUND((K52/(AVERAGE(K48,M48))*100),2))</f>
        <v>198.21</v>
      </c>
      <c r="AB44" s="54"/>
      <c r="AC44" s="72">
        <f>ROUND(AVERAGE(S44:AB44),2)</f>
        <v>165.94</v>
      </c>
      <c r="AD44" s="54"/>
    </row>
    <row r="45" spans="1:30" x14ac:dyDescent="0.2">
      <c r="I45" s="91"/>
      <c r="K45" s="91"/>
      <c r="M45" s="91"/>
      <c r="N45" s="91"/>
      <c r="O45" s="91"/>
      <c r="Q45" s="90" t="s">
        <v>117</v>
      </c>
      <c r="S45" s="72">
        <f>ROUND(((+C26/C52)*100),2)</f>
        <v>3.85</v>
      </c>
      <c r="T45" s="54"/>
      <c r="U45" s="72">
        <f>ROUND(((+E26/E52)*100),2)</f>
        <v>3.67</v>
      </c>
      <c r="V45" s="54"/>
      <c r="W45" s="72">
        <f>ROUND(((+G26/G52)*100),2)</f>
        <v>3.06</v>
      </c>
      <c r="X45" s="54"/>
      <c r="Y45" s="72">
        <f>ROUND(((+I26/I52)*100),2)</f>
        <v>3.21</v>
      </c>
      <c r="Z45" s="54"/>
      <c r="AA45" s="72">
        <f>ROUND(((+K26/K52)*100),2)</f>
        <v>2.65</v>
      </c>
      <c r="AB45" s="54"/>
      <c r="AC45" s="72">
        <f>ROUND(AVERAGE(S45:AB45),2)</f>
        <v>3.29</v>
      </c>
      <c r="AD45" s="54"/>
    </row>
    <row r="46" spans="1:30" x14ac:dyDescent="0.2">
      <c r="A46" s="90" t="s">
        <v>118</v>
      </c>
      <c r="I46" s="91"/>
      <c r="K46" s="91"/>
      <c r="M46" s="91"/>
      <c r="N46" s="91"/>
      <c r="O46" s="91"/>
      <c r="Q46" s="90" t="s">
        <v>119</v>
      </c>
      <c r="S46" s="72">
        <f>ROUND(((+C38/C34)*100),2)</f>
        <v>67.069999999999993</v>
      </c>
      <c r="T46" s="54"/>
      <c r="U46" s="72">
        <f>ROUND(((+E38/E34)*100),2)</f>
        <v>62.32</v>
      </c>
      <c r="V46" s="54"/>
      <c r="W46" s="72">
        <f>ROUND(((+G38/G34)*100),2)</f>
        <v>60.41</v>
      </c>
      <c r="X46" s="54"/>
      <c r="Y46" s="72">
        <f>ROUND(((+I38/I34)*100),2)</f>
        <v>60.02</v>
      </c>
      <c r="Z46" s="54"/>
      <c r="AA46" s="72">
        <f>ROUND(((+K38/K34)*100),2)</f>
        <v>58.23</v>
      </c>
      <c r="AB46" s="54"/>
      <c r="AC46" s="72">
        <f>ROUND(AVERAGE(S46:AB46),2)</f>
        <v>61.61</v>
      </c>
      <c r="AD46" s="54"/>
    </row>
    <row r="47" spans="1:30" x14ac:dyDescent="0.2">
      <c r="I47" s="91"/>
      <c r="K47" s="91"/>
      <c r="M47" s="91"/>
      <c r="N47" s="91"/>
      <c r="O47" s="91"/>
      <c r="S47" s="72"/>
      <c r="T47" s="54"/>
      <c r="U47" s="72"/>
      <c r="V47" s="54"/>
      <c r="W47" s="72"/>
      <c r="X47" s="54"/>
      <c r="Y47" s="72"/>
      <c r="Z47" s="54"/>
      <c r="AA47" s="72"/>
      <c r="AB47" s="54"/>
      <c r="AC47" s="72"/>
      <c r="AD47" s="54"/>
    </row>
    <row r="48" spans="1:30" x14ac:dyDescent="0.2">
      <c r="A48" s="90" t="s">
        <v>120</v>
      </c>
      <c r="B48" s="90" t="s">
        <v>121</v>
      </c>
      <c r="C48" s="65">
        <f>C16/C15</f>
        <v>51.848876981042814</v>
      </c>
      <c r="E48" s="65">
        <f>E16/E15</f>
        <v>48.913817377889167</v>
      </c>
      <c r="G48" s="65">
        <f>G16/G15</f>
        <v>46.692468795909029</v>
      </c>
      <c r="I48" s="65">
        <f>I16/I15</f>
        <v>43.807409625491367</v>
      </c>
      <c r="K48" s="65">
        <f>K16/K15</f>
        <v>42.005797121293874</v>
      </c>
      <c r="L48" s="54"/>
      <c r="M48" s="65">
        <f>M16/M15</f>
        <v>40.350946109442006</v>
      </c>
      <c r="N48" s="65"/>
      <c r="O48" s="65"/>
      <c r="Q48" s="102" t="s">
        <v>122</v>
      </c>
      <c r="R48" s="102"/>
      <c r="S48" s="72">
        <f>ROUND(((C34/AVERAGE(C16,E16))*100),2)</f>
        <v>7.59</v>
      </c>
      <c r="T48" s="54" t="s">
        <v>4</v>
      </c>
      <c r="U48" s="72">
        <f>ROUND(((E34/AVERAGE(E16,G16))*100),2)</f>
        <v>8.64</v>
      </c>
      <c r="V48" s="54" t="s">
        <v>4</v>
      </c>
      <c r="W48" s="72">
        <f>ROUND(((G34/AVERAGE(G16,I16))*100),2)</f>
        <v>8.99</v>
      </c>
      <c r="X48" s="54" t="s">
        <v>4</v>
      </c>
      <c r="Y48" s="72">
        <f>ROUND(((I34/AVERAGE(I16,K16))*100),2)</f>
        <v>9.01</v>
      </c>
      <c r="Z48" s="54" t="s">
        <v>4</v>
      </c>
      <c r="AA48" s="72">
        <f>ROUND(((K34/AVERAGE(K16,M16))*100),2)</f>
        <v>9</v>
      </c>
      <c r="AB48" s="54" t="s">
        <v>4</v>
      </c>
      <c r="AC48" s="72">
        <f>ROUND(AVERAGE(S48:AB48),2)</f>
        <v>8.65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L49" s="54"/>
      <c r="M49" s="65"/>
      <c r="N49" s="65"/>
      <c r="O49" s="65"/>
      <c r="S49" s="72"/>
      <c r="T49" s="54"/>
      <c r="U49" s="72"/>
      <c r="V49" s="54"/>
      <c r="W49" s="72"/>
      <c r="X49" s="54"/>
      <c r="Y49" s="72"/>
      <c r="Z49" s="54"/>
      <c r="AA49" s="72"/>
      <c r="AB49" s="54"/>
      <c r="AC49" s="73"/>
      <c r="AD49" s="54"/>
    </row>
    <row r="50" spans="1:30" x14ac:dyDescent="0.2">
      <c r="A50" s="90" t="s">
        <v>123</v>
      </c>
      <c r="B50" s="90" t="s">
        <v>121</v>
      </c>
      <c r="C50" s="65">
        <f>SUM(C12:C13,C16:C17)</f>
        <v>5236280000</v>
      </c>
      <c r="E50" s="65">
        <f>SUM(E12:E13,E16:E17)</f>
        <v>4943756000</v>
      </c>
      <c r="G50" s="65">
        <f>SUM(G12:G13,G16:G17)</f>
        <v>4463826000</v>
      </c>
      <c r="I50" s="65">
        <f>SUM(I12:I13,I16:I17)</f>
        <v>4032910000</v>
      </c>
      <c r="K50" s="65">
        <f>SUM(K12:K13,K16:K17)</f>
        <v>3834611000</v>
      </c>
      <c r="L50" s="54"/>
      <c r="M50" s="65">
        <f>SUM(M12:M13,M16:M17)</f>
        <v>3415454000</v>
      </c>
      <c r="N50" s="65"/>
      <c r="O50" s="65"/>
      <c r="Q50" s="102" t="s">
        <v>124</v>
      </c>
      <c r="R50" s="102"/>
      <c r="S50" s="72">
        <f>ROUND((C54/C62),2)</f>
        <v>4.33</v>
      </c>
      <c r="T50" s="73" t="s">
        <v>125</v>
      </c>
      <c r="U50" s="72">
        <f>ROUND((E54/E62),2)</f>
        <v>3.4</v>
      </c>
      <c r="V50" s="73" t="s">
        <v>125</v>
      </c>
      <c r="W50" s="72">
        <f>ROUND((G54/G62),2)</f>
        <v>4.2300000000000004</v>
      </c>
      <c r="X50" s="73" t="s">
        <v>125</v>
      </c>
      <c r="Y50" s="72">
        <f>ROUND((I54/I62),2)</f>
        <v>4.2300000000000004</v>
      </c>
      <c r="Z50" s="73" t="s">
        <v>125</v>
      </c>
      <c r="AA50" s="72">
        <f>ROUND((K54/K62),2)</f>
        <v>4.08</v>
      </c>
      <c r="AB50" s="73" t="s">
        <v>125</v>
      </c>
      <c r="AC50" s="72">
        <f>ROUND(AVERAGE(S50:AB50),2)</f>
        <v>4.05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L51" s="54"/>
      <c r="M51" s="65"/>
      <c r="N51" s="65"/>
      <c r="O51" s="65"/>
      <c r="Q51" s="102"/>
      <c r="R51" s="102"/>
      <c r="S51" s="72"/>
      <c r="T51" s="54"/>
      <c r="U51" s="72"/>
      <c r="V51" s="54"/>
      <c r="W51" s="72"/>
      <c r="X51" s="54"/>
      <c r="Y51" s="72"/>
      <c r="Z51" s="54"/>
      <c r="AA51" s="72"/>
      <c r="AB51" s="54"/>
      <c r="AC51" s="72"/>
      <c r="AD51" s="54"/>
    </row>
    <row r="52" spans="1:30" x14ac:dyDescent="0.2">
      <c r="A52" s="90" t="s">
        <v>126</v>
      </c>
      <c r="B52" s="90" t="s">
        <v>121</v>
      </c>
      <c r="C52" s="65">
        <f>AVERAGE(C22:C23)</f>
        <v>68.509999999999991</v>
      </c>
      <c r="E52" s="65">
        <f>AVERAGE(E22:E23)</f>
        <v>70.765000000000001</v>
      </c>
      <c r="G52" s="65">
        <f>AVERAGE(G22:G23)</f>
        <v>80.954999999999998</v>
      </c>
      <c r="I52" s="65">
        <f>AVERAGE(I22:I23)</f>
        <v>72.335000000000008</v>
      </c>
      <c r="K52" s="65">
        <f>AVERAGE(K22:K23)</f>
        <v>81.62</v>
      </c>
      <c r="L52" s="54"/>
      <c r="M52" s="65">
        <f>AVERAGE(M22:M23)</f>
        <v>86.199999999999989</v>
      </c>
      <c r="N52" s="65"/>
      <c r="O52" s="65"/>
      <c r="Q52" s="102" t="s">
        <v>127</v>
      </c>
      <c r="R52" s="102"/>
      <c r="S52" s="72">
        <f>ROUND(((C60/C54)*100),2)</f>
        <v>2.7</v>
      </c>
      <c r="T52" s="73" t="s">
        <v>4</v>
      </c>
      <c r="U52" s="72">
        <f>ROUND(((E60/E54)*100),2)</f>
        <v>49.34</v>
      </c>
      <c r="V52" s="73" t="s">
        <v>4</v>
      </c>
      <c r="W52" s="72">
        <f>ROUND(((G60/G54)*100),2)</f>
        <v>56</v>
      </c>
      <c r="X52" s="73" t="s">
        <v>4</v>
      </c>
      <c r="Y52" s="72">
        <f>ROUND(((I60/I54)*100),2)</f>
        <v>14.11</v>
      </c>
      <c r="Z52" s="73" t="s">
        <v>4</v>
      </c>
      <c r="AA52" s="72">
        <f>ROUND(((K60/K54)*100),2)</f>
        <v>14.35</v>
      </c>
      <c r="AB52" s="73" t="s">
        <v>4</v>
      </c>
      <c r="AC52" s="72">
        <f>ROUND(AVERAGE(S52:AB52),2)</f>
        <v>27.3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L53" s="54"/>
      <c r="M53" s="65"/>
      <c r="N53" s="65"/>
      <c r="O53" s="65"/>
      <c r="Q53" s="104"/>
      <c r="R53" s="104"/>
      <c r="S53" s="72"/>
      <c r="T53" s="54"/>
      <c r="U53" s="72"/>
      <c r="V53" s="54"/>
      <c r="W53" s="72"/>
      <c r="X53" s="54"/>
      <c r="Y53" s="72"/>
      <c r="Z53" s="54"/>
      <c r="AA53" s="72"/>
      <c r="AB53" s="54"/>
      <c r="AC53" s="54"/>
      <c r="AD53" s="54"/>
    </row>
    <row r="54" spans="1:30" x14ac:dyDescent="0.2">
      <c r="A54" s="90" t="s">
        <v>13</v>
      </c>
      <c r="C54" s="81">
        <f>+C19+C12</f>
        <v>3046332000</v>
      </c>
      <c r="E54" s="81">
        <f>+E19+E12</f>
        <v>2266379000</v>
      </c>
      <c r="G54" s="81">
        <f>+G19+G12</f>
        <v>2431400000</v>
      </c>
      <c r="I54" s="81">
        <f>+I19+I12</f>
        <v>2177378000</v>
      </c>
      <c r="K54" s="81">
        <f>+K19+K12</f>
        <v>2019525000</v>
      </c>
      <c r="L54" s="54"/>
      <c r="M54" s="81">
        <f>+M19+M12</f>
        <v>1802564000</v>
      </c>
      <c r="N54" s="81"/>
      <c r="O54" s="81"/>
      <c r="Q54" s="104" t="s">
        <v>128</v>
      </c>
      <c r="R54" s="104"/>
      <c r="S54" s="72">
        <f>S33</f>
        <v>49.53</v>
      </c>
      <c r="T54" s="73" t="s">
        <v>4</v>
      </c>
      <c r="U54" s="72">
        <f>U33</f>
        <v>45.04</v>
      </c>
      <c r="V54" s="73" t="s">
        <v>4</v>
      </c>
      <c r="W54" s="72">
        <f>W33</f>
        <v>48.47</v>
      </c>
      <c r="X54" s="73" t="s">
        <v>4</v>
      </c>
      <c r="Y54" s="72">
        <f>Y33</f>
        <v>48.1</v>
      </c>
      <c r="Z54" s="73" t="s">
        <v>4</v>
      </c>
      <c r="AA54" s="72">
        <f>AA33</f>
        <v>47.49</v>
      </c>
      <c r="AB54" s="73" t="s">
        <v>4</v>
      </c>
      <c r="AC54" s="72">
        <f>ROUND(AVERAGE(S54:AB54),2)</f>
        <v>47.73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L55" s="54"/>
      <c r="M55" s="65"/>
      <c r="N55" s="65"/>
      <c r="O55" s="65"/>
      <c r="U55" s="54"/>
      <c r="V55" s="54"/>
      <c r="W55" s="54"/>
      <c r="X55" s="54"/>
      <c r="Y55" s="54"/>
      <c r="Z55" s="54"/>
      <c r="AA55" s="54"/>
      <c r="AB55" s="54"/>
      <c r="AC55" s="54"/>
      <c r="AD55" s="54"/>
    </row>
    <row r="56" spans="1:30" x14ac:dyDescent="0.2">
      <c r="A56" s="90" t="s">
        <v>14</v>
      </c>
      <c r="B56" s="90" t="s">
        <v>121</v>
      </c>
      <c r="C56" s="65">
        <f>SUM(C50,C19)</f>
        <v>6150880000</v>
      </c>
      <c r="E56" s="65">
        <f>SUM(E50,E19)</f>
        <v>5032256000</v>
      </c>
      <c r="G56" s="65">
        <f>SUM(G50,G19)</f>
        <v>5015826000</v>
      </c>
      <c r="I56" s="65">
        <f>SUM(I50,I19)</f>
        <v>4526910000</v>
      </c>
      <c r="K56" s="65">
        <f>SUM(K50,K19)</f>
        <v>4252836000</v>
      </c>
      <c r="L56" s="54"/>
      <c r="M56" s="65">
        <f>SUM(M50,M19)</f>
        <v>3931954000</v>
      </c>
      <c r="N56" s="65"/>
      <c r="O56" s="65"/>
    </row>
    <row r="57" spans="1:30" x14ac:dyDescent="0.2">
      <c r="C57" s="65"/>
      <c r="E57" s="65"/>
      <c r="G57" s="65"/>
      <c r="I57" s="65"/>
      <c r="K57" s="65"/>
      <c r="L57" s="54"/>
      <c r="M57" s="65"/>
      <c r="N57" s="65"/>
      <c r="O57" s="65"/>
    </row>
    <row r="58" spans="1:30" x14ac:dyDescent="0.2">
      <c r="A58" s="90" t="s">
        <v>129</v>
      </c>
      <c r="B58" s="90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L58" s="54"/>
      <c r="M58" s="65">
        <f>SUM(M13,M17)</f>
        <v>0</v>
      </c>
      <c r="N58" s="65"/>
      <c r="O58" s="65"/>
    </row>
    <row r="59" spans="1:30" x14ac:dyDescent="0.2">
      <c r="C59" s="65"/>
      <c r="E59" s="65"/>
      <c r="G59" s="65"/>
      <c r="I59" s="65"/>
      <c r="K59" s="65"/>
      <c r="L59" s="54"/>
      <c r="M59" s="65"/>
      <c r="N59" s="65"/>
      <c r="O59" s="65"/>
    </row>
    <row r="60" spans="1:30" x14ac:dyDescent="0.2">
      <c r="A60" s="105" t="s">
        <v>130</v>
      </c>
      <c r="B60" s="90" t="s">
        <v>121</v>
      </c>
      <c r="C60" s="65">
        <f>ROUND(C41+C42-C28,3)</f>
        <v>82113000</v>
      </c>
      <c r="E60" s="65">
        <f>ROUND(E41+E42-E28,3)</f>
        <v>1118281000</v>
      </c>
      <c r="G60" s="65">
        <f>ROUND(G41+G42-G28,3)</f>
        <v>1361671000</v>
      </c>
      <c r="I60" s="65">
        <f>ROUND(I41+I42-I28,3)</f>
        <v>307309000</v>
      </c>
      <c r="K60" s="65">
        <f>ROUND(K41+K42-K28,3)</f>
        <v>289769000</v>
      </c>
      <c r="L60" s="54"/>
      <c r="M60" s="65">
        <f>ROUND(M41+M42-M28,3)</f>
        <v>217331000</v>
      </c>
      <c r="N60" s="65"/>
      <c r="O60" s="65"/>
    </row>
    <row r="61" spans="1:30" x14ac:dyDescent="0.2">
      <c r="A61" s="105"/>
      <c r="C61" s="65"/>
      <c r="E61" s="65"/>
      <c r="G61" s="65"/>
      <c r="I61" s="65"/>
      <c r="K61" s="65"/>
      <c r="L61" s="54"/>
      <c r="M61" s="65"/>
      <c r="N61" s="65"/>
      <c r="O61" s="65"/>
    </row>
    <row r="62" spans="1:30" x14ac:dyDescent="0.2">
      <c r="A62" s="90" t="s">
        <v>131</v>
      </c>
      <c r="B62" s="90" t="s">
        <v>121</v>
      </c>
      <c r="C62" s="65">
        <f>C40+C44+C43+C30</f>
        <v>703170000</v>
      </c>
      <c r="E62" s="65">
        <f>E40+E44+E43+E30</f>
        <v>666896000</v>
      </c>
      <c r="G62" s="65">
        <f>G40+G44+G43+G30</f>
        <v>574253000</v>
      </c>
      <c r="I62" s="65">
        <f>I40+I44+I43+I30</f>
        <v>514284000</v>
      </c>
      <c r="K62" s="65">
        <f>K40+K44+K43+K30</f>
        <v>495377000</v>
      </c>
      <c r="L62" s="54"/>
      <c r="M62" s="65">
        <f>M40+M44+M43+M30</f>
        <v>472677000</v>
      </c>
      <c r="N62" s="65"/>
      <c r="O62" s="65"/>
    </row>
    <row r="63" spans="1:30" x14ac:dyDescent="0.2">
      <c r="M63" s="92"/>
      <c r="N63" s="92"/>
      <c r="O63" s="92"/>
    </row>
    <row r="64" spans="1:30" x14ac:dyDescent="0.2">
      <c r="M64" s="92"/>
      <c r="N64" s="92"/>
      <c r="O64" s="92"/>
    </row>
    <row r="71" spans="13:15" x14ac:dyDescent="0.2">
      <c r="M71" s="92"/>
      <c r="N71" s="92"/>
      <c r="O71" s="92"/>
    </row>
    <row r="81" spans="13:223" x14ac:dyDescent="0.2">
      <c r="HK81" s="106"/>
      <c r="HL81" s="106"/>
      <c r="HO81" s="90" t="s">
        <v>132</v>
      </c>
    </row>
    <row r="94" spans="13:223" x14ac:dyDescent="0.2">
      <c r="M94" s="92"/>
      <c r="N94" s="92"/>
      <c r="O94" s="92"/>
    </row>
    <row r="95" spans="13:223" x14ac:dyDescent="0.2">
      <c r="M95" s="92"/>
      <c r="N95" s="92"/>
      <c r="O95" s="92"/>
    </row>
    <row r="96" spans="13:223" x14ac:dyDescent="0.2">
      <c r="M96" s="92"/>
      <c r="N96" s="92"/>
      <c r="O96" s="92"/>
    </row>
    <row r="97" spans="13:15" x14ac:dyDescent="0.2">
      <c r="M97" s="92"/>
      <c r="N97" s="92"/>
      <c r="O97" s="92"/>
    </row>
    <row r="98" spans="13:15" x14ac:dyDescent="0.2">
      <c r="M98" s="92"/>
      <c r="N98" s="92"/>
      <c r="O98" s="92"/>
    </row>
    <row r="99" spans="13:15" x14ac:dyDescent="0.2">
      <c r="M99" s="92"/>
      <c r="N99" s="92"/>
      <c r="O99" s="92"/>
    </row>
    <row r="100" spans="13:15" x14ac:dyDescent="0.2">
      <c r="M100" s="92"/>
      <c r="N100" s="92"/>
      <c r="O100" s="92"/>
    </row>
    <row r="101" spans="13:15" x14ac:dyDescent="0.2">
      <c r="M101" s="92"/>
      <c r="N101" s="92"/>
      <c r="O101" s="92"/>
    </row>
    <row r="102" spans="13:15" x14ac:dyDescent="0.2">
      <c r="M102" s="92"/>
      <c r="N102" s="92"/>
      <c r="O102" s="92"/>
    </row>
    <row r="103" spans="13:15" x14ac:dyDescent="0.2">
      <c r="M103" s="92"/>
      <c r="N103" s="92"/>
      <c r="O103" s="92"/>
    </row>
    <row r="104" spans="13:15" x14ac:dyDescent="0.2">
      <c r="M104" s="92"/>
      <c r="N104" s="92"/>
      <c r="O104" s="92"/>
    </row>
    <row r="105" spans="13:15" x14ac:dyDescent="0.2">
      <c r="M105" s="92"/>
      <c r="N105" s="92"/>
      <c r="O105" s="92"/>
    </row>
    <row r="106" spans="13:15" x14ac:dyDescent="0.2">
      <c r="M106" s="92"/>
      <c r="N106" s="92"/>
      <c r="O106" s="92"/>
    </row>
    <row r="107" spans="13:15" x14ac:dyDescent="0.2">
      <c r="M107" s="92"/>
      <c r="N107" s="92"/>
      <c r="O107" s="92"/>
    </row>
    <row r="108" spans="13:15" x14ac:dyDescent="0.2">
      <c r="M108" s="92"/>
      <c r="N108" s="92"/>
      <c r="O108" s="92"/>
    </row>
    <row r="109" spans="13:15" x14ac:dyDescent="0.2">
      <c r="M109" s="92"/>
      <c r="N109" s="92"/>
      <c r="O109" s="92"/>
    </row>
    <row r="110" spans="13:15" x14ac:dyDescent="0.2">
      <c r="M110" s="92"/>
      <c r="N110" s="92"/>
      <c r="O110" s="92"/>
    </row>
    <row r="111" spans="13:15" x14ac:dyDescent="0.2">
      <c r="M111" s="92"/>
      <c r="N111" s="92"/>
      <c r="O111" s="92"/>
    </row>
    <row r="112" spans="13:15" x14ac:dyDescent="0.2">
      <c r="M112" s="92"/>
      <c r="N112" s="92"/>
      <c r="O112" s="92"/>
    </row>
    <row r="113" spans="13:15" x14ac:dyDescent="0.2">
      <c r="M113" s="92"/>
      <c r="N113" s="92"/>
      <c r="O113" s="92"/>
    </row>
    <row r="114" spans="13:15" x14ac:dyDescent="0.2">
      <c r="M114" s="92"/>
      <c r="N114" s="92"/>
      <c r="O114" s="92"/>
    </row>
    <row r="115" spans="13:15" x14ac:dyDescent="0.2">
      <c r="M115" s="92"/>
      <c r="N115" s="92"/>
      <c r="O115" s="92"/>
    </row>
    <row r="116" spans="13:15" x14ac:dyDescent="0.2">
      <c r="M116" s="92"/>
      <c r="N116" s="92"/>
      <c r="O116" s="92"/>
    </row>
    <row r="117" spans="13:15" x14ac:dyDescent="0.2">
      <c r="M117" s="92"/>
      <c r="N117" s="92"/>
      <c r="O117" s="92"/>
    </row>
    <row r="118" spans="13:15" x14ac:dyDescent="0.2">
      <c r="M118" s="92"/>
      <c r="N118" s="92"/>
      <c r="O118" s="92"/>
    </row>
    <row r="119" spans="13:15" x14ac:dyDescent="0.2">
      <c r="M119" s="92"/>
      <c r="N119" s="92"/>
      <c r="O119" s="92"/>
    </row>
    <row r="120" spans="13:15" x14ac:dyDescent="0.2">
      <c r="M120" s="92"/>
      <c r="N120" s="92"/>
      <c r="O120" s="92"/>
    </row>
    <row r="121" spans="13:15" x14ac:dyDescent="0.2">
      <c r="M121" s="92"/>
      <c r="N121" s="92"/>
      <c r="O121" s="92"/>
    </row>
    <row r="122" spans="13:15" x14ac:dyDescent="0.2">
      <c r="M122" s="92"/>
      <c r="N122" s="92"/>
      <c r="O122" s="92"/>
    </row>
    <row r="123" spans="13:15" x14ac:dyDescent="0.2">
      <c r="M123" s="92"/>
      <c r="N123" s="92"/>
      <c r="O123" s="92"/>
    </row>
    <row r="124" spans="13:15" x14ac:dyDescent="0.2">
      <c r="M124" s="92"/>
      <c r="N124" s="92"/>
      <c r="O124" s="92"/>
    </row>
    <row r="125" spans="13:15" x14ac:dyDescent="0.2">
      <c r="M125" s="92"/>
      <c r="N125" s="92"/>
      <c r="O125" s="92"/>
    </row>
    <row r="126" spans="13:15" x14ac:dyDescent="0.2">
      <c r="M126" s="92"/>
      <c r="N126" s="92"/>
      <c r="O126" s="92"/>
    </row>
    <row r="127" spans="13:15" x14ac:dyDescent="0.2">
      <c r="M127" s="92"/>
      <c r="N127" s="92"/>
      <c r="O127" s="92"/>
    </row>
    <row r="128" spans="13:15" x14ac:dyDescent="0.2">
      <c r="M128" s="92"/>
      <c r="N128" s="92"/>
      <c r="O128" s="92"/>
    </row>
    <row r="129" spans="13:15" x14ac:dyDescent="0.2">
      <c r="M129" s="92"/>
      <c r="N129" s="92"/>
      <c r="O129" s="92"/>
    </row>
    <row r="130" spans="13:15" x14ac:dyDescent="0.2">
      <c r="M130" s="92"/>
      <c r="N130" s="92"/>
      <c r="O130" s="92"/>
    </row>
    <row r="131" spans="13:15" x14ac:dyDescent="0.2">
      <c r="M131" s="92"/>
      <c r="N131" s="92"/>
      <c r="O131" s="92"/>
    </row>
    <row r="132" spans="13:15" x14ac:dyDescent="0.2">
      <c r="M132" s="92"/>
      <c r="N132" s="92"/>
      <c r="O132" s="92"/>
    </row>
    <row r="133" spans="13:15" x14ac:dyDescent="0.2">
      <c r="M133" s="92"/>
      <c r="N133" s="92"/>
      <c r="O133" s="92"/>
    </row>
    <row r="134" spans="13:15" x14ac:dyDescent="0.2">
      <c r="M134" s="92"/>
      <c r="N134" s="92"/>
      <c r="O134" s="92"/>
    </row>
    <row r="135" spans="13:15" x14ac:dyDescent="0.2">
      <c r="M135" s="92"/>
      <c r="N135" s="92"/>
      <c r="O135" s="92"/>
    </row>
    <row r="136" spans="13:15" x14ac:dyDescent="0.2">
      <c r="M136" s="92"/>
      <c r="N136" s="92"/>
      <c r="O136" s="92"/>
    </row>
    <row r="137" spans="13:15" x14ac:dyDescent="0.2">
      <c r="M137" s="92"/>
      <c r="N137" s="92"/>
      <c r="O137" s="92"/>
    </row>
    <row r="138" spans="13:15" x14ac:dyDescent="0.2">
      <c r="M138" s="92"/>
      <c r="N138" s="92"/>
      <c r="O138" s="92"/>
    </row>
    <row r="139" spans="13:15" x14ac:dyDescent="0.2">
      <c r="M139" s="92"/>
      <c r="N139" s="92"/>
      <c r="O139" s="92"/>
    </row>
    <row r="140" spans="13:15" x14ac:dyDescent="0.2">
      <c r="M140" s="92"/>
      <c r="N140" s="92"/>
      <c r="O140" s="92"/>
    </row>
    <row r="141" spans="13:15" x14ac:dyDescent="0.2">
      <c r="M141" s="92"/>
      <c r="N141" s="92"/>
      <c r="O141" s="92"/>
    </row>
    <row r="142" spans="13:15" x14ac:dyDescent="0.2">
      <c r="M142" s="92"/>
      <c r="N142" s="92"/>
      <c r="O142" s="92"/>
    </row>
    <row r="143" spans="13:15" x14ac:dyDescent="0.2">
      <c r="M143" s="92"/>
      <c r="N143" s="92"/>
      <c r="O143" s="92"/>
    </row>
    <row r="144" spans="13:15" x14ac:dyDescent="0.2">
      <c r="M144" s="92"/>
      <c r="N144" s="92"/>
      <c r="O144" s="92"/>
    </row>
    <row r="145" spans="13:15" x14ac:dyDescent="0.2">
      <c r="M145" s="92"/>
      <c r="N145" s="92"/>
      <c r="O145" s="92"/>
    </row>
    <row r="146" spans="13:15" x14ac:dyDescent="0.2">
      <c r="M146" s="92"/>
      <c r="N146" s="92"/>
      <c r="O146" s="92"/>
    </row>
    <row r="147" spans="13:15" x14ac:dyDescent="0.2">
      <c r="M147" s="92"/>
      <c r="N147" s="92"/>
      <c r="O147" s="92"/>
    </row>
    <row r="148" spans="13:15" x14ac:dyDescent="0.2">
      <c r="M148" s="92"/>
      <c r="N148" s="92"/>
      <c r="O148" s="92"/>
    </row>
    <row r="149" spans="13:15" x14ac:dyDescent="0.2">
      <c r="M149" s="92"/>
      <c r="N149" s="92"/>
      <c r="O149" s="92"/>
    </row>
    <row r="150" spans="13:15" x14ac:dyDescent="0.2">
      <c r="M150" s="92"/>
      <c r="N150" s="92"/>
      <c r="O150" s="92"/>
    </row>
    <row r="151" spans="13:15" x14ac:dyDescent="0.2">
      <c r="M151" s="92"/>
      <c r="N151" s="92"/>
      <c r="O151" s="92"/>
    </row>
    <row r="152" spans="13:15" x14ac:dyDescent="0.2">
      <c r="M152" s="92"/>
      <c r="N152" s="92"/>
      <c r="O152" s="92"/>
    </row>
    <row r="153" spans="13:15" x14ac:dyDescent="0.2">
      <c r="M153" s="92"/>
      <c r="N153" s="92"/>
      <c r="O153" s="92"/>
    </row>
    <row r="154" spans="13:15" x14ac:dyDescent="0.2">
      <c r="M154" s="92"/>
      <c r="N154" s="92"/>
      <c r="O154" s="92"/>
    </row>
  </sheetData>
  <mergeCells count="5">
    <mergeCell ref="I6:M6"/>
    <mergeCell ref="I7:M7"/>
    <mergeCell ref="I8:M8"/>
    <mergeCell ref="AC24:AD24"/>
    <mergeCell ref="AC25:AD25"/>
  </mergeCells>
  <printOptions horizontalCentered="1"/>
  <pageMargins left="0.75" right="0.75" top="1" bottom="1" header="0.5" footer="0.5"/>
  <pageSetup scale="1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5DB7-33B8-4ECE-8AEF-4715E4BCA1E5}">
  <sheetPr>
    <pageSetUpPr fitToPage="1"/>
  </sheetPr>
  <dimension ref="A1:HO154"/>
  <sheetViews>
    <sheetView zoomScale="80" zoomScaleNormal="80" workbookViewId="0">
      <selection activeCell="D10" sqref="D10"/>
    </sheetView>
  </sheetViews>
  <sheetFormatPr defaultColWidth="9.140625" defaultRowHeight="12.75" x14ac:dyDescent="0.2"/>
  <cols>
    <col min="1" max="1" width="36.140625" style="54" customWidth="1"/>
    <col min="2" max="2" width="15.140625" style="54" bestFit="1" customWidth="1"/>
    <col min="3" max="3" width="18.5703125" style="54" customWidth="1"/>
    <col min="4" max="4" width="2.140625" style="54" customWidth="1"/>
    <col min="5" max="5" width="18.5703125" style="54" customWidth="1"/>
    <col min="6" max="6" width="2.140625" style="54" customWidth="1"/>
    <col min="7" max="7" width="18.5703125" style="54" customWidth="1"/>
    <col min="8" max="8" width="2.140625" style="54" customWidth="1"/>
    <col min="9" max="9" width="17.5703125" style="54" customWidth="1"/>
    <col min="10" max="10" width="2.140625" style="54" customWidth="1"/>
    <col min="11" max="11" width="18.7109375" style="54" customWidth="1"/>
    <col min="12" max="12" width="2" style="54" customWidth="1"/>
    <col min="13" max="13" width="18.7109375" style="54" customWidth="1"/>
    <col min="14" max="16" width="2.5703125" style="54" customWidth="1"/>
    <col min="17" max="17" width="53.140625" style="54" bestFit="1" customWidth="1"/>
    <col min="18" max="18" width="2.5703125" style="54" customWidth="1"/>
    <col min="19" max="19" width="13.85546875" style="54" customWidth="1"/>
    <col min="20" max="20" width="2.5703125" style="54" customWidth="1"/>
    <col min="21" max="21" width="13.85546875" style="54" customWidth="1"/>
    <col min="22" max="22" width="2.5703125" style="54" customWidth="1"/>
    <col min="23" max="23" width="13.85546875" style="54" customWidth="1"/>
    <col min="24" max="24" width="2.5703125" style="54" customWidth="1"/>
    <col min="25" max="25" width="13.7109375" style="54" customWidth="1"/>
    <col min="26" max="26" width="2.7109375" style="54" bestFit="1" customWidth="1"/>
    <col min="27" max="27" width="13" style="54" customWidth="1"/>
    <col min="28" max="28" width="2.7109375" style="54" customWidth="1"/>
    <col min="29" max="29" width="10.5703125" style="54" customWidth="1"/>
    <col min="30" max="30" width="2.7109375" style="54" customWidth="1"/>
    <col min="31" max="31" width="9.140625" style="54"/>
    <col min="32" max="32" width="4.42578125" style="54" customWidth="1"/>
    <col min="33" max="33" width="3.7109375" style="54" customWidth="1"/>
    <col min="34" max="34" width="22.140625" style="54" customWidth="1"/>
    <col min="35" max="16384" width="9.140625" style="54"/>
  </cols>
  <sheetData>
    <row r="1" spans="1:29" ht="16.350000000000001" customHeight="1" x14ac:dyDescent="0.2">
      <c r="A1" s="85"/>
    </row>
    <row r="2" spans="1:29" ht="16.350000000000001" customHeight="1" x14ac:dyDescent="0.2">
      <c r="A2" s="85"/>
    </row>
    <row r="3" spans="1:29" ht="16.350000000000001" customHeight="1" x14ac:dyDescent="0.25">
      <c r="A3" s="85"/>
      <c r="I3"/>
    </row>
    <row r="4" spans="1:29" ht="16.350000000000001" customHeight="1" thickBot="1" x14ac:dyDescent="0.3">
      <c r="A4" s="85"/>
      <c r="I4"/>
    </row>
    <row r="5" spans="1:29" ht="15" x14ac:dyDescent="0.35">
      <c r="A5" s="87" t="s">
        <v>136</v>
      </c>
    </row>
    <row r="6" spans="1:29" ht="13.5" thickBot="1" x14ac:dyDescent="0.25">
      <c r="A6" s="88" t="s">
        <v>27</v>
      </c>
      <c r="I6" s="195" t="s">
        <v>145</v>
      </c>
      <c r="J6" s="195"/>
      <c r="K6" s="195"/>
      <c r="L6" s="195"/>
      <c r="M6" s="195"/>
      <c r="N6" s="195"/>
      <c r="O6" s="195"/>
      <c r="Q6" s="60" t="str">
        <f>I6</f>
        <v xml:space="preserve">Southwest Gas       </v>
      </c>
      <c r="R6" s="61"/>
      <c r="S6" s="60"/>
      <c r="T6" s="61"/>
      <c r="U6" s="60"/>
      <c r="V6" s="61"/>
      <c r="W6" s="60"/>
      <c r="X6" s="61"/>
      <c r="Y6" s="61"/>
      <c r="Z6" s="62"/>
      <c r="AA6" s="61"/>
      <c r="AB6" s="61"/>
      <c r="AC6" s="61"/>
    </row>
    <row r="7" spans="1:29" x14ac:dyDescent="0.2">
      <c r="I7" s="195" t="s">
        <v>54</v>
      </c>
      <c r="J7" s="195"/>
      <c r="K7" s="195"/>
      <c r="L7" s="195"/>
      <c r="M7" s="195"/>
      <c r="N7" s="195"/>
      <c r="O7" s="195"/>
      <c r="Q7" s="61" t="str">
        <f>I7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x14ac:dyDescent="0.2">
      <c r="I8" s="195" t="s">
        <v>138</v>
      </c>
      <c r="J8" s="195"/>
      <c r="K8" s="195"/>
      <c r="L8" s="195"/>
      <c r="M8" s="195"/>
      <c r="N8" s="195"/>
      <c r="O8" s="195"/>
      <c r="Q8" s="62" t="str">
        <f>I8</f>
        <v>2019 - 2024, Inclusive</v>
      </c>
      <c r="R8" s="61"/>
      <c r="S8" s="62"/>
      <c r="T8" s="61"/>
      <c r="U8" s="62"/>
      <c r="V8" s="61"/>
      <c r="W8" s="62"/>
      <c r="X8" s="61"/>
      <c r="Y8" s="61"/>
      <c r="Z8" s="62"/>
      <c r="AA8" s="61"/>
      <c r="AB8" s="61"/>
      <c r="AC8" s="61"/>
    </row>
    <row r="9" spans="1:29" x14ac:dyDescent="0.2">
      <c r="M9" s="65"/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141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O10" s="63"/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64">
        <f>4348340000+30018000</f>
        <v>4378358000</v>
      </c>
      <c r="E12" s="64">
        <f>4609838000 + 42552000</f>
        <v>4652390000</v>
      </c>
      <c r="G12" s="64">
        <f>4403299000+44557000</f>
        <v>4447856000</v>
      </c>
      <c r="I12" s="64">
        <f>4115684000+297324000</f>
        <v>4413008000</v>
      </c>
      <c r="K12" s="64">
        <f>2732200000+40433000</f>
        <v>2772633000</v>
      </c>
      <c r="M12" s="65">
        <f>2300482000+163512000</f>
        <v>2463994000</v>
      </c>
      <c r="O12" s="65"/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x14ac:dyDescent="0.2">
      <c r="A13" s="54" t="s">
        <v>60</v>
      </c>
      <c r="B13" s="54" t="s">
        <v>61</v>
      </c>
      <c r="C13" s="65">
        <v>0</v>
      </c>
      <c r="E13" s="65">
        <v>0</v>
      </c>
      <c r="G13" s="65">
        <v>0</v>
      </c>
      <c r="I13" s="65">
        <v>0</v>
      </c>
      <c r="K13" s="65">
        <v>0</v>
      </c>
      <c r="M13" s="65">
        <v>0</v>
      </c>
      <c r="O13" s="65"/>
      <c r="Y13" s="61" t="s">
        <v>62</v>
      </c>
      <c r="Z13" s="61"/>
      <c r="AA13" s="61"/>
      <c r="AB13" s="61"/>
      <c r="AC13" s="61" t="s">
        <v>63</v>
      </c>
    </row>
    <row r="14" spans="1:29" x14ac:dyDescent="0.2">
      <c r="C14" s="64"/>
      <c r="E14" s="64"/>
      <c r="G14" s="64"/>
      <c r="I14" s="65"/>
      <c r="K14" s="65"/>
      <c r="M14" s="65"/>
      <c r="Q14" s="66" t="s">
        <v>64</v>
      </c>
      <c r="R14" s="66"/>
      <c r="S14" s="66"/>
      <c r="T14" s="66"/>
      <c r="U14" s="66"/>
      <c r="V14" s="66"/>
      <c r="W14" s="66"/>
      <c r="X14" s="66"/>
    </row>
    <row r="15" spans="1:29" x14ac:dyDescent="0.2">
      <c r="A15" s="54" t="s">
        <v>65</v>
      </c>
      <c r="B15" s="54" t="s">
        <v>66</v>
      </c>
      <c r="C15" s="64">
        <v>71782756</v>
      </c>
      <c r="D15" s="107"/>
      <c r="E15" s="64">
        <v>71563750</v>
      </c>
      <c r="F15" s="107"/>
      <c r="G15" s="64">
        <v>67119143</v>
      </c>
      <c r="I15" s="64">
        <v>60422081</v>
      </c>
      <c r="K15" s="64">
        <v>57192925</v>
      </c>
      <c r="M15" s="65">
        <v>55007433</v>
      </c>
      <c r="O15" s="65"/>
    </row>
    <row r="16" spans="1:29" x14ac:dyDescent="0.2">
      <c r="A16" s="54" t="s">
        <v>6</v>
      </c>
      <c r="B16" s="54" t="s">
        <v>67</v>
      </c>
      <c r="C16" s="64">
        <v>3504187000</v>
      </c>
      <c r="E16" s="64">
        <v>3310036000</v>
      </c>
      <c r="G16" s="64">
        <v>3058759000</v>
      </c>
      <c r="I16" s="64">
        <v>2953820000</v>
      </c>
      <c r="K16" s="64">
        <v>2674953000</v>
      </c>
      <c r="M16" s="65">
        <v>2505914000</v>
      </c>
      <c r="O16" s="65"/>
      <c r="Q16" s="66" t="s">
        <v>68</v>
      </c>
      <c r="R16" s="66"/>
      <c r="S16" s="66"/>
      <c r="T16" s="66"/>
      <c r="U16" s="66"/>
      <c r="V16" s="66"/>
      <c r="W16" s="66"/>
      <c r="X16" s="66"/>
    </row>
    <row r="17" spans="1:30" x14ac:dyDescent="0.2">
      <c r="A17" s="54" t="s">
        <v>69</v>
      </c>
      <c r="B17" s="54" t="s">
        <v>66</v>
      </c>
      <c r="C17" s="65">
        <v>0</v>
      </c>
      <c r="E17" s="65">
        <v>0</v>
      </c>
      <c r="G17" s="65">
        <v>0</v>
      </c>
      <c r="I17" s="65">
        <v>0</v>
      </c>
      <c r="K17" s="65">
        <v>0</v>
      </c>
      <c r="M17" s="65">
        <v>0</v>
      </c>
      <c r="O17" s="65"/>
      <c r="Q17" s="54" t="s">
        <v>70</v>
      </c>
      <c r="R17" s="69"/>
      <c r="S17" s="69">
        <f>C50/1000000</f>
        <v>7882.5450000000001</v>
      </c>
      <c r="T17" s="69"/>
      <c r="U17" s="69">
        <f>E50/1000000</f>
        <v>7962.4260000000004</v>
      </c>
      <c r="V17" s="69"/>
      <c r="W17" s="69">
        <f>G50/1000000</f>
        <v>7506.6149999999998</v>
      </c>
      <c r="X17" s="69"/>
      <c r="Y17" s="69">
        <f>I50/1000000</f>
        <v>7366.8280000000004</v>
      </c>
      <c r="Z17" s="69"/>
      <c r="AA17" s="69">
        <f>K50/1000000</f>
        <v>5447.5860000000002</v>
      </c>
      <c r="AB17" s="69"/>
    </row>
    <row r="18" spans="1:30" x14ac:dyDescent="0.2">
      <c r="C18" s="64"/>
      <c r="E18" s="64"/>
      <c r="G18" s="64"/>
      <c r="I18" s="65"/>
      <c r="K18" s="65"/>
      <c r="M18" s="65"/>
      <c r="Q18" s="54" t="s">
        <v>71</v>
      </c>
      <c r="R18" s="69"/>
      <c r="S18" s="70">
        <f>C19/1000000</f>
        <v>680</v>
      </c>
      <c r="T18" s="69"/>
      <c r="U18" s="70">
        <f>E19/1000000</f>
        <v>628.5</v>
      </c>
      <c r="V18" s="69"/>
      <c r="W18" s="70">
        <f>G19/1000000</f>
        <v>1542.806</v>
      </c>
      <c r="X18" s="69"/>
      <c r="Y18" s="70">
        <f>I19/1000000</f>
        <v>1909</v>
      </c>
      <c r="Z18" s="69"/>
      <c r="AA18" s="70">
        <f>K19/1000000</f>
        <v>107</v>
      </c>
      <c r="AB18" s="69"/>
    </row>
    <row r="19" spans="1:30" x14ac:dyDescent="0.2">
      <c r="A19" s="54" t="s">
        <v>72</v>
      </c>
      <c r="B19" s="54" t="s">
        <v>73</v>
      </c>
      <c r="C19" s="64">
        <v>680000000</v>
      </c>
      <c r="E19" s="64">
        <v>628500000</v>
      </c>
      <c r="G19" s="64">
        <v>1542806000</v>
      </c>
      <c r="I19" s="64">
        <v>1909000000</v>
      </c>
      <c r="K19" s="64">
        <v>107000000</v>
      </c>
      <c r="M19" s="65">
        <v>211000000</v>
      </c>
      <c r="O19" s="65"/>
      <c r="Q19" s="54" t="s">
        <v>74</v>
      </c>
      <c r="R19" s="69"/>
      <c r="S19" s="71">
        <f>SUM(S17:S18)</f>
        <v>8562.5450000000001</v>
      </c>
      <c r="T19" s="69"/>
      <c r="U19" s="71">
        <f>SUM(U17:U18)</f>
        <v>8590.9259999999995</v>
      </c>
      <c r="V19" s="69"/>
      <c r="W19" s="71">
        <f>SUM(W17:W18)</f>
        <v>9049.4210000000003</v>
      </c>
      <c r="X19" s="69"/>
      <c r="Y19" s="71">
        <f>SUM(Y17:Y18)</f>
        <v>9275.8280000000013</v>
      </c>
      <c r="Z19" s="69"/>
      <c r="AA19" s="71">
        <f>SUM(AA17:AA18)</f>
        <v>5554.5860000000002</v>
      </c>
      <c r="AB19" s="69"/>
    </row>
    <row r="20" spans="1:30" x14ac:dyDescent="0.2">
      <c r="I20" s="65"/>
      <c r="K20" s="65"/>
      <c r="M20" s="65"/>
      <c r="O20" s="83"/>
    </row>
    <row r="21" spans="1:30" x14ac:dyDescent="0.2">
      <c r="A21" s="54" t="s">
        <v>75</v>
      </c>
      <c r="B21" s="54" t="s">
        <v>76</v>
      </c>
      <c r="C21" s="83">
        <v>2.76</v>
      </c>
      <c r="E21" s="83">
        <v>2.13</v>
      </c>
      <c r="G21" s="83">
        <v>-3.1</v>
      </c>
      <c r="I21" s="65">
        <v>3.39</v>
      </c>
      <c r="K21" s="65">
        <v>4.1399999999999997</v>
      </c>
      <c r="M21" s="65">
        <v>3.94</v>
      </c>
      <c r="O21" s="65"/>
      <c r="Q21" s="66" t="s">
        <v>77</v>
      </c>
    </row>
    <row r="22" spans="1:30" x14ac:dyDescent="0.2">
      <c r="A22" s="54" t="s">
        <v>78</v>
      </c>
      <c r="B22" s="54" t="s">
        <v>79</v>
      </c>
      <c r="C22" s="72">
        <v>79.16</v>
      </c>
      <c r="E22" s="72">
        <v>67.459999999999994</v>
      </c>
      <c r="G22" s="72">
        <v>94.14</v>
      </c>
      <c r="I22" s="54">
        <v>72.959999999999994</v>
      </c>
      <c r="K22" s="54">
        <v>79.95</v>
      </c>
      <c r="M22" s="54">
        <v>92.14</v>
      </c>
      <c r="O22" s="65"/>
      <c r="Q22" s="54" t="s">
        <v>80</v>
      </c>
      <c r="R22" s="73"/>
      <c r="S22" s="72">
        <f>(ROUND((C30/(AVERAGE(C54,E54))*100),2))</f>
        <v>5.75</v>
      </c>
      <c r="T22" s="73" t="s">
        <v>4</v>
      </c>
      <c r="U22" s="72">
        <f>(ROUND((E30/(AVERAGE(E54,G54))*100),2))</f>
        <v>5.19</v>
      </c>
      <c r="V22" s="73" t="s">
        <v>4</v>
      </c>
      <c r="W22" s="72">
        <f>(ROUND((G30/(AVERAGE(G54,I54))*100),2))</f>
        <v>3.94</v>
      </c>
      <c r="X22" s="73" t="s">
        <v>4</v>
      </c>
      <c r="Y22" s="72">
        <f>(ROUND((I30/(AVERAGE(I54,K54))*100),2))</f>
        <v>2.59</v>
      </c>
      <c r="Z22" s="73" t="s">
        <v>4</v>
      </c>
      <c r="AA22" s="72">
        <f>(ROUND((K30/(AVERAGE(K54,M54))*100),2))</f>
        <v>4.01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72">
        <v>57.72</v>
      </c>
      <c r="E23" s="72">
        <v>54.02</v>
      </c>
      <c r="G23" s="72">
        <v>61.62</v>
      </c>
      <c r="I23" s="54">
        <v>57.55</v>
      </c>
      <c r="K23" s="54">
        <v>52.27</v>
      </c>
      <c r="M23" s="54">
        <v>73.92</v>
      </c>
      <c r="O23" s="65"/>
      <c r="Q23" s="54" t="s">
        <v>82</v>
      </c>
      <c r="R23" s="73"/>
      <c r="S23" s="72"/>
      <c r="T23" s="73"/>
      <c r="U23" s="72"/>
      <c r="V23" s="73"/>
      <c r="W23" s="72"/>
      <c r="X23" s="73"/>
      <c r="Y23" s="72"/>
      <c r="Z23" s="73"/>
      <c r="AA23" s="72"/>
      <c r="AB23" s="73"/>
    </row>
    <row r="24" spans="1:30" x14ac:dyDescent="0.2">
      <c r="I24" s="65"/>
      <c r="K24" s="65"/>
      <c r="M24" s="65"/>
      <c r="AC24" s="194" t="s">
        <v>1</v>
      </c>
      <c r="AD24" s="194"/>
    </row>
    <row r="25" spans="1:30" x14ac:dyDescent="0.2">
      <c r="I25" s="65"/>
      <c r="K25" s="65"/>
      <c r="M25" s="65"/>
      <c r="O25" s="83"/>
      <c r="Q25" s="66" t="s">
        <v>83</v>
      </c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65">
        <v>2.48</v>
      </c>
      <c r="E26" s="65">
        <v>2.48</v>
      </c>
      <c r="G26" s="65">
        <v>2.48</v>
      </c>
      <c r="I26" s="65">
        <v>2.38</v>
      </c>
      <c r="K26" s="65">
        <v>2.2799999999999998</v>
      </c>
      <c r="M26" s="65">
        <v>2.1800000000000002</v>
      </c>
      <c r="O26" s="65"/>
      <c r="Q26" s="54" t="s">
        <v>85</v>
      </c>
    </row>
    <row r="27" spans="1:30" x14ac:dyDescent="0.2">
      <c r="I27" s="65"/>
      <c r="K27" s="65"/>
      <c r="M27" s="65"/>
      <c r="O27" s="83"/>
      <c r="Q27" s="54" t="s">
        <v>86</v>
      </c>
      <c r="R27" s="73"/>
      <c r="S27" s="72">
        <f>ROUND(((C12/C50)*100),2)</f>
        <v>55.54</v>
      </c>
      <c r="T27" s="73" t="s">
        <v>4</v>
      </c>
      <c r="U27" s="72">
        <f>ROUND(((E12/E50)*100),2)</f>
        <v>58.43</v>
      </c>
      <c r="V27" s="73" t="s">
        <v>4</v>
      </c>
      <c r="W27" s="72">
        <f>ROUND(((G12/G50)*100),2)</f>
        <v>59.25</v>
      </c>
      <c r="X27" s="73" t="s">
        <v>4</v>
      </c>
      <c r="Y27" s="72">
        <f>ROUND(((I12/I50)*100),2)</f>
        <v>59.9</v>
      </c>
      <c r="Z27" s="73" t="s">
        <v>4</v>
      </c>
      <c r="AA27" s="72">
        <f>ROUND(((K12/K50)*100),2)</f>
        <v>50.9</v>
      </c>
      <c r="AB27" s="73" t="s">
        <v>4</v>
      </c>
      <c r="AC27" s="72">
        <f>ROUND(AVERAGE(S27:AB27),2)</f>
        <v>56.8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4">
        <f>(3126+6597)*1000</f>
        <v>9723000</v>
      </c>
      <c r="E28" s="64">
        <f>(6851+1869)*1000</f>
        <v>8720000</v>
      </c>
      <c r="G28" s="64">
        <f>(3535+0)*1000</f>
        <v>3535000</v>
      </c>
      <c r="I28" s="64">
        <f>(1046+0)*1000</f>
        <v>1046000</v>
      </c>
      <c r="K28" s="64">
        <f>(3202+4724)*1000</f>
        <v>7926000</v>
      </c>
      <c r="M28" s="64">
        <f>(4558+4161)*1000</f>
        <v>8719000</v>
      </c>
      <c r="O28" s="65"/>
      <c r="Q28" s="54" t="s">
        <v>88</v>
      </c>
      <c r="R28" s="73"/>
      <c r="S28" s="72">
        <f>ROUND(((SUM(C13,C17)/C50)*100),2)</f>
        <v>0</v>
      </c>
      <c r="T28" s="73"/>
      <c r="U28" s="72">
        <f>ROUND(((SUM(E13,E17)/E50)*100),2)</f>
        <v>0</v>
      </c>
      <c r="V28" s="73"/>
      <c r="W28" s="72">
        <f>ROUND(((SUM(G13,G17)/G50)*100),2)</f>
        <v>0</v>
      </c>
      <c r="X28" s="73"/>
      <c r="Y28" s="72">
        <f>ROUND(((SUM(I13,I17)/I50)*100),2)</f>
        <v>0</v>
      </c>
      <c r="Z28" s="73"/>
      <c r="AA28" s="72">
        <f>ROUND(((SUM(K13,K17)/K50)*100),2)</f>
        <v>0</v>
      </c>
      <c r="AB28" s="73"/>
      <c r="AC28" s="72">
        <f>ROUND(AVERAGE(S28:AB28),2)</f>
        <v>0</v>
      </c>
      <c r="AD28" s="73"/>
    </row>
    <row r="29" spans="1:30" x14ac:dyDescent="0.2">
      <c r="C29" s="64"/>
      <c r="E29" s="64"/>
      <c r="G29" s="64"/>
      <c r="I29" s="64"/>
      <c r="K29" s="65"/>
      <c r="M29" s="65"/>
      <c r="O29" s="83"/>
      <c r="Q29" s="54" t="s">
        <v>89</v>
      </c>
      <c r="R29" s="73"/>
      <c r="S29" s="74">
        <f>ROUND(((C16/C50)*100),2)</f>
        <v>44.46</v>
      </c>
      <c r="T29" s="73"/>
      <c r="U29" s="74">
        <f>ROUND(((E16/E50)*100),2)</f>
        <v>41.57</v>
      </c>
      <c r="V29" s="73"/>
      <c r="W29" s="74">
        <f>ROUND(((G16/G50)*100),2)</f>
        <v>40.75</v>
      </c>
      <c r="X29" s="73"/>
      <c r="Y29" s="74">
        <f>ROUND(((I16/I50)*100),2)</f>
        <v>40.1</v>
      </c>
      <c r="Z29" s="73"/>
      <c r="AA29" s="74">
        <f>ROUND(((K16/K50)*100),2)</f>
        <v>49.1</v>
      </c>
      <c r="AB29" s="73"/>
      <c r="AC29" s="72">
        <f>ROUND(AVERAGE(S29:AB29),2)</f>
        <v>43.2</v>
      </c>
      <c r="AD29" s="73"/>
    </row>
    <row r="30" spans="1:30" x14ac:dyDescent="0.2">
      <c r="A30" s="54" t="s">
        <v>90</v>
      </c>
      <c r="B30" s="54" t="s">
        <v>91</v>
      </c>
      <c r="C30" s="64">
        <v>297043000</v>
      </c>
      <c r="E30" s="64">
        <v>292286000</v>
      </c>
      <c r="G30" s="64">
        <v>242750000</v>
      </c>
      <c r="I30" s="64">
        <v>119198000</v>
      </c>
      <c r="K30" s="65">
        <v>111477000</v>
      </c>
      <c r="M30" s="65">
        <v>109226000</v>
      </c>
      <c r="O30" s="65"/>
      <c r="Q30" s="54" t="s">
        <v>92</v>
      </c>
      <c r="R30" s="73"/>
      <c r="S30" s="75">
        <f>SUM(S27:S29)</f>
        <v>100</v>
      </c>
      <c r="T30" s="73" t="s">
        <v>4</v>
      </c>
      <c r="U30" s="75">
        <f>SUM(U27:U29)</f>
        <v>100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100</v>
      </c>
      <c r="AD30" s="73" t="s">
        <v>4</v>
      </c>
    </row>
    <row r="31" spans="1:30" x14ac:dyDescent="0.2">
      <c r="C31" s="64"/>
      <c r="E31" s="64"/>
      <c r="G31" s="64"/>
      <c r="I31" s="64"/>
      <c r="K31" s="65"/>
      <c r="M31" s="65"/>
      <c r="O31" s="83"/>
    </row>
    <row r="32" spans="1:30" x14ac:dyDescent="0.2">
      <c r="A32" s="54" t="s">
        <v>93</v>
      </c>
      <c r="B32" s="54" t="s">
        <v>94</v>
      </c>
      <c r="C32" s="64">
        <v>204836000</v>
      </c>
      <c r="E32" s="64">
        <v>155517000</v>
      </c>
      <c r="G32" s="64">
        <v>-197684000</v>
      </c>
      <c r="I32" s="64">
        <v>207202000</v>
      </c>
      <c r="K32" s="65">
        <v>238985000</v>
      </c>
      <c r="M32" s="65">
        <v>216647000</v>
      </c>
      <c r="O32" s="65"/>
      <c r="Q32" s="54" t="s">
        <v>95</v>
      </c>
    </row>
    <row r="33" spans="1:30" x14ac:dyDescent="0.2">
      <c r="A33" s="76"/>
      <c r="B33" s="76"/>
      <c r="C33" s="64"/>
      <c r="D33" s="76"/>
      <c r="E33" s="64"/>
      <c r="F33" s="76"/>
      <c r="G33" s="64"/>
      <c r="H33" s="76"/>
      <c r="I33" s="78"/>
      <c r="J33" s="76"/>
      <c r="K33" s="78"/>
      <c r="L33" s="76"/>
      <c r="M33" s="78"/>
      <c r="N33" s="76"/>
      <c r="O33" s="108"/>
      <c r="Q33" s="54" t="s">
        <v>96</v>
      </c>
      <c r="R33" s="73"/>
      <c r="S33" s="72">
        <f>ROUND((((C12+C19)/C56)*100),2)</f>
        <v>59.08</v>
      </c>
      <c r="T33" s="73" t="s">
        <v>4</v>
      </c>
      <c r="U33" s="72">
        <f>ROUND((((E12+E19)/E56)*100),2)</f>
        <v>61.47</v>
      </c>
      <c r="V33" s="73" t="s">
        <v>4</v>
      </c>
      <c r="W33" s="72">
        <f>ROUND((((G12+G19)/G56)*100),2)</f>
        <v>66.2</v>
      </c>
      <c r="X33" s="73" t="s">
        <v>4</v>
      </c>
      <c r="Y33" s="72">
        <f>ROUND((((I12+I19)/I56)*100),2)</f>
        <v>68.16</v>
      </c>
      <c r="Z33" s="73" t="s">
        <v>4</v>
      </c>
      <c r="AA33" s="72">
        <f>ROUND((((K12+K19)/K56)*100),2)</f>
        <v>51.84</v>
      </c>
      <c r="AB33" s="73" t="s">
        <v>4</v>
      </c>
      <c r="AC33" s="72">
        <f>ROUND(AVERAGE(S33:AB33),2)</f>
        <v>61.35</v>
      </c>
      <c r="AD33" s="73" t="s">
        <v>4</v>
      </c>
    </row>
    <row r="34" spans="1:30" x14ac:dyDescent="0.2">
      <c r="A34" s="54" t="s">
        <v>97</v>
      </c>
      <c r="B34" s="54" t="s">
        <v>98</v>
      </c>
      <c r="C34" s="64">
        <f>C32</f>
        <v>204836000</v>
      </c>
      <c r="E34" s="64">
        <f>E32</f>
        <v>155517000</v>
      </c>
      <c r="G34" s="64">
        <f>G32</f>
        <v>-197684000</v>
      </c>
      <c r="H34" s="64"/>
      <c r="I34" s="64">
        <f>I32</f>
        <v>207202000</v>
      </c>
      <c r="K34" s="65">
        <f>K32</f>
        <v>238985000</v>
      </c>
      <c r="M34" s="65">
        <v>216647000</v>
      </c>
      <c r="O34" s="65"/>
      <c r="Q34" s="54" t="s">
        <v>88</v>
      </c>
      <c r="R34" s="73"/>
      <c r="S34" s="72">
        <f>ROUND((((SUM(C13,C17))/C56)*100),2)</f>
        <v>0</v>
      </c>
      <c r="T34" s="73"/>
      <c r="U34" s="72">
        <f>ROUND((((SUM(E13,E17))/E56)*100),2)</f>
        <v>0</v>
      </c>
      <c r="V34" s="73"/>
      <c r="W34" s="72">
        <f>ROUND((((SUM(G13,G17))/G56)*100),2)</f>
        <v>0</v>
      </c>
      <c r="X34" s="73"/>
      <c r="Y34" s="72">
        <f>ROUND((((SUM(I13,I17))/I56)*100),2)</f>
        <v>0</v>
      </c>
      <c r="Z34" s="73"/>
      <c r="AA34" s="72">
        <f>ROUND((((SUM(K13,K17))/K56)*100),2)</f>
        <v>0</v>
      </c>
      <c r="AB34" s="73"/>
      <c r="AC34" s="72">
        <f>ROUND(AVERAGE(S34:AB34),2)</f>
        <v>0</v>
      </c>
      <c r="AD34" s="73"/>
    </row>
    <row r="35" spans="1:30" x14ac:dyDescent="0.2">
      <c r="C35" s="64"/>
      <c r="E35" s="64"/>
      <c r="G35" s="64"/>
      <c r="I35" s="65"/>
      <c r="K35" s="65"/>
      <c r="M35" s="65"/>
      <c r="Q35" s="54" t="s">
        <v>89</v>
      </c>
      <c r="R35" s="73"/>
      <c r="S35" s="74">
        <f>ROUND((((C16)/C56)*100),2)</f>
        <v>40.92</v>
      </c>
      <c r="T35" s="73"/>
      <c r="U35" s="74">
        <f>ROUND((((E16)/E56)*100),2)</f>
        <v>38.53</v>
      </c>
      <c r="V35" s="73"/>
      <c r="W35" s="74">
        <f>ROUND((((G16)/G56)*100),2)</f>
        <v>33.799999999999997</v>
      </c>
      <c r="X35" s="73"/>
      <c r="Y35" s="74">
        <f>ROUND((((I16)/I56)*100),2)</f>
        <v>31.84</v>
      </c>
      <c r="Z35" s="73"/>
      <c r="AA35" s="74">
        <f>ROUND((((K16)/K56)*100),2)</f>
        <v>48.16</v>
      </c>
      <c r="AB35" s="73"/>
      <c r="AC35" s="72">
        <f>ROUND(AVERAGE(S35:AB35),2)</f>
        <v>38.65</v>
      </c>
      <c r="AD35" s="73"/>
    </row>
    <row r="36" spans="1:30" x14ac:dyDescent="0.2">
      <c r="A36" s="54" t="s">
        <v>99</v>
      </c>
      <c r="B36" s="54" t="s">
        <v>100</v>
      </c>
      <c r="C36" s="65">
        <v>0</v>
      </c>
      <c r="E36" s="65">
        <v>0</v>
      </c>
      <c r="G36" s="65">
        <v>0</v>
      </c>
      <c r="I36" s="65">
        <v>0</v>
      </c>
      <c r="K36" s="65">
        <v>0</v>
      </c>
      <c r="M36" s="65">
        <v>0</v>
      </c>
      <c r="O36" s="65"/>
      <c r="Q36" s="54" t="s">
        <v>92</v>
      </c>
      <c r="R36" s="73"/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C37" s="64"/>
      <c r="E37" s="64"/>
      <c r="G37" s="64"/>
      <c r="I37" s="65"/>
      <c r="K37" s="65"/>
      <c r="M37" s="65"/>
    </row>
    <row r="38" spans="1:30" x14ac:dyDescent="0.2">
      <c r="A38" s="54" t="s">
        <v>101</v>
      </c>
      <c r="B38" s="54" t="s">
        <v>102</v>
      </c>
      <c r="C38" s="64">
        <v>177768000</v>
      </c>
      <c r="E38" s="64">
        <v>174574000</v>
      </c>
      <c r="G38" s="64">
        <v>160563000</v>
      </c>
      <c r="I38" s="64">
        <v>138222000</v>
      </c>
      <c r="K38" s="64">
        <v>125504000</v>
      </c>
      <c r="M38" s="65">
        <v>116127000</v>
      </c>
      <c r="O38" s="65"/>
    </row>
    <row r="39" spans="1:30" x14ac:dyDescent="0.2">
      <c r="C39" s="64"/>
      <c r="E39" s="64"/>
      <c r="G39" s="64"/>
      <c r="I39" s="65"/>
      <c r="K39" s="65"/>
      <c r="M39" s="65"/>
      <c r="O39" s="83"/>
    </row>
    <row r="40" spans="1:30" x14ac:dyDescent="0.2">
      <c r="A40" s="54" t="s">
        <v>103</v>
      </c>
      <c r="B40" s="54" t="s">
        <v>104</v>
      </c>
      <c r="C40" s="65">
        <f>C32</f>
        <v>204836000</v>
      </c>
      <c r="E40" s="65">
        <f>E32+71230000</f>
        <v>226747000</v>
      </c>
      <c r="G40" s="65">
        <f>G32+455425000</f>
        <v>257741000</v>
      </c>
      <c r="I40" s="65">
        <f>I32</f>
        <v>207202000</v>
      </c>
      <c r="K40" s="65">
        <f>K32</f>
        <v>238985000</v>
      </c>
      <c r="M40" s="65">
        <v>216647000</v>
      </c>
      <c r="O40" s="65"/>
      <c r="Q40" s="66" t="s">
        <v>105</v>
      </c>
    </row>
    <row r="41" spans="1:30" x14ac:dyDescent="0.2">
      <c r="A41" s="54" t="s">
        <v>106</v>
      </c>
      <c r="B41" s="54" t="s">
        <v>107</v>
      </c>
      <c r="C41" s="64">
        <v>1355780000</v>
      </c>
      <c r="E41" s="64">
        <v>509211000</v>
      </c>
      <c r="G41" s="64">
        <v>407460000</v>
      </c>
      <c r="I41" s="65">
        <v>111383000</v>
      </c>
      <c r="K41" s="65">
        <v>626080000</v>
      </c>
      <c r="M41" s="65">
        <v>500372000</v>
      </c>
      <c r="O41" s="65"/>
      <c r="Q41" s="66"/>
    </row>
    <row r="42" spans="1:30" x14ac:dyDescent="0.2">
      <c r="A42" s="54" t="s">
        <v>108</v>
      </c>
      <c r="B42" s="54" t="s">
        <v>109</v>
      </c>
      <c r="C42" s="65">
        <f>(126521-3600+781206-10574+1532-192871)*1000</f>
        <v>702214000</v>
      </c>
      <c r="E42" s="65">
        <f>(-22583-4900-117770-286161-2302+304110)*1000</f>
        <v>-129606000</v>
      </c>
      <c r="G42" s="65">
        <f>(-193775-3200-147215+293909+17929-207853)*1000</f>
        <v>-240205000</v>
      </c>
      <c r="I42" s="65">
        <f>(-51554-2600-343728+50426-6725-89209)*1000</f>
        <v>-443390000</v>
      </c>
      <c r="K42" s="65">
        <f>(-48772-3300+36239-7694+15171+107427)*1000</f>
        <v>99071000</v>
      </c>
      <c r="M42" s="65">
        <f>(-54245-1900-58491-1865+5243+74137)*1000</f>
        <v>-37121000</v>
      </c>
      <c r="O42" s="65"/>
      <c r="Q42" s="66" t="s">
        <v>110</v>
      </c>
    </row>
    <row r="43" spans="1:30" x14ac:dyDescent="0.2">
      <c r="A43" s="54" t="s">
        <v>111</v>
      </c>
      <c r="B43" s="54" t="s">
        <v>112</v>
      </c>
      <c r="C43" s="64">
        <v>438440000</v>
      </c>
      <c r="E43" s="64">
        <v>440908000</v>
      </c>
      <c r="G43" s="64">
        <v>470455000</v>
      </c>
      <c r="I43" s="65">
        <v>371041000</v>
      </c>
      <c r="K43" s="65">
        <v>332027000</v>
      </c>
      <c r="M43" s="65">
        <v>303237000</v>
      </c>
      <c r="O43" s="65"/>
      <c r="Q43" s="54" t="s">
        <v>113</v>
      </c>
      <c r="R43" s="73"/>
      <c r="S43" s="72">
        <f>ROUND(C21/C52,4)*100</f>
        <v>4.03</v>
      </c>
      <c r="T43" s="73" t="s">
        <v>4</v>
      </c>
      <c r="U43" s="72">
        <f>ROUND(E21/E52,4)*100</f>
        <v>3.51</v>
      </c>
      <c r="V43" s="73" t="s">
        <v>4</v>
      </c>
      <c r="W43" s="72">
        <f>ROUND(G21/G52,4)*100</f>
        <v>-3.9800000000000004</v>
      </c>
      <c r="X43" s="73" t="s">
        <v>4</v>
      </c>
      <c r="Y43" s="72">
        <f>ROUND(I21/I52,4)*100</f>
        <v>5.2</v>
      </c>
      <c r="Z43" s="73" t="s">
        <v>4</v>
      </c>
      <c r="AA43" s="72">
        <f>ROUND(K21/K52,4)*100</f>
        <v>6.2600000000000007</v>
      </c>
      <c r="AB43" s="73" t="s">
        <v>4</v>
      </c>
      <c r="AC43" s="72">
        <f>ROUND(AVERAGE(S43:AB43),2)</f>
        <v>3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4">
        <v>36460000</v>
      </c>
      <c r="E44" s="64">
        <v>41832000</v>
      </c>
      <c r="G44" s="64">
        <v>-75653000</v>
      </c>
      <c r="I44" s="65">
        <v>39648000</v>
      </c>
      <c r="K44" s="65">
        <v>65753000</v>
      </c>
      <c r="M44" s="65">
        <v>56023000</v>
      </c>
      <c r="O44" s="65"/>
      <c r="Q44" s="54" t="s">
        <v>116</v>
      </c>
      <c r="S44" s="72">
        <f>(ROUND((C52/(AVERAGE(C48,E48))*100),2))</f>
        <v>143.97999999999999</v>
      </c>
      <c r="U44" s="72">
        <f>(ROUND((E52/(AVERAGE(E48,G48))*100),2))</f>
        <v>132.30000000000001</v>
      </c>
      <c r="W44" s="72">
        <f>(ROUND((G52/(AVERAGE(G48,I48))*100),2))</f>
        <v>164.9</v>
      </c>
      <c r="Y44" s="72">
        <f>(ROUND((I52/(AVERAGE(I48,K48))*100),2))</f>
        <v>136.44</v>
      </c>
      <c r="AA44" s="72">
        <f>(ROUND((K52/(AVERAGE(K48,M48))*100),2))</f>
        <v>143.21</v>
      </c>
      <c r="AC44" s="72">
        <f>ROUND(AVERAGE(S44:AB44),2)</f>
        <v>144.16999999999999</v>
      </c>
    </row>
    <row r="45" spans="1:30" x14ac:dyDescent="0.2">
      <c r="I45" s="65"/>
      <c r="K45" s="65"/>
      <c r="M45" s="65"/>
      <c r="Q45" s="54" t="s">
        <v>117</v>
      </c>
      <c r="S45" s="72">
        <f>ROUND(((+C26/C52)*100),2)</f>
        <v>3.62</v>
      </c>
      <c r="U45" s="72">
        <f>ROUND(((+E26/E52)*100),2)</f>
        <v>4.08</v>
      </c>
      <c r="W45" s="72">
        <f>ROUND(((+G26/G52)*100),2)</f>
        <v>3.18</v>
      </c>
      <c r="Y45" s="72">
        <f>ROUND(((+I26/I52)*100),2)</f>
        <v>3.65</v>
      </c>
      <c r="AA45" s="72">
        <f>ROUND(((+K26/K52)*100),2)</f>
        <v>3.45</v>
      </c>
      <c r="AC45" s="72">
        <f>ROUND(AVERAGE(S45:AB45),2)</f>
        <v>3.6</v>
      </c>
    </row>
    <row r="46" spans="1:30" x14ac:dyDescent="0.2">
      <c r="A46" s="54" t="s">
        <v>118</v>
      </c>
      <c r="I46" s="65"/>
      <c r="K46" s="65"/>
      <c r="M46" s="65"/>
      <c r="O46" s="83"/>
      <c r="Q46" s="54" t="s">
        <v>119</v>
      </c>
      <c r="S46" s="72">
        <f>ROUND(((+C38/C34)*100),2)</f>
        <v>86.79</v>
      </c>
      <c r="U46" s="72">
        <f>ROUND(((+E38/E34)*100),2)</f>
        <v>112.25</v>
      </c>
      <c r="W46" s="97" t="s">
        <v>142</v>
      </c>
      <c r="Y46" s="72">
        <f>ROUND(((+I38/I34)*100),2)</f>
        <v>66.709999999999994</v>
      </c>
      <c r="AA46" s="72">
        <f>ROUND(((+K38/K34)*100),2)</f>
        <v>52.52</v>
      </c>
      <c r="AC46" s="72">
        <f>ROUND(AVERAGE(S46:AB46),2)</f>
        <v>79.569999999999993</v>
      </c>
    </row>
    <row r="47" spans="1:30" x14ac:dyDescent="0.2">
      <c r="I47" s="65"/>
      <c r="K47" s="65"/>
      <c r="M47" s="65"/>
      <c r="O47" s="83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48.816557001517189</v>
      </c>
      <c r="E48" s="65">
        <f>E16/E15</f>
        <v>46.252970253794693</v>
      </c>
      <c r="G48" s="65">
        <f>G16/G15</f>
        <v>45.572080680469952</v>
      </c>
      <c r="I48" s="65">
        <f>I16/I15</f>
        <v>48.886432759573438</v>
      </c>
      <c r="K48" s="65">
        <f>K16/K15</f>
        <v>46.770697599397131</v>
      </c>
      <c r="M48" s="65">
        <f>M16/M15</f>
        <v>45.555916052290605</v>
      </c>
      <c r="O48" s="65"/>
      <c r="Q48" s="66" t="s">
        <v>122</v>
      </c>
      <c r="S48" s="72">
        <f>ROUND(((C34/AVERAGE(C16,E16))*100),2)</f>
        <v>6.01</v>
      </c>
      <c r="T48" s="54" t="s">
        <v>4</v>
      </c>
      <c r="U48" s="72">
        <f>ROUND(((E34/AVERAGE(E16,G16))*100),2)</f>
        <v>4.88</v>
      </c>
      <c r="V48" s="54" t="s">
        <v>4</v>
      </c>
      <c r="W48" s="72">
        <f>ROUND(((G34/AVERAGE(G16,I16))*100),2)</f>
        <v>-6.58</v>
      </c>
      <c r="X48" s="54" t="s">
        <v>4</v>
      </c>
      <c r="Y48" s="72">
        <f>ROUND(((I34/AVERAGE(I16,K16))*100),2)</f>
        <v>7.36</v>
      </c>
      <c r="Z48" s="54" t="s">
        <v>4</v>
      </c>
      <c r="AA48" s="72">
        <f>ROUND(((K34/AVERAGE(K16,M16))*100),2)</f>
        <v>9.23</v>
      </c>
      <c r="AB48" s="54" t="s">
        <v>4</v>
      </c>
      <c r="AC48" s="72">
        <f>ROUND(AVERAGE(S48:AB48),2)</f>
        <v>4.18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M49" s="65"/>
      <c r="O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7882545000</v>
      </c>
      <c r="E50" s="65">
        <f>SUM(E12:E13,E16:E17)</f>
        <v>7962426000</v>
      </c>
      <c r="G50" s="65">
        <f>SUM(G12:G13,G16:G17)</f>
        <v>7506615000</v>
      </c>
      <c r="I50" s="65">
        <f>SUM(I12:I13,I16:I17)</f>
        <v>7366828000</v>
      </c>
      <c r="K50" s="65">
        <f>SUM(K12:K13,K16:K17)</f>
        <v>5447586000</v>
      </c>
      <c r="M50" s="65">
        <f>SUM(M12:M13,M16:M17)</f>
        <v>4969908000</v>
      </c>
      <c r="O50" s="65"/>
      <c r="Q50" s="66" t="s">
        <v>124</v>
      </c>
      <c r="R50" s="73"/>
      <c r="S50" s="72">
        <f>ROUND((C54/C62),2)</f>
        <v>5.18</v>
      </c>
      <c r="T50" s="73" t="s">
        <v>125</v>
      </c>
      <c r="U50" s="72">
        <f>ROUND((E54/E62),2)</f>
        <v>5.27</v>
      </c>
      <c r="V50" s="73" t="s">
        <v>125</v>
      </c>
      <c r="W50" s="72">
        <f>ROUND((G54/G62),2)</f>
        <v>6.69</v>
      </c>
      <c r="X50" s="73" t="s">
        <v>125</v>
      </c>
      <c r="Y50" s="72">
        <f>ROUND((I54/I62),2)</f>
        <v>8.58</v>
      </c>
      <c r="Z50" s="73" t="s">
        <v>125</v>
      </c>
      <c r="AA50" s="72">
        <f>ROUND((K54/K62),2)</f>
        <v>3.85</v>
      </c>
      <c r="AB50" s="73" t="s">
        <v>125</v>
      </c>
      <c r="AC50" s="72">
        <f>ROUND(AVERAGE(S50:AB50),2)</f>
        <v>5.91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M51" s="65"/>
      <c r="O51" s="65"/>
      <c r="Q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68.44</v>
      </c>
      <c r="E52" s="65">
        <f>AVERAGE(E22:E23)</f>
        <v>60.739999999999995</v>
      </c>
      <c r="G52" s="65">
        <f>AVERAGE(G22:G23)</f>
        <v>77.88</v>
      </c>
      <c r="I52" s="65">
        <f>AVERAGE(I22:I23)</f>
        <v>65.254999999999995</v>
      </c>
      <c r="K52" s="65">
        <f>AVERAGE(K22:K23)</f>
        <v>66.11</v>
      </c>
      <c r="M52" s="65">
        <f>AVERAGE(M22:M23)</f>
        <v>83.03</v>
      </c>
      <c r="O52" s="65"/>
      <c r="Q52" s="66" t="s">
        <v>127</v>
      </c>
      <c r="R52" s="73"/>
      <c r="S52" s="72">
        <f>ROUND(((C60/C54)*100),2)</f>
        <v>40.49</v>
      </c>
      <c r="T52" s="73" t="s">
        <v>4</v>
      </c>
      <c r="U52" s="72">
        <f>ROUND(((E60/E54)*100),2)</f>
        <v>7.02</v>
      </c>
      <c r="V52" s="73" t="s">
        <v>4</v>
      </c>
      <c r="W52" s="72">
        <f>ROUND(((G60/G54)*100),2)</f>
        <v>2.73</v>
      </c>
      <c r="X52" s="73" t="s">
        <v>4</v>
      </c>
      <c r="Y52" s="72">
        <f>ROUND(((I60/I54)*100),2)</f>
        <v>-5.27</v>
      </c>
      <c r="Z52" s="73" t="s">
        <v>4</v>
      </c>
      <c r="AA52" s="72">
        <f>ROUND(((K60/K54)*100),2)</f>
        <v>24.91</v>
      </c>
      <c r="AB52" s="73" t="s">
        <v>4</v>
      </c>
      <c r="AC52" s="72">
        <f>ROUND(AVERAGE(S52:AB52),2)</f>
        <v>13.98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M53" s="65"/>
      <c r="O53" s="65"/>
      <c r="Q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81">
        <f>+C19+C12</f>
        <v>5058358000</v>
      </c>
      <c r="E54" s="81">
        <f>+E19+E12</f>
        <v>5280890000</v>
      </c>
      <c r="G54" s="81">
        <f>+G19+G12</f>
        <v>5990662000</v>
      </c>
      <c r="I54" s="81">
        <f>+I19+I12</f>
        <v>6322008000</v>
      </c>
      <c r="K54" s="81">
        <f>+K19+K12</f>
        <v>2879633000</v>
      </c>
      <c r="M54" s="81">
        <f>+M19+M12</f>
        <v>2674994000</v>
      </c>
      <c r="O54" s="81"/>
      <c r="Q54" s="79" t="s">
        <v>128</v>
      </c>
      <c r="R54" s="73"/>
      <c r="S54" s="72">
        <f>S33</f>
        <v>59.08</v>
      </c>
      <c r="T54" s="73" t="s">
        <v>4</v>
      </c>
      <c r="U54" s="72">
        <f>U33</f>
        <v>61.47</v>
      </c>
      <c r="V54" s="73" t="s">
        <v>4</v>
      </c>
      <c r="W54" s="72">
        <f>W33</f>
        <v>66.2</v>
      </c>
      <c r="X54" s="73" t="s">
        <v>4</v>
      </c>
      <c r="Y54" s="72">
        <f>Y33</f>
        <v>68.16</v>
      </c>
      <c r="Z54" s="73" t="s">
        <v>4</v>
      </c>
      <c r="AA54" s="72">
        <f>AA33</f>
        <v>51.84</v>
      </c>
      <c r="AB54" s="73" t="s">
        <v>4</v>
      </c>
      <c r="AC54" s="72">
        <f>ROUND(AVERAGE(S54:AB54),2)</f>
        <v>61.35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M55" s="65"/>
      <c r="O55" s="65"/>
    </row>
    <row r="56" spans="1:30" x14ac:dyDescent="0.2">
      <c r="A56" s="54" t="s">
        <v>14</v>
      </c>
      <c r="B56" s="54" t="s">
        <v>121</v>
      </c>
      <c r="C56" s="65">
        <f>SUM(C50,C19)</f>
        <v>8562545000</v>
      </c>
      <c r="E56" s="65">
        <f>SUM(E50,E19)</f>
        <v>8590926000</v>
      </c>
      <c r="G56" s="65">
        <f>SUM(G50,G19)</f>
        <v>9049421000</v>
      </c>
      <c r="I56" s="65">
        <f>SUM(I50,I19)</f>
        <v>9275828000</v>
      </c>
      <c r="K56" s="65">
        <f>SUM(K50,K19)</f>
        <v>5554586000</v>
      </c>
      <c r="M56" s="65">
        <f>SUM(M50,M19)</f>
        <v>5180908000</v>
      </c>
      <c r="O56" s="65"/>
    </row>
    <row r="57" spans="1:30" x14ac:dyDescent="0.2">
      <c r="C57" s="65"/>
      <c r="E57" s="65"/>
      <c r="G57" s="65"/>
      <c r="I57" s="65"/>
      <c r="K57" s="65"/>
      <c r="M57" s="65"/>
      <c r="O57" s="65"/>
    </row>
    <row r="58" spans="1:30" x14ac:dyDescent="0.2">
      <c r="A58" s="54" t="s">
        <v>129</v>
      </c>
      <c r="B58" s="54" t="s">
        <v>121</v>
      </c>
      <c r="C58" s="65">
        <f>SUM(C13,C17)</f>
        <v>0</v>
      </c>
      <c r="E58" s="65">
        <f>SUM(E13,E17)</f>
        <v>0</v>
      </c>
      <c r="G58" s="65">
        <f>SUM(G13,G17)</f>
        <v>0</v>
      </c>
      <c r="I58" s="65">
        <f>SUM(I13,I17)</f>
        <v>0</v>
      </c>
      <c r="K58" s="65">
        <f>SUM(K13,K17)</f>
        <v>0</v>
      </c>
      <c r="M58" s="65">
        <f>SUM(M13,M17)</f>
        <v>0</v>
      </c>
      <c r="O58" s="65"/>
    </row>
    <row r="59" spans="1:30" x14ac:dyDescent="0.2">
      <c r="C59" s="65"/>
      <c r="E59" s="65"/>
      <c r="G59" s="65"/>
      <c r="I59" s="65"/>
      <c r="K59" s="65"/>
      <c r="M59" s="65"/>
      <c r="O59" s="65"/>
    </row>
    <row r="60" spans="1:30" x14ac:dyDescent="0.2">
      <c r="A60" s="82" t="s">
        <v>130</v>
      </c>
      <c r="B60" s="54" t="s">
        <v>121</v>
      </c>
      <c r="C60" s="65">
        <f>ROUND(C41+C42-C28,3)</f>
        <v>2048271000</v>
      </c>
      <c r="E60" s="65">
        <f>ROUND(E41+E42-E28,3)</f>
        <v>370885000</v>
      </c>
      <c r="G60" s="65">
        <f>ROUND(G41+G42-G28,3)</f>
        <v>163720000</v>
      </c>
      <c r="I60" s="65">
        <f>ROUND(I41+I42-I28,3)</f>
        <v>-333053000</v>
      </c>
      <c r="K60" s="65">
        <f>ROUND(K41+K42-K28,3)</f>
        <v>717225000</v>
      </c>
      <c r="M60" s="65">
        <f>ROUND(M41+M42-M28,3)</f>
        <v>454532000</v>
      </c>
      <c r="O60" s="65"/>
    </row>
    <row r="61" spans="1:30" x14ac:dyDescent="0.2">
      <c r="A61" s="82"/>
      <c r="C61" s="65"/>
      <c r="E61" s="65"/>
      <c r="G61" s="65"/>
      <c r="I61" s="65"/>
      <c r="K61" s="65"/>
      <c r="M61" s="65"/>
      <c r="O61" s="65"/>
    </row>
    <row r="62" spans="1:30" x14ac:dyDescent="0.2">
      <c r="A62" s="54" t="s">
        <v>131</v>
      </c>
      <c r="B62" s="54" t="s">
        <v>121</v>
      </c>
      <c r="C62" s="65">
        <f>C40+C44+C43+C30</f>
        <v>976779000</v>
      </c>
      <c r="E62" s="65">
        <f>E40+E44+E43+E30</f>
        <v>1001773000</v>
      </c>
      <c r="G62" s="65">
        <f>G40+G44+G43+G30</f>
        <v>895293000</v>
      </c>
      <c r="I62" s="65">
        <f>I40+I44+I43+I30</f>
        <v>737089000</v>
      </c>
      <c r="K62" s="65">
        <f>K40+K44+K43+K30</f>
        <v>748242000</v>
      </c>
      <c r="M62" s="65">
        <f>M40+M44+M43+M30</f>
        <v>685133000</v>
      </c>
      <c r="O62" s="65"/>
    </row>
    <row r="63" spans="1:30" x14ac:dyDescent="0.2">
      <c r="M63" s="83"/>
      <c r="N63" s="83"/>
      <c r="O63" s="83"/>
    </row>
    <row r="64" spans="1:30" x14ac:dyDescent="0.2">
      <c r="M64" s="83"/>
      <c r="N64" s="83"/>
      <c r="O64" s="83"/>
    </row>
    <row r="71" spans="13:15" x14ac:dyDescent="0.2">
      <c r="M71" s="83"/>
      <c r="N71" s="83"/>
      <c r="O71" s="83"/>
    </row>
    <row r="81" spans="13:223" x14ac:dyDescent="0.2">
      <c r="HK81" s="84"/>
      <c r="HL81" s="84"/>
      <c r="HO81" s="54" t="s">
        <v>132</v>
      </c>
    </row>
    <row r="94" spans="13:223" x14ac:dyDescent="0.2">
      <c r="M94" s="83"/>
      <c r="N94" s="83"/>
      <c r="O94" s="83"/>
    </row>
    <row r="95" spans="13:223" x14ac:dyDescent="0.2">
      <c r="M95" s="83"/>
      <c r="N95" s="83"/>
      <c r="O95" s="83"/>
    </row>
    <row r="96" spans="13:223" x14ac:dyDescent="0.2">
      <c r="M96" s="83"/>
      <c r="N96" s="83"/>
      <c r="O96" s="83"/>
    </row>
    <row r="97" spans="13:15" x14ac:dyDescent="0.2">
      <c r="M97" s="83"/>
      <c r="N97" s="83"/>
      <c r="O97" s="83"/>
    </row>
    <row r="98" spans="13:15" x14ac:dyDescent="0.2">
      <c r="M98" s="83"/>
      <c r="N98" s="83"/>
      <c r="O98" s="83"/>
    </row>
    <row r="99" spans="13:15" x14ac:dyDescent="0.2">
      <c r="M99" s="83"/>
      <c r="N99" s="83"/>
      <c r="O99" s="83"/>
    </row>
    <row r="100" spans="13:15" x14ac:dyDescent="0.2">
      <c r="M100" s="83"/>
      <c r="N100" s="83"/>
      <c r="O100" s="83"/>
    </row>
    <row r="101" spans="13:15" x14ac:dyDescent="0.2">
      <c r="M101" s="83"/>
      <c r="N101" s="83"/>
      <c r="O101" s="83"/>
    </row>
    <row r="102" spans="13:15" x14ac:dyDescent="0.2">
      <c r="M102" s="83"/>
      <c r="N102" s="83"/>
      <c r="O102" s="83"/>
    </row>
    <row r="103" spans="13:15" x14ac:dyDescent="0.2">
      <c r="M103" s="83"/>
      <c r="N103" s="83"/>
      <c r="O103" s="83"/>
    </row>
    <row r="104" spans="13:15" x14ac:dyDescent="0.2">
      <c r="M104" s="83"/>
      <c r="N104" s="83"/>
      <c r="O104" s="83"/>
    </row>
    <row r="105" spans="13:15" x14ac:dyDescent="0.2">
      <c r="M105" s="83"/>
      <c r="N105" s="83"/>
      <c r="O105" s="83"/>
    </row>
    <row r="106" spans="13:15" x14ac:dyDescent="0.2">
      <c r="M106" s="83"/>
      <c r="N106" s="83"/>
      <c r="O106" s="83"/>
    </row>
    <row r="107" spans="13:15" x14ac:dyDescent="0.2">
      <c r="M107" s="83"/>
      <c r="N107" s="83"/>
      <c r="O107" s="83"/>
    </row>
    <row r="108" spans="13:15" x14ac:dyDescent="0.2">
      <c r="M108" s="83"/>
      <c r="N108" s="83"/>
      <c r="O108" s="83"/>
    </row>
    <row r="109" spans="13:15" x14ac:dyDescent="0.2">
      <c r="M109" s="83"/>
      <c r="N109" s="83"/>
      <c r="O109" s="83"/>
    </row>
    <row r="110" spans="13:15" x14ac:dyDescent="0.2">
      <c r="M110" s="83"/>
      <c r="N110" s="83"/>
      <c r="O110" s="83"/>
    </row>
    <row r="111" spans="13:15" x14ac:dyDescent="0.2">
      <c r="M111" s="83"/>
      <c r="N111" s="83"/>
      <c r="O111" s="83"/>
    </row>
    <row r="112" spans="13:15" x14ac:dyDescent="0.2">
      <c r="M112" s="83"/>
      <c r="N112" s="83"/>
      <c r="O112" s="83"/>
    </row>
    <row r="113" spans="13:15" x14ac:dyDescent="0.2">
      <c r="M113" s="83"/>
      <c r="N113" s="83"/>
      <c r="O113" s="83"/>
    </row>
    <row r="114" spans="13:15" x14ac:dyDescent="0.2">
      <c r="M114" s="83"/>
      <c r="N114" s="83"/>
      <c r="O114" s="83"/>
    </row>
    <row r="115" spans="13:15" x14ac:dyDescent="0.2">
      <c r="M115" s="83"/>
      <c r="N115" s="83"/>
      <c r="O115" s="83"/>
    </row>
    <row r="116" spans="13:15" x14ac:dyDescent="0.2">
      <c r="M116" s="83"/>
      <c r="N116" s="83"/>
      <c r="O116" s="83"/>
    </row>
    <row r="117" spans="13:15" x14ac:dyDescent="0.2">
      <c r="M117" s="83"/>
      <c r="N117" s="83"/>
      <c r="O117" s="83"/>
    </row>
    <row r="118" spans="13:15" x14ac:dyDescent="0.2">
      <c r="M118" s="83"/>
      <c r="N118" s="83"/>
      <c r="O118" s="83"/>
    </row>
    <row r="119" spans="13:15" x14ac:dyDescent="0.2">
      <c r="M119" s="83"/>
      <c r="N119" s="83"/>
      <c r="O119" s="83"/>
    </row>
    <row r="120" spans="13:15" x14ac:dyDescent="0.2">
      <c r="M120" s="83"/>
      <c r="N120" s="83"/>
      <c r="O120" s="83"/>
    </row>
    <row r="121" spans="13:15" x14ac:dyDescent="0.2">
      <c r="M121" s="83"/>
      <c r="N121" s="83"/>
      <c r="O121" s="83"/>
    </row>
    <row r="122" spans="13:15" x14ac:dyDescent="0.2">
      <c r="M122" s="83"/>
      <c r="N122" s="83"/>
      <c r="O122" s="83"/>
    </row>
    <row r="123" spans="13:15" x14ac:dyDescent="0.2">
      <c r="M123" s="83"/>
      <c r="N123" s="83"/>
      <c r="O123" s="83"/>
    </row>
    <row r="124" spans="13:15" x14ac:dyDescent="0.2">
      <c r="M124" s="83"/>
      <c r="N124" s="83"/>
      <c r="O124" s="83"/>
    </row>
    <row r="125" spans="13:15" x14ac:dyDescent="0.2">
      <c r="M125" s="83"/>
      <c r="N125" s="83"/>
      <c r="O125" s="83"/>
    </row>
    <row r="126" spans="13:15" x14ac:dyDescent="0.2">
      <c r="M126" s="83"/>
      <c r="N126" s="83"/>
      <c r="O126" s="83"/>
    </row>
    <row r="127" spans="13:15" x14ac:dyDescent="0.2">
      <c r="M127" s="83"/>
      <c r="N127" s="83"/>
      <c r="O127" s="83"/>
    </row>
    <row r="128" spans="13:15" x14ac:dyDescent="0.2">
      <c r="M128" s="83"/>
      <c r="N128" s="83"/>
      <c r="O128" s="83"/>
    </row>
    <row r="129" spans="13:15" x14ac:dyDescent="0.2">
      <c r="M129" s="83"/>
      <c r="N129" s="83"/>
      <c r="O129" s="83"/>
    </row>
    <row r="130" spans="13:15" x14ac:dyDescent="0.2">
      <c r="M130" s="83"/>
      <c r="N130" s="83"/>
      <c r="O130" s="83"/>
    </row>
    <row r="131" spans="13:15" x14ac:dyDescent="0.2">
      <c r="M131" s="83"/>
      <c r="N131" s="83"/>
      <c r="O131" s="83"/>
    </row>
    <row r="132" spans="13:15" x14ac:dyDescent="0.2">
      <c r="M132" s="83"/>
      <c r="N132" s="83"/>
      <c r="O132" s="83"/>
    </row>
    <row r="133" spans="13:15" x14ac:dyDescent="0.2">
      <c r="M133" s="83"/>
      <c r="N133" s="83"/>
      <c r="O133" s="83"/>
    </row>
    <row r="134" spans="13:15" x14ac:dyDescent="0.2">
      <c r="M134" s="83"/>
      <c r="N134" s="83"/>
      <c r="O134" s="83"/>
    </row>
    <row r="135" spans="13:15" x14ac:dyDescent="0.2">
      <c r="M135" s="83"/>
      <c r="N135" s="83"/>
      <c r="O135" s="83"/>
    </row>
    <row r="136" spans="13:15" x14ac:dyDescent="0.2">
      <c r="M136" s="83"/>
      <c r="N136" s="83"/>
      <c r="O136" s="83"/>
    </row>
    <row r="137" spans="13:15" x14ac:dyDescent="0.2">
      <c r="M137" s="83"/>
      <c r="N137" s="83"/>
      <c r="O137" s="83"/>
    </row>
    <row r="138" spans="13:15" x14ac:dyDescent="0.2">
      <c r="M138" s="83"/>
      <c r="N138" s="83"/>
      <c r="O138" s="83"/>
    </row>
    <row r="139" spans="13:15" x14ac:dyDescent="0.2">
      <c r="M139" s="83"/>
      <c r="N139" s="83"/>
      <c r="O139" s="83"/>
    </row>
    <row r="140" spans="13:15" x14ac:dyDescent="0.2">
      <c r="M140" s="83"/>
      <c r="N140" s="83"/>
      <c r="O140" s="83"/>
    </row>
    <row r="141" spans="13:15" x14ac:dyDescent="0.2">
      <c r="M141" s="83"/>
      <c r="N141" s="83"/>
      <c r="O141" s="83"/>
    </row>
    <row r="142" spans="13:15" x14ac:dyDescent="0.2">
      <c r="M142" s="83"/>
      <c r="N142" s="83"/>
      <c r="O142" s="83"/>
    </row>
    <row r="143" spans="13:15" x14ac:dyDescent="0.2">
      <c r="M143" s="83"/>
      <c r="N143" s="83"/>
      <c r="O143" s="83"/>
    </row>
    <row r="144" spans="13:15" x14ac:dyDescent="0.2">
      <c r="M144" s="83"/>
      <c r="N144" s="83"/>
      <c r="O144" s="83"/>
    </row>
    <row r="145" spans="13:15" x14ac:dyDescent="0.2">
      <c r="M145" s="83"/>
      <c r="N145" s="83"/>
      <c r="O145" s="83"/>
    </row>
    <row r="146" spans="13:15" x14ac:dyDescent="0.2">
      <c r="M146" s="83"/>
      <c r="N146" s="83"/>
      <c r="O146" s="83"/>
    </row>
    <row r="147" spans="13:15" x14ac:dyDescent="0.2">
      <c r="M147" s="83"/>
      <c r="N147" s="83"/>
      <c r="O147" s="83"/>
    </row>
    <row r="148" spans="13:15" x14ac:dyDescent="0.2">
      <c r="M148" s="83"/>
      <c r="N148" s="83"/>
      <c r="O148" s="83"/>
    </row>
    <row r="149" spans="13:15" x14ac:dyDescent="0.2">
      <c r="M149" s="83"/>
      <c r="N149" s="83"/>
      <c r="O149" s="83"/>
    </row>
    <row r="150" spans="13:15" x14ac:dyDescent="0.2">
      <c r="M150" s="83"/>
      <c r="N150" s="83"/>
      <c r="O150" s="83"/>
    </row>
    <row r="151" spans="13:15" x14ac:dyDescent="0.2">
      <c r="M151" s="83"/>
      <c r="N151" s="83"/>
      <c r="O151" s="83"/>
    </row>
    <row r="152" spans="13:15" x14ac:dyDescent="0.2">
      <c r="M152" s="83"/>
      <c r="N152" s="83"/>
      <c r="O152" s="83"/>
    </row>
    <row r="153" spans="13:15" x14ac:dyDescent="0.2">
      <c r="M153" s="83"/>
      <c r="N153" s="83"/>
      <c r="O153" s="83"/>
    </row>
    <row r="154" spans="13:15" x14ac:dyDescent="0.2">
      <c r="M154" s="83"/>
      <c r="N154" s="83"/>
      <c r="O154" s="83"/>
    </row>
  </sheetData>
  <mergeCells count="5">
    <mergeCell ref="I6:O6"/>
    <mergeCell ref="I7:O7"/>
    <mergeCell ref="I8:O8"/>
    <mergeCell ref="AC24:AD24"/>
    <mergeCell ref="AC25:AD25"/>
  </mergeCells>
  <printOptions horizontalCentered="1"/>
  <pageMargins left="0.75" right="0.75" top="1" bottom="1" header="0.5" footer="0.5"/>
  <pageSetup scale="1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7A30-4852-44A2-AB61-768AAA421800}">
  <sheetPr>
    <pageSetUpPr fitToPage="1"/>
  </sheetPr>
  <dimension ref="A1:HO154"/>
  <sheetViews>
    <sheetView zoomScale="80" zoomScaleNormal="80" workbookViewId="0">
      <selection activeCell="D10" sqref="D10"/>
    </sheetView>
  </sheetViews>
  <sheetFormatPr defaultColWidth="9.140625" defaultRowHeight="12.75" x14ac:dyDescent="0.2"/>
  <cols>
    <col min="1" max="1" width="36.140625" style="54" customWidth="1"/>
    <col min="2" max="2" width="15.140625" style="54" bestFit="1" customWidth="1"/>
    <col min="3" max="3" width="17.42578125" style="54" bestFit="1" customWidth="1"/>
    <col min="4" max="4" width="2.42578125" style="54" customWidth="1"/>
    <col min="5" max="5" width="17.42578125" style="54" bestFit="1" customWidth="1"/>
    <col min="6" max="6" width="2.42578125" style="54" customWidth="1"/>
    <col min="7" max="7" width="17.42578125" style="54" bestFit="1" customWidth="1"/>
    <col min="8" max="8" width="2.42578125" style="54" customWidth="1"/>
    <col min="9" max="9" width="19.7109375" style="54" customWidth="1"/>
    <col min="10" max="10" width="2.42578125" style="54" customWidth="1"/>
    <col min="11" max="11" width="18.5703125" style="54" customWidth="1"/>
    <col min="12" max="12" width="2.5703125" style="54" customWidth="1"/>
    <col min="13" max="13" width="18.5703125" style="54" customWidth="1"/>
    <col min="14" max="16" width="3.140625" style="54" customWidth="1"/>
    <col min="17" max="17" width="53.140625" style="54" bestFit="1" customWidth="1"/>
    <col min="18" max="18" width="3.140625" style="54" customWidth="1"/>
    <col min="19" max="19" width="13.7109375" style="54" customWidth="1"/>
    <col min="20" max="20" width="2.85546875" style="54" customWidth="1"/>
    <col min="21" max="21" width="11.7109375" style="54" customWidth="1"/>
    <col min="22" max="22" width="2.5703125" style="54" customWidth="1"/>
    <col min="23" max="23" width="11.7109375" style="54" customWidth="1"/>
    <col min="24" max="24" width="2.5703125" style="54" customWidth="1"/>
    <col min="25" max="25" width="11" style="54" bestFit="1" customWidth="1"/>
    <col min="26" max="26" width="2.5703125" style="54" bestFit="1" customWidth="1"/>
    <col min="27" max="27" width="11" style="54" bestFit="1" customWidth="1"/>
    <col min="28" max="28" width="2.5703125" style="54" customWidth="1"/>
    <col min="29" max="29" width="10.5703125" style="54" customWidth="1"/>
    <col min="30" max="30" width="2.5703125" style="54" customWidth="1"/>
    <col min="31" max="31" width="9.140625" style="54"/>
    <col min="32" max="32" width="4.42578125" style="54" customWidth="1"/>
    <col min="33" max="33" width="3.5703125" style="54" customWidth="1"/>
    <col min="34" max="34" width="22.140625" style="54" customWidth="1"/>
    <col min="35" max="16384" width="9.140625" style="54"/>
  </cols>
  <sheetData>
    <row r="1" spans="1:29" ht="16.5" customHeight="1" x14ac:dyDescent="0.2">
      <c r="A1" s="85"/>
    </row>
    <row r="2" spans="1:29" ht="16.5" customHeight="1" x14ac:dyDescent="0.2">
      <c r="A2" s="85"/>
    </row>
    <row r="3" spans="1:29" ht="16.5" customHeight="1" x14ac:dyDescent="0.25">
      <c r="A3" s="85"/>
      <c r="I3"/>
    </row>
    <row r="4" spans="1:29" ht="16.5" customHeight="1" thickBot="1" x14ac:dyDescent="0.3">
      <c r="A4" s="85"/>
      <c r="I4"/>
    </row>
    <row r="5" spans="1:29" ht="15" x14ac:dyDescent="0.35">
      <c r="A5" s="87" t="s">
        <v>136</v>
      </c>
    </row>
    <row r="6" spans="1:29" ht="15.75" thickBot="1" x14ac:dyDescent="0.3">
      <c r="A6" s="88" t="s">
        <v>29</v>
      </c>
      <c r="I6" s="195" t="s">
        <v>146</v>
      </c>
      <c r="J6" s="198"/>
      <c r="K6" s="198"/>
      <c r="L6" s="198"/>
      <c r="M6" s="198"/>
      <c r="N6" s="59"/>
      <c r="O6" s="59"/>
      <c r="Q6" s="60" t="str">
        <f>I6</f>
        <v>Spire Inc.</v>
      </c>
      <c r="R6" s="60"/>
      <c r="S6" s="60"/>
      <c r="T6" s="60"/>
      <c r="U6" s="60"/>
      <c r="V6" s="61"/>
      <c r="W6" s="60"/>
      <c r="X6" s="61"/>
      <c r="Y6" s="61"/>
      <c r="Z6" s="62"/>
      <c r="AA6" s="61"/>
      <c r="AB6" s="61"/>
      <c r="AC6" s="61"/>
    </row>
    <row r="7" spans="1:29" ht="15" x14ac:dyDescent="0.25">
      <c r="I7" s="195" t="s">
        <v>54</v>
      </c>
      <c r="J7" s="198"/>
      <c r="K7" s="198"/>
      <c r="L7" s="198"/>
      <c r="M7" s="198"/>
      <c r="N7" s="59"/>
      <c r="O7" s="59"/>
      <c r="Q7" s="61" t="str">
        <f>I7</f>
        <v>CAPITALIZATION AND FINANCIAL STATISTICS  (1)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5" x14ac:dyDescent="0.25">
      <c r="I8" s="195" t="s">
        <v>144</v>
      </c>
      <c r="J8" s="198"/>
      <c r="K8" s="198"/>
      <c r="L8" s="198"/>
      <c r="M8" s="198"/>
      <c r="N8" s="59"/>
      <c r="O8" s="59"/>
      <c r="Q8" s="62" t="str">
        <f>I8</f>
        <v>2018 - 2023, Inclusive</v>
      </c>
      <c r="R8" s="62"/>
      <c r="S8" s="62"/>
      <c r="T8" s="62"/>
      <c r="U8" s="62"/>
      <c r="V8" s="61"/>
      <c r="W8" s="62"/>
      <c r="X8" s="61"/>
      <c r="Y8" s="61"/>
      <c r="Z8" s="62"/>
      <c r="AA8" s="61"/>
      <c r="AB8" s="61"/>
      <c r="AC8" s="61"/>
    </row>
    <row r="9" spans="1:29" x14ac:dyDescent="0.2">
      <c r="Q9" s="61"/>
      <c r="R9" s="61"/>
      <c r="S9" s="61"/>
      <c r="T9" s="61"/>
      <c r="U9" s="61"/>
      <c r="V9" s="61"/>
      <c r="W9" s="61"/>
      <c r="X9" s="61"/>
      <c r="Y9" s="62"/>
      <c r="Z9" s="62"/>
      <c r="AA9" s="61"/>
      <c r="AB9" s="61"/>
      <c r="AC9" s="61"/>
    </row>
    <row r="10" spans="1:29" x14ac:dyDescent="0.2">
      <c r="B10" s="54" t="s">
        <v>56</v>
      </c>
      <c r="C10" s="63">
        <v>2024</v>
      </c>
      <c r="E10" s="63">
        <v>2023</v>
      </c>
      <c r="G10" s="63">
        <v>2022</v>
      </c>
      <c r="I10" s="63">
        <v>2021</v>
      </c>
      <c r="K10" s="63">
        <v>2020</v>
      </c>
      <c r="M10" s="63">
        <v>2019</v>
      </c>
      <c r="N10" s="63"/>
      <c r="O10" s="63"/>
      <c r="Y10" s="62"/>
      <c r="Z10" s="62"/>
      <c r="AA10" s="61"/>
      <c r="AB10" s="61"/>
    </row>
    <row r="11" spans="1:29" x14ac:dyDescent="0.2">
      <c r="A11" s="54" t="s">
        <v>57</v>
      </c>
    </row>
    <row r="12" spans="1:29" x14ac:dyDescent="0.2">
      <c r="A12" s="54" t="s">
        <v>58</v>
      </c>
      <c r="B12" s="54" t="s">
        <v>59</v>
      </c>
      <c r="C12" s="65">
        <f>3746.4*1000000</f>
        <v>3746400000</v>
      </c>
      <c r="E12" s="65">
        <f>3710.6*1000000</f>
        <v>3710600000</v>
      </c>
      <c r="G12" s="65">
        <f>3239.7*1000000</f>
        <v>3239700000</v>
      </c>
      <c r="I12" s="65">
        <f>2939100000+55800000</f>
        <v>2994900000</v>
      </c>
      <c r="K12" s="65">
        <f>2423700000+60400000</f>
        <v>2484100000</v>
      </c>
      <c r="M12" s="65">
        <f>2082600000+40000000</f>
        <v>2122600000</v>
      </c>
      <c r="N12" s="65"/>
      <c r="O12" s="65"/>
      <c r="S12" s="63">
        <f>C10</f>
        <v>2024</v>
      </c>
      <c r="U12" s="63">
        <f>E10</f>
        <v>2023</v>
      </c>
      <c r="W12" s="63">
        <f>G10</f>
        <v>2022</v>
      </c>
      <c r="Y12" s="63">
        <f>I10</f>
        <v>2021</v>
      </c>
      <c r="AA12" s="63">
        <f>K10</f>
        <v>2020</v>
      </c>
      <c r="AB12" s="63"/>
    </row>
    <row r="13" spans="1:29" x14ac:dyDescent="0.2">
      <c r="A13" s="54" t="s">
        <v>60</v>
      </c>
      <c r="B13" s="54" t="s">
        <v>61</v>
      </c>
      <c r="C13" s="65">
        <v>242000000</v>
      </c>
      <c r="E13" s="65">
        <v>242000000</v>
      </c>
      <c r="G13" s="65">
        <v>242000000</v>
      </c>
      <c r="I13" s="65">
        <v>242000000</v>
      </c>
      <c r="K13" s="65">
        <v>242000000</v>
      </c>
      <c r="M13" s="65">
        <v>242000000</v>
      </c>
      <c r="N13" s="65"/>
      <c r="O13" s="65"/>
      <c r="Y13" s="61" t="s">
        <v>62</v>
      </c>
      <c r="Z13" s="61"/>
      <c r="AA13" s="61"/>
      <c r="AB13" s="61"/>
      <c r="AC13" s="61" t="s">
        <v>63</v>
      </c>
    </row>
    <row r="14" spans="1:29" x14ac:dyDescent="0.2">
      <c r="C14" s="65"/>
      <c r="E14" s="65"/>
      <c r="G14" s="65"/>
      <c r="I14" s="65"/>
      <c r="K14" s="65"/>
      <c r="M14" s="65"/>
      <c r="N14" s="65"/>
      <c r="O14" s="65"/>
      <c r="Q14" s="66" t="s">
        <v>64</v>
      </c>
      <c r="R14" s="66"/>
      <c r="S14" s="66"/>
      <c r="T14" s="66"/>
      <c r="U14" s="66"/>
      <c r="V14" s="66"/>
      <c r="W14" s="66"/>
      <c r="X14" s="66"/>
    </row>
    <row r="15" spans="1:29" x14ac:dyDescent="0.2">
      <c r="A15" s="54" t="s">
        <v>65</v>
      </c>
      <c r="B15" s="54" t="s">
        <v>66</v>
      </c>
      <c r="C15" s="65">
        <v>57749667</v>
      </c>
      <c r="E15" s="65">
        <v>53170224</v>
      </c>
      <c r="G15" s="65">
        <v>52494543</v>
      </c>
      <c r="I15" s="109">
        <v>51684883</v>
      </c>
      <c r="K15" s="109">
        <v>51611789</v>
      </c>
      <c r="M15" s="65">
        <v>50973515</v>
      </c>
      <c r="N15" s="65"/>
      <c r="O15" s="65"/>
    </row>
    <row r="16" spans="1:29" x14ac:dyDescent="0.2">
      <c r="A16" s="54" t="s">
        <v>6</v>
      </c>
      <c r="B16" s="54" t="s">
        <v>67</v>
      </c>
      <c r="C16" s="65">
        <f>3232.7*1000000</f>
        <v>3232700000</v>
      </c>
      <c r="E16" s="65">
        <f>2917.3*1000000</f>
        <v>2917300000</v>
      </c>
      <c r="G16" s="65">
        <f>2818.5*1000000</f>
        <v>2818500000</v>
      </c>
      <c r="I16" s="65">
        <f>2658200000-I13</f>
        <v>2416200000</v>
      </c>
      <c r="K16" s="65">
        <f>2522300000-K13</f>
        <v>2280300000</v>
      </c>
      <c r="M16" s="65">
        <f>2543000000-M13</f>
        <v>2301000000</v>
      </c>
      <c r="N16" s="65"/>
      <c r="O16" s="65"/>
      <c r="Q16" s="66" t="s">
        <v>68</v>
      </c>
      <c r="R16" s="66"/>
      <c r="S16" s="66"/>
      <c r="T16" s="66"/>
      <c r="U16" s="66"/>
      <c r="V16" s="66"/>
      <c r="W16" s="66"/>
      <c r="X16" s="66"/>
    </row>
    <row r="17" spans="1:30" x14ac:dyDescent="0.2">
      <c r="A17" s="54" t="s">
        <v>69</v>
      </c>
      <c r="B17" s="54" t="s">
        <v>66</v>
      </c>
      <c r="C17" s="65">
        <v>0</v>
      </c>
      <c r="E17" s="65">
        <v>0</v>
      </c>
      <c r="G17" s="65">
        <v>0</v>
      </c>
      <c r="I17" s="65">
        <v>0</v>
      </c>
      <c r="K17" s="65">
        <v>0</v>
      </c>
      <c r="M17" s="65">
        <v>0</v>
      </c>
      <c r="N17" s="65"/>
      <c r="O17" s="65"/>
      <c r="Q17" s="54" t="s">
        <v>70</v>
      </c>
      <c r="S17" s="69">
        <f>C50/1000000</f>
        <v>7221.1</v>
      </c>
      <c r="T17" s="69"/>
      <c r="U17" s="69">
        <f>E50/1000000</f>
        <v>6869.9</v>
      </c>
      <c r="V17" s="69"/>
      <c r="W17" s="69">
        <f>G50/1000000</f>
        <v>6300.2</v>
      </c>
      <c r="X17" s="69"/>
      <c r="Y17" s="69">
        <f>I50/1000000</f>
        <v>5653.1</v>
      </c>
      <c r="Z17" s="69"/>
      <c r="AA17" s="69">
        <f>K50/1000000</f>
        <v>5006.3999999999996</v>
      </c>
      <c r="AB17" s="69"/>
    </row>
    <row r="18" spans="1:30" x14ac:dyDescent="0.2">
      <c r="C18" s="65"/>
      <c r="E18" s="65"/>
      <c r="G18" s="65"/>
      <c r="I18" s="65"/>
      <c r="K18" s="65"/>
      <c r="M18" s="65"/>
      <c r="N18" s="65"/>
      <c r="O18" s="65"/>
      <c r="Q18" s="54" t="s">
        <v>71</v>
      </c>
      <c r="S18" s="70">
        <f>C19/1000000</f>
        <v>947</v>
      </c>
      <c r="T18" s="69"/>
      <c r="U18" s="70">
        <f>E19/1000000</f>
        <v>955.5</v>
      </c>
      <c r="V18" s="69"/>
      <c r="W18" s="70">
        <f>G19/1000000</f>
        <v>1037.5</v>
      </c>
      <c r="X18" s="69"/>
      <c r="Y18" s="70">
        <f>I19/1000000</f>
        <v>672</v>
      </c>
      <c r="Z18" s="69"/>
      <c r="AA18" s="70">
        <f>K19/1000000</f>
        <v>648</v>
      </c>
      <c r="AB18" s="69"/>
    </row>
    <row r="19" spans="1:30" x14ac:dyDescent="0.2">
      <c r="A19" s="54" t="s">
        <v>72</v>
      </c>
      <c r="B19" s="54" t="s">
        <v>73</v>
      </c>
      <c r="C19" s="65">
        <f>947*1000000</f>
        <v>947000000</v>
      </c>
      <c r="E19" s="65">
        <f>955.5*1000000</f>
        <v>955500000</v>
      </c>
      <c r="G19" s="65">
        <f>1037.5*1000000</f>
        <v>1037500000</v>
      </c>
      <c r="I19" s="65">
        <v>672000000</v>
      </c>
      <c r="K19" s="65">
        <v>648000000</v>
      </c>
      <c r="M19" s="65">
        <v>743200000</v>
      </c>
      <c r="N19" s="65"/>
      <c r="O19" s="65"/>
      <c r="Q19" s="54" t="s">
        <v>74</v>
      </c>
      <c r="S19" s="71">
        <f>SUM(S17:S18)</f>
        <v>8168.1</v>
      </c>
      <c r="T19" s="69"/>
      <c r="U19" s="71">
        <f>SUM(U17:U18)</f>
        <v>7825.4</v>
      </c>
      <c r="V19" s="69"/>
      <c r="W19" s="71">
        <f>SUM(W17:W18)</f>
        <v>7337.7</v>
      </c>
      <c r="X19" s="69"/>
      <c r="Y19" s="71">
        <f>SUM(Y17:Y18)</f>
        <v>6325.1</v>
      </c>
      <c r="Z19" s="69"/>
      <c r="AA19" s="71">
        <f>SUM(AA17:AA18)</f>
        <v>5654.4</v>
      </c>
      <c r="AB19" s="69"/>
    </row>
    <row r="20" spans="1:30" x14ac:dyDescent="0.2">
      <c r="C20" s="89"/>
      <c r="E20" s="89"/>
      <c r="G20" s="89"/>
      <c r="I20" s="65"/>
      <c r="K20" s="65"/>
      <c r="M20" s="65"/>
      <c r="N20" s="65"/>
      <c r="O20" s="65"/>
    </row>
    <row r="21" spans="1:30" x14ac:dyDescent="0.2">
      <c r="A21" s="54" t="s">
        <v>75</v>
      </c>
      <c r="B21" s="54" t="s">
        <v>76</v>
      </c>
      <c r="C21" s="89">
        <v>4.2</v>
      </c>
      <c r="E21" s="89">
        <v>3.86</v>
      </c>
      <c r="G21" s="89">
        <v>3.96</v>
      </c>
      <c r="I21" s="65">
        <v>4.96</v>
      </c>
      <c r="K21" s="65">
        <v>1.44</v>
      </c>
      <c r="M21" s="65">
        <v>3.52</v>
      </c>
      <c r="N21" s="65"/>
      <c r="O21" s="65"/>
      <c r="Q21" s="66" t="s">
        <v>77</v>
      </c>
      <c r="R21" s="66"/>
    </row>
    <row r="22" spans="1:30" x14ac:dyDescent="0.2">
      <c r="A22" s="54" t="s">
        <v>78</v>
      </c>
      <c r="B22" s="54" t="s">
        <v>79</v>
      </c>
      <c r="C22" s="89">
        <v>73.38</v>
      </c>
      <c r="E22" s="89">
        <v>75.59</v>
      </c>
      <c r="G22" s="89">
        <v>78.84</v>
      </c>
      <c r="I22" s="54">
        <v>77.48</v>
      </c>
      <c r="K22" s="65">
        <v>87.6</v>
      </c>
      <c r="M22" s="65">
        <v>87.24</v>
      </c>
      <c r="N22" s="65"/>
      <c r="O22" s="65"/>
      <c r="Q22" s="54" t="s">
        <v>80</v>
      </c>
      <c r="S22" s="72">
        <f>(ROUND((C30/(AVERAGE(C54,E54))*100),2))</f>
        <v>4.3</v>
      </c>
      <c r="T22" s="73" t="s">
        <v>4</v>
      </c>
      <c r="U22" s="72">
        <f>(ROUND((E30/(AVERAGE(E54,G54))*100),2))</f>
        <v>4.1500000000000004</v>
      </c>
      <c r="V22" s="73" t="s">
        <v>4</v>
      </c>
      <c r="W22" s="72">
        <f>(ROUND((G30/(AVERAGE(G54,I54))*100),2))</f>
        <v>3.02</v>
      </c>
      <c r="X22" s="73" t="s">
        <v>4</v>
      </c>
      <c r="Y22" s="72">
        <f>(ROUND((I30/(AVERAGE(I54,K54))*100),2))</f>
        <v>3.14</v>
      </c>
      <c r="Z22" s="73" t="s">
        <v>4</v>
      </c>
      <c r="AA22" s="72">
        <f>(ROUND((K30/(AVERAGE(K54,M54))*100),2))</f>
        <v>3.52</v>
      </c>
      <c r="AB22" s="73" t="s">
        <v>4</v>
      </c>
      <c r="AC22" s="58"/>
    </row>
    <row r="23" spans="1:30" x14ac:dyDescent="0.2">
      <c r="A23" s="54" t="s">
        <v>81</v>
      </c>
      <c r="B23" s="54" t="s">
        <v>79</v>
      </c>
      <c r="C23" s="89">
        <v>56.77</v>
      </c>
      <c r="E23" s="89">
        <v>54.75</v>
      </c>
      <c r="G23" s="89">
        <v>62</v>
      </c>
      <c r="I23" s="54">
        <v>59.64</v>
      </c>
      <c r="K23" s="65">
        <v>51.52</v>
      </c>
      <c r="M23" s="65">
        <v>71.150000000000006</v>
      </c>
      <c r="N23" s="65"/>
      <c r="O23" s="65"/>
      <c r="Q23" s="54" t="s">
        <v>82</v>
      </c>
      <c r="S23" s="93">
        <f>(ROUND((C36/(AVERAGE(C58,E58))*100),2))</f>
        <v>6.12</v>
      </c>
      <c r="T23" s="73"/>
      <c r="U23" s="93">
        <f>(ROUND((E36/(AVERAGE(E58,G58))*100),2))</f>
        <v>6.12</v>
      </c>
      <c r="V23" s="73"/>
      <c r="W23" s="93">
        <f>(ROUND((G36/(AVERAGE(G58,I58))*100),2))</f>
        <v>6.12</v>
      </c>
      <c r="X23" s="73"/>
      <c r="Y23" s="93">
        <f>(ROUND((I36/(AVERAGE(I58,K58))*100),2))</f>
        <v>6.12</v>
      </c>
      <c r="Z23" s="73"/>
      <c r="AA23" s="93">
        <f>(ROUND((K36/(AVERAGE(K58,M58))*100),2))</f>
        <v>6.12</v>
      </c>
      <c r="AB23" s="73"/>
    </row>
    <row r="24" spans="1:30" x14ac:dyDescent="0.2">
      <c r="C24" s="89"/>
      <c r="E24" s="89"/>
      <c r="G24" s="89"/>
      <c r="I24" s="65"/>
      <c r="K24" s="65"/>
      <c r="M24" s="65"/>
      <c r="N24" s="65"/>
      <c r="O24" s="65"/>
      <c r="AC24" s="194" t="s">
        <v>1</v>
      </c>
      <c r="AD24" s="194"/>
    </row>
    <row r="25" spans="1:30" x14ac:dyDescent="0.2">
      <c r="C25" s="89"/>
      <c r="E25" s="89"/>
      <c r="G25" s="89"/>
      <c r="I25" s="65"/>
      <c r="K25" s="65"/>
      <c r="M25" s="65"/>
      <c r="N25" s="65"/>
      <c r="O25" s="65"/>
      <c r="Q25" s="66" t="s">
        <v>83</v>
      </c>
      <c r="R25" s="66"/>
      <c r="AC25" s="194" t="s">
        <v>2</v>
      </c>
      <c r="AD25" s="194"/>
    </row>
    <row r="26" spans="1:30" x14ac:dyDescent="0.2">
      <c r="A26" s="54" t="s">
        <v>84</v>
      </c>
      <c r="B26" s="54" t="s">
        <v>79</v>
      </c>
      <c r="C26" s="89">
        <v>3.02</v>
      </c>
      <c r="E26" s="89">
        <v>2.88</v>
      </c>
      <c r="G26" s="89">
        <v>2.74</v>
      </c>
      <c r="I26" s="65">
        <v>2.6</v>
      </c>
      <c r="K26" s="65">
        <v>2.4900000000000002</v>
      </c>
      <c r="M26" s="65">
        <v>2.37</v>
      </c>
      <c r="N26" s="65"/>
      <c r="O26" s="65"/>
      <c r="Q26" s="54" t="s">
        <v>85</v>
      </c>
    </row>
    <row r="27" spans="1:30" x14ac:dyDescent="0.2">
      <c r="C27" s="89"/>
      <c r="E27" s="89"/>
      <c r="G27" s="89"/>
      <c r="I27" s="65"/>
      <c r="K27" s="65"/>
      <c r="M27" s="65"/>
      <c r="N27" s="65"/>
      <c r="O27" s="65"/>
      <c r="Q27" s="54" t="s">
        <v>86</v>
      </c>
      <c r="S27" s="72">
        <f>ROUND(((C12/C50)*100),2)</f>
        <v>51.88</v>
      </c>
      <c r="T27" s="73" t="s">
        <v>4</v>
      </c>
      <c r="U27" s="72">
        <f>ROUND(((E12/E50)*100),2)</f>
        <v>54.01</v>
      </c>
      <c r="V27" s="73" t="s">
        <v>4</v>
      </c>
      <c r="W27" s="72">
        <f>ROUND(((G12/G50)*100),2)</f>
        <v>51.42</v>
      </c>
      <c r="X27" s="73" t="s">
        <v>4</v>
      </c>
      <c r="Y27" s="72">
        <f>ROUND(((I12/I50)*100),2)</f>
        <v>52.98</v>
      </c>
      <c r="Z27" s="73" t="s">
        <v>4</v>
      </c>
      <c r="AA27" s="72">
        <f>ROUND(((K12/K50)*100),2)</f>
        <v>49.62</v>
      </c>
      <c r="AB27" s="73" t="s">
        <v>4</v>
      </c>
      <c r="AC27" s="72">
        <f>ROUND(AVERAGE(S27:AB27),2)</f>
        <v>51.98</v>
      </c>
      <c r="AD27" s="73" t="s">
        <v>4</v>
      </c>
    </row>
    <row r="28" spans="1:30" x14ac:dyDescent="0.2">
      <c r="A28" s="54" t="s">
        <v>87</v>
      </c>
      <c r="B28" s="54" t="s">
        <v>87</v>
      </c>
      <c r="C28" s="65">
        <f>(17+4.6+1.8)*1000000</f>
        <v>23400000.000000004</v>
      </c>
      <c r="E28" s="65">
        <f>(8.6+3.1+2.3)*1000000</f>
        <v>14000000</v>
      </c>
      <c r="G28" s="65">
        <f>(4.5+0.6+3.2)*1000000</f>
        <v>8300000.0000000009</v>
      </c>
      <c r="I28" s="65">
        <f>(4.4+0.2+3.2)*1000000</f>
        <v>7800000.0000000009</v>
      </c>
      <c r="K28" s="65">
        <f>(5.8+0.8+1.9)*1000000</f>
        <v>8500000</v>
      </c>
      <c r="M28" s="65">
        <f>(6.8+1.9)*1000000</f>
        <v>8700000</v>
      </c>
      <c r="N28" s="65"/>
      <c r="O28" s="65"/>
      <c r="Q28" s="54" t="s">
        <v>88</v>
      </c>
      <c r="S28" s="72">
        <f>ROUND(((SUM(C13,C17)/C50)*100),2)</f>
        <v>3.35</v>
      </c>
      <c r="T28" s="73"/>
      <c r="U28" s="72">
        <f>ROUND(((SUM(E13,E17)/E50)*100),2)</f>
        <v>3.52</v>
      </c>
      <c r="V28" s="73"/>
      <c r="W28" s="72">
        <f>ROUND(((SUM(G13,G17)/G50)*100),2)</f>
        <v>3.84</v>
      </c>
      <c r="X28" s="73"/>
      <c r="Y28" s="72">
        <f>ROUND(((SUM(I13,I17)/I50)*100),2)</f>
        <v>4.28</v>
      </c>
      <c r="Z28" s="73"/>
      <c r="AA28" s="72">
        <f>ROUND(((SUM(K13,K17)/K50)*100),2)</f>
        <v>4.83</v>
      </c>
      <c r="AB28" s="73"/>
      <c r="AC28" s="72">
        <f>ROUND(AVERAGE(S28:AB28),2)</f>
        <v>3.96</v>
      </c>
      <c r="AD28" s="73"/>
    </row>
    <row r="29" spans="1:30" x14ac:dyDescent="0.2">
      <c r="C29" s="89"/>
      <c r="E29" s="89"/>
      <c r="G29" s="89"/>
      <c r="I29" s="65"/>
      <c r="K29" s="65"/>
      <c r="M29" s="65"/>
      <c r="N29" s="65"/>
      <c r="O29" s="65"/>
      <c r="Q29" s="54" t="s">
        <v>89</v>
      </c>
      <c r="S29" s="74">
        <f>ROUND(((C16/C50)*100),2)</f>
        <v>44.77</v>
      </c>
      <c r="T29" s="73"/>
      <c r="U29" s="74">
        <f>ROUND(((E16/E50)*100),2)</f>
        <v>42.46</v>
      </c>
      <c r="V29" s="73"/>
      <c r="W29" s="74">
        <f>ROUND(((G16/G50)*100),2)</f>
        <v>44.74</v>
      </c>
      <c r="X29" s="73"/>
      <c r="Y29" s="74">
        <f>ROUND(((I16/I50)*100),2)</f>
        <v>42.74</v>
      </c>
      <c r="Z29" s="73"/>
      <c r="AA29" s="74">
        <f>ROUND(((K16/K50)*100),2)</f>
        <v>45.55</v>
      </c>
      <c r="AB29" s="73"/>
      <c r="AC29" s="72">
        <f>ROUND(AVERAGE(S29:AB29),2)</f>
        <v>44.05</v>
      </c>
      <c r="AD29" s="73"/>
    </row>
    <row r="30" spans="1:30" x14ac:dyDescent="0.2">
      <c r="A30" s="54" t="s">
        <v>90</v>
      </c>
      <c r="B30" s="54" t="s">
        <v>91</v>
      </c>
      <c r="C30" s="65">
        <f>(201.1)*1000000</f>
        <v>201100000</v>
      </c>
      <c r="E30" s="65">
        <f>(185.7)*1000000</f>
        <v>185700000</v>
      </c>
      <c r="G30" s="65">
        <f>119.8*1000000</f>
        <v>119800000</v>
      </c>
      <c r="I30" s="65">
        <v>106600000</v>
      </c>
      <c r="K30" s="65">
        <v>105500000</v>
      </c>
      <c r="M30" s="65">
        <v>104400000</v>
      </c>
      <c r="N30" s="65"/>
      <c r="O30" s="65"/>
      <c r="Q30" s="54" t="s">
        <v>92</v>
      </c>
      <c r="S30" s="75">
        <f>SUM(S27:S29)</f>
        <v>100</v>
      </c>
      <c r="T30" s="73" t="s">
        <v>4</v>
      </c>
      <c r="U30" s="75">
        <f>SUM(U27:U29)</f>
        <v>99.990000000000009</v>
      </c>
      <c r="V30" s="73" t="s">
        <v>4</v>
      </c>
      <c r="W30" s="75">
        <f>SUM(W27:W29)</f>
        <v>100</v>
      </c>
      <c r="X30" s="73" t="s">
        <v>4</v>
      </c>
      <c r="Y30" s="75">
        <f>SUM(Y27:Y29)</f>
        <v>100</v>
      </c>
      <c r="Z30" s="73" t="s">
        <v>4</v>
      </c>
      <c r="AA30" s="75">
        <f>SUM(AA27:AA29)</f>
        <v>100</v>
      </c>
      <c r="AB30" s="73" t="s">
        <v>4</v>
      </c>
      <c r="AC30" s="75">
        <f>SUM(AC27:AC29)</f>
        <v>99.99</v>
      </c>
      <c r="AD30" s="73" t="s">
        <v>4</v>
      </c>
    </row>
    <row r="31" spans="1:30" x14ac:dyDescent="0.2">
      <c r="C31" s="65"/>
      <c r="E31" s="65"/>
      <c r="G31" s="65"/>
      <c r="I31" s="65"/>
      <c r="K31" s="65"/>
      <c r="M31" s="65"/>
      <c r="N31" s="65"/>
      <c r="O31" s="65"/>
    </row>
    <row r="32" spans="1:30" x14ac:dyDescent="0.2">
      <c r="A32" s="54" t="s">
        <v>93</v>
      </c>
      <c r="B32" s="54" t="s">
        <v>94</v>
      </c>
      <c r="C32" s="65">
        <f>(250.9)*1000000</f>
        <v>250900000</v>
      </c>
      <c r="E32" s="65">
        <f>(217.5)*1000000</f>
        <v>217500000</v>
      </c>
      <c r="G32" s="65">
        <f>220.8*1000000</f>
        <v>220800000</v>
      </c>
      <c r="I32" s="65">
        <v>271700000</v>
      </c>
      <c r="K32" s="65">
        <v>88600000</v>
      </c>
      <c r="M32" s="65">
        <v>184600000</v>
      </c>
      <c r="N32" s="65"/>
      <c r="O32" s="65"/>
      <c r="Q32" s="54" t="s">
        <v>95</v>
      </c>
    </row>
    <row r="33" spans="1:30" x14ac:dyDescent="0.2">
      <c r="A33" s="76"/>
      <c r="B33" s="76"/>
      <c r="C33" s="65"/>
      <c r="D33" s="76"/>
      <c r="E33" s="65"/>
      <c r="F33" s="76"/>
      <c r="G33" s="65"/>
      <c r="H33" s="76"/>
      <c r="I33" s="78"/>
      <c r="J33" s="76"/>
      <c r="K33" s="78"/>
      <c r="L33" s="76"/>
      <c r="M33" s="78"/>
      <c r="N33" s="78"/>
      <c r="O33" s="78"/>
      <c r="Q33" s="54" t="s">
        <v>96</v>
      </c>
      <c r="S33" s="72">
        <f>ROUND((((C12+C19)/C56)*100),2)</f>
        <v>57.46</v>
      </c>
      <c r="T33" s="73" t="s">
        <v>4</v>
      </c>
      <c r="U33" s="72">
        <f>ROUND((((E12+E19)/E56)*100),2)</f>
        <v>59.63</v>
      </c>
      <c r="V33" s="73" t="s">
        <v>4</v>
      </c>
      <c r="W33" s="72">
        <f>ROUND((((G12+G19)/G56)*100),2)</f>
        <v>58.29</v>
      </c>
      <c r="X33" s="73" t="s">
        <v>4</v>
      </c>
      <c r="Y33" s="72">
        <f>ROUND((((I12+I19)/I56)*100),2)</f>
        <v>57.97</v>
      </c>
      <c r="Z33" s="73" t="s">
        <v>4</v>
      </c>
      <c r="AA33" s="72">
        <f>ROUND((((K12+K19)/K56)*100),2)</f>
        <v>55.39</v>
      </c>
      <c r="AB33" s="73" t="s">
        <v>4</v>
      </c>
      <c r="AC33" s="72">
        <f>ROUND(AVERAGE(S33:AB33),2)</f>
        <v>57.75</v>
      </c>
      <c r="AD33" s="73" t="s">
        <v>4</v>
      </c>
    </row>
    <row r="34" spans="1:30" x14ac:dyDescent="0.2">
      <c r="A34" s="54" t="s">
        <v>97</v>
      </c>
      <c r="B34" s="54" t="s">
        <v>98</v>
      </c>
      <c r="C34" s="65">
        <f>235.8*1000000</f>
        <v>235800000</v>
      </c>
      <c r="E34" s="65">
        <f>202.4*1000000</f>
        <v>202400000</v>
      </c>
      <c r="G34" s="65">
        <f>205.7*1000000</f>
        <v>205700000</v>
      </c>
      <c r="I34" s="65">
        <v>256500000</v>
      </c>
      <c r="K34" s="65">
        <v>73700000</v>
      </c>
      <c r="M34" s="65">
        <v>178900000</v>
      </c>
      <c r="N34" s="65"/>
      <c r="O34" s="65"/>
      <c r="Q34" s="54" t="s">
        <v>88</v>
      </c>
      <c r="S34" s="72">
        <f>ROUND((((SUM(C13,C17))/C56)*100),2)</f>
        <v>2.96</v>
      </c>
      <c r="T34" s="73"/>
      <c r="U34" s="72">
        <f>ROUND((((SUM(E13,E17))/E56)*100),2)</f>
        <v>3.09</v>
      </c>
      <c r="V34" s="73"/>
      <c r="W34" s="72">
        <f>ROUND((((SUM(G13,G17))/G56)*100),2)</f>
        <v>3.3</v>
      </c>
      <c r="X34" s="73"/>
      <c r="Y34" s="72">
        <f>ROUND((((SUM(I13,I17))/I56)*100),2)</f>
        <v>3.83</v>
      </c>
      <c r="Z34" s="73"/>
      <c r="AA34" s="72">
        <f>ROUND((((SUM(K13,K17))/K56)*100),2)</f>
        <v>4.28</v>
      </c>
      <c r="AB34" s="73"/>
      <c r="AC34" s="72">
        <f>ROUND(AVERAGE(S34:AB34),2)</f>
        <v>3.49</v>
      </c>
      <c r="AD34" s="73"/>
    </row>
    <row r="35" spans="1:30" x14ac:dyDescent="0.2">
      <c r="C35" s="65"/>
      <c r="E35" s="65"/>
      <c r="G35" s="65"/>
      <c r="I35" s="65"/>
      <c r="K35" s="65"/>
      <c r="M35" s="65"/>
      <c r="N35" s="65"/>
      <c r="O35" s="65"/>
      <c r="Q35" s="54" t="s">
        <v>89</v>
      </c>
      <c r="S35" s="74">
        <f>ROUND((((C16)/C56)*100),2)</f>
        <v>39.58</v>
      </c>
      <c r="T35" s="73"/>
      <c r="U35" s="74">
        <f>ROUND((((E16)/E56)*100),2)</f>
        <v>37.28</v>
      </c>
      <c r="V35" s="73"/>
      <c r="W35" s="74">
        <f>ROUND((((G16)/G56)*100),2)</f>
        <v>38.409999999999997</v>
      </c>
      <c r="X35" s="73"/>
      <c r="Y35" s="74">
        <f>ROUND((((I16)/I56)*100),2)</f>
        <v>38.200000000000003</v>
      </c>
      <c r="Z35" s="73"/>
      <c r="AA35" s="74">
        <f>ROUND((((K16)/K56)*100),2)</f>
        <v>40.33</v>
      </c>
      <c r="AB35" s="73"/>
      <c r="AC35" s="72">
        <f>ROUND(AVERAGE(S35:AB35),2)</f>
        <v>38.76</v>
      </c>
      <c r="AD35" s="73"/>
    </row>
    <row r="36" spans="1:30" x14ac:dyDescent="0.2">
      <c r="A36" s="54" t="s">
        <v>99</v>
      </c>
      <c r="B36" s="54" t="s">
        <v>100</v>
      </c>
      <c r="C36" s="65">
        <f>(14.8)*1000000</f>
        <v>14800000</v>
      </c>
      <c r="E36" s="65">
        <v>14800000</v>
      </c>
      <c r="G36" s="65">
        <v>14800000</v>
      </c>
      <c r="I36" s="65">
        <v>14800000</v>
      </c>
      <c r="K36" s="65">
        <v>14800000</v>
      </c>
      <c r="M36" s="65">
        <v>3400000</v>
      </c>
      <c r="N36" s="65"/>
      <c r="O36" s="65"/>
      <c r="Q36" s="54" t="s">
        <v>92</v>
      </c>
      <c r="S36" s="75">
        <f>SUM(S33:S35)</f>
        <v>100</v>
      </c>
      <c r="T36" s="73" t="s">
        <v>4</v>
      </c>
      <c r="U36" s="75">
        <f>SUM(U33:U35)</f>
        <v>100</v>
      </c>
      <c r="V36" s="73" t="s">
        <v>4</v>
      </c>
      <c r="W36" s="75">
        <f>SUM(W33:W35)</f>
        <v>100</v>
      </c>
      <c r="X36" s="73" t="s">
        <v>4</v>
      </c>
      <c r="Y36" s="75">
        <f>SUM(Y33:Y35)</f>
        <v>100</v>
      </c>
      <c r="Z36" s="73" t="s">
        <v>4</v>
      </c>
      <c r="AA36" s="75">
        <f>SUM(AA33:AA35)</f>
        <v>100</v>
      </c>
      <c r="AB36" s="73" t="s">
        <v>4</v>
      </c>
      <c r="AC36" s="75">
        <f>SUM(AC33:AC35)</f>
        <v>100</v>
      </c>
      <c r="AD36" s="73" t="s">
        <v>4</v>
      </c>
    </row>
    <row r="37" spans="1:30" x14ac:dyDescent="0.2">
      <c r="C37" s="65"/>
      <c r="E37" s="65"/>
      <c r="G37" s="65"/>
      <c r="I37" s="65"/>
      <c r="K37" s="65"/>
      <c r="M37" s="65"/>
      <c r="N37" s="65"/>
      <c r="O37" s="65"/>
    </row>
    <row r="38" spans="1:30" x14ac:dyDescent="0.2">
      <c r="A38" s="54" t="s">
        <v>101</v>
      </c>
      <c r="B38" s="54" t="s">
        <v>102</v>
      </c>
      <c r="C38" s="65">
        <f>167.1*1000000</f>
        <v>167100000</v>
      </c>
      <c r="E38" s="65">
        <f>150.7*1000000</f>
        <v>150700000</v>
      </c>
      <c r="G38" s="65">
        <f>141.9*1000000</f>
        <v>141900000</v>
      </c>
      <c r="I38" s="65">
        <f>133200000</f>
        <v>133200000</v>
      </c>
      <c r="K38" s="65">
        <f>128000000</f>
        <v>128000000</v>
      </c>
      <c r="M38" s="65">
        <v>119000000</v>
      </c>
      <c r="N38" s="65"/>
      <c r="O38" s="65"/>
    </row>
    <row r="39" spans="1:30" x14ac:dyDescent="0.2">
      <c r="C39" s="65"/>
      <c r="E39" s="65"/>
      <c r="G39" s="65"/>
      <c r="I39" s="65"/>
      <c r="K39" s="65"/>
      <c r="M39" s="65"/>
      <c r="N39" s="65"/>
      <c r="O39" s="65"/>
    </row>
    <row r="40" spans="1:30" x14ac:dyDescent="0.2">
      <c r="A40" s="54" t="s">
        <v>103</v>
      </c>
      <c r="B40" s="54" t="s">
        <v>104</v>
      </c>
      <c r="C40" s="65">
        <f>C32</f>
        <v>250900000</v>
      </c>
      <c r="E40" s="65">
        <f>E32</f>
        <v>217500000</v>
      </c>
      <c r="G40" s="65">
        <f>G32</f>
        <v>220800000</v>
      </c>
      <c r="I40" s="65">
        <f>I32</f>
        <v>271700000</v>
      </c>
      <c r="K40" s="65">
        <f>K32</f>
        <v>88600000</v>
      </c>
      <c r="M40" s="65">
        <f>M32</f>
        <v>184600000</v>
      </c>
      <c r="N40" s="65"/>
      <c r="O40" s="65"/>
      <c r="Q40" s="66" t="s">
        <v>105</v>
      </c>
      <c r="R40" s="66"/>
    </row>
    <row r="41" spans="1:30" x14ac:dyDescent="0.2">
      <c r="A41" s="54" t="s">
        <v>106</v>
      </c>
      <c r="B41" s="54" t="s">
        <v>107</v>
      </c>
      <c r="C41" s="65">
        <f>912.4*1000000</f>
        <v>912400000</v>
      </c>
      <c r="E41" s="65">
        <f>440.2*1000000</f>
        <v>440200000</v>
      </c>
      <c r="G41" s="65">
        <v>55000000</v>
      </c>
      <c r="I41" s="65">
        <f>249800000+(195.8*1000000)</f>
        <v>445600000</v>
      </c>
      <c r="K41" s="65">
        <v>469900000</v>
      </c>
      <c r="M41" s="65">
        <v>450900000</v>
      </c>
      <c r="N41" s="65"/>
      <c r="O41" s="65"/>
      <c r="Q41" s="66"/>
      <c r="R41" s="66"/>
    </row>
    <row r="42" spans="1:30" x14ac:dyDescent="0.2">
      <c r="A42" s="54" t="s">
        <v>108</v>
      </c>
      <c r="B42" s="54" t="s">
        <v>109</v>
      </c>
      <c r="C42" s="65">
        <f>(12.7+15.8+341.4-25.1+37.5+1.1-65.6)*1000000</f>
        <v>317799999.99999994</v>
      </c>
      <c r="E42" s="65">
        <f>(334.2+142.8-68.7-389.2+1.5+15-117.6)*1000000</f>
        <v>-81999999.99999997</v>
      </c>
      <c r="G42" s="65">
        <f>(-26.5-117.2-409+190.7-25.5+11.2-93.5)*1000000</f>
        <v>-469800000.00000006</v>
      </c>
      <c r="I42" s="65">
        <f>((-343+195.8)-111+76.6+177.7-12.4+8.9+17.3)*1000000</f>
        <v>9899999.9999999963</v>
      </c>
      <c r="K42" s="65">
        <f>(36.2+2.6+0.6+-43.1+7+2.9+8.2)*1000000</f>
        <v>14400000.000000004</v>
      </c>
      <c r="M42" s="65">
        <f>(2.7+13.6+12.4-6.4+3.5-4)*1000000</f>
        <v>21800000.000000004</v>
      </c>
      <c r="N42" s="65"/>
      <c r="O42" s="65"/>
      <c r="Q42" s="66" t="s">
        <v>110</v>
      </c>
      <c r="R42" s="66"/>
    </row>
    <row r="43" spans="1:30" x14ac:dyDescent="0.2">
      <c r="A43" s="54" t="s">
        <v>111</v>
      </c>
      <c r="B43" s="54" t="s">
        <v>112</v>
      </c>
      <c r="C43" s="65">
        <f>278.4*1000000</f>
        <v>278400000</v>
      </c>
      <c r="E43" s="65">
        <f>254.8*1000000</f>
        <v>254800000</v>
      </c>
      <c r="G43" s="65">
        <f>237.3*1000000</f>
        <v>237300000</v>
      </c>
      <c r="I43" s="65">
        <v>213100000</v>
      </c>
      <c r="K43" s="65">
        <v>197300000</v>
      </c>
      <c r="M43" s="65">
        <v>181700000</v>
      </c>
      <c r="N43" s="65"/>
      <c r="O43" s="65"/>
      <c r="Q43" s="54" t="s">
        <v>113</v>
      </c>
      <c r="S43" s="72">
        <f>ROUND(C21/C52,4)*100</f>
        <v>6.45</v>
      </c>
      <c r="T43" s="73" t="s">
        <v>4</v>
      </c>
      <c r="U43" s="72">
        <f>ROUND(E21/E52,4)*100</f>
        <v>5.92</v>
      </c>
      <c r="V43" s="73" t="s">
        <v>4</v>
      </c>
      <c r="W43" s="72">
        <f>ROUND(G21/G52,4)*100</f>
        <v>5.62</v>
      </c>
      <c r="X43" s="73" t="s">
        <v>4</v>
      </c>
      <c r="Y43" s="72">
        <f>ROUND(I21/I52,4)*100</f>
        <v>7.23</v>
      </c>
      <c r="Z43" s="73" t="s">
        <v>4</v>
      </c>
      <c r="AA43" s="72">
        <f>ROUND(K21/K52,4)*100</f>
        <v>2.0699999999999998</v>
      </c>
      <c r="AB43" s="73" t="s">
        <v>4</v>
      </c>
      <c r="AC43" s="72">
        <f>ROUND(AVERAGE(S43:AB43),2)</f>
        <v>5.46</v>
      </c>
      <c r="AD43" s="73" t="s">
        <v>4</v>
      </c>
    </row>
    <row r="44" spans="1:30" x14ac:dyDescent="0.2">
      <c r="A44" s="54" t="s">
        <v>114</v>
      </c>
      <c r="B44" s="54" t="s">
        <v>115</v>
      </c>
      <c r="C44" s="65">
        <f>58.7*1000000</f>
        <v>58700000</v>
      </c>
      <c r="E44" s="65">
        <f>38.8*1000000</f>
        <v>38800000</v>
      </c>
      <c r="G44" s="65">
        <f>58.9*1000000</f>
        <v>58900000</v>
      </c>
      <c r="I44" s="65">
        <v>68500000</v>
      </c>
      <c r="K44" s="65">
        <v>12400000</v>
      </c>
      <c r="M44" s="65">
        <v>34500000</v>
      </c>
      <c r="N44" s="65"/>
      <c r="O44" s="65"/>
      <c r="Q44" s="54" t="s">
        <v>116</v>
      </c>
      <c r="S44" s="72">
        <f>(ROUND((C52/(AVERAGE(C48,E48))*100),2))</f>
        <v>117.42</v>
      </c>
      <c r="U44" s="72">
        <f>(ROUND((E52/(AVERAGE(E48,G48))*100),2))</f>
        <v>120.06</v>
      </c>
      <c r="W44" s="72">
        <f>(ROUND((G52/(AVERAGE(G48,I48))*100),2))</f>
        <v>140.22</v>
      </c>
      <c r="Y44" s="72">
        <f>(ROUND((I52/(AVERAGE(I48,K48))*100),2))</f>
        <v>150.80000000000001</v>
      </c>
      <c r="AA44" s="72">
        <f>(ROUND((K52/(AVERAGE(K48,M48))*100),2))</f>
        <v>155.75</v>
      </c>
      <c r="AC44" s="72">
        <f>ROUND(AVERAGE(S44:AB44),2)</f>
        <v>136.85</v>
      </c>
    </row>
    <row r="45" spans="1:30" x14ac:dyDescent="0.2">
      <c r="C45" s="89"/>
      <c r="E45" s="89"/>
      <c r="G45" s="89"/>
      <c r="I45" s="65"/>
      <c r="K45" s="65"/>
      <c r="M45" s="65"/>
      <c r="N45" s="65"/>
      <c r="O45" s="65"/>
      <c r="Q45" s="54" t="s">
        <v>117</v>
      </c>
      <c r="S45" s="72">
        <f>ROUND(((+C26/C52)*100),2)</f>
        <v>4.6399999999999997</v>
      </c>
      <c r="U45" s="72">
        <f>ROUND(((+E26/E52)*100),2)</f>
        <v>4.42</v>
      </c>
      <c r="W45" s="72">
        <f>ROUND(((+G26/G52)*100),2)</f>
        <v>3.89</v>
      </c>
      <c r="Y45" s="72">
        <f>ROUND(((+I26/I52)*100),2)</f>
        <v>3.79</v>
      </c>
      <c r="AA45" s="72">
        <f>ROUND(((+K26/K52)*100),2)</f>
        <v>3.58</v>
      </c>
      <c r="AC45" s="72">
        <f>ROUND(AVERAGE(S45:AB45),2)</f>
        <v>4.0599999999999996</v>
      </c>
    </row>
    <row r="46" spans="1:30" x14ac:dyDescent="0.2">
      <c r="A46" s="54" t="s">
        <v>118</v>
      </c>
      <c r="C46" s="89"/>
      <c r="E46" s="89"/>
      <c r="G46" s="89"/>
      <c r="I46" s="65"/>
      <c r="K46" s="65"/>
      <c r="M46" s="65"/>
      <c r="N46" s="65"/>
      <c r="O46" s="65"/>
      <c r="Q46" s="54" t="s">
        <v>119</v>
      </c>
      <c r="S46" s="72">
        <f>ROUND(((+C38/C34)*100),2)</f>
        <v>70.87</v>
      </c>
      <c r="U46" s="72">
        <f>ROUND(((+E38/E34)*100),2)</f>
        <v>74.459999999999994</v>
      </c>
      <c r="W46" s="72">
        <f>ROUND(((+G38/G34)*100),2)</f>
        <v>68.98</v>
      </c>
      <c r="Y46" s="72">
        <f>ROUND(((+I38/I34)*100),2)</f>
        <v>51.93</v>
      </c>
      <c r="AA46" s="72">
        <f>ROUND(((+K38/K34)*100),2)</f>
        <v>173.68</v>
      </c>
      <c r="AC46" s="72">
        <f>ROUND(AVERAGE(S46:AB46),2)</f>
        <v>87.98</v>
      </c>
    </row>
    <row r="47" spans="1:30" x14ac:dyDescent="0.2">
      <c r="C47" s="89"/>
      <c r="E47" s="89"/>
      <c r="G47" s="89"/>
      <c r="I47" s="65"/>
      <c r="K47" s="65"/>
      <c r="M47" s="65"/>
      <c r="N47" s="65"/>
      <c r="O47" s="65"/>
      <c r="S47" s="72"/>
      <c r="U47" s="72"/>
      <c r="W47" s="72"/>
      <c r="Y47" s="72"/>
      <c r="AA47" s="72"/>
      <c r="AC47" s="72"/>
    </row>
    <row r="48" spans="1:30" x14ac:dyDescent="0.2">
      <c r="A48" s="54" t="s">
        <v>120</v>
      </c>
      <c r="B48" s="54" t="s">
        <v>121</v>
      </c>
      <c r="C48" s="65">
        <f>C16/C15</f>
        <v>55.977811958638654</v>
      </c>
      <c r="E48" s="65">
        <f>E16/E15</f>
        <v>54.867175282165448</v>
      </c>
      <c r="G48" s="65">
        <f>G16/G15</f>
        <v>53.691295112331964</v>
      </c>
      <c r="I48" s="65">
        <f>I16/I15</f>
        <v>46.748678912555533</v>
      </c>
      <c r="K48" s="65">
        <f>K16/K15</f>
        <v>44.181766301493639</v>
      </c>
      <c r="M48" s="65">
        <f>M16/M15</f>
        <v>45.141089446156499</v>
      </c>
      <c r="N48" s="65"/>
      <c r="O48" s="65"/>
      <c r="Q48" s="66" t="s">
        <v>122</v>
      </c>
      <c r="R48" s="66"/>
      <c r="S48" s="72">
        <f>ROUND(((C34/AVERAGE(C16,E16))*100),2)</f>
        <v>7.67</v>
      </c>
      <c r="T48" s="54" t="s">
        <v>4</v>
      </c>
      <c r="U48" s="72">
        <f>ROUND(((E34/AVERAGE(E16,G16))*100),2)</f>
        <v>7.06</v>
      </c>
      <c r="V48" s="54" t="s">
        <v>4</v>
      </c>
      <c r="W48" s="72">
        <f>ROUND(((G34/AVERAGE(G16,I16))*100),2)</f>
        <v>7.86</v>
      </c>
      <c r="X48" s="54" t="s">
        <v>4</v>
      </c>
      <c r="Y48" s="72">
        <f>ROUND(((I34/AVERAGE(I16,K16))*100),2)</f>
        <v>10.92</v>
      </c>
      <c r="Z48" s="54" t="s">
        <v>4</v>
      </c>
      <c r="AA48" s="72">
        <f>ROUND(((K34/AVERAGE(K16,M16))*100),2)</f>
        <v>3.22</v>
      </c>
      <c r="AB48" s="54" t="s">
        <v>4</v>
      </c>
      <c r="AC48" s="72">
        <f>ROUND(AVERAGE(S48:AB48),2)</f>
        <v>7.35</v>
      </c>
      <c r="AD48" s="54" t="s">
        <v>4</v>
      </c>
    </row>
    <row r="49" spans="1:30" x14ac:dyDescent="0.2">
      <c r="C49" s="65"/>
      <c r="E49" s="65"/>
      <c r="G49" s="65"/>
      <c r="I49" s="65"/>
      <c r="K49" s="65"/>
      <c r="M49" s="65"/>
      <c r="N49" s="65"/>
      <c r="O49" s="65"/>
      <c r="S49" s="72"/>
      <c r="U49" s="72"/>
      <c r="W49" s="72"/>
      <c r="Y49" s="72"/>
      <c r="AA49" s="72"/>
      <c r="AC49" s="73"/>
    </row>
    <row r="50" spans="1:30" x14ac:dyDescent="0.2">
      <c r="A50" s="54" t="s">
        <v>123</v>
      </c>
      <c r="B50" s="54" t="s">
        <v>121</v>
      </c>
      <c r="C50" s="65">
        <f>SUM(C12:C13,C16:C17)</f>
        <v>7221100000</v>
      </c>
      <c r="E50" s="65">
        <f>SUM(E12:E13,E16:E17)</f>
        <v>6869900000</v>
      </c>
      <c r="G50" s="65">
        <f>SUM(G12:G13,G16:G17)</f>
        <v>6300200000</v>
      </c>
      <c r="I50" s="65">
        <f>SUM(I12:I13,I16:I17)</f>
        <v>5653100000</v>
      </c>
      <c r="K50" s="65">
        <f>SUM(K12:K13,K16:K17)</f>
        <v>5006400000</v>
      </c>
      <c r="M50" s="65">
        <f>SUM(M12:M13,M16:M17)</f>
        <v>4665600000</v>
      </c>
      <c r="N50" s="65"/>
      <c r="O50" s="65"/>
      <c r="Q50" s="66" t="s">
        <v>124</v>
      </c>
      <c r="R50" s="66"/>
      <c r="S50" s="72">
        <f>ROUND((C54/C62),2)</f>
        <v>5.95</v>
      </c>
      <c r="T50" s="73" t="s">
        <v>125</v>
      </c>
      <c r="U50" s="72">
        <f>ROUND((E54/E62),2)</f>
        <v>6.7</v>
      </c>
      <c r="V50" s="73" t="s">
        <v>125</v>
      </c>
      <c r="W50" s="72">
        <f>ROUND((G54/G62),2)</f>
        <v>6.72</v>
      </c>
      <c r="X50" s="73" t="s">
        <v>125</v>
      </c>
      <c r="Y50" s="72">
        <f>ROUND((I54/I62),2)</f>
        <v>5.56</v>
      </c>
      <c r="Z50" s="73" t="s">
        <v>125</v>
      </c>
      <c r="AA50" s="72">
        <f>ROUND((K54/K62),2)</f>
        <v>7.76</v>
      </c>
      <c r="AB50" s="73" t="s">
        <v>125</v>
      </c>
      <c r="AC50" s="72">
        <f>ROUND(AVERAGE(S50:AB50),2)</f>
        <v>6.54</v>
      </c>
      <c r="AD50" s="54" t="s">
        <v>125</v>
      </c>
    </row>
    <row r="51" spans="1:30" x14ac:dyDescent="0.2">
      <c r="C51" s="65"/>
      <c r="E51" s="65"/>
      <c r="G51" s="65"/>
      <c r="I51" s="65"/>
      <c r="K51" s="65"/>
      <c r="M51" s="65"/>
      <c r="N51" s="65"/>
      <c r="O51" s="65"/>
      <c r="Q51" s="66"/>
      <c r="R51" s="66"/>
      <c r="S51" s="72"/>
      <c r="U51" s="72"/>
      <c r="W51" s="72"/>
      <c r="Y51" s="72"/>
      <c r="AA51" s="72"/>
      <c r="AC51" s="72"/>
    </row>
    <row r="52" spans="1:30" x14ac:dyDescent="0.2">
      <c r="A52" s="54" t="s">
        <v>126</v>
      </c>
      <c r="B52" s="54" t="s">
        <v>121</v>
      </c>
      <c r="C52" s="65">
        <f>AVERAGE(C22:C23)</f>
        <v>65.075000000000003</v>
      </c>
      <c r="E52" s="65">
        <f>AVERAGE(E22:E23)</f>
        <v>65.17</v>
      </c>
      <c r="G52" s="65">
        <f>AVERAGE(G22:G23)</f>
        <v>70.42</v>
      </c>
      <c r="I52" s="65">
        <f>AVERAGE(I22:I23)</f>
        <v>68.56</v>
      </c>
      <c r="K52" s="65">
        <f>AVERAGE(K22:K23)</f>
        <v>69.56</v>
      </c>
      <c r="M52" s="65">
        <f>AVERAGE(M22:M23)</f>
        <v>79.194999999999993</v>
      </c>
      <c r="N52" s="65"/>
      <c r="O52" s="65"/>
      <c r="Q52" s="66" t="s">
        <v>127</v>
      </c>
      <c r="R52" s="66"/>
      <c r="S52" s="72">
        <f>ROUND(((C60/C54)*100),2)</f>
        <v>25.71</v>
      </c>
      <c r="T52" s="73" t="s">
        <v>4</v>
      </c>
      <c r="U52" s="72">
        <f>ROUND(((E60/E54)*100),2)</f>
        <v>7.38</v>
      </c>
      <c r="V52" s="73" t="s">
        <v>4</v>
      </c>
      <c r="W52" s="72">
        <f>ROUND(((G60/G54)*100),2)</f>
        <v>-9.89</v>
      </c>
      <c r="X52" s="73" t="s">
        <v>4</v>
      </c>
      <c r="Y52" s="72">
        <f>ROUND(((I60/I54)*100),2)</f>
        <v>12.21</v>
      </c>
      <c r="Z52" s="73" t="s">
        <v>4</v>
      </c>
      <c r="AA52" s="72">
        <f>ROUND(((K60/K54)*100),2)</f>
        <v>15.19</v>
      </c>
      <c r="AB52" s="73" t="s">
        <v>4</v>
      </c>
      <c r="AC52" s="72">
        <f>ROUND(AVERAGE(S52:AB52),2)</f>
        <v>10.119999999999999</v>
      </c>
      <c r="AD52" s="54" t="s">
        <v>4</v>
      </c>
    </row>
    <row r="53" spans="1:30" x14ac:dyDescent="0.2">
      <c r="C53" s="65"/>
      <c r="E53" s="65"/>
      <c r="G53" s="65"/>
      <c r="I53" s="65"/>
      <c r="K53" s="65"/>
      <c r="M53" s="65"/>
      <c r="N53" s="65"/>
      <c r="O53" s="65"/>
      <c r="Q53" s="79"/>
      <c r="R53" s="79"/>
      <c r="S53" s="72"/>
      <c r="U53" s="72"/>
      <c r="W53" s="72"/>
      <c r="Y53" s="72"/>
      <c r="AA53" s="72"/>
    </row>
    <row r="54" spans="1:30" x14ac:dyDescent="0.2">
      <c r="A54" s="54" t="s">
        <v>13</v>
      </c>
      <c r="C54" s="81">
        <f>+C19+C12</f>
        <v>4693400000</v>
      </c>
      <c r="E54" s="81">
        <f>+E19+E12</f>
        <v>4666100000</v>
      </c>
      <c r="G54" s="81">
        <f>+G19+G12</f>
        <v>4277200000</v>
      </c>
      <c r="I54" s="81">
        <f>+I19+I12</f>
        <v>3666900000</v>
      </c>
      <c r="K54" s="81">
        <f>+K19+K12</f>
        <v>3132100000</v>
      </c>
      <c r="M54" s="81">
        <f>+M19+M12</f>
        <v>2865800000</v>
      </c>
      <c r="N54" s="81"/>
      <c r="O54" s="81"/>
      <c r="Q54" s="79" t="s">
        <v>128</v>
      </c>
      <c r="R54" s="79"/>
      <c r="S54" s="72">
        <f>S33</f>
        <v>57.46</v>
      </c>
      <c r="T54" s="73" t="s">
        <v>4</v>
      </c>
      <c r="U54" s="72">
        <f>U33</f>
        <v>59.63</v>
      </c>
      <c r="V54" s="73" t="s">
        <v>4</v>
      </c>
      <c r="W54" s="72">
        <f>W33</f>
        <v>58.29</v>
      </c>
      <c r="X54" s="73" t="s">
        <v>4</v>
      </c>
      <c r="Y54" s="72">
        <f>Y33</f>
        <v>57.97</v>
      </c>
      <c r="Z54" s="73" t="s">
        <v>4</v>
      </c>
      <c r="AA54" s="72">
        <f>AA33</f>
        <v>55.39</v>
      </c>
      <c r="AB54" s="73" t="s">
        <v>4</v>
      </c>
      <c r="AC54" s="72">
        <f>ROUND(AVERAGE(S54:AB54),2)</f>
        <v>57.75</v>
      </c>
      <c r="AD54" s="73" t="s">
        <v>4</v>
      </c>
    </row>
    <row r="55" spans="1:30" x14ac:dyDescent="0.2">
      <c r="C55" s="65"/>
      <c r="E55" s="65"/>
      <c r="G55" s="65"/>
      <c r="I55" s="65"/>
      <c r="K55" s="65"/>
      <c r="M55" s="65"/>
      <c r="N55" s="65"/>
      <c r="O55" s="65"/>
    </row>
    <row r="56" spans="1:30" x14ac:dyDescent="0.2">
      <c r="A56" s="54" t="s">
        <v>14</v>
      </c>
      <c r="B56" s="54" t="s">
        <v>121</v>
      </c>
      <c r="C56" s="65">
        <f>SUM(C50,C19)</f>
        <v>8168100000</v>
      </c>
      <c r="E56" s="65">
        <f>SUM(E50,E19)</f>
        <v>7825400000</v>
      </c>
      <c r="G56" s="65">
        <f>SUM(G50,G19)</f>
        <v>7337700000</v>
      </c>
      <c r="I56" s="65">
        <f>SUM(I50,I19)</f>
        <v>6325100000</v>
      </c>
      <c r="K56" s="65">
        <f>SUM(K50,K19)</f>
        <v>5654400000</v>
      </c>
      <c r="M56" s="65">
        <f>SUM(M50,M19)</f>
        <v>5408800000</v>
      </c>
      <c r="N56" s="65"/>
      <c r="O56" s="65"/>
    </row>
    <row r="57" spans="1:30" x14ac:dyDescent="0.2">
      <c r="C57" s="65"/>
      <c r="E57" s="65"/>
      <c r="G57" s="65"/>
      <c r="I57" s="65"/>
      <c r="K57" s="65"/>
      <c r="M57" s="65"/>
      <c r="N57" s="65"/>
      <c r="O57" s="65"/>
    </row>
    <row r="58" spans="1:30" x14ac:dyDescent="0.2">
      <c r="A58" s="54" t="s">
        <v>129</v>
      </c>
      <c r="B58" s="54" t="s">
        <v>121</v>
      </c>
      <c r="C58" s="65">
        <f>SUM(C13,C17)</f>
        <v>242000000</v>
      </c>
      <c r="E58" s="65">
        <f>SUM(E13,E17)</f>
        <v>242000000</v>
      </c>
      <c r="G58" s="65">
        <f>SUM(G13,G17)</f>
        <v>242000000</v>
      </c>
      <c r="I58" s="65">
        <f>SUM(I13,I17)</f>
        <v>242000000</v>
      </c>
      <c r="K58" s="65">
        <f>SUM(K13,K17)</f>
        <v>242000000</v>
      </c>
      <c r="M58" s="65">
        <f>SUM(M13,M17)</f>
        <v>242000000</v>
      </c>
      <c r="N58" s="65"/>
      <c r="O58" s="65"/>
    </row>
    <row r="59" spans="1:30" x14ac:dyDescent="0.2">
      <c r="C59" s="65"/>
      <c r="E59" s="65"/>
      <c r="G59" s="65"/>
      <c r="I59" s="65"/>
      <c r="K59" s="65"/>
      <c r="M59" s="65"/>
      <c r="N59" s="65"/>
      <c r="O59" s="65"/>
    </row>
    <row r="60" spans="1:30" x14ac:dyDescent="0.2">
      <c r="A60" s="82" t="s">
        <v>130</v>
      </c>
      <c r="B60" s="54" t="s">
        <v>121</v>
      </c>
      <c r="C60" s="65">
        <f>ROUND(C41+C42-C28,3)</f>
        <v>1206800000</v>
      </c>
      <c r="E60" s="65">
        <f>ROUND(E41+E42-E28,3)</f>
        <v>344200000</v>
      </c>
      <c r="G60" s="65">
        <f>ROUND(G41+G42-G28,3)</f>
        <v>-423100000</v>
      </c>
      <c r="I60" s="65">
        <f>ROUND(I41+I42-I28,3)</f>
        <v>447700000</v>
      </c>
      <c r="K60" s="65">
        <f>ROUND(K41+K42-K28,3)</f>
        <v>475800000</v>
      </c>
      <c r="M60" s="65">
        <f>ROUND(M41+M42-M28,3)</f>
        <v>464000000</v>
      </c>
      <c r="N60" s="65"/>
      <c r="O60" s="65"/>
    </row>
    <row r="61" spans="1:30" x14ac:dyDescent="0.2">
      <c r="A61" s="82"/>
      <c r="C61" s="65"/>
      <c r="E61" s="65"/>
      <c r="G61" s="65"/>
      <c r="I61" s="65"/>
      <c r="K61" s="65"/>
      <c r="M61" s="65"/>
      <c r="N61" s="65"/>
      <c r="O61" s="65"/>
    </row>
    <row r="62" spans="1:30" x14ac:dyDescent="0.2">
      <c r="A62" s="54" t="s">
        <v>131</v>
      </c>
      <c r="B62" s="54" t="s">
        <v>121</v>
      </c>
      <c r="C62" s="65">
        <f>C40+C44+C43+C30</f>
        <v>789100000</v>
      </c>
      <c r="E62" s="65">
        <f>E40+E44+E43+E30</f>
        <v>696800000</v>
      </c>
      <c r="G62" s="65">
        <f>G40+G44+G43+G30</f>
        <v>636800000</v>
      </c>
      <c r="I62" s="65">
        <f>I40+I44+I43+I30</f>
        <v>659900000</v>
      </c>
      <c r="K62" s="65">
        <f>K40+K44+K43+K30</f>
        <v>403800000</v>
      </c>
      <c r="M62" s="65">
        <f>M40+M44+M43+M30</f>
        <v>505200000</v>
      </c>
      <c r="N62" s="65"/>
      <c r="O62" s="65"/>
    </row>
    <row r="63" spans="1:30" x14ac:dyDescent="0.2">
      <c r="M63" s="83"/>
      <c r="N63" s="83"/>
      <c r="O63" s="83"/>
    </row>
    <row r="64" spans="1:30" x14ac:dyDescent="0.2">
      <c r="M64" s="83"/>
      <c r="N64" s="83"/>
      <c r="O64" s="83"/>
    </row>
    <row r="71" spans="13:15" x14ac:dyDescent="0.2">
      <c r="M71" s="83"/>
      <c r="N71" s="83"/>
      <c r="O71" s="83"/>
    </row>
    <row r="81" spans="13:223" x14ac:dyDescent="0.2">
      <c r="HK81" s="84"/>
      <c r="HL81" s="84"/>
      <c r="HO81" s="54" t="s">
        <v>132</v>
      </c>
    </row>
    <row r="94" spans="13:223" x14ac:dyDescent="0.2">
      <c r="M94" s="83"/>
      <c r="N94" s="83"/>
      <c r="O94" s="83"/>
    </row>
    <row r="95" spans="13:223" x14ac:dyDescent="0.2">
      <c r="M95" s="83"/>
      <c r="N95" s="83"/>
      <c r="O95" s="83"/>
    </row>
    <row r="96" spans="13:223" x14ac:dyDescent="0.2">
      <c r="M96" s="83"/>
      <c r="N96" s="83"/>
      <c r="O96" s="83"/>
    </row>
    <row r="97" spans="13:15" x14ac:dyDescent="0.2">
      <c r="M97" s="83"/>
      <c r="N97" s="83"/>
      <c r="O97" s="83"/>
    </row>
    <row r="98" spans="13:15" x14ac:dyDescent="0.2">
      <c r="M98" s="83"/>
      <c r="N98" s="83"/>
      <c r="O98" s="83"/>
    </row>
    <row r="99" spans="13:15" x14ac:dyDescent="0.2">
      <c r="M99" s="83"/>
      <c r="N99" s="83"/>
      <c r="O99" s="83"/>
    </row>
    <row r="100" spans="13:15" x14ac:dyDescent="0.2">
      <c r="M100" s="83"/>
      <c r="N100" s="83"/>
      <c r="O100" s="83"/>
    </row>
    <row r="101" spans="13:15" x14ac:dyDescent="0.2">
      <c r="M101" s="83"/>
      <c r="N101" s="83"/>
      <c r="O101" s="83"/>
    </row>
    <row r="102" spans="13:15" x14ac:dyDescent="0.2">
      <c r="M102" s="83"/>
      <c r="N102" s="83"/>
      <c r="O102" s="83"/>
    </row>
    <row r="103" spans="13:15" x14ac:dyDescent="0.2">
      <c r="M103" s="83"/>
      <c r="N103" s="83"/>
      <c r="O103" s="83"/>
    </row>
    <row r="104" spans="13:15" x14ac:dyDescent="0.2">
      <c r="M104" s="83"/>
      <c r="N104" s="83"/>
      <c r="O104" s="83"/>
    </row>
    <row r="105" spans="13:15" x14ac:dyDescent="0.2">
      <c r="M105" s="83"/>
      <c r="N105" s="83"/>
      <c r="O105" s="83"/>
    </row>
    <row r="106" spans="13:15" x14ac:dyDescent="0.2">
      <c r="M106" s="83"/>
      <c r="N106" s="83"/>
      <c r="O106" s="83"/>
    </row>
    <row r="107" spans="13:15" x14ac:dyDescent="0.2">
      <c r="M107" s="83"/>
      <c r="N107" s="83"/>
      <c r="O107" s="83"/>
    </row>
    <row r="108" spans="13:15" x14ac:dyDescent="0.2">
      <c r="M108" s="83"/>
      <c r="N108" s="83"/>
      <c r="O108" s="83"/>
    </row>
    <row r="109" spans="13:15" x14ac:dyDescent="0.2">
      <c r="M109" s="83"/>
      <c r="N109" s="83"/>
      <c r="O109" s="83"/>
    </row>
    <row r="110" spans="13:15" x14ac:dyDescent="0.2">
      <c r="M110" s="83"/>
      <c r="N110" s="83"/>
      <c r="O110" s="83"/>
    </row>
    <row r="111" spans="13:15" x14ac:dyDescent="0.2">
      <c r="M111" s="83"/>
      <c r="N111" s="83"/>
      <c r="O111" s="83"/>
    </row>
    <row r="112" spans="13:15" x14ac:dyDescent="0.2">
      <c r="M112" s="83"/>
      <c r="N112" s="83"/>
      <c r="O112" s="83"/>
    </row>
    <row r="113" spans="13:15" x14ac:dyDescent="0.2">
      <c r="M113" s="83"/>
      <c r="N113" s="83"/>
      <c r="O113" s="83"/>
    </row>
    <row r="114" spans="13:15" x14ac:dyDescent="0.2">
      <c r="M114" s="83"/>
      <c r="N114" s="83"/>
      <c r="O114" s="83"/>
    </row>
    <row r="115" spans="13:15" x14ac:dyDescent="0.2">
      <c r="M115" s="83"/>
      <c r="N115" s="83"/>
      <c r="O115" s="83"/>
    </row>
    <row r="116" spans="13:15" x14ac:dyDescent="0.2">
      <c r="M116" s="83"/>
      <c r="N116" s="83"/>
      <c r="O116" s="83"/>
    </row>
    <row r="117" spans="13:15" x14ac:dyDescent="0.2">
      <c r="M117" s="83"/>
      <c r="N117" s="83"/>
      <c r="O117" s="83"/>
    </row>
    <row r="118" spans="13:15" x14ac:dyDescent="0.2">
      <c r="M118" s="83"/>
      <c r="N118" s="83"/>
      <c r="O118" s="83"/>
    </row>
    <row r="119" spans="13:15" x14ac:dyDescent="0.2">
      <c r="M119" s="83"/>
      <c r="N119" s="83"/>
      <c r="O119" s="83"/>
    </row>
    <row r="120" spans="13:15" x14ac:dyDescent="0.2">
      <c r="M120" s="83"/>
      <c r="N120" s="83"/>
      <c r="O120" s="83"/>
    </row>
    <row r="121" spans="13:15" x14ac:dyDescent="0.2">
      <c r="M121" s="83"/>
      <c r="N121" s="83"/>
      <c r="O121" s="83"/>
    </row>
    <row r="122" spans="13:15" x14ac:dyDescent="0.2">
      <c r="M122" s="83"/>
      <c r="N122" s="83"/>
      <c r="O122" s="83"/>
    </row>
    <row r="123" spans="13:15" x14ac:dyDescent="0.2">
      <c r="M123" s="83"/>
      <c r="N123" s="83"/>
      <c r="O123" s="83"/>
    </row>
    <row r="124" spans="13:15" x14ac:dyDescent="0.2">
      <c r="M124" s="83"/>
      <c r="N124" s="83"/>
      <c r="O124" s="83"/>
    </row>
    <row r="125" spans="13:15" x14ac:dyDescent="0.2">
      <c r="M125" s="83"/>
      <c r="N125" s="83"/>
      <c r="O125" s="83"/>
    </row>
    <row r="126" spans="13:15" x14ac:dyDescent="0.2">
      <c r="M126" s="83"/>
      <c r="N126" s="83"/>
      <c r="O126" s="83"/>
    </row>
    <row r="127" spans="13:15" x14ac:dyDescent="0.2">
      <c r="M127" s="83"/>
      <c r="N127" s="83"/>
      <c r="O127" s="83"/>
    </row>
    <row r="128" spans="13:15" x14ac:dyDescent="0.2">
      <c r="M128" s="83"/>
      <c r="N128" s="83"/>
      <c r="O128" s="83"/>
    </row>
    <row r="129" spans="13:15" x14ac:dyDescent="0.2">
      <c r="M129" s="83"/>
      <c r="N129" s="83"/>
      <c r="O129" s="83"/>
    </row>
    <row r="130" spans="13:15" x14ac:dyDescent="0.2">
      <c r="M130" s="83"/>
      <c r="N130" s="83"/>
      <c r="O130" s="83"/>
    </row>
    <row r="131" spans="13:15" x14ac:dyDescent="0.2">
      <c r="M131" s="83"/>
      <c r="N131" s="83"/>
      <c r="O131" s="83"/>
    </row>
    <row r="132" spans="13:15" x14ac:dyDescent="0.2">
      <c r="M132" s="83"/>
      <c r="N132" s="83"/>
      <c r="O132" s="83"/>
    </row>
    <row r="133" spans="13:15" x14ac:dyDescent="0.2">
      <c r="M133" s="83"/>
      <c r="N133" s="83"/>
      <c r="O133" s="83"/>
    </row>
    <row r="134" spans="13:15" x14ac:dyDescent="0.2">
      <c r="M134" s="83"/>
      <c r="N134" s="83"/>
      <c r="O134" s="83"/>
    </row>
    <row r="135" spans="13:15" x14ac:dyDescent="0.2">
      <c r="M135" s="83"/>
      <c r="N135" s="83"/>
      <c r="O135" s="83"/>
    </row>
    <row r="136" spans="13:15" x14ac:dyDescent="0.2">
      <c r="M136" s="83"/>
      <c r="N136" s="83"/>
      <c r="O136" s="83"/>
    </row>
    <row r="137" spans="13:15" x14ac:dyDescent="0.2">
      <c r="M137" s="83"/>
      <c r="N137" s="83"/>
      <c r="O137" s="83"/>
    </row>
    <row r="138" spans="13:15" x14ac:dyDescent="0.2">
      <c r="M138" s="83"/>
      <c r="N138" s="83"/>
      <c r="O138" s="83"/>
    </row>
    <row r="139" spans="13:15" x14ac:dyDescent="0.2">
      <c r="M139" s="83"/>
      <c r="N139" s="83"/>
      <c r="O139" s="83"/>
    </row>
    <row r="140" spans="13:15" x14ac:dyDescent="0.2">
      <c r="M140" s="83"/>
      <c r="N140" s="83"/>
      <c r="O140" s="83"/>
    </row>
    <row r="141" spans="13:15" x14ac:dyDescent="0.2">
      <c r="M141" s="83"/>
      <c r="N141" s="83"/>
      <c r="O141" s="83"/>
    </row>
    <row r="142" spans="13:15" x14ac:dyDescent="0.2">
      <c r="M142" s="83"/>
      <c r="N142" s="83"/>
      <c r="O142" s="83"/>
    </row>
    <row r="143" spans="13:15" x14ac:dyDescent="0.2">
      <c r="M143" s="83"/>
      <c r="N143" s="83"/>
      <c r="O143" s="83"/>
    </row>
    <row r="144" spans="13:15" x14ac:dyDescent="0.2">
      <c r="M144" s="83"/>
      <c r="N144" s="83"/>
      <c r="O144" s="83"/>
    </row>
    <row r="145" spans="13:15" x14ac:dyDescent="0.2">
      <c r="M145" s="83"/>
      <c r="N145" s="83"/>
      <c r="O145" s="83"/>
    </row>
    <row r="146" spans="13:15" x14ac:dyDescent="0.2">
      <c r="M146" s="83"/>
      <c r="N146" s="83"/>
      <c r="O146" s="83"/>
    </row>
    <row r="147" spans="13:15" x14ac:dyDescent="0.2">
      <c r="M147" s="83"/>
      <c r="N147" s="83"/>
      <c r="O147" s="83"/>
    </row>
    <row r="148" spans="13:15" x14ac:dyDescent="0.2">
      <c r="M148" s="83"/>
      <c r="N148" s="83"/>
      <c r="O148" s="83"/>
    </row>
    <row r="149" spans="13:15" x14ac:dyDescent="0.2">
      <c r="M149" s="83"/>
      <c r="N149" s="83"/>
      <c r="O149" s="83"/>
    </row>
    <row r="150" spans="13:15" x14ac:dyDescent="0.2">
      <c r="M150" s="83"/>
      <c r="N150" s="83"/>
      <c r="O150" s="83"/>
    </row>
    <row r="151" spans="13:15" x14ac:dyDescent="0.2">
      <c r="M151" s="83"/>
      <c r="N151" s="83"/>
      <c r="O151" s="83"/>
    </row>
    <row r="152" spans="13:15" x14ac:dyDescent="0.2">
      <c r="M152" s="83"/>
      <c r="N152" s="83"/>
      <c r="O152" s="83"/>
    </row>
    <row r="153" spans="13:15" x14ac:dyDescent="0.2">
      <c r="M153" s="83"/>
      <c r="N153" s="83"/>
      <c r="O153" s="83"/>
    </row>
    <row r="154" spans="13:15" x14ac:dyDescent="0.2">
      <c r="M154" s="83"/>
      <c r="N154" s="83"/>
      <c r="O154" s="83"/>
    </row>
  </sheetData>
  <mergeCells count="5">
    <mergeCell ref="I6:M6"/>
    <mergeCell ref="I7:M7"/>
    <mergeCell ref="I8:M8"/>
    <mergeCell ref="AC24:AD24"/>
    <mergeCell ref="AC25:AD25"/>
  </mergeCells>
  <printOptions horizontalCentered="1"/>
  <pageMargins left="0.75" right="0.75" top="1" bottom="1" header="0.5" footer="0.5"/>
  <pageSetup scale="1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051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AFDD60D1-B678-49C6-8662-B3BBA084400F}"/>
</file>

<file path=customXml/itemProps2.xml><?xml version="1.0" encoding="utf-8"?>
<ds:datastoreItem xmlns:ds="http://schemas.openxmlformats.org/officeDocument/2006/customXml" ds:itemID="{CA206A40-6E3E-4243-8F07-C9EAA15ABF6C}"/>
</file>

<file path=customXml/itemProps3.xml><?xml version="1.0" encoding="utf-8"?>
<ds:datastoreItem xmlns:ds="http://schemas.openxmlformats.org/officeDocument/2006/customXml" ds:itemID="{AB10B308-06F5-4967-8F03-BBA30E387A79}"/>
</file>

<file path=customXml/itemProps4.xml><?xml version="1.0" encoding="utf-8"?>
<ds:datastoreItem xmlns:ds="http://schemas.openxmlformats.org/officeDocument/2006/customXml" ds:itemID="{67068EC0-C32E-4DE3-84B4-FAB06F070E43}"/>
</file>

<file path=customXml/itemProps5.xml><?xml version="1.0" encoding="utf-8"?>
<ds:datastoreItem xmlns:ds="http://schemas.openxmlformats.org/officeDocument/2006/customXml" ds:itemID="{F57782BC-C3AA-4B81-8B6F-E386DFB93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19</vt:i4>
      </vt:variant>
    </vt:vector>
  </HeadingPairs>
  <TitlesOfParts>
    <vt:vector size="48" baseType="lpstr">
      <vt:lpstr>24.1, p3 Gas Cap Str PermCap</vt:lpstr>
      <vt:lpstr>24.1, p4 OpCo Gas Proxy Cap Str</vt:lpstr>
      <vt:lpstr>3.2-3 Elec Proxy CapStr PermCap</vt:lpstr>
      <vt:lpstr>3.4 Elec Proxy OpCo Cap Str</vt:lpstr>
      <vt:lpstr>WP OpCo Cap Str</vt:lpstr>
      <vt:lpstr>3. LNT</vt:lpstr>
      <vt:lpstr>3. AEE</vt:lpstr>
      <vt:lpstr>3. AEP</vt:lpstr>
      <vt:lpstr>3. DUK</vt:lpstr>
      <vt:lpstr>3. EIX</vt:lpstr>
      <vt:lpstr>3. ETR</vt:lpstr>
      <vt:lpstr>3. EVRG</vt:lpstr>
      <vt:lpstr>3. IDA</vt:lpstr>
      <vt:lpstr>3. NWE</vt:lpstr>
      <vt:lpstr>3. OGE</vt:lpstr>
      <vt:lpstr>3. PNW</vt:lpstr>
      <vt:lpstr>3. POR</vt:lpstr>
      <vt:lpstr>3. SO</vt:lpstr>
      <vt:lpstr>3. TXNM</vt:lpstr>
      <vt:lpstr>3. XEL</vt:lpstr>
      <vt:lpstr>WP GasOpCo Cap Str</vt:lpstr>
      <vt:lpstr>3. ATO</vt:lpstr>
      <vt:lpstr>3. CPK</vt:lpstr>
      <vt:lpstr>3. NJR</vt:lpstr>
      <vt:lpstr>3. NI</vt:lpstr>
      <vt:lpstr>3. NWN</vt:lpstr>
      <vt:lpstr>3. OGS</vt:lpstr>
      <vt:lpstr>3. SWX</vt:lpstr>
      <vt:lpstr>3. SR</vt:lpstr>
      <vt:lpstr>'24.1, p3 Gas Cap Str PermCap'!Print_Area</vt:lpstr>
      <vt:lpstr>'24.1, p4 OpCo Gas Proxy Cap Str'!Print_Area</vt:lpstr>
      <vt:lpstr>'3. AEE'!Print_Area</vt:lpstr>
      <vt:lpstr>'3. AEP'!Print_Area</vt:lpstr>
      <vt:lpstr>'3. DUK'!Print_Area</vt:lpstr>
      <vt:lpstr>'3. EIX'!Print_Area</vt:lpstr>
      <vt:lpstr>'3. ETR'!Print_Area</vt:lpstr>
      <vt:lpstr>'3. EVRG'!Print_Area</vt:lpstr>
      <vt:lpstr>'3. IDA'!Print_Area</vt:lpstr>
      <vt:lpstr>'3. LNT'!Print_Area</vt:lpstr>
      <vt:lpstr>'3. OGE'!Print_Area</vt:lpstr>
      <vt:lpstr>'3. PNW'!Print_Area</vt:lpstr>
      <vt:lpstr>'3. POR'!Print_Area</vt:lpstr>
      <vt:lpstr>'3. SO'!Print_Area</vt:lpstr>
      <vt:lpstr>'3. XEL'!Print_Area</vt:lpstr>
      <vt:lpstr>'3.2-3 Elec Proxy CapStr PermCap'!Print_Area</vt:lpstr>
      <vt:lpstr>'3.4 Elec Proxy OpCo Cap Str'!Print_Area</vt:lpstr>
      <vt:lpstr>'WP OpCo Cap Str'!Print_Area</vt:lpstr>
      <vt:lpstr>'3.2-3 Elec Proxy CapStr PermCap'!Print_Titles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Perry</dc:creator>
  <cp:lastModifiedBy>Adam Perry</cp:lastModifiedBy>
  <dcterms:created xsi:type="dcterms:W3CDTF">2025-07-07T18:42:57Z</dcterms:created>
  <dcterms:modified xsi:type="dcterms:W3CDTF">2025-07-08T15:30:25Z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{48E942CA-7823-44CC-9D71-939CD355748A}</vt:lpwstr>
  </property>
  <property fmtid="{D5CDD505-2E9C-101B-9397-08002B2CF9AE}" pid="3" name="ContentTypeId">
    <vt:lpwstr>0x0101002D0103853DF7894DB347713A7250CD66</vt:lpwstr>
  </property>
</Properties>
</file>