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lgeenergy.int\shares\Group2\Rates\Rate Case 2025\Cost of Service\Scott Madden\Rebuttal Testimony\"/>
    </mc:Choice>
  </mc:AlternateContent>
  <xr:revisionPtr revIDLastSave="0" documentId="8_{163B4125-E40F-4085-8862-B9AF388DEF4D}" xr6:coauthVersionLast="47" xr6:coauthVersionMax="47" xr10:uidLastSave="{00000000-0000-0000-0000-000000000000}"/>
  <bookViews>
    <workbookView xWindow="-28920" yWindow="-225" windowWidth="29040" windowHeight="15720" xr2:uid="{E370CC0F-CEED-41EB-B4EC-09B70C41AF82}"/>
  </bookViews>
  <sheets>
    <sheet name="Class Alloc AG-KIUC" sheetId="1" r:id="rId1"/>
    <sheet name="FERC Accounts 512-514" sheetId="3" r:id="rId2"/>
    <sheet name="Class Alloc KU 30pct LGE 25pct" sheetId="5" r:id="rId3"/>
    <sheet name="KU DoD-FEA Rate Design" sheetId="6" r:id="rId4"/>
    <sheet name="LG&amp;E DoD-FEA Rate Design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7" l="1"/>
  <c r="D17" i="7"/>
  <c r="D16" i="7"/>
  <c r="D18" i="6"/>
  <c r="D17" i="6"/>
  <c r="D16" i="6"/>
  <c r="I45" i="7"/>
  <c r="I44" i="7"/>
  <c r="I43" i="7"/>
  <c r="I42" i="7"/>
  <c r="I41" i="7"/>
  <c r="C50" i="7"/>
  <c r="C49" i="7"/>
  <c r="C33" i="7"/>
  <c r="F42" i="7" s="1"/>
  <c r="C34" i="7"/>
  <c r="C35" i="7"/>
  <c r="C36" i="7"/>
  <c r="C32" i="7"/>
  <c r="C31" i="7"/>
  <c r="C49" i="6"/>
  <c r="C43" i="6"/>
  <c r="C44" i="6"/>
  <c r="D44" i="6" s="1"/>
  <c r="C45" i="6"/>
  <c r="C42" i="6"/>
  <c r="D43" i="6" s="1"/>
  <c r="C41" i="6"/>
  <c r="I45" i="6"/>
  <c r="I44" i="6"/>
  <c r="I49" i="6" s="1"/>
  <c r="I43" i="6"/>
  <c r="I42" i="6"/>
  <c r="I41" i="6"/>
  <c r="C33" i="6"/>
  <c r="C34" i="6"/>
  <c r="C35" i="6"/>
  <c r="C36" i="6"/>
  <c r="C32" i="6"/>
  <c r="C31" i="6"/>
  <c r="F16" i="7"/>
  <c r="I23" i="7"/>
  <c r="I22" i="7"/>
  <c r="I49" i="7"/>
  <c r="I48" i="7"/>
  <c r="I22" i="6"/>
  <c r="I23" i="6"/>
  <c r="D42" i="6" l="1"/>
  <c r="F42" i="6"/>
  <c r="I48" i="6"/>
  <c r="C48" i="7"/>
  <c r="A47" i="7"/>
  <c r="F45" i="7"/>
  <c r="H45" i="7" s="1"/>
  <c r="J45" i="7" s="1"/>
  <c r="F41" i="7"/>
  <c r="H41" i="7" s="1"/>
  <c r="J41" i="7" s="1"/>
  <c r="A39" i="7"/>
  <c r="A38" i="7"/>
  <c r="A35" i="7"/>
  <c r="A34" i="7"/>
  <c r="A33" i="7"/>
  <c r="A32" i="7"/>
  <c r="C37" i="7"/>
  <c r="C24" i="7"/>
  <c r="F18" i="7" s="1"/>
  <c r="C22" i="7"/>
  <c r="A21" i="7"/>
  <c r="H19" i="7"/>
  <c r="J19" i="7" s="1"/>
  <c r="A13" i="7"/>
  <c r="A12" i="7"/>
  <c r="C11" i="7"/>
  <c r="A6" i="7"/>
  <c r="F9" i="7"/>
  <c r="F11" i="7" s="1"/>
  <c r="F15" i="7" s="1"/>
  <c r="F17" i="7" s="1"/>
  <c r="C48" i="6"/>
  <c r="A47" i="6"/>
  <c r="F45" i="6"/>
  <c r="H45" i="6" s="1"/>
  <c r="J45" i="6" s="1"/>
  <c r="F41" i="6"/>
  <c r="H41" i="6" s="1"/>
  <c r="J41" i="6" s="1"/>
  <c r="A39" i="6"/>
  <c r="A38" i="6"/>
  <c r="C37" i="6"/>
  <c r="A32" i="6"/>
  <c r="F35" i="6"/>
  <c r="F37" i="6" s="1"/>
  <c r="C24" i="6"/>
  <c r="C50" i="6" s="1"/>
  <c r="C22" i="6"/>
  <c r="A21" i="6"/>
  <c r="F19" i="6"/>
  <c r="H19" i="6" s="1"/>
  <c r="J19" i="6" s="1"/>
  <c r="A13" i="6"/>
  <c r="A12" i="6"/>
  <c r="F16" i="6"/>
  <c r="A6" i="6"/>
  <c r="A7" i="6" s="1"/>
  <c r="C11" i="6"/>
  <c r="P34" i="1"/>
  <c r="N27" i="1"/>
  <c r="A33" i="6" l="1"/>
  <c r="D32" i="7"/>
  <c r="D34" i="7"/>
  <c r="D35" i="7"/>
  <c r="D36" i="7"/>
  <c r="D31" i="7"/>
  <c r="D33" i="7"/>
  <c r="H15" i="7"/>
  <c r="J15" i="7" s="1"/>
  <c r="D33" i="6"/>
  <c r="D34" i="6"/>
  <c r="D35" i="6"/>
  <c r="D36" i="6"/>
  <c r="D31" i="6"/>
  <c r="D32" i="6"/>
  <c r="H18" i="7"/>
  <c r="H17" i="7"/>
  <c r="H42" i="7"/>
  <c r="J42" i="7" s="1"/>
  <c r="F43" i="7"/>
  <c r="H43" i="7" s="1"/>
  <c r="F44" i="7"/>
  <c r="H44" i="7" s="1"/>
  <c r="F35" i="7"/>
  <c r="F37" i="7" s="1"/>
  <c r="A36" i="7"/>
  <c r="A37" i="7" s="1"/>
  <c r="H16" i="7"/>
  <c r="J16" i="7" s="1"/>
  <c r="A9" i="7"/>
  <c r="A7" i="7"/>
  <c r="A8" i="7"/>
  <c r="A8" i="6"/>
  <c r="H16" i="6"/>
  <c r="J16" i="6" s="1"/>
  <c r="F9" i="6"/>
  <c r="F11" i="6" s="1"/>
  <c r="F15" i="6" s="1"/>
  <c r="H15" i="6" s="1"/>
  <c r="J15" i="6" s="1"/>
  <c r="C21" i="3"/>
  <c r="D21" i="3"/>
  <c r="N21" i="1"/>
  <c r="M21" i="1"/>
  <c r="L21" i="1"/>
  <c r="K21" i="1"/>
  <c r="J21" i="1"/>
  <c r="E21" i="1"/>
  <c r="D21" i="1"/>
  <c r="C21" i="1"/>
  <c r="D43" i="5"/>
  <c r="B21" i="3"/>
  <c r="E19" i="5"/>
  <c r="E4" i="5"/>
  <c r="E5" i="5"/>
  <c r="E6" i="5"/>
  <c r="E13" i="5"/>
  <c r="E15" i="5"/>
  <c r="E16" i="5"/>
  <c r="E18" i="5"/>
  <c r="E7" i="5"/>
  <c r="E8" i="5"/>
  <c r="E10" i="5"/>
  <c r="E11" i="5"/>
  <c r="E12" i="5"/>
  <c r="E14" i="5"/>
  <c r="E17" i="5"/>
  <c r="E9" i="5"/>
  <c r="A35" i="6" l="1"/>
  <c r="A34" i="6"/>
  <c r="F17" i="6"/>
  <c r="H17" i="6" s="1"/>
  <c r="J17" i="6" s="1"/>
  <c r="F18" i="6"/>
  <c r="H18" i="6" s="1"/>
  <c r="J18" i="6" s="1"/>
  <c r="H49" i="7"/>
  <c r="J49" i="7" s="1"/>
  <c r="H48" i="7"/>
  <c r="J48" i="7" s="1"/>
  <c r="J17" i="7"/>
  <c r="H22" i="7"/>
  <c r="J22" i="7" s="1"/>
  <c r="J18" i="7"/>
  <c r="H23" i="7"/>
  <c r="J23" i="7" s="1"/>
  <c r="J43" i="7"/>
  <c r="J44" i="7"/>
  <c r="F46" i="7"/>
  <c r="F20" i="7"/>
  <c r="A40" i="7"/>
  <c r="A41" i="7" s="1"/>
  <c r="A10" i="7"/>
  <c r="A11" i="7"/>
  <c r="A14" i="7"/>
  <c r="A9" i="6"/>
  <c r="A10" i="6" s="1"/>
  <c r="F43" i="6"/>
  <c r="H42" i="6"/>
  <c r="J42" i="6" s="1"/>
  <c r="F44" i="6"/>
  <c r="H44" i="6" s="1"/>
  <c r="F19" i="5"/>
  <c r="F6" i="5"/>
  <c r="F14" i="5"/>
  <c r="F15" i="5"/>
  <c r="F18" i="5"/>
  <c r="F5" i="5"/>
  <c r="F7" i="5"/>
  <c r="F8" i="5"/>
  <c r="F9" i="5"/>
  <c r="F10" i="5"/>
  <c r="F11" i="5"/>
  <c r="F12" i="5"/>
  <c r="F13" i="5"/>
  <c r="F16" i="5"/>
  <c r="F17" i="5"/>
  <c r="B21" i="5"/>
  <c r="H23" i="6" l="1"/>
  <c r="J23" i="6" s="1"/>
  <c r="F20" i="6"/>
  <c r="A36" i="6"/>
  <c r="A37" i="6" s="1"/>
  <c r="A40" i="6" s="1"/>
  <c r="H22" i="6"/>
  <c r="J22" i="6" s="1"/>
  <c r="J44" i="6"/>
  <c r="H49" i="6"/>
  <c r="J49" i="6" s="1"/>
  <c r="A15" i="7"/>
  <c r="A16" i="7" s="1"/>
  <c r="A42" i="7"/>
  <c r="H43" i="6"/>
  <c r="F46" i="6"/>
  <c r="A11" i="6"/>
  <c r="C21" i="5"/>
  <c r="F4" i="5"/>
  <c r="J43" i="6" l="1"/>
  <c r="H48" i="6"/>
  <c r="J48" i="6" s="1"/>
  <c r="A43" i="7"/>
  <c r="A17" i="7"/>
  <c r="A18" i="7" s="1"/>
  <c r="A44" i="7"/>
  <c r="A14" i="6"/>
  <c r="A41" i="6"/>
  <c r="E29" i="5"/>
  <c r="E32" i="5"/>
  <c r="E33" i="5"/>
  <c r="E36" i="5"/>
  <c r="E38" i="5"/>
  <c r="E40" i="5"/>
  <c r="E34" i="5"/>
  <c r="E35" i="5"/>
  <c r="E37" i="5"/>
  <c r="E39" i="5"/>
  <c r="E41" i="5"/>
  <c r="E28" i="5"/>
  <c r="E30" i="5"/>
  <c r="E31" i="5"/>
  <c r="A19" i="7" l="1"/>
  <c r="A20" i="7" s="1"/>
  <c r="A22" i="7" s="1"/>
  <c r="A23" i="7" s="1"/>
  <c r="A24" i="7" s="1"/>
  <c r="A45" i="7"/>
  <c r="A46" i="7"/>
  <c r="A15" i="6"/>
  <c r="A16" i="6" s="1"/>
  <c r="A17" i="6" s="1"/>
  <c r="A42" i="6"/>
  <c r="F29" i="5"/>
  <c r="F31" i="5"/>
  <c r="F28" i="5"/>
  <c r="F30" i="5"/>
  <c r="F32" i="5"/>
  <c r="F41" i="5"/>
  <c r="F33" i="5"/>
  <c r="F34" i="5"/>
  <c r="F35" i="5"/>
  <c r="F36" i="5"/>
  <c r="F37" i="5"/>
  <c r="F38" i="5"/>
  <c r="F39" i="5"/>
  <c r="F40" i="5"/>
  <c r="B43" i="5"/>
  <c r="E43" i="5" s="1"/>
  <c r="E27" i="5"/>
  <c r="A48" i="7" l="1"/>
  <c r="A49" i="7" s="1"/>
  <c r="A50" i="7" s="1"/>
  <c r="A43" i="6"/>
  <c r="A44" i="6"/>
  <c r="A45" i="6" s="1"/>
  <c r="A46" i="6" s="1"/>
  <c r="A48" i="6" s="1"/>
  <c r="A49" i="6" s="1"/>
  <c r="A50" i="6" s="1"/>
  <c r="A18" i="6"/>
  <c r="A19" i="6" s="1"/>
  <c r="A20" i="6" s="1"/>
  <c r="A22" i="6" s="1"/>
  <c r="A23" i="6" s="1"/>
  <c r="A24" i="6" s="1"/>
  <c r="C43" i="5"/>
  <c r="F43" i="5" s="1"/>
  <c r="F27" i="5"/>
  <c r="E29" i="3" l="1"/>
  <c r="E33" i="3"/>
  <c r="E34" i="3"/>
  <c r="E35" i="3"/>
  <c r="E36" i="3"/>
  <c r="E37" i="3"/>
  <c r="E38" i="3"/>
  <c r="E39" i="3"/>
  <c r="E40" i="3"/>
  <c r="E41" i="3"/>
  <c r="E27" i="3"/>
  <c r="E28" i="3"/>
  <c r="E31" i="3"/>
  <c r="E32" i="3" l="1"/>
  <c r="E30" i="3"/>
  <c r="B43" i="3" l="1"/>
  <c r="D43" i="3" l="1"/>
  <c r="E43" i="3" s="1"/>
  <c r="E6" i="3" l="1"/>
  <c r="E7" i="3"/>
  <c r="E11" i="3"/>
  <c r="E14" i="3"/>
  <c r="E16" i="3"/>
  <c r="E5" i="3"/>
  <c r="E8" i="3"/>
  <c r="E12" i="3"/>
  <c r="E18" i="3"/>
  <c r="E9" i="3"/>
  <c r="E10" i="3"/>
  <c r="E13" i="3"/>
  <c r="E15" i="3"/>
  <c r="E17" i="3"/>
  <c r="E19" i="3"/>
  <c r="E4" i="3"/>
  <c r="F10" i="3" l="1"/>
  <c r="F11" i="3"/>
  <c r="F12" i="3"/>
  <c r="F13" i="3"/>
  <c r="F5" i="3"/>
  <c r="F6" i="3"/>
  <c r="F7" i="3"/>
  <c r="F14" i="3"/>
  <c r="F19" i="3"/>
  <c r="F4" i="3"/>
  <c r="F8" i="3"/>
  <c r="F15" i="3"/>
  <c r="F16" i="3"/>
  <c r="F18" i="3"/>
  <c r="F17" i="3"/>
  <c r="F9" i="3"/>
  <c r="D21" i="5" l="1"/>
  <c r="K32" i="1"/>
  <c r="K33" i="1"/>
  <c r="Q43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F21" i="5" l="1"/>
  <c r="E21" i="5"/>
  <c r="B43" i="1" l="1"/>
  <c r="C43" i="1" l="1"/>
  <c r="G44" i="1"/>
  <c r="G28" i="1" s="1"/>
  <c r="G29" i="1" l="1"/>
  <c r="G27" i="1"/>
  <c r="G32" i="1"/>
  <c r="G34" i="1"/>
  <c r="G38" i="1"/>
  <c r="G33" i="1"/>
  <c r="G39" i="1"/>
  <c r="G41" i="1"/>
  <c r="G40" i="1"/>
  <c r="G37" i="1"/>
  <c r="G36" i="1"/>
  <c r="G35" i="1"/>
  <c r="G30" i="1"/>
  <c r="G31" i="1"/>
  <c r="G43" i="1" l="1"/>
  <c r="D43" i="1" l="1"/>
  <c r="H44" i="1" l="1"/>
  <c r="H40" i="1" s="1"/>
  <c r="H34" i="1" l="1"/>
  <c r="H38" i="1"/>
  <c r="H36" i="1"/>
  <c r="H39" i="1"/>
  <c r="H31" i="1"/>
  <c r="H41" i="1"/>
  <c r="H28" i="1"/>
  <c r="H37" i="1"/>
  <c r="H35" i="1"/>
  <c r="H33" i="1"/>
  <c r="H29" i="1"/>
  <c r="H30" i="1"/>
  <c r="H32" i="1"/>
  <c r="H27" i="1"/>
  <c r="E21" i="3" l="1"/>
  <c r="H43" i="1"/>
  <c r="F21" i="3" l="1"/>
  <c r="F27" i="1"/>
  <c r="J33" i="1"/>
  <c r="J32" i="1"/>
  <c r="F40" i="1"/>
  <c r="J40" i="1"/>
  <c r="F34" i="1"/>
  <c r="J34" i="1"/>
  <c r="F29" i="1"/>
  <c r="J29" i="1"/>
  <c r="F38" i="1"/>
  <c r="J38" i="1"/>
  <c r="F30" i="1"/>
  <c r="J30" i="1"/>
  <c r="F41" i="1"/>
  <c r="J41" i="1"/>
  <c r="F36" i="1"/>
  <c r="J36" i="1"/>
  <c r="F33" i="1"/>
  <c r="F39" i="1"/>
  <c r="J39" i="1"/>
  <c r="F37" i="1"/>
  <c r="J37" i="1"/>
  <c r="F31" i="1"/>
  <c r="J31" i="1"/>
  <c r="F35" i="1"/>
  <c r="J35" i="1"/>
  <c r="F28" i="1"/>
  <c r="J28" i="1"/>
  <c r="F32" i="1"/>
  <c r="J27" i="1"/>
  <c r="E43" i="1"/>
  <c r="I44" i="1" l="1"/>
  <c r="K43" i="1"/>
  <c r="L32" i="1"/>
  <c r="L36" i="1"/>
  <c r="L38" i="1"/>
  <c r="L34" i="1"/>
  <c r="L28" i="1"/>
  <c r="L30" i="1"/>
  <c r="L35" i="1"/>
  <c r="L31" i="1"/>
  <c r="L41" i="1"/>
  <c r="L39" i="1"/>
  <c r="L40" i="1"/>
  <c r="L29" i="1"/>
  <c r="L37" i="1"/>
  <c r="L33" i="1"/>
  <c r="L27" i="1"/>
  <c r="J43" i="1"/>
  <c r="I34" i="1" l="1"/>
  <c r="I29" i="1"/>
  <c r="I33" i="1"/>
  <c r="P33" i="1" s="1"/>
  <c r="I30" i="1"/>
  <c r="P30" i="1" s="1"/>
  <c r="I27" i="1"/>
  <c r="P27" i="1" s="1"/>
  <c r="I31" i="1"/>
  <c r="P31" i="1" s="1"/>
  <c r="I39" i="1"/>
  <c r="P39" i="1" s="1"/>
  <c r="I41" i="1"/>
  <c r="P41" i="1" s="1"/>
  <c r="I40" i="1"/>
  <c r="I35" i="1"/>
  <c r="P35" i="1" s="1"/>
  <c r="I28" i="1"/>
  <c r="P28" i="1" s="1"/>
  <c r="I37" i="1"/>
  <c r="P37" i="1" s="1"/>
  <c r="I32" i="1"/>
  <c r="I38" i="1"/>
  <c r="P38" i="1" s="1"/>
  <c r="I36" i="1"/>
  <c r="P36" i="1" s="1"/>
  <c r="P40" i="1"/>
  <c r="P29" i="1"/>
  <c r="M37" i="1"/>
  <c r="N37" i="1" s="1"/>
  <c r="O37" i="1" s="1"/>
  <c r="M29" i="1"/>
  <c r="N29" i="1" s="1"/>
  <c r="O29" i="1" s="1"/>
  <c r="M39" i="1"/>
  <c r="N39" i="1" s="1"/>
  <c r="O39" i="1" s="1"/>
  <c r="M35" i="1"/>
  <c r="N35" i="1" s="1"/>
  <c r="O35" i="1" s="1"/>
  <c r="M30" i="1"/>
  <c r="N30" i="1" s="1"/>
  <c r="O30" i="1" s="1"/>
  <c r="M36" i="1"/>
  <c r="N36" i="1" s="1"/>
  <c r="O36" i="1" s="1"/>
  <c r="M40" i="1"/>
  <c r="N40" i="1" s="1"/>
  <c r="O40" i="1" s="1"/>
  <c r="M41" i="1"/>
  <c r="N41" i="1" s="1"/>
  <c r="O41" i="1" s="1"/>
  <c r="M31" i="1"/>
  <c r="N31" i="1" s="1"/>
  <c r="O31" i="1" s="1"/>
  <c r="M28" i="1"/>
  <c r="N28" i="1" s="1"/>
  <c r="O28" i="1" s="1"/>
  <c r="M34" i="1"/>
  <c r="N34" i="1" s="1"/>
  <c r="O34" i="1" s="1"/>
  <c r="M38" i="1"/>
  <c r="N38" i="1" s="1"/>
  <c r="O38" i="1" s="1"/>
  <c r="M32" i="1"/>
  <c r="N32" i="1" s="1"/>
  <c r="O32" i="1" s="1"/>
  <c r="M33" i="1"/>
  <c r="N33" i="1" s="1"/>
  <c r="O33" i="1" s="1"/>
  <c r="M27" i="1"/>
  <c r="O27" i="1" s="1"/>
  <c r="L43" i="1"/>
  <c r="I43" i="1" l="1"/>
  <c r="P32" i="1"/>
  <c r="N43" i="1"/>
  <c r="N44" i="1" s="1"/>
  <c r="M43" i="1"/>
  <c r="B21" i="1" l="1"/>
  <c r="G22" i="1" l="1"/>
  <c r="H22" i="1" s="1"/>
  <c r="I22" i="1" s="1"/>
  <c r="G7" i="1" l="1"/>
  <c r="G14" i="1"/>
  <c r="G12" i="1"/>
  <c r="G19" i="1"/>
  <c r="G6" i="1"/>
  <c r="G5" i="1"/>
  <c r="G17" i="1"/>
  <c r="G15" i="1"/>
  <c r="G8" i="1"/>
  <c r="G16" i="1"/>
  <c r="G9" i="1"/>
  <c r="G10" i="1"/>
  <c r="G13" i="1"/>
  <c r="G11" i="1"/>
  <c r="G18" i="1"/>
  <c r="G4" i="1"/>
  <c r="G21" i="1" s="1"/>
  <c r="H4" i="1" l="1"/>
  <c r="H8" i="1" l="1"/>
  <c r="H17" i="1"/>
  <c r="H18" i="1"/>
  <c r="H12" i="1"/>
  <c r="H14" i="1"/>
  <c r="H13" i="1"/>
  <c r="H10" i="1"/>
  <c r="H5" i="1"/>
  <c r="H21" i="1" s="1"/>
  <c r="H9" i="1"/>
  <c r="H6" i="1"/>
  <c r="H11" i="1"/>
  <c r="H15" i="1"/>
  <c r="H19" i="1"/>
  <c r="H7" i="1"/>
  <c r="H16" i="1"/>
  <c r="K12" i="1" l="1"/>
  <c r="J12" i="1"/>
  <c r="Q18" i="1"/>
  <c r="R18" i="1"/>
  <c r="Q16" i="1"/>
  <c r="R16" i="1"/>
  <c r="Q5" i="1"/>
  <c r="R5" i="1"/>
  <c r="Q8" i="1"/>
  <c r="R8" i="1"/>
  <c r="Q10" i="1"/>
  <c r="R10" i="1"/>
  <c r="Q6" i="1"/>
  <c r="R6" i="1"/>
  <c r="Q17" i="1"/>
  <c r="R17" i="1"/>
  <c r="Q7" i="1"/>
  <c r="R7" i="1"/>
  <c r="Q19" i="1"/>
  <c r="R19" i="1"/>
  <c r="Q13" i="1"/>
  <c r="R13" i="1"/>
  <c r="Q9" i="1"/>
  <c r="R9" i="1"/>
  <c r="Q14" i="1"/>
  <c r="R14" i="1"/>
  <c r="Q12" i="1"/>
  <c r="R12" i="1"/>
  <c r="Q15" i="1"/>
  <c r="R15" i="1"/>
  <c r="Q11" i="1"/>
  <c r="R11" i="1"/>
  <c r="Q4" i="1"/>
  <c r="R4" i="1"/>
  <c r="K11" i="1"/>
  <c r="J11" i="1" s="1"/>
  <c r="F11" i="1"/>
  <c r="J18" i="1"/>
  <c r="F18" i="1"/>
  <c r="J17" i="1"/>
  <c r="F17" i="1"/>
  <c r="K10" i="1"/>
  <c r="F10" i="1"/>
  <c r="F12" i="1"/>
  <c r="J13" i="1"/>
  <c r="F13" i="1"/>
  <c r="J9" i="1"/>
  <c r="F9" i="1"/>
  <c r="I4" i="1"/>
  <c r="J4" i="1"/>
  <c r="F4" i="1"/>
  <c r="J14" i="1"/>
  <c r="F14" i="1"/>
  <c r="J19" i="1"/>
  <c r="F19" i="1"/>
  <c r="J16" i="1"/>
  <c r="F16" i="1"/>
  <c r="J7" i="1"/>
  <c r="F7" i="1"/>
  <c r="J15" i="1"/>
  <c r="F15" i="1"/>
  <c r="J5" i="1"/>
  <c r="F5" i="1"/>
  <c r="J8" i="1"/>
  <c r="F8" i="1"/>
  <c r="J6" i="1"/>
  <c r="F6" i="1"/>
  <c r="J10" i="1" l="1"/>
  <c r="L4" i="1" s="1"/>
  <c r="L9" i="1"/>
  <c r="L5" i="1"/>
  <c r="M5" i="1" s="1"/>
  <c r="N5" i="1" s="1"/>
  <c r="O5" i="1" s="1"/>
  <c r="L6" i="1"/>
  <c r="M6" i="1" s="1"/>
  <c r="N6" i="1" s="1"/>
  <c r="O6" i="1" s="1"/>
  <c r="L8" i="1"/>
  <c r="M8" i="1" s="1"/>
  <c r="N8" i="1" s="1"/>
  <c r="O8" i="1" s="1"/>
  <c r="L13" i="1"/>
  <c r="M13" i="1" s="1"/>
  <c r="N13" i="1" s="1"/>
  <c r="O13" i="1" s="1"/>
  <c r="L15" i="1"/>
  <c r="M15" i="1" s="1"/>
  <c r="N15" i="1" s="1"/>
  <c r="O15" i="1" s="1"/>
  <c r="L16" i="1"/>
  <c r="M16" i="1" s="1"/>
  <c r="N16" i="1" s="1"/>
  <c r="O16" i="1" s="1"/>
  <c r="L12" i="1"/>
  <c r="M12" i="1" s="1"/>
  <c r="N12" i="1" s="1"/>
  <c r="O12" i="1" s="1"/>
  <c r="L17" i="1"/>
  <c r="M17" i="1" s="1"/>
  <c r="N17" i="1" s="1"/>
  <c r="O17" i="1" s="1"/>
  <c r="L7" i="1"/>
  <c r="M7" i="1" s="1"/>
  <c r="N7" i="1" s="1"/>
  <c r="O7" i="1" s="1"/>
  <c r="L19" i="1"/>
  <c r="M19" i="1" s="1"/>
  <c r="N19" i="1" s="1"/>
  <c r="O19" i="1" s="1"/>
  <c r="L18" i="1"/>
  <c r="M18" i="1" s="1"/>
  <c r="N18" i="1" s="1"/>
  <c r="O18" i="1" s="1"/>
  <c r="L14" i="1"/>
  <c r="M14" i="1" s="1"/>
  <c r="N14" i="1" s="1"/>
  <c r="O14" i="1" s="1"/>
  <c r="L10" i="1"/>
  <c r="M10" i="1" s="1"/>
  <c r="N10" i="1" s="1"/>
  <c r="O10" i="1" s="1"/>
  <c r="Q21" i="1"/>
  <c r="R21" i="1"/>
  <c r="I11" i="1"/>
  <c r="P11" i="1" s="1"/>
  <c r="I15" i="1"/>
  <c r="P15" i="1" s="1"/>
  <c r="I6" i="1"/>
  <c r="P6" i="1" s="1"/>
  <c r="I16" i="1"/>
  <c r="P16" i="1" s="1"/>
  <c r="I12" i="1"/>
  <c r="P12" i="1" s="1"/>
  <c r="I14" i="1"/>
  <c r="P14" i="1" s="1"/>
  <c r="I9" i="1"/>
  <c r="P9" i="1" s="1"/>
  <c r="I13" i="1"/>
  <c r="P13" i="1" s="1"/>
  <c r="I17" i="1"/>
  <c r="P17" i="1" s="1"/>
  <c r="I5" i="1"/>
  <c r="P5" i="1" s="1"/>
  <c r="I18" i="1"/>
  <c r="P18" i="1" s="1"/>
  <c r="I19" i="1"/>
  <c r="P19" i="1" s="1"/>
  <c r="I10" i="1"/>
  <c r="P10" i="1" s="1"/>
  <c r="I7" i="1"/>
  <c r="P7" i="1" s="1"/>
  <c r="I8" i="1"/>
  <c r="P8" i="1" s="1"/>
  <c r="P4" i="1"/>
  <c r="M9" i="1"/>
  <c r="N9" i="1" s="1"/>
  <c r="O9" i="1" s="1"/>
  <c r="I21" i="1" l="1"/>
  <c r="L11" i="1"/>
  <c r="M11" i="1" s="1"/>
  <c r="N11" i="1" s="1"/>
  <c r="O11" i="1" s="1"/>
  <c r="M4" i="1"/>
  <c r="N4" i="1" l="1"/>
  <c r="O4" i="1" l="1"/>
  <c r="F29" i="3" l="1"/>
  <c r="F33" i="3"/>
  <c r="F36" i="3"/>
  <c r="F39" i="3"/>
  <c r="F40" i="3"/>
  <c r="F28" i="3"/>
  <c r="F30" i="3"/>
  <c r="F31" i="3"/>
  <c r="F32" i="3"/>
  <c r="F34" i="3"/>
  <c r="F35" i="3"/>
  <c r="F37" i="3"/>
  <c r="F41" i="3"/>
  <c r="F38" i="3"/>
  <c r="F27" i="3" l="1"/>
  <c r="C43" i="3"/>
  <c r="F43" i="3" s="1"/>
</calcChain>
</file>

<file path=xl/sharedStrings.xml><?xml version="1.0" encoding="utf-8"?>
<sst xmlns="http://schemas.openxmlformats.org/spreadsheetml/2006/main" count="379" uniqueCount="85">
  <si>
    <t>Revenues at</t>
  </si>
  <si>
    <t>Cost-Based Rates</t>
  </si>
  <si>
    <t>Uniform Increase</t>
  </si>
  <si>
    <t>Total</t>
  </si>
  <si>
    <t>Current Rates</t>
  </si>
  <si>
    <t>Ill Revenues at</t>
  </si>
  <si>
    <t>Adjustments</t>
  </si>
  <si>
    <t>Increase</t>
  </si>
  <si>
    <t>Current Revenues</t>
  </si>
  <si>
    <t>Rate Schedule</t>
  </si>
  <si>
    <t>AG-KIUC</t>
  </si>
  <si>
    <t>Recommendation</t>
  </si>
  <si>
    <t>Companies</t>
  </si>
  <si>
    <t>Proposal</t>
  </si>
  <si>
    <t>LG&amp;E</t>
  </si>
  <si>
    <t>KU</t>
  </si>
  <si>
    <t>FLS</t>
  </si>
  <si>
    <t>AES</t>
  </si>
  <si>
    <t>% Movement</t>
  </si>
  <si>
    <t>Filed</t>
  </si>
  <si>
    <t>Target Rev Increase</t>
  </si>
  <si>
    <t>Class Increase</t>
  </si>
  <si>
    <t>RS</t>
  </si>
  <si>
    <t>GS</t>
  </si>
  <si>
    <t>PS-Sec</t>
  </si>
  <si>
    <t>PS-Pri</t>
  </si>
  <si>
    <t>TOD-Sec</t>
  </si>
  <si>
    <t>TOD-Pri</t>
  </si>
  <si>
    <t>RTS - Trans.</t>
  </si>
  <si>
    <t>LS &amp; RLS</t>
  </si>
  <si>
    <t>LE</t>
  </si>
  <si>
    <t>TE</t>
  </si>
  <si>
    <t>OSL</t>
  </si>
  <si>
    <t>EV</t>
  </si>
  <si>
    <t>SSP</t>
  </si>
  <si>
    <t>BS</t>
  </si>
  <si>
    <t>SCC</t>
  </si>
  <si>
    <t>512-514 (Energy)</t>
  </si>
  <si>
    <t>512-514 (Demand)</t>
  </si>
  <si>
    <t>10% Movement</t>
  </si>
  <si>
    <t>30% Movement</t>
  </si>
  <si>
    <t>25% Movement</t>
  </si>
  <si>
    <t>Target Rates</t>
  </si>
  <si>
    <t>AG-KIUC Rates</t>
  </si>
  <si>
    <t>DoD/FEA Proposed Rate Design Amount</t>
  </si>
  <si>
    <t>Line</t>
  </si>
  <si>
    <t>Description</t>
  </si>
  <si>
    <t>Amount</t>
  </si>
  <si>
    <t>Rate Design</t>
  </si>
  <si>
    <t>Billing Units</t>
  </si>
  <si>
    <t>Rate</t>
  </si>
  <si>
    <t>KU Allocated Rev. Req.</t>
  </si>
  <si>
    <t>TODP kWh</t>
  </si>
  <si>
    <t>Production Energy</t>
  </si>
  <si>
    <t>Production Demand</t>
  </si>
  <si>
    <t>Transmission Demand</t>
  </si>
  <si>
    <t>Substation Demand</t>
  </si>
  <si>
    <t>Distribution Demand</t>
  </si>
  <si>
    <t>KU TODP Production Energy</t>
  </si>
  <si>
    <t>Distribution Customer</t>
  </si>
  <si>
    <t>Revised Production Energy</t>
  </si>
  <si>
    <t>Difference</t>
  </si>
  <si>
    <t>KU Proposed Rate Design</t>
  </si>
  <si>
    <t>DoD/FEA Rates</t>
  </si>
  <si>
    <t>Incr/Decr</t>
  </si>
  <si>
    <t>Energy</t>
  </si>
  <si>
    <t>Base Demand</t>
  </si>
  <si>
    <t>Intermediate Demand</t>
  </si>
  <si>
    <t>Peak Demand</t>
  </si>
  <si>
    <t>Customer</t>
  </si>
  <si>
    <t>Intermediate and Peak</t>
  </si>
  <si>
    <t>Intermediate % of Total</t>
  </si>
  <si>
    <t>Peak % of Total</t>
  </si>
  <si>
    <t>LG&amp;E Allocated Rev. Req.</t>
  </si>
  <si>
    <t>LG&amp;E Proposed Rate Design</t>
  </si>
  <si>
    <t>LG&amp;E Rates</t>
  </si>
  <si>
    <t>Ratio of Intermediate Demand to Base Demand</t>
  </si>
  <si>
    <t>Ratio of Peak Demand to Base Demand</t>
  </si>
  <si>
    <t>KU Proposal</t>
  </si>
  <si>
    <t>DoD/FEA Proposal</t>
  </si>
  <si>
    <t>TODP Rate Design Comparison (KU)</t>
  </si>
  <si>
    <t>TODP Rate Design Comparison (LG&amp;E)</t>
  </si>
  <si>
    <t>DoD/FEA Proposed Rate Design Amounts</t>
  </si>
  <si>
    <t>Rate Design Amounts</t>
  </si>
  <si>
    <t>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</si>
</sst>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_(&quot;$&quot;* #,##0.000_);_(&quot;$&quot;* \(#,##0.000\);_(&quot;$&quot;* &quot;-&quot;??_);_(@_)"/>
    <numFmt numFmtId="168" formatCode="_(* #,##0.0_);_(* \(#,##0.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3333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164" fontId="2" fillId="0" borderId="0" xfId="1" applyNumberFormat="1" applyFont="1" applyFill="1" applyBorder="1" applyAlignment="1">
      <alignment horizontal="left"/>
    </xf>
    <xf numFmtId="164" fontId="3" fillId="0" borderId="0" xfId="1" applyNumberFormat="1" applyFont="1"/>
    <xf numFmtId="9" fontId="3" fillId="0" borderId="0" xfId="2" applyFont="1"/>
    <xf numFmtId="165" fontId="2" fillId="0" borderId="0" xfId="2" applyNumberFormat="1" applyFont="1" applyFill="1" applyBorder="1" applyAlignment="1">
      <alignment horizontal="left"/>
    </xf>
    <xf numFmtId="164" fontId="4" fillId="2" borderId="0" xfId="1" applyNumberFormat="1" applyFont="1" applyFill="1" applyBorder="1" applyAlignment="1">
      <alignment horizontal="left"/>
    </xf>
    <xf numFmtId="164" fontId="4" fillId="2" borderId="0" xfId="1" applyNumberFormat="1" applyFont="1" applyFill="1" applyBorder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4" fillId="2" borderId="0" xfId="1" applyNumberFormat="1" applyFont="1" applyFill="1" applyAlignment="1">
      <alignment horizontal="center" vertical="center"/>
    </xf>
    <xf numFmtId="165" fontId="3" fillId="0" borderId="0" xfId="2" applyNumberFormat="1" applyFont="1"/>
    <xf numFmtId="164" fontId="2" fillId="0" borderId="1" xfId="1" applyNumberFormat="1" applyFont="1" applyFill="1" applyBorder="1" applyAlignment="1">
      <alignment horizontal="left"/>
    </xf>
    <xf numFmtId="164" fontId="3" fillId="0" borderId="1" xfId="1" applyNumberFormat="1" applyFont="1" applyBorder="1"/>
    <xf numFmtId="165" fontId="3" fillId="0" borderId="1" xfId="2" applyNumberFormat="1" applyFont="1" applyBorder="1"/>
    <xf numFmtId="165" fontId="3" fillId="0" borderId="0" xfId="1" applyNumberFormat="1" applyFont="1"/>
    <xf numFmtId="165" fontId="3" fillId="0" borderId="1" xfId="1" applyNumberFormat="1" applyFont="1" applyBorder="1"/>
    <xf numFmtId="165" fontId="4" fillId="2" borderId="0" xfId="1" applyNumberFormat="1" applyFont="1" applyFill="1" applyAlignment="1">
      <alignment horizontal="center" vertical="center"/>
    </xf>
    <xf numFmtId="9" fontId="3" fillId="0" borderId="0" xfId="1" applyNumberFormat="1" applyFont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/>
    <xf numFmtId="164" fontId="5" fillId="2" borderId="5" xfId="1" applyNumberFormat="1" applyFont="1" applyFill="1" applyBorder="1" applyAlignment="1">
      <alignment horizontal="center" vertical="top"/>
    </xf>
    <xf numFmtId="164" fontId="5" fillId="2" borderId="6" xfId="1" applyNumberFormat="1" applyFont="1" applyFill="1" applyBorder="1" applyAlignment="1">
      <alignment horizontal="center" vertical="top"/>
    </xf>
    <xf numFmtId="164" fontId="4" fillId="2" borderId="6" xfId="1" applyNumberFormat="1" applyFont="1" applyFill="1" applyBorder="1"/>
    <xf numFmtId="164" fontId="5" fillId="2" borderId="7" xfId="1" applyNumberFormat="1" applyFont="1" applyFill="1" applyBorder="1" applyAlignment="1">
      <alignment horizontal="center" vertical="top"/>
    </xf>
    <xf numFmtId="164" fontId="6" fillId="0" borderId="0" xfId="1" applyNumberFormat="1" applyFont="1" applyBorder="1" applyAlignment="1">
      <alignment horizontal="center" vertical="top"/>
    </xf>
    <xf numFmtId="164" fontId="5" fillId="2" borderId="8" xfId="1" applyNumberFormat="1" applyFont="1" applyFill="1" applyBorder="1" applyAlignment="1">
      <alignment horizontal="left" vertical="top"/>
    </xf>
    <xf numFmtId="1" fontId="2" fillId="0" borderId="0" xfId="0" applyNumberFormat="1" applyFont="1" applyAlignment="1">
      <alignment horizontal="center"/>
    </xf>
    <xf numFmtId="166" fontId="3" fillId="0" borderId="0" xfId="3" applyNumberFormat="1" applyFont="1"/>
    <xf numFmtId="166" fontId="3" fillId="0" borderId="1" xfId="3" applyNumberFormat="1" applyFont="1" applyBorder="1"/>
    <xf numFmtId="164" fontId="4" fillId="2" borderId="8" xfId="1" applyNumberFormat="1" applyFont="1" applyFill="1" applyBorder="1"/>
    <xf numFmtId="164" fontId="4" fillId="2" borderId="9" xfId="1" applyNumberFormat="1" applyFont="1" applyFill="1" applyBorder="1"/>
    <xf numFmtId="164" fontId="4" fillId="2" borderId="1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167" fontId="3" fillId="0" borderId="0" xfId="3" applyNumberFormat="1" applyFont="1"/>
    <xf numFmtId="164" fontId="3" fillId="3" borderId="0" xfId="1" applyNumberFormat="1" applyFont="1" applyFill="1"/>
    <xf numFmtId="167" fontId="3" fillId="3" borderId="0" xfId="3" applyNumberFormat="1" applyFont="1" applyFill="1"/>
    <xf numFmtId="165" fontId="3" fillId="3" borderId="0" xfId="2" applyNumberFormat="1" applyFont="1" applyFill="1"/>
    <xf numFmtId="10" fontId="3" fillId="0" borderId="0" xfId="2" applyNumberFormat="1" applyFont="1"/>
    <xf numFmtId="164" fontId="3" fillId="0" borderId="0" xfId="1" applyNumberFormat="1" applyFont="1" applyAlignment="1">
      <alignment horizontal="center"/>
    </xf>
    <xf numFmtId="164" fontId="7" fillId="0" borderId="0" xfId="1" applyNumberFormat="1" applyFont="1"/>
    <xf numFmtId="168" fontId="3" fillId="0" borderId="0" xfId="1" applyNumberFormat="1" applyFont="1"/>
    <xf numFmtId="164" fontId="3" fillId="0" borderId="0" xfId="1" applyNumberFormat="1" applyFont="1" applyFill="1"/>
    <xf numFmtId="166" fontId="3" fillId="0" borderId="0" xfId="3" applyNumberFormat="1" applyFont="1" applyFill="1"/>
    <xf numFmtId="165" fontId="3" fillId="0" borderId="0" xfId="2" applyNumberFormat="1" applyFont="1" applyFill="1"/>
    <xf numFmtId="167" fontId="3" fillId="0" borderId="0" xfId="3" applyNumberFormat="1" applyFont="1" applyFill="1"/>
    <xf numFmtId="167" fontId="2" fillId="0" borderId="0" xfId="3" applyNumberFormat="1" applyFont="1"/>
    <xf numFmtId="167" fontId="2" fillId="3" borderId="0" xfId="3" applyNumberFormat="1" applyFont="1" applyFill="1"/>
    <xf numFmtId="167" fontId="2" fillId="0" borderId="0" xfId="3" applyNumberFormat="1" applyFont="1" applyFill="1"/>
    <xf numFmtId="164" fontId="2" fillId="0" borderId="0" xfId="1" applyNumberFormat="1" applyFont="1"/>
    <xf numFmtId="166" fontId="2" fillId="0" borderId="0" xfId="3" applyNumberFormat="1" applyFont="1"/>
    <xf numFmtId="165" fontId="2" fillId="0" borderId="0" xfId="2" applyNumberFormat="1" applyFont="1"/>
    <xf numFmtId="164" fontId="2" fillId="3" borderId="0" xfId="1" applyNumberFormat="1" applyFont="1" applyFill="1"/>
    <xf numFmtId="165" fontId="2" fillId="3" borderId="0" xfId="2" applyNumberFormat="1" applyFont="1" applyFill="1"/>
    <xf numFmtId="164" fontId="5" fillId="2" borderId="3" xfId="1" applyNumberFormat="1" applyFont="1" applyFill="1" applyBorder="1" applyAlignment="1">
      <alignment horizontal="center" vertical="top"/>
    </xf>
    <xf numFmtId="164" fontId="5" fillId="2" borderId="4" xfId="1" applyNumberFormat="1" applyFont="1" applyFill="1" applyBorder="1" applyAlignment="1">
      <alignment horizontal="center" vertical="top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96355</xdr:colOff>
      <xdr:row>0</xdr:row>
      <xdr:rowOff>114300</xdr:rowOff>
    </xdr:from>
    <xdr:to>
      <xdr:col>16</xdr:col>
      <xdr:colOff>951220</xdr:colOff>
      <xdr:row>28</xdr:row>
      <xdr:rowOff>161012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7A674A-CB4A-A571-4B18-CDF555908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4105" y="114300"/>
          <a:ext cx="7541415" cy="5380712"/>
        </a:xfrm>
        <a:prstGeom prst="rect">
          <a:avLst/>
        </a:prstGeom>
        <a:ln>
          <a:solidFill>
            <a:srgbClr val="3333F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76199</xdr:colOff>
      <xdr:row>1</xdr:row>
      <xdr:rowOff>38100</xdr:rowOff>
    </xdr:from>
    <xdr:to>
      <xdr:col>16</xdr:col>
      <xdr:colOff>703610</xdr:colOff>
      <xdr:row>27</xdr:row>
      <xdr:rowOff>115644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09AC64-45D4-8FBE-0C4F-1D93CECB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3949" y="228600"/>
          <a:ext cx="7313961" cy="5030544"/>
        </a:xfrm>
        <a:prstGeom prst="rect">
          <a:avLst/>
        </a:prstGeom>
        <a:ln>
          <a:solidFill>
            <a:srgbClr val="3333F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36F6-5221-4EFC-B949-64CEA21EAED1}">
  <dimension ref="A1:R45"/>
  <sheetViews>
    <sheetView showGridLines="0" tabSelected="1" workbookViewId="0"/>
  </sheetViews>
  <sheetFormatPr defaultColWidth="20.7109375" defaultRowHeight="15" x14ac:dyDescent="0.25"/>
  <cols>
    <col min="1" max="1" width="20.7109375" style="1"/>
    <col min="2" max="2" width="20.7109375" style="1" customWidth="1"/>
    <col min="3" max="14" width="20.7109375" style="2" customWidth="1"/>
    <col min="15" max="16384" width="20.7109375" style="2"/>
  </cols>
  <sheetData>
    <row r="1" spans="1:18" x14ac:dyDescent="0.25">
      <c r="A1" s="5" t="s">
        <v>15</v>
      </c>
      <c r="B1" s="6" t="s">
        <v>0</v>
      </c>
      <c r="C1" s="7" t="s">
        <v>0</v>
      </c>
      <c r="D1" s="7" t="s">
        <v>0</v>
      </c>
      <c r="E1" s="7" t="s">
        <v>0</v>
      </c>
      <c r="F1" s="8"/>
      <c r="G1" s="7" t="s">
        <v>5</v>
      </c>
      <c r="H1" s="7" t="s">
        <v>5</v>
      </c>
      <c r="I1" s="7" t="s">
        <v>5</v>
      </c>
      <c r="J1" s="7" t="s">
        <v>10</v>
      </c>
      <c r="K1" s="7" t="s">
        <v>10</v>
      </c>
      <c r="L1" s="7" t="s">
        <v>10</v>
      </c>
      <c r="M1" s="7" t="s">
        <v>10</v>
      </c>
      <c r="N1" s="7" t="s">
        <v>0</v>
      </c>
      <c r="O1" s="9" t="s">
        <v>10</v>
      </c>
      <c r="P1" s="9" t="s">
        <v>19</v>
      </c>
    </row>
    <row r="2" spans="1:18" x14ac:dyDescent="0.25">
      <c r="A2" s="5" t="s">
        <v>9</v>
      </c>
      <c r="B2" s="6" t="s">
        <v>4</v>
      </c>
      <c r="C2" s="7" t="s">
        <v>1</v>
      </c>
      <c r="D2" s="7" t="s">
        <v>2</v>
      </c>
      <c r="E2" s="7" t="s">
        <v>42</v>
      </c>
      <c r="F2" s="8"/>
      <c r="G2" s="7" t="s">
        <v>1</v>
      </c>
      <c r="H2" s="7" t="s">
        <v>2</v>
      </c>
      <c r="I2" s="7" t="s">
        <v>42</v>
      </c>
      <c r="J2" s="7" t="s">
        <v>6</v>
      </c>
      <c r="K2" s="7" t="s">
        <v>6</v>
      </c>
      <c r="L2" s="7" t="s">
        <v>6</v>
      </c>
      <c r="M2" s="7" t="s">
        <v>7</v>
      </c>
      <c r="N2" s="7" t="s">
        <v>43</v>
      </c>
      <c r="O2" s="9" t="s">
        <v>18</v>
      </c>
      <c r="P2" s="9" t="s">
        <v>18</v>
      </c>
    </row>
    <row r="4" spans="1:18" x14ac:dyDescent="0.25">
      <c r="A4" s="1" t="s">
        <v>22</v>
      </c>
      <c r="B4" s="1">
        <v>741466479.21708632</v>
      </c>
      <c r="C4" s="2">
        <v>975455258.90323079</v>
      </c>
      <c r="D4" s="2">
        <v>831283302.31656015</v>
      </c>
      <c r="E4" s="2">
        <v>845653414.38236165</v>
      </c>
      <c r="F4" s="3">
        <f>1-(($C4-$E4)/($C4-$D4))</f>
        <v>9.967342058760742E-2</v>
      </c>
      <c r="G4" s="2">
        <f>+C4/C$21*G$22</f>
        <v>952170546.0309453</v>
      </c>
      <c r="H4" s="2">
        <f>+D4/D$21*H$22</f>
        <v>811440062.11328328</v>
      </c>
      <c r="I4" s="2">
        <f>+E4/E$21*I$22</f>
        <v>825467150.82630575</v>
      </c>
      <c r="J4" s="2">
        <f>+E4-B4</f>
        <v>104186935.16527534</v>
      </c>
      <c r="L4" s="2">
        <f>+J4/SUM(J$4:J$19)*(-50000000-SUM(K$10:K$12))</f>
        <v>-18468069.623700216</v>
      </c>
      <c r="M4" s="2">
        <f>SUM(K4:L4)+E4-B4</f>
        <v>85718865.541575074</v>
      </c>
      <c r="N4" s="2">
        <f>+M4+B4</f>
        <v>827185344.75866139</v>
      </c>
      <c r="O4" s="10">
        <f t="shared" ref="O4:O19" si="0">1-(($G4-$N4)/($G4-$H4))</f>
        <v>0.11188253040180185</v>
      </c>
      <c r="P4" s="10">
        <f t="shared" ref="P4:P19" si="1">1-(($G4-$I4)/($G4-$H4))</f>
        <v>9.9673420587606198E-2</v>
      </c>
      <c r="Q4" s="2">
        <f>+E4-C4</f>
        <v>-129801844.52086914</v>
      </c>
      <c r="R4" s="2">
        <f>+E4-B4</f>
        <v>104186935.16527534</v>
      </c>
    </row>
    <row r="5" spans="1:18" x14ac:dyDescent="0.25">
      <c r="A5" s="1" t="s">
        <v>23</v>
      </c>
      <c r="B5" s="1">
        <v>272241061.57512134</v>
      </c>
      <c r="C5" s="2">
        <v>243058239.88958135</v>
      </c>
      <c r="D5" s="2">
        <v>305218718.62810683</v>
      </c>
      <c r="E5" s="2">
        <v>298986024.05716801</v>
      </c>
      <c r="F5" s="3">
        <f t="shared" ref="F5:F19" si="2">1-((C5-E5)/(C5-D5))</f>
        <v>0.10026780194464557</v>
      </c>
      <c r="G5" s="2">
        <f t="shared" ref="G5:G19" si="3">+C5/C$21*G$22</f>
        <v>237256291.23492408</v>
      </c>
      <c r="H5" s="2">
        <f t="shared" ref="H5:H19" si="4">+D5/D$21*H$22</f>
        <v>297932961.37616158</v>
      </c>
      <c r="I5" s="2">
        <f t="shared" ref="I5:I19" si="5">+E5/E$21*I$22</f>
        <v>291849045.03177929</v>
      </c>
      <c r="J5" s="2">
        <f>+E5-B5</f>
        <v>26744962.482046664</v>
      </c>
      <c r="L5" s="2">
        <f t="shared" ref="L5:L19" si="6">+J5/SUM(J$4:J$19)*(-50000000-SUM(K$10:K$12))</f>
        <v>-4740784.7098885598</v>
      </c>
      <c r="M5" s="2">
        <f t="shared" ref="M5:M19" si="7">SUM(K5:L5)+E5-B5</f>
        <v>22004177.772158086</v>
      </c>
      <c r="N5" s="2">
        <f t="shared" ref="N5:N19" si="8">+M5+B5</f>
        <v>294245239.34727943</v>
      </c>
      <c r="O5" s="10">
        <f t="shared" si="0"/>
        <v>6.0776605247094273E-2</v>
      </c>
      <c r="P5" s="10">
        <f t="shared" si="1"/>
        <v>0.10026780194464713</v>
      </c>
      <c r="Q5" s="2">
        <f t="shared" ref="Q5:Q19" si="9">+E5-C5</f>
        <v>55927784.167586654</v>
      </c>
      <c r="R5" s="2">
        <f t="shared" ref="R5:R19" si="10">+E5-B5</f>
        <v>26744962.482046664</v>
      </c>
    </row>
    <row r="6" spans="1:18" x14ac:dyDescent="0.25">
      <c r="A6" s="2" t="s">
        <v>17</v>
      </c>
      <c r="B6" s="1">
        <v>13171291.150512312</v>
      </c>
      <c r="C6" s="2">
        <v>14019003.393633941</v>
      </c>
      <c r="D6" s="2">
        <v>14766782.73430766</v>
      </c>
      <c r="E6" s="2">
        <v>14691186.836464636</v>
      </c>
      <c r="F6" s="3">
        <f t="shared" si="2"/>
        <v>0.10109385714630059</v>
      </c>
      <c r="G6" s="2">
        <f t="shared" si="3"/>
        <v>13684361.219329212</v>
      </c>
      <c r="H6" s="2">
        <f t="shared" si="4"/>
        <v>14414290.610371213</v>
      </c>
      <c r="I6" s="2">
        <f t="shared" si="5"/>
        <v>14340499.232786324</v>
      </c>
      <c r="J6" s="2">
        <f>+E6-B6</f>
        <v>1519895.6859523244</v>
      </c>
      <c r="L6" s="2">
        <f t="shared" si="6"/>
        <v>-269415.15559893812</v>
      </c>
      <c r="M6" s="2">
        <f t="shared" si="7"/>
        <v>1250480.530353386</v>
      </c>
      <c r="N6" s="2">
        <f t="shared" si="8"/>
        <v>14421771.680865698</v>
      </c>
      <c r="O6" s="10">
        <f t="shared" si="0"/>
        <v>-1.0249033106893624E-2</v>
      </c>
      <c r="P6" s="10">
        <f t="shared" si="1"/>
        <v>0.10109385714630503</v>
      </c>
      <c r="Q6" s="2">
        <f t="shared" si="9"/>
        <v>672183.44283069484</v>
      </c>
      <c r="R6" s="2">
        <f t="shared" si="10"/>
        <v>1519895.6859523244</v>
      </c>
    </row>
    <row r="7" spans="1:18" x14ac:dyDescent="0.25">
      <c r="A7" s="1" t="s">
        <v>24</v>
      </c>
      <c r="B7" s="1">
        <v>179971469.04673809</v>
      </c>
      <c r="C7" s="2">
        <v>160357288.05071816</v>
      </c>
      <c r="D7" s="2">
        <v>201772138.46525496</v>
      </c>
      <c r="E7" s="2">
        <v>197619650.52000043</v>
      </c>
      <c r="F7" s="3">
        <f t="shared" si="2"/>
        <v>0.10026567532396524</v>
      </c>
      <c r="G7" s="2">
        <f t="shared" si="3"/>
        <v>156529461.63309488</v>
      </c>
      <c r="H7" s="2">
        <f t="shared" si="4"/>
        <v>196955714.27059433</v>
      </c>
      <c r="I7" s="2">
        <f t="shared" si="5"/>
        <v>192902348.74907815</v>
      </c>
      <c r="J7" s="2">
        <f>+E7-B7</f>
        <v>17648181.47326234</v>
      </c>
      <c r="L7" s="2">
        <f t="shared" si="6"/>
        <v>-3128298.6073337756</v>
      </c>
      <c r="M7" s="2">
        <f t="shared" si="7"/>
        <v>14519882.86592856</v>
      </c>
      <c r="N7" s="2">
        <f t="shared" si="8"/>
        <v>194491351.91266665</v>
      </c>
      <c r="O7" s="10">
        <f t="shared" si="0"/>
        <v>6.0959455728571088E-2</v>
      </c>
      <c r="P7" s="10">
        <f t="shared" si="1"/>
        <v>0.10026567532396669</v>
      </c>
      <c r="Q7" s="2">
        <f t="shared" si="9"/>
        <v>37262362.469282269</v>
      </c>
      <c r="R7" s="2">
        <f t="shared" si="10"/>
        <v>17648181.47326234</v>
      </c>
    </row>
    <row r="8" spans="1:18" x14ac:dyDescent="0.25">
      <c r="A8" s="1" t="s">
        <v>25</v>
      </c>
      <c r="B8" s="1">
        <v>10183697.494955979</v>
      </c>
      <c r="C8" s="2">
        <v>9044512.4480482712</v>
      </c>
      <c r="D8" s="2">
        <v>11417289.817792762</v>
      </c>
      <c r="E8" s="2">
        <v>11179389.643988365</v>
      </c>
      <c r="F8" s="3">
        <f t="shared" si="2"/>
        <v>0.10026232415981562</v>
      </c>
      <c r="G8" s="2">
        <f t="shared" si="3"/>
        <v>8828614.4112081137</v>
      </c>
      <c r="H8" s="2">
        <f t="shared" si="4"/>
        <v>11144752.135761213</v>
      </c>
      <c r="I8" s="2">
        <f t="shared" si="5"/>
        <v>10912530.784423288</v>
      </c>
      <c r="J8" s="2">
        <f>+E8-B8</f>
        <v>995692.14903238602</v>
      </c>
      <c r="L8" s="2">
        <f t="shared" si="6"/>
        <v>-176495.37250454165</v>
      </c>
      <c r="M8" s="2">
        <f t="shared" si="7"/>
        <v>819196.77652784437</v>
      </c>
      <c r="N8" s="2">
        <f t="shared" si="8"/>
        <v>11002894.271483824</v>
      </c>
      <c r="O8" s="10">
        <f t="shared" si="0"/>
        <v>6.1247594550864037E-2</v>
      </c>
      <c r="P8" s="10">
        <f t="shared" si="1"/>
        <v>0.1002623241598174</v>
      </c>
      <c r="Q8" s="2">
        <f t="shared" si="9"/>
        <v>2134877.1959400941</v>
      </c>
      <c r="R8" s="2">
        <f t="shared" si="10"/>
        <v>995692.14903238602</v>
      </c>
    </row>
    <row r="9" spans="1:18" x14ac:dyDescent="0.25">
      <c r="A9" s="1" t="s">
        <v>26</v>
      </c>
      <c r="B9" s="1">
        <v>163839994.74454051</v>
      </c>
      <c r="C9" s="2">
        <v>173122959.10483915</v>
      </c>
      <c r="D9" s="2">
        <v>183686593.66311508</v>
      </c>
      <c r="E9" s="2">
        <v>182620062.43817231</v>
      </c>
      <c r="F9" s="3">
        <f t="shared" si="2"/>
        <v>0.10096252564011821</v>
      </c>
      <c r="G9" s="2">
        <f t="shared" si="3"/>
        <v>168990408.32143465</v>
      </c>
      <c r="H9" s="2">
        <f t="shared" si="4"/>
        <v>179301882.47016627</v>
      </c>
      <c r="I9" s="2">
        <f t="shared" si="5"/>
        <v>178260809.99703747</v>
      </c>
      <c r="J9" s="2">
        <f>+E9-B9+K9</f>
        <v>18780067.693631798</v>
      </c>
      <c r="L9" s="2">
        <f t="shared" si="6"/>
        <v>-3328935.6017009644</v>
      </c>
      <c r="M9" s="2">
        <f t="shared" si="7"/>
        <v>15451132.091930836</v>
      </c>
      <c r="N9" s="2">
        <f t="shared" si="8"/>
        <v>179291126.83647135</v>
      </c>
      <c r="O9" s="10">
        <f t="shared" si="0"/>
        <v>1.0430743014799848E-3</v>
      </c>
      <c r="P9" s="10">
        <f t="shared" si="1"/>
        <v>0.10096252564012431</v>
      </c>
      <c r="Q9" s="2">
        <f t="shared" si="9"/>
        <v>9497103.3333331645</v>
      </c>
      <c r="R9" s="2">
        <f t="shared" si="10"/>
        <v>18780067.693631798</v>
      </c>
    </row>
    <row r="10" spans="1:18" x14ac:dyDescent="0.25">
      <c r="A10" s="1" t="s">
        <v>27</v>
      </c>
      <c r="B10" s="1">
        <v>308400771.27230686</v>
      </c>
      <c r="C10" s="2">
        <v>326204643.36290777</v>
      </c>
      <c r="D10" s="2">
        <v>345758599.7021963</v>
      </c>
      <c r="E10" s="2">
        <v>343784063.14293396</v>
      </c>
      <c r="F10" s="3">
        <f t="shared" si="2"/>
        <v>0.1009788773689253</v>
      </c>
      <c r="G10" s="2">
        <f t="shared" si="3"/>
        <v>318417939.26860434</v>
      </c>
      <c r="H10" s="2">
        <f t="shared" si="4"/>
        <v>337505130.7258321</v>
      </c>
      <c r="I10" s="2">
        <f t="shared" si="5"/>
        <v>335577727.56035542</v>
      </c>
      <c r="J10" s="2">
        <f>+E10-B10+K10</f>
        <v>26593581.980614007</v>
      </c>
      <c r="K10" s="2">
        <f>(+C10-E10)*0.5</f>
        <v>-8789709.8900130987</v>
      </c>
      <c r="L10" s="2">
        <f t="shared" si="6"/>
        <v>-4713951.1569512933</v>
      </c>
      <c r="M10" s="2">
        <f t="shared" si="7"/>
        <v>21879630.823662698</v>
      </c>
      <c r="N10" s="2">
        <f t="shared" si="8"/>
        <v>330280402.09596956</v>
      </c>
      <c r="O10" s="10">
        <f t="shared" si="0"/>
        <v>0.37851187515210638</v>
      </c>
      <c r="P10" s="10">
        <f t="shared" si="1"/>
        <v>0.10097887736892941</v>
      </c>
      <c r="Q10" s="2">
        <f t="shared" si="9"/>
        <v>17579419.780026197</v>
      </c>
      <c r="R10" s="2">
        <f t="shared" si="10"/>
        <v>35383291.870627105</v>
      </c>
    </row>
    <row r="11" spans="1:18" x14ac:dyDescent="0.25">
      <c r="A11" s="1" t="s">
        <v>28</v>
      </c>
      <c r="B11" s="1">
        <v>122988078.06922567</v>
      </c>
      <c r="C11" s="2">
        <v>131659927.03341916</v>
      </c>
      <c r="D11" s="2">
        <v>137886119.66775054</v>
      </c>
      <c r="E11" s="2">
        <v>137255858.38591513</v>
      </c>
      <c r="F11" s="3">
        <f t="shared" si="2"/>
        <v>0.10122739832367722</v>
      </c>
      <c r="G11" s="2">
        <f t="shared" si="3"/>
        <v>128517124.15263286</v>
      </c>
      <c r="H11" s="2">
        <f t="shared" si="4"/>
        <v>134594693.76560605</v>
      </c>
      <c r="I11" s="2">
        <f t="shared" si="5"/>
        <v>133979477.20555368</v>
      </c>
      <c r="J11" s="2">
        <f>+E11-B11+K11</f>
        <v>11469814.640441477</v>
      </c>
      <c r="K11" s="2">
        <f>(+C11-E11)*0.5</f>
        <v>-2797965.6762479842</v>
      </c>
      <c r="L11" s="2">
        <f t="shared" si="6"/>
        <v>-2033127.6183005427</v>
      </c>
      <c r="M11" s="2">
        <f t="shared" ref="M11" si="11">SUM(K11:L11)+E11-B11</f>
        <v>9436687.0221409351</v>
      </c>
      <c r="N11" s="2">
        <f t="shared" ref="N11" si="12">+M11+B11</f>
        <v>132424765.0913666</v>
      </c>
      <c r="O11" s="10">
        <f t="shared" si="0"/>
        <v>0.35703888436053632</v>
      </c>
      <c r="P11" s="10">
        <f t="shared" si="1"/>
        <v>0.10122739832368577</v>
      </c>
      <c r="Q11" s="2">
        <f t="shared" si="9"/>
        <v>5595931.3524959683</v>
      </c>
      <c r="R11" s="2">
        <f t="shared" si="10"/>
        <v>14267780.316689461</v>
      </c>
    </row>
    <row r="12" spans="1:18" x14ac:dyDescent="0.25">
      <c r="A12" s="1" t="s">
        <v>16</v>
      </c>
      <c r="B12" s="1">
        <v>23206905.794232756</v>
      </c>
      <c r="C12" s="2">
        <v>25071597.366852224</v>
      </c>
      <c r="D12" s="2">
        <v>26018051.828248538</v>
      </c>
      <c r="E12" s="2">
        <v>25921963.120440379</v>
      </c>
      <c r="F12" s="3">
        <f t="shared" si="2"/>
        <v>0.10152491401054686</v>
      </c>
      <c r="G12" s="2">
        <f t="shared" si="3"/>
        <v>24473123.023094941</v>
      </c>
      <c r="H12" s="2">
        <f t="shared" si="4"/>
        <v>25396985.038370162</v>
      </c>
      <c r="I12" s="2">
        <f t="shared" si="5"/>
        <v>25303190.026711728</v>
      </c>
      <c r="J12" s="2">
        <f>+E12-B12+K12</f>
        <v>2289874.4494135454</v>
      </c>
      <c r="K12" s="2">
        <f>(+C12-E12)*0.5</f>
        <v>-425182.87679407746</v>
      </c>
      <c r="L12" s="2">
        <f t="shared" si="6"/>
        <v>-405900.80410961481</v>
      </c>
      <c r="M12" s="2">
        <f t="shared" si="7"/>
        <v>1883973.6453039311</v>
      </c>
      <c r="N12" s="2">
        <f t="shared" si="8"/>
        <v>25090879.439536687</v>
      </c>
      <c r="O12" s="10">
        <f t="shared" si="0"/>
        <v>0.33133259488137468</v>
      </c>
      <c r="P12" s="10">
        <f t="shared" si="1"/>
        <v>0.10152491401055386</v>
      </c>
      <c r="Q12" s="2">
        <f t="shared" si="9"/>
        <v>850365.75358815491</v>
      </c>
      <c r="R12" s="2">
        <f t="shared" si="10"/>
        <v>2715057.3262076229</v>
      </c>
    </row>
    <row r="13" spans="1:18" x14ac:dyDescent="0.25">
      <c r="A13" s="1" t="s">
        <v>29</v>
      </c>
      <c r="B13" s="1">
        <v>31822538.280074712</v>
      </c>
      <c r="C13" s="2">
        <v>35239183.342035897</v>
      </c>
      <c r="D13" s="2">
        <v>35677330.602305755</v>
      </c>
      <c r="E13" s="2">
        <v>35631532.013246998</v>
      </c>
      <c r="F13" s="3">
        <f t="shared" si="2"/>
        <v>0.10452784534256621</v>
      </c>
      <c r="G13" s="2">
        <f t="shared" si="3"/>
        <v>34398002.510333054</v>
      </c>
      <c r="H13" s="2">
        <f t="shared" si="4"/>
        <v>34825690.927864566</v>
      </c>
      <c r="I13" s="2">
        <f t="shared" si="5"/>
        <v>34780985.579102017</v>
      </c>
      <c r="J13" s="2">
        <f t="shared" ref="J13:J19" si="13">+E13-B13</f>
        <v>3808993.7331722863</v>
      </c>
      <c r="L13" s="2">
        <f t="shared" si="6"/>
        <v>-675178.33544938499</v>
      </c>
      <c r="M13" s="2">
        <f t="shared" si="7"/>
        <v>3133815.3977229036</v>
      </c>
      <c r="N13" s="2">
        <f t="shared" si="8"/>
        <v>34956353.677797616</v>
      </c>
      <c r="O13" s="10">
        <f t="shared" si="0"/>
        <v>-0.30550920851959162</v>
      </c>
      <c r="P13" s="10">
        <f t="shared" si="1"/>
        <v>0.10452784534258641</v>
      </c>
      <c r="Q13" s="2">
        <f t="shared" si="9"/>
        <v>392348.67121110111</v>
      </c>
      <c r="R13" s="2">
        <f t="shared" si="10"/>
        <v>3808993.7331722863</v>
      </c>
    </row>
    <row r="14" spans="1:18" x14ac:dyDescent="0.25">
      <c r="A14" s="1" t="s">
        <v>30</v>
      </c>
      <c r="B14" s="1">
        <v>382364.63295999862</v>
      </c>
      <c r="C14" s="2">
        <v>412797.3586252277</v>
      </c>
      <c r="D14" s="2">
        <v>428682.00206659123</v>
      </c>
      <c r="E14" s="2">
        <v>427093.53772245493</v>
      </c>
      <c r="F14" s="3">
        <f t="shared" si="2"/>
        <v>9.9999999999996647E-2</v>
      </c>
      <c r="G14" s="2">
        <f t="shared" si="3"/>
        <v>402943.63352374686</v>
      </c>
      <c r="H14" s="2">
        <f t="shared" si="4"/>
        <v>418449.100823268</v>
      </c>
      <c r="I14" s="2">
        <f t="shared" si="5"/>
        <v>416898.55409331585</v>
      </c>
      <c r="J14" s="2">
        <f t="shared" si="13"/>
        <v>44728.90476245631</v>
      </c>
      <c r="L14" s="2">
        <f t="shared" si="6"/>
        <v>-7928.5999346702865</v>
      </c>
      <c r="M14" s="2">
        <f t="shared" si="7"/>
        <v>36800.304827786051</v>
      </c>
      <c r="N14" s="2">
        <f t="shared" si="8"/>
        <v>419164.93778778467</v>
      </c>
      <c r="O14" s="10">
        <f t="shared" si="0"/>
        <v>-4.6166745618738902E-2</v>
      </c>
      <c r="P14" s="10">
        <f t="shared" si="1"/>
        <v>0.10000000000000264</v>
      </c>
      <c r="Q14" s="2">
        <f t="shared" si="9"/>
        <v>14296.179097227228</v>
      </c>
      <c r="R14" s="2">
        <f t="shared" si="10"/>
        <v>44728.90476245631</v>
      </c>
    </row>
    <row r="15" spans="1:18" x14ac:dyDescent="0.25">
      <c r="A15" s="1" t="s">
        <v>31</v>
      </c>
      <c r="B15" s="1">
        <v>252098.39263140794</v>
      </c>
      <c r="C15" s="2">
        <v>254183.46611572561</v>
      </c>
      <c r="D15" s="2">
        <v>282636.08701045153</v>
      </c>
      <c r="E15" s="2">
        <v>279790.82492097892</v>
      </c>
      <c r="F15" s="3">
        <f t="shared" si="2"/>
        <v>0.10000000000000075</v>
      </c>
      <c r="G15" s="2">
        <f t="shared" si="3"/>
        <v>248115.95151537211</v>
      </c>
      <c r="H15" s="2">
        <f t="shared" si="4"/>
        <v>275889.39096948272</v>
      </c>
      <c r="I15" s="2">
        <f t="shared" si="5"/>
        <v>273112.04702407157</v>
      </c>
      <c r="J15" s="2">
        <f t="shared" si="13"/>
        <v>27692.432289570977</v>
      </c>
      <c r="L15" s="2">
        <f t="shared" si="6"/>
        <v>-4908.7322394320217</v>
      </c>
      <c r="M15" s="2">
        <f t="shared" si="7"/>
        <v>22783.700050138985</v>
      </c>
      <c r="N15" s="2">
        <f t="shared" si="8"/>
        <v>274882.09268154693</v>
      </c>
      <c r="O15" s="10">
        <f t="shared" si="0"/>
        <v>3.6268402752209439E-2</v>
      </c>
      <c r="P15" s="10">
        <f t="shared" si="1"/>
        <v>0.1000000000000032</v>
      </c>
      <c r="Q15" s="2">
        <f t="shared" si="9"/>
        <v>25607.358805253316</v>
      </c>
      <c r="R15" s="2">
        <f t="shared" si="10"/>
        <v>27692.432289570977</v>
      </c>
    </row>
    <row r="16" spans="1:18" x14ac:dyDescent="0.25">
      <c r="A16" s="1" t="s">
        <v>32</v>
      </c>
      <c r="B16" s="1">
        <v>94429.364575064479</v>
      </c>
      <c r="C16" s="2">
        <v>57430.260795924514</v>
      </c>
      <c r="D16" s="2">
        <v>105867.97410248335</v>
      </c>
      <c r="E16" s="2">
        <v>94913.314091819935</v>
      </c>
      <c r="F16" s="3">
        <f t="shared" si="2"/>
        <v>0.22615972685027785</v>
      </c>
      <c r="G16" s="2">
        <f t="shared" si="3"/>
        <v>56059.365390309365</v>
      </c>
      <c r="H16" s="2">
        <f t="shared" si="4"/>
        <v>103340.84089278744</v>
      </c>
      <c r="I16" s="2">
        <f t="shared" si="5"/>
        <v>92647.675308068865</v>
      </c>
      <c r="J16" s="2">
        <f t="shared" si="13"/>
        <v>483.94951675545599</v>
      </c>
      <c r="L16" s="2">
        <f t="shared" si="6"/>
        <v>-85.784396629172278</v>
      </c>
      <c r="M16" s="2">
        <f t="shared" si="7"/>
        <v>398.16512012628664</v>
      </c>
      <c r="N16" s="2">
        <f t="shared" si="8"/>
        <v>94827.529695190766</v>
      </c>
      <c r="O16" s="10">
        <f t="shared" si="0"/>
        <v>0.18005595441179667</v>
      </c>
      <c r="P16" s="10">
        <f t="shared" si="1"/>
        <v>0.22615972685027852</v>
      </c>
      <c r="Q16" s="2">
        <f t="shared" si="9"/>
        <v>37483.053295895421</v>
      </c>
      <c r="R16" s="2">
        <f t="shared" si="10"/>
        <v>483.94951675545599</v>
      </c>
    </row>
    <row r="17" spans="1:18" x14ac:dyDescent="0.25">
      <c r="A17" s="1" t="s">
        <v>33</v>
      </c>
      <c r="B17" s="1">
        <v>45248.886072058092</v>
      </c>
      <c r="C17" s="2">
        <v>238260.37303283068</v>
      </c>
      <c r="D17" s="2">
        <v>50730.066017068661</v>
      </c>
      <c r="E17" s="2">
        <v>50342.136409460363</v>
      </c>
      <c r="F17" s="3">
        <f t="shared" si="2"/>
        <v>-2.0686235402775921E-3</v>
      </c>
      <c r="G17" s="2">
        <f t="shared" si="3"/>
        <v>232572.9523907493</v>
      </c>
      <c r="H17" s="2">
        <f t="shared" si="4"/>
        <v>49519.108353538642</v>
      </c>
      <c r="I17" s="2">
        <f t="shared" si="5"/>
        <v>49140.438862624942</v>
      </c>
      <c r="J17" s="2">
        <f t="shared" si="13"/>
        <v>5093.2503374022708</v>
      </c>
      <c r="L17" s="2">
        <f t="shared" si="6"/>
        <v>-902.8243483011106</v>
      </c>
      <c r="M17" s="2">
        <f t="shared" si="7"/>
        <v>4190.4259891011607</v>
      </c>
      <c r="N17" s="2">
        <f t="shared" si="8"/>
        <v>49439.312061159253</v>
      </c>
      <c r="O17" s="10">
        <f t="shared" si="0"/>
        <v>-4.3591705379952828E-4</v>
      </c>
      <c r="P17" s="10">
        <f t="shared" si="1"/>
        <v>-2.0686235402778141E-3</v>
      </c>
      <c r="Q17" s="2">
        <f t="shared" si="9"/>
        <v>-187918.23662337032</v>
      </c>
      <c r="R17" s="2">
        <f t="shared" si="10"/>
        <v>5093.2503374022708</v>
      </c>
    </row>
    <row r="18" spans="1:18" x14ac:dyDescent="0.25">
      <c r="A18" s="1" t="s">
        <v>34</v>
      </c>
      <c r="B18" s="1">
        <v>189766.47946549716</v>
      </c>
      <c r="C18" s="2">
        <v>371113.37746929377</v>
      </c>
      <c r="D18" s="2">
        <v>212753.65797471241</v>
      </c>
      <c r="E18" s="2">
        <v>371113.37746929377</v>
      </c>
      <c r="F18" s="3">
        <f t="shared" si="2"/>
        <v>1</v>
      </c>
      <c r="G18" s="2">
        <f t="shared" si="3"/>
        <v>362254.67446004192</v>
      </c>
      <c r="H18" s="2">
        <f t="shared" si="4"/>
        <v>207675.09820146396</v>
      </c>
      <c r="I18" s="2">
        <f t="shared" si="5"/>
        <v>362254.6744600418</v>
      </c>
      <c r="J18" s="2">
        <f t="shared" si="13"/>
        <v>181346.89800379661</v>
      </c>
      <c r="L18" s="2">
        <f t="shared" si="6"/>
        <v>-32145.365760719826</v>
      </c>
      <c r="M18" s="2">
        <f t="shared" si="7"/>
        <v>149201.5322430768</v>
      </c>
      <c r="N18" s="2">
        <f t="shared" si="8"/>
        <v>338968.01170857396</v>
      </c>
      <c r="O18" s="10">
        <f t="shared" si="0"/>
        <v>0.84935485453450565</v>
      </c>
      <c r="P18" s="10">
        <f t="shared" si="1"/>
        <v>0.99999999999999922</v>
      </c>
      <c r="Q18" s="2">
        <f t="shared" si="9"/>
        <v>0</v>
      </c>
      <c r="R18" s="2">
        <f t="shared" si="10"/>
        <v>181346.89800379661</v>
      </c>
    </row>
    <row r="19" spans="1:18" x14ac:dyDescent="0.25">
      <c r="A19" s="1" t="s">
        <v>35</v>
      </c>
      <c r="B19" s="1">
        <v>53798.376400000001</v>
      </c>
      <c r="C19" s="2">
        <v>59514.67207112677</v>
      </c>
      <c r="D19" s="2">
        <v>60315.190567054204</v>
      </c>
      <c r="E19" s="2">
        <v>59514.67207112677</v>
      </c>
      <c r="F19" s="3">
        <f t="shared" si="2"/>
        <v>1</v>
      </c>
      <c r="G19" s="2">
        <f t="shared" si="3"/>
        <v>58094.020495141071</v>
      </c>
      <c r="H19" s="2">
        <f t="shared" si="4"/>
        <v>58875.430125585961</v>
      </c>
      <c r="I19" s="2">
        <f t="shared" si="5"/>
        <v>58094.020495141063</v>
      </c>
      <c r="J19" s="2">
        <f t="shared" si="13"/>
        <v>5716.2956711267689</v>
      </c>
      <c r="L19" s="2">
        <f t="shared" si="6"/>
        <v>-1013.2647272573828</v>
      </c>
      <c r="M19" s="2">
        <f t="shared" si="7"/>
        <v>4703.0309438693876</v>
      </c>
      <c r="N19" s="2">
        <f t="shared" si="8"/>
        <v>58501.407343869389</v>
      </c>
      <c r="O19" s="10">
        <f t="shared" si="0"/>
        <v>0.47865135921555635</v>
      </c>
      <c r="P19" s="10">
        <f t="shared" si="1"/>
        <v>1.0000000000000093</v>
      </c>
      <c r="Q19" s="2">
        <f t="shared" si="9"/>
        <v>0</v>
      </c>
      <c r="R19" s="2">
        <f t="shared" si="10"/>
        <v>5716.2956711267689</v>
      </c>
    </row>
    <row r="20" spans="1:18" x14ac:dyDescent="0.25">
      <c r="O20" s="14"/>
      <c r="P20" s="14"/>
    </row>
    <row r="21" spans="1:18" x14ac:dyDescent="0.25">
      <c r="A21" s="11" t="s">
        <v>3</v>
      </c>
      <c r="B21" s="12">
        <f>SUM(B4:B19)</f>
        <v>1868309992.7768986</v>
      </c>
      <c r="C21" s="12">
        <f t="shared" ref="C21:E21" si="14">SUM(C4:C19)</f>
        <v>2094625912.4033768</v>
      </c>
      <c r="D21" s="12">
        <f t="shared" si="14"/>
        <v>2094625912.4033768</v>
      </c>
      <c r="E21" s="12">
        <f t="shared" si="14"/>
        <v>2094625912.4033773</v>
      </c>
      <c r="F21" s="12"/>
      <c r="G21" s="12">
        <f t="shared" ref="G21:N21" si="15">SUM(G4:G19)</f>
        <v>2044625912.4033766</v>
      </c>
      <c r="H21" s="12">
        <f t="shared" si="15"/>
        <v>2044625912.4033766</v>
      </c>
      <c r="I21" s="12">
        <f t="shared" si="15"/>
        <v>2044625912.4033763</v>
      </c>
      <c r="J21" s="12">
        <f t="shared" si="15"/>
        <v>214303061.18342325</v>
      </c>
      <c r="K21" s="12">
        <f t="shared" si="15"/>
        <v>-12012858.44305516</v>
      </c>
      <c r="L21" s="12">
        <f t="shared" si="15"/>
        <v>-37987141.556944832</v>
      </c>
      <c r="M21" s="12">
        <f t="shared" si="15"/>
        <v>176315919.62647834</v>
      </c>
      <c r="N21" s="12">
        <f t="shared" si="15"/>
        <v>2044625912.4033768</v>
      </c>
      <c r="O21" s="15"/>
      <c r="P21" s="15"/>
      <c r="Q21" s="12">
        <f t="shared" ref="Q21:R21" si="16">SUM(Q4:Q19)</f>
        <v>1.6886042430996895E-7</v>
      </c>
      <c r="R21" s="12">
        <f t="shared" si="16"/>
        <v>226315919.6264784</v>
      </c>
    </row>
    <row r="22" spans="1:18" x14ac:dyDescent="0.25">
      <c r="D22" s="17"/>
      <c r="G22" s="2">
        <f>+C21-50000000</f>
        <v>2044625912.4033768</v>
      </c>
      <c r="H22" s="2">
        <f>+G22</f>
        <v>2044625912.4033768</v>
      </c>
      <c r="I22" s="2">
        <f>+H22</f>
        <v>2044625912.4033768</v>
      </c>
      <c r="O22" s="14"/>
      <c r="P22" s="14"/>
    </row>
    <row r="23" spans="1:18" x14ac:dyDescent="0.25">
      <c r="B23" s="4"/>
      <c r="C23" s="4"/>
      <c r="D23" s="4"/>
      <c r="E23" s="4"/>
      <c r="O23" s="14"/>
      <c r="P23" s="14"/>
    </row>
    <row r="24" spans="1:18" x14ac:dyDescent="0.25">
      <c r="A24" s="5" t="s">
        <v>14</v>
      </c>
      <c r="B24" s="6" t="s">
        <v>0</v>
      </c>
      <c r="C24" s="7" t="s">
        <v>0</v>
      </c>
      <c r="D24" s="7" t="s">
        <v>0</v>
      </c>
      <c r="E24" s="7" t="s">
        <v>0</v>
      </c>
      <c r="F24" s="8"/>
      <c r="G24" s="7" t="s">
        <v>5</v>
      </c>
      <c r="H24" s="7" t="s">
        <v>5</v>
      </c>
      <c r="I24" s="7" t="s">
        <v>5</v>
      </c>
      <c r="J24" s="7" t="s">
        <v>10</v>
      </c>
      <c r="K24" s="7" t="s">
        <v>10</v>
      </c>
      <c r="L24" s="7" t="s">
        <v>10</v>
      </c>
      <c r="M24" s="7" t="s">
        <v>10</v>
      </c>
      <c r="N24" s="7" t="s">
        <v>0</v>
      </c>
      <c r="O24" s="16" t="s">
        <v>10</v>
      </c>
      <c r="P24" s="16" t="s">
        <v>12</v>
      </c>
    </row>
    <row r="25" spans="1:18" x14ac:dyDescent="0.25">
      <c r="A25" s="5" t="s">
        <v>9</v>
      </c>
      <c r="B25" s="6" t="s">
        <v>4</v>
      </c>
      <c r="C25" s="7" t="s">
        <v>1</v>
      </c>
      <c r="D25" s="7" t="s">
        <v>2</v>
      </c>
      <c r="E25" s="7" t="s">
        <v>42</v>
      </c>
      <c r="F25" s="8"/>
      <c r="G25" s="7" t="s">
        <v>1</v>
      </c>
      <c r="H25" s="7" t="s">
        <v>2</v>
      </c>
      <c r="I25" s="7" t="s">
        <v>42</v>
      </c>
      <c r="J25" s="7" t="s">
        <v>6</v>
      </c>
      <c r="K25" s="7" t="s">
        <v>6</v>
      </c>
      <c r="L25" s="7" t="s">
        <v>6</v>
      </c>
      <c r="M25" s="7" t="s">
        <v>7</v>
      </c>
      <c r="N25" s="7" t="s">
        <v>43</v>
      </c>
      <c r="O25" s="16" t="s">
        <v>11</v>
      </c>
      <c r="P25" s="16" t="s">
        <v>13</v>
      </c>
    </row>
    <row r="26" spans="1:18" x14ac:dyDescent="0.25">
      <c r="O26" s="14"/>
      <c r="P26" s="14"/>
    </row>
    <row r="27" spans="1:18" x14ac:dyDescent="0.25">
      <c r="A27" s="1" t="s">
        <v>22</v>
      </c>
      <c r="B27" s="1">
        <v>510989812.43273717</v>
      </c>
      <c r="C27" s="2">
        <v>642707569.247666</v>
      </c>
      <c r="D27" s="2">
        <v>555035778.0496676</v>
      </c>
      <c r="E27" s="2">
        <v>563768104.99239457</v>
      </c>
      <c r="F27" s="3">
        <f>1-(($C27-$E27)/($C27-$D27))</f>
        <v>9.9602469886874379E-2</v>
      </c>
      <c r="G27" s="2">
        <f t="shared" ref="G27:G41" si="17">+C27/C$43*G$44</f>
        <v>632995764.11057723</v>
      </c>
      <c r="H27" s="2">
        <f t="shared" ref="H27:H41" si="18">+D27/D$43*H$44</f>
        <v>546648761.03220713</v>
      </c>
      <c r="I27" s="2">
        <f t="shared" ref="I27:I41" si="19">+E27/E$43*I$44</f>
        <v>555249135.80614233</v>
      </c>
      <c r="J27" s="2">
        <f>+E27-B27</f>
        <v>52778292.559657395</v>
      </c>
      <c r="L27" s="2">
        <f>+J27/SUM(J$27:J$41)*(-20000000-SUM(K$32:K$33))</f>
        <v>-6677501.5263887765</v>
      </c>
      <c r="M27" s="2">
        <f>SUM(K27:L27)+E27-B27</f>
        <v>46100791.033268631</v>
      </c>
      <c r="N27" s="2">
        <f>+M27+B27</f>
        <v>557090603.4660058</v>
      </c>
      <c r="O27" s="10">
        <f t="shared" ref="O27:O41" si="20">1-(($G27-$N27)/($G27-$H27))</f>
        <v>0.12092883437218394</v>
      </c>
      <c r="P27" s="10">
        <f>1-(($G27-$I27)/($G27-$H27))</f>
        <v>9.9602469886874268E-2</v>
      </c>
      <c r="Q27" s="2">
        <f>+E27-B27</f>
        <v>52778292.559657395</v>
      </c>
    </row>
    <row r="28" spans="1:18" x14ac:dyDescent="0.25">
      <c r="A28" s="1" t="s">
        <v>23</v>
      </c>
      <c r="B28" s="1">
        <v>172472896.99313128</v>
      </c>
      <c r="C28" s="2">
        <v>155298805.99152544</v>
      </c>
      <c r="D28" s="2">
        <v>187339826.81766266</v>
      </c>
      <c r="E28" s="2">
        <v>184124342.15749714</v>
      </c>
      <c r="F28" s="3">
        <f t="shared" ref="F28:F41" si="21">1-((C28-E28)/(C28-D28))</f>
        <v>0.10035525015303237</v>
      </c>
      <c r="G28" s="2">
        <f t="shared" si="17"/>
        <v>152952121.72331658</v>
      </c>
      <c r="H28" s="2">
        <f t="shared" si="18"/>
        <v>184508978.10897413</v>
      </c>
      <c r="I28" s="2">
        <f t="shared" si="19"/>
        <v>181342081.89234817</v>
      </c>
      <c r="J28" s="2">
        <f>+E28-B28</f>
        <v>11651445.164365858</v>
      </c>
      <c r="L28" s="2">
        <f t="shared" ref="L28:L41" si="22">+J28/SUM(J$27:J$41)*(-20000000-SUM(K$32:K$33))</f>
        <v>-1474139.0654452273</v>
      </c>
      <c r="M28" s="2">
        <f t="shared" ref="M28:M41" si="23">SUM(K28:L28)+E28-B28</f>
        <v>10177306.098920643</v>
      </c>
      <c r="N28" s="2">
        <f t="shared" ref="N28:N41" si="24">+M28+B28</f>
        <v>182650203.09205192</v>
      </c>
      <c r="O28" s="10">
        <f t="shared" si="20"/>
        <v>5.8902413922541697E-2</v>
      </c>
      <c r="P28" s="10">
        <f t="shared" ref="P28:P41" si="25">1-(($G28-$I28)/($G28-$H28))</f>
        <v>0.10035525015303171</v>
      </c>
      <c r="Q28" s="2">
        <f t="shared" ref="Q28:Q41" si="26">+E28-B28</f>
        <v>11651445.164365858</v>
      </c>
    </row>
    <row r="29" spans="1:18" x14ac:dyDescent="0.25">
      <c r="A29" s="1" t="s">
        <v>24</v>
      </c>
      <c r="B29" s="1">
        <v>148430849.1551114</v>
      </c>
      <c r="C29" s="2">
        <v>136297535.51859355</v>
      </c>
      <c r="D29" s="2">
        <v>161225450.31693724</v>
      </c>
      <c r="E29" s="2">
        <v>158722846.58148643</v>
      </c>
      <c r="F29" s="3">
        <f t="shared" si="21"/>
        <v>0.10039362520675366</v>
      </c>
      <c r="G29" s="2">
        <f t="shared" si="17"/>
        <v>134237975.04512426</v>
      </c>
      <c r="H29" s="2">
        <f t="shared" si="18"/>
        <v>158789209.89977467</v>
      </c>
      <c r="I29" s="2">
        <f t="shared" si="19"/>
        <v>156324422.42941388</v>
      </c>
      <c r="J29" s="2">
        <f>+E29-B29</f>
        <v>10291997.426375031</v>
      </c>
      <c r="L29" s="2">
        <f t="shared" si="22"/>
        <v>-1302141.9449393181</v>
      </c>
      <c r="M29" s="2">
        <f t="shared" si="23"/>
        <v>8989855.4814357162</v>
      </c>
      <c r="N29" s="2">
        <f t="shared" si="24"/>
        <v>157420704.63654712</v>
      </c>
      <c r="O29" s="10">
        <f t="shared" si="20"/>
        <v>5.5740791505170861E-2</v>
      </c>
      <c r="P29" s="10">
        <f t="shared" si="25"/>
        <v>0.10039362520675466</v>
      </c>
      <c r="Q29" s="2">
        <f t="shared" si="26"/>
        <v>10291997.426375031</v>
      </c>
    </row>
    <row r="30" spans="1:18" x14ac:dyDescent="0.25">
      <c r="A30" s="1" t="s">
        <v>25</v>
      </c>
      <c r="B30" s="1">
        <v>6429824.3407201907</v>
      </c>
      <c r="C30" s="2">
        <v>5614405.038299866</v>
      </c>
      <c r="D30" s="2">
        <v>6984073.5427845176</v>
      </c>
      <c r="E30" s="2">
        <v>6846683.429967802</v>
      </c>
      <c r="F30" s="3">
        <f t="shared" si="21"/>
        <v>0.1003090254078739</v>
      </c>
      <c r="G30" s="2">
        <f t="shared" si="17"/>
        <v>5529567.0648549851</v>
      </c>
      <c r="H30" s="2">
        <f t="shared" si="18"/>
        <v>6878538.8259769687</v>
      </c>
      <c r="I30" s="2">
        <f t="shared" si="19"/>
        <v>6743224.7833160795</v>
      </c>
      <c r="J30" s="2">
        <f>+E30-B30</f>
        <v>416859.08924761135</v>
      </c>
      <c r="L30" s="2">
        <f t="shared" si="22"/>
        <v>-52740.948403997194</v>
      </c>
      <c r="M30" s="2">
        <f t="shared" si="23"/>
        <v>364118.140843614</v>
      </c>
      <c r="N30" s="2">
        <f t="shared" si="24"/>
        <v>6793942.4815638047</v>
      </c>
      <c r="O30" s="10">
        <f t="shared" si="20"/>
        <v>6.2711723737495118E-2</v>
      </c>
      <c r="P30" s="10">
        <f t="shared" si="25"/>
        <v>0.10030902540787368</v>
      </c>
      <c r="Q30" s="2">
        <f t="shared" si="26"/>
        <v>416859.08924761135</v>
      </c>
    </row>
    <row r="31" spans="1:18" x14ac:dyDescent="0.25">
      <c r="A31" s="1" t="s">
        <v>26</v>
      </c>
      <c r="B31" s="1">
        <v>129996447.02982481</v>
      </c>
      <c r="C31" s="2">
        <v>126596020.17929676</v>
      </c>
      <c r="D31" s="2">
        <v>141202138.67986321</v>
      </c>
      <c r="E31" s="2">
        <v>139732888.53450221</v>
      </c>
      <c r="F31" s="3">
        <f t="shared" si="21"/>
        <v>0.10059141621396717</v>
      </c>
      <c r="G31" s="2">
        <f t="shared" si="17"/>
        <v>124683057.05587895</v>
      </c>
      <c r="H31" s="2">
        <f t="shared" si="18"/>
        <v>139068465.88462251</v>
      </c>
      <c r="I31" s="2">
        <f t="shared" si="19"/>
        <v>137621417.23772231</v>
      </c>
      <c r="J31" s="2">
        <f>+E31-B31</f>
        <v>9736441.5046774</v>
      </c>
      <c r="L31" s="2">
        <f t="shared" si="22"/>
        <v>-1231853.09444388</v>
      </c>
      <c r="M31" s="2">
        <f t="shared" si="23"/>
        <v>8504588.4102335125</v>
      </c>
      <c r="N31" s="2">
        <f t="shared" si="24"/>
        <v>138501035.44005832</v>
      </c>
      <c r="O31" s="10">
        <f t="shared" si="20"/>
        <v>3.9444860505487123E-2</v>
      </c>
      <c r="P31" s="10">
        <f t="shared" si="25"/>
        <v>0.10059141621396617</v>
      </c>
      <c r="Q31" s="2">
        <f t="shared" si="26"/>
        <v>9736441.5046774</v>
      </c>
    </row>
    <row r="32" spans="1:18" x14ac:dyDescent="0.25">
      <c r="A32" s="1" t="s">
        <v>27</v>
      </c>
      <c r="B32" s="1">
        <v>152375135.32402602</v>
      </c>
      <c r="C32" s="2">
        <v>153905480.36557648</v>
      </c>
      <c r="D32" s="2">
        <v>165510185.05951798</v>
      </c>
      <c r="E32" s="2">
        <v>164339555.10925922</v>
      </c>
      <c r="F32" s="3">
        <f t="shared" si="21"/>
        <v>0.10087546224850641</v>
      </c>
      <c r="G32" s="2">
        <f t="shared" si="17"/>
        <v>151579850.31801042</v>
      </c>
      <c r="H32" s="2">
        <f t="shared" si="18"/>
        <v>163009199.00860974</v>
      </c>
      <c r="I32" s="2">
        <f t="shared" si="19"/>
        <v>161856258.1762462</v>
      </c>
      <c r="J32" s="2">
        <f>+E32-B32+K32</f>
        <v>6747382.4133918285</v>
      </c>
      <c r="K32" s="2">
        <f>(+C32-E32)*0.5</f>
        <v>-5217037.3718413711</v>
      </c>
      <c r="L32" s="2">
        <f t="shared" si="22"/>
        <v>-853677.79402155767</v>
      </c>
      <c r="M32" s="2">
        <f t="shared" si="23"/>
        <v>5893704.6193702817</v>
      </c>
      <c r="N32" s="2">
        <f t="shared" si="24"/>
        <v>158268839.9433963</v>
      </c>
      <c r="O32" s="10">
        <f t="shared" si="20"/>
        <v>0.41475321066303661</v>
      </c>
      <c r="P32" s="10">
        <f t="shared" si="25"/>
        <v>0.10087546224850452</v>
      </c>
      <c r="Q32" s="2">
        <f t="shared" si="26"/>
        <v>11964419.7852332</v>
      </c>
    </row>
    <row r="33" spans="1:17" x14ac:dyDescent="0.25">
      <c r="A33" s="1" t="s">
        <v>28</v>
      </c>
      <c r="B33" s="1">
        <v>68267018.60045816</v>
      </c>
      <c r="C33" s="2">
        <v>68666938.068216711</v>
      </c>
      <c r="D33" s="2">
        <v>74151826.877754152</v>
      </c>
      <c r="E33" s="2">
        <v>73598788.115434229</v>
      </c>
      <c r="F33" s="3">
        <f t="shared" si="21"/>
        <v>0.10082953028295971</v>
      </c>
      <c r="G33" s="2">
        <f t="shared" si="17"/>
        <v>67629327.880025387</v>
      </c>
      <c r="H33" s="2">
        <f t="shared" si="18"/>
        <v>73031335.805836529</v>
      </c>
      <c r="I33" s="2">
        <f t="shared" si="19"/>
        <v>72486653.884092152</v>
      </c>
      <c r="J33" s="2">
        <f>+E33-B33+K33</f>
        <v>2865844.4913673103</v>
      </c>
      <c r="K33" s="2">
        <f>(+C33-E33)*0.5</f>
        <v>-2465925.023608759</v>
      </c>
      <c r="L33" s="2">
        <f t="shared" si="22"/>
        <v>-362586.20802988519</v>
      </c>
      <c r="M33" s="2">
        <f t="shared" si="23"/>
        <v>2503258.2833374292</v>
      </c>
      <c r="N33" s="2">
        <f t="shared" si="24"/>
        <v>70770276.883795589</v>
      </c>
      <c r="O33" s="10">
        <f t="shared" si="20"/>
        <v>0.41855897901175865</v>
      </c>
      <c r="P33" s="10">
        <f t="shared" si="25"/>
        <v>0.10082953028296227</v>
      </c>
      <c r="Q33" s="2">
        <f t="shared" si="26"/>
        <v>5331769.5149760693</v>
      </c>
    </row>
    <row r="34" spans="1:17" x14ac:dyDescent="0.25">
      <c r="A34" s="1" t="s">
        <v>36</v>
      </c>
      <c r="B34" s="1">
        <v>4534468.9913880555</v>
      </c>
      <c r="C34" s="2">
        <v>5177899.8882249864</v>
      </c>
      <c r="D34" s="2">
        <v>4925351.8363251872</v>
      </c>
      <c r="E34" s="2">
        <v>4950300.6136430288</v>
      </c>
      <c r="F34" s="3">
        <f t="shared" si="21"/>
        <v>9.8788239030805136E-2</v>
      </c>
      <c r="G34" s="2">
        <f t="shared" si="17"/>
        <v>5099657.8429466663</v>
      </c>
      <c r="H34" s="2">
        <f t="shared" si="18"/>
        <v>4850925.9861333407</v>
      </c>
      <c r="I34" s="2">
        <f t="shared" si="19"/>
        <v>4875497.7682587914</v>
      </c>
      <c r="J34" s="2">
        <f t="shared" ref="J34:J41" si="27">+E34-B34</f>
        <v>415831.62225497328</v>
      </c>
      <c r="L34" s="2">
        <f t="shared" si="22"/>
        <v>-52610.953436768963</v>
      </c>
      <c r="M34" s="2">
        <f t="shared" si="23"/>
        <v>363220.66881820466</v>
      </c>
      <c r="N34" s="2">
        <f t="shared" si="24"/>
        <v>4897689.6602062602</v>
      </c>
      <c r="O34" s="10">
        <f t="shared" si="20"/>
        <v>0.18800838248884133</v>
      </c>
      <c r="P34" s="10">
        <f>1-(($G34-$I34)/($G34-$H34))</f>
        <v>9.8788239030804581E-2</v>
      </c>
      <c r="Q34" s="2">
        <f t="shared" si="26"/>
        <v>415831.62225497328</v>
      </c>
    </row>
    <row r="35" spans="1:17" x14ac:dyDescent="0.25">
      <c r="A35" s="1" t="s">
        <v>29</v>
      </c>
      <c r="B35" s="1">
        <v>23947793.390875593</v>
      </c>
      <c r="C35" s="2">
        <v>27897845.832038861</v>
      </c>
      <c r="D35" s="2">
        <v>26012123.208646607</v>
      </c>
      <c r="E35" s="2">
        <v>26199075.842591949</v>
      </c>
      <c r="F35" s="3">
        <f t="shared" si="21"/>
        <v>9.9141109952337714E-2</v>
      </c>
      <c r="G35" s="2">
        <f t="shared" si="17"/>
        <v>27476287.948750734</v>
      </c>
      <c r="H35" s="2">
        <f t="shared" si="18"/>
        <v>25619060.042920966</v>
      </c>
      <c r="I35" s="2">
        <f t="shared" si="19"/>
        <v>25803187.678939383</v>
      </c>
      <c r="J35" s="2">
        <f t="shared" si="27"/>
        <v>2251282.451716356</v>
      </c>
      <c r="L35" s="2">
        <f t="shared" si="22"/>
        <v>-284831.91248894425</v>
      </c>
      <c r="M35" s="2">
        <f t="shared" si="23"/>
        <v>1966450.5392274112</v>
      </c>
      <c r="N35" s="2">
        <f t="shared" si="24"/>
        <v>25914243.930103004</v>
      </c>
      <c r="O35" s="10">
        <f t="shared" si="20"/>
        <v>0.15893789138934811</v>
      </c>
      <c r="P35" s="10">
        <f t="shared" si="25"/>
        <v>9.9141109952337048E-2</v>
      </c>
      <c r="Q35" s="2">
        <f t="shared" si="26"/>
        <v>2251282.451716356</v>
      </c>
    </row>
    <row r="36" spans="1:17" x14ac:dyDescent="0.25">
      <c r="A36" s="1" t="s">
        <v>30</v>
      </c>
      <c r="B36" s="1">
        <v>369586.59221974324</v>
      </c>
      <c r="C36" s="2">
        <v>329708.24093999714</v>
      </c>
      <c r="D36" s="2">
        <v>401447.45936285413</v>
      </c>
      <c r="E36" s="2">
        <v>394273.53752056841</v>
      </c>
      <c r="F36" s="3">
        <f t="shared" si="21"/>
        <v>0.10000000000000031</v>
      </c>
      <c r="G36" s="2">
        <f t="shared" si="17"/>
        <v>324726.09611813078</v>
      </c>
      <c r="H36" s="2">
        <f t="shared" si="18"/>
        <v>395381.27983633138</v>
      </c>
      <c r="I36" s="2">
        <f t="shared" si="19"/>
        <v>388315.76146451128</v>
      </c>
      <c r="J36" s="2">
        <f t="shared" si="27"/>
        <v>24686.945300825173</v>
      </c>
      <c r="L36" s="2">
        <f t="shared" si="22"/>
        <v>-3123.3885549026254</v>
      </c>
      <c r="M36" s="2">
        <f t="shared" si="23"/>
        <v>21563.556745922542</v>
      </c>
      <c r="N36" s="2">
        <f t="shared" si="24"/>
        <v>391150.14896566578</v>
      </c>
      <c r="O36" s="10">
        <f t="shared" si="20"/>
        <v>5.9884224313122347E-2</v>
      </c>
      <c r="P36" s="10">
        <f t="shared" si="25"/>
        <v>0.10000000000000053</v>
      </c>
      <c r="Q36" s="2">
        <f t="shared" si="26"/>
        <v>24686.945300825173</v>
      </c>
    </row>
    <row r="37" spans="1:17" x14ac:dyDescent="0.25">
      <c r="A37" s="1" t="s">
        <v>31</v>
      </c>
      <c r="B37" s="1">
        <v>366303.92893355474</v>
      </c>
      <c r="C37" s="2">
        <v>359419.66788024222</v>
      </c>
      <c r="D37" s="2">
        <v>397879.90900718916</v>
      </c>
      <c r="E37" s="2">
        <v>394033.88489449449</v>
      </c>
      <c r="F37" s="3">
        <f t="shared" si="21"/>
        <v>9.9999999999999201E-2</v>
      </c>
      <c r="G37" s="2">
        <f t="shared" si="17"/>
        <v>353988.56057124311</v>
      </c>
      <c r="H37" s="2">
        <f t="shared" si="18"/>
        <v>391867.63790734252</v>
      </c>
      <c r="I37" s="2">
        <f t="shared" si="19"/>
        <v>388079.73017373262</v>
      </c>
      <c r="J37" s="2">
        <f t="shared" si="27"/>
        <v>27729.955960939755</v>
      </c>
      <c r="L37" s="2">
        <f t="shared" si="22"/>
        <v>-3508.3897995860202</v>
      </c>
      <c r="M37" s="2">
        <f t="shared" si="23"/>
        <v>24221.566161353723</v>
      </c>
      <c r="N37" s="2">
        <f t="shared" si="24"/>
        <v>390525.49509490846</v>
      </c>
      <c r="O37" s="10">
        <f t="shared" si="20"/>
        <v>3.543229948621196E-2</v>
      </c>
      <c r="P37" s="10">
        <f t="shared" si="25"/>
        <v>9.9999999999998979E-2</v>
      </c>
      <c r="Q37" s="2">
        <f t="shared" si="26"/>
        <v>27729.955960939755</v>
      </c>
    </row>
    <row r="38" spans="1:17" x14ac:dyDescent="0.25">
      <c r="A38" s="1" t="s">
        <v>32</v>
      </c>
      <c r="B38" s="1">
        <v>14320.734091052867</v>
      </c>
      <c r="C38" s="2">
        <v>9712.1431162802564</v>
      </c>
      <c r="D38" s="2">
        <v>15555.1754755931</v>
      </c>
      <c r="E38" s="2">
        <v>14327.064819695661</v>
      </c>
      <c r="F38" s="3">
        <f t="shared" si="21"/>
        <v>0.21018378478428756</v>
      </c>
      <c r="G38" s="2">
        <f t="shared" si="17"/>
        <v>9565.3851723536845</v>
      </c>
      <c r="H38" s="2">
        <f t="shared" si="18"/>
        <v>15320.124823756187</v>
      </c>
      <c r="I38" s="2">
        <f t="shared" si="19"/>
        <v>14110.571863376197</v>
      </c>
      <c r="J38" s="2">
        <f t="shared" si="27"/>
        <v>6.3307286427934741</v>
      </c>
      <c r="L38" s="2">
        <f t="shared" si="22"/>
        <v>-0.8009628225017551</v>
      </c>
      <c r="M38" s="2">
        <f t="shared" si="23"/>
        <v>5.5297658202925959</v>
      </c>
      <c r="N38" s="2">
        <f t="shared" si="24"/>
        <v>14326.26385687316</v>
      </c>
      <c r="O38" s="10">
        <f t="shared" si="20"/>
        <v>0.17270302864888254</v>
      </c>
      <c r="P38" s="10">
        <f t="shared" si="25"/>
        <v>0.21018378478428756</v>
      </c>
      <c r="Q38" s="2">
        <f t="shared" si="26"/>
        <v>6.3307286427934741</v>
      </c>
    </row>
    <row r="39" spans="1:17" x14ac:dyDescent="0.25">
      <c r="A39" s="1" t="s">
        <v>33</v>
      </c>
      <c r="B39" s="1">
        <v>55251.074486755344</v>
      </c>
      <c r="C39" s="2">
        <v>286506.19628082885</v>
      </c>
      <c r="D39" s="2">
        <v>60013.663460926429</v>
      </c>
      <c r="E39" s="2">
        <v>62626.513644622741</v>
      </c>
      <c r="F39" s="3">
        <f t="shared" si="21"/>
        <v>1.1536142720316223E-2</v>
      </c>
      <c r="G39" s="2">
        <f t="shared" si="17"/>
        <v>282176.86754411424</v>
      </c>
      <c r="H39" s="2">
        <f t="shared" si="18"/>
        <v>59106.810900005759</v>
      </c>
      <c r="I39" s="2">
        <f t="shared" si="19"/>
        <v>61680.178910081231</v>
      </c>
      <c r="J39" s="2">
        <f t="shared" si="27"/>
        <v>7375.4391578673967</v>
      </c>
      <c r="L39" s="2">
        <f t="shared" si="22"/>
        <v>-933.13943755907633</v>
      </c>
      <c r="M39" s="2">
        <f t="shared" si="23"/>
        <v>6442.2997203083214</v>
      </c>
      <c r="N39" s="2">
        <f t="shared" si="24"/>
        <v>61693.374207063665</v>
      </c>
      <c r="O39" s="10">
        <f t="shared" si="20"/>
        <v>1.1595295872384059E-2</v>
      </c>
      <c r="P39" s="10">
        <f t="shared" si="25"/>
        <v>1.1536142720316223E-2</v>
      </c>
      <c r="Q39" s="2">
        <f t="shared" si="26"/>
        <v>7375.4391578673967</v>
      </c>
    </row>
    <row r="40" spans="1:17" x14ac:dyDescent="0.25">
      <c r="A40" s="1" t="s">
        <v>34</v>
      </c>
      <c r="B40" s="1">
        <v>265393.57941610873</v>
      </c>
      <c r="C40" s="2">
        <v>400112.70189922373</v>
      </c>
      <c r="D40" s="2">
        <v>288270.24827520846</v>
      </c>
      <c r="E40" s="2">
        <v>400112.70189922373</v>
      </c>
      <c r="F40" s="3">
        <f t="shared" si="21"/>
        <v>1</v>
      </c>
      <c r="G40" s="2">
        <f t="shared" si="17"/>
        <v>394066.69158341561</v>
      </c>
      <c r="H40" s="2">
        <f t="shared" si="18"/>
        <v>283914.26335761027</v>
      </c>
      <c r="I40" s="2">
        <f t="shared" si="19"/>
        <v>394066.69158341561</v>
      </c>
      <c r="J40" s="2">
        <f t="shared" si="27"/>
        <v>134719.122483115</v>
      </c>
      <c r="L40" s="2">
        <f t="shared" si="22"/>
        <v>-17044.642832996498</v>
      </c>
      <c r="M40" s="2">
        <f t="shared" si="23"/>
        <v>117674.4796501185</v>
      </c>
      <c r="N40" s="2">
        <f t="shared" si="24"/>
        <v>383068.05906622723</v>
      </c>
      <c r="O40" s="10">
        <f t="shared" si="20"/>
        <v>0.90015079381961605</v>
      </c>
      <c r="P40" s="10">
        <f t="shared" si="25"/>
        <v>1</v>
      </c>
      <c r="Q40" s="2">
        <f t="shared" si="26"/>
        <v>134719.122483115</v>
      </c>
    </row>
    <row r="41" spans="1:17" x14ac:dyDescent="0.25">
      <c r="A41" s="1" t="s">
        <v>35</v>
      </c>
      <c r="B41" s="1">
        <v>8765.2771991506543</v>
      </c>
      <c r="C41" s="2">
        <v>11482.600768664763</v>
      </c>
      <c r="D41" s="2">
        <v>9520.8355829832653</v>
      </c>
      <c r="E41" s="2">
        <v>11482.600768664763</v>
      </c>
      <c r="F41" s="3">
        <f t="shared" si="21"/>
        <v>1</v>
      </c>
      <c r="G41" s="2">
        <f t="shared" si="17"/>
        <v>11309.089849440961</v>
      </c>
      <c r="H41" s="2">
        <f t="shared" si="18"/>
        <v>9376.9684428585115</v>
      </c>
      <c r="I41" s="2">
        <f t="shared" si="19"/>
        <v>11309.089849440961</v>
      </c>
      <c r="J41" s="2">
        <f t="shared" si="27"/>
        <v>2717.3235695141084</v>
      </c>
      <c r="L41" s="2">
        <f t="shared" si="22"/>
        <v>-343.79536364524716</v>
      </c>
      <c r="M41" s="2">
        <f t="shared" si="23"/>
        <v>2373.5282058688608</v>
      </c>
      <c r="N41" s="2">
        <f t="shared" si="24"/>
        <v>11138.805405019515</v>
      </c>
      <c r="O41" s="10">
        <f t="shared" si="20"/>
        <v>0.91186659190187924</v>
      </c>
      <c r="P41" s="10">
        <f t="shared" si="25"/>
        <v>1</v>
      </c>
      <c r="Q41" s="2">
        <f t="shared" si="26"/>
        <v>2717.3235695141084</v>
      </c>
    </row>
    <row r="43" spans="1:17" x14ac:dyDescent="0.25">
      <c r="A43" s="11" t="s">
        <v>3</v>
      </c>
      <c r="B43" s="12">
        <f>SUM(B27:B41)</f>
        <v>1218523867.4446194</v>
      </c>
      <c r="C43" s="12">
        <f>SUM(C27:C41)</f>
        <v>1323559441.6803241</v>
      </c>
      <c r="D43" s="12">
        <f t="shared" ref="D43:N43" si="28">SUM(D27:D41)</f>
        <v>1323559441.6803238</v>
      </c>
      <c r="E43" s="12">
        <f t="shared" si="28"/>
        <v>1323559441.6803241</v>
      </c>
      <c r="F43" s="12"/>
      <c r="G43" s="12">
        <f t="shared" si="28"/>
        <v>1303559441.6803241</v>
      </c>
      <c r="H43" s="12">
        <f t="shared" si="28"/>
        <v>1303559441.6803241</v>
      </c>
      <c r="I43" s="12">
        <f t="shared" ref="I43" si="29">SUM(I27:I41)</f>
        <v>1303559441.6803241</v>
      </c>
      <c r="J43" s="12">
        <f t="shared" si="28"/>
        <v>97352611.840254694</v>
      </c>
      <c r="K43" s="12">
        <f t="shared" si="28"/>
        <v>-7682962.3954501301</v>
      </c>
      <c r="L43" s="12">
        <f t="shared" si="28"/>
        <v>-12317037.60454987</v>
      </c>
      <c r="M43" s="12">
        <f t="shared" si="28"/>
        <v>85035574.235704824</v>
      </c>
      <c r="N43" s="12">
        <f t="shared" si="28"/>
        <v>1303559441.6803238</v>
      </c>
      <c r="O43" s="12"/>
      <c r="P43" s="12"/>
      <c r="Q43" s="12">
        <f t="shared" ref="Q43" si="30">SUM(Q27:Q41)</f>
        <v>105035574.23570484</v>
      </c>
    </row>
    <row r="44" spans="1:17" x14ac:dyDescent="0.25">
      <c r="G44" s="2">
        <f>+C43-20000000</f>
        <v>1303559441.6803241</v>
      </c>
      <c r="H44" s="2">
        <f>+D43-20000000</f>
        <v>1303559441.6803238</v>
      </c>
      <c r="I44" s="2">
        <f>+E43-20000000</f>
        <v>1303559441.6803241</v>
      </c>
      <c r="N44" s="2">
        <f>+N43-G43</f>
        <v>0</v>
      </c>
      <c r="Q44" s="12"/>
    </row>
    <row r="45" spans="1:17" x14ac:dyDescent="0.25">
      <c r="B45" s="4"/>
      <c r="C45" s="4"/>
      <c r="D45" s="4"/>
      <c r="E45" s="4"/>
    </row>
  </sheetData>
  <pageMargins left="0.7" right="0.7" top="0.75" bottom="0.75" header="0.3" footer="0.3"/>
  <pageSetup orientation="portrait" r:id="rId1"/>
  <headerFooter>
    <oddFooter>&amp;L_x000D_&amp;1#&amp;"Calibri"&amp;14&amp;K000000 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C5D2C-B39B-4E14-923C-32BA2A0E339B}">
  <dimension ref="A1:F4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20.7109375" defaultRowHeight="15" x14ac:dyDescent="0.25"/>
  <cols>
    <col min="1" max="1" width="20.7109375" style="1"/>
    <col min="2" max="2" width="20.7109375" style="2"/>
    <col min="3" max="6" width="20.7109375" style="2" customWidth="1"/>
    <col min="7" max="16384" width="20.7109375" style="2"/>
  </cols>
  <sheetData>
    <row r="1" spans="1:6" x14ac:dyDescent="0.25">
      <c r="A1" s="6" t="s">
        <v>15</v>
      </c>
      <c r="B1" s="7" t="s">
        <v>37</v>
      </c>
      <c r="C1" s="7" t="s">
        <v>38</v>
      </c>
      <c r="D1" s="7"/>
      <c r="E1" s="7" t="s">
        <v>37</v>
      </c>
      <c r="F1" s="7" t="s">
        <v>38</v>
      </c>
    </row>
    <row r="2" spans="1:6" x14ac:dyDescent="0.25">
      <c r="A2" s="6" t="s">
        <v>9</v>
      </c>
      <c r="B2" s="7" t="s">
        <v>20</v>
      </c>
      <c r="C2" s="7" t="s">
        <v>20</v>
      </c>
      <c r="D2" s="7" t="s">
        <v>8</v>
      </c>
      <c r="E2" s="7" t="s">
        <v>21</v>
      </c>
      <c r="F2" s="7" t="s">
        <v>21</v>
      </c>
    </row>
    <row r="4" spans="1:6" x14ac:dyDescent="0.25">
      <c r="A4" s="1" t="s">
        <v>22</v>
      </c>
      <c r="B4" s="2">
        <v>104186935.16527534</v>
      </c>
      <c r="C4" s="2">
        <v>104894969.33204675</v>
      </c>
      <c r="D4" s="2">
        <v>741466479.21708632</v>
      </c>
      <c r="E4" s="10">
        <f t="shared" ref="E4:E19" si="0">+B4/D4</f>
        <v>0.14051469363158023</v>
      </c>
      <c r="F4" s="10">
        <f t="shared" ref="F4:F19" si="1">+C4/D4</f>
        <v>0.14146960418602503</v>
      </c>
    </row>
    <row r="5" spans="1:6" x14ac:dyDescent="0.25">
      <c r="A5" s="1" t="s">
        <v>23</v>
      </c>
      <c r="B5" s="2">
        <v>26744962.482046664</v>
      </c>
      <c r="C5" s="2">
        <v>26758075.242023468</v>
      </c>
      <c r="D5" s="2">
        <v>272241061.57512134</v>
      </c>
      <c r="E5" s="10">
        <f t="shared" si="0"/>
        <v>9.8240002177874056E-2</v>
      </c>
      <c r="F5" s="10">
        <f t="shared" si="1"/>
        <v>9.8288168166872691E-2</v>
      </c>
    </row>
    <row r="6" spans="1:6" x14ac:dyDescent="0.25">
      <c r="A6" s="2" t="s">
        <v>17</v>
      </c>
      <c r="B6" s="2">
        <v>1519895.6859523244</v>
      </c>
      <c r="C6" s="2">
        <v>1521927.5434782654</v>
      </c>
      <c r="D6" s="2">
        <v>13171291.150512312</v>
      </c>
      <c r="E6" s="10">
        <f t="shared" si="0"/>
        <v>0.11539458573833185</v>
      </c>
      <c r="F6" s="10">
        <f t="shared" si="1"/>
        <v>0.11554884984977865</v>
      </c>
    </row>
    <row r="7" spans="1:6" x14ac:dyDescent="0.25">
      <c r="A7" s="1" t="s">
        <v>24</v>
      </c>
      <c r="B7" s="2">
        <v>17648181.47326234</v>
      </c>
      <c r="C7" s="2">
        <v>17624314.3057307</v>
      </c>
      <c r="D7" s="2">
        <v>179971469.04673809</v>
      </c>
      <c r="E7" s="10">
        <f t="shared" si="0"/>
        <v>9.8060995816393298E-2</v>
      </c>
      <c r="F7" s="10">
        <f t="shared" si="1"/>
        <v>9.7928379420816503E-2</v>
      </c>
    </row>
    <row r="8" spans="1:6" x14ac:dyDescent="0.25">
      <c r="A8" s="1" t="s">
        <v>25</v>
      </c>
      <c r="B8" s="2">
        <v>995692.14903238602</v>
      </c>
      <c r="C8" s="2">
        <v>994949.00519784726</v>
      </c>
      <c r="D8" s="2">
        <v>10183697.494955979</v>
      </c>
      <c r="E8" s="10">
        <f t="shared" si="0"/>
        <v>9.7773146691126259E-2</v>
      </c>
      <c r="F8" s="10">
        <f t="shared" si="1"/>
        <v>9.770017281941544E-2</v>
      </c>
    </row>
    <row r="9" spans="1:6" x14ac:dyDescent="0.25">
      <c r="A9" s="1" t="s">
        <v>26</v>
      </c>
      <c r="B9" s="2">
        <v>18780067.693631798</v>
      </c>
      <c r="C9" s="2">
        <v>18671379.867705315</v>
      </c>
      <c r="D9" s="2">
        <v>163839994.74454051</v>
      </c>
      <c r="E9" s="10">
        <f t="shared" si="0"/>
        <v>0.11462444028342224</v>
      </c>
      <c r="F9" s="10">
        <f t="shared" si="1"/>
        <v>0.11396106241835365</v>
      </c>
    </row>
    <row r="10" spans="1:6" x14ac:dyDescent="0.25">
      <c r="A10" s="1" t="s">
        <v>27</v>
      </c>
      <c r="B10" s="2">
        <v>35383291.870627105</v>
      </c>
      <c r="C10" s="2">
        <v>35028594.209715724</v>
      </c>
      <c r="D10" s="2">
        <v>308400771.27230686</v>
      </c>
      <c r="E10" s="10">
        <f t="shared" si="0"/>
        <v>0.11473152847398337</v>
      </c>
      <c r="F10" s="10">
        <f t="shared" si="1"/>
        <v>0.11358140923320431</v>
      </c>
    </row>
    <row r="11" spans="1:6" x14ac:dyDescent="0.25">
      <c r="A11" s="1" t="s">
        <v>28</v>
      </c>
      <c r="B11" s="2">
        <v>14267780.316689461</v>
      </c>
      <c r="C11" s="2">
        <v>14081198.065080076</v>
      </c>
      <c r="D11" s="2">
        <v>122988078.06922567</v>
      </c>
      <c r="E11" s="10">
        <f t="shared" si="0"/>
        <v>0.11600945832049371</v>
      </c>
      <c r="F11" s="10">
        <f t="shared" si="1"/>
        <v>0.11449238240111587</v>
      </c>
    </row>
    <row r="12" spans="1:6" x14ac:dyDescent="0.25">
      <c r="A12" s="1" t="s">
        <v>16</v>
      </c>
      <c r="B12" s="2">
        <v>2715057.3262076229</v>
      </c>
      <c r="C12" s="2">
        <v>2680102.0966239758</v>
      </c>
      <c r="D12" s="2">
        <v>23206905.794232756</v>
      </c>
      <c r="E12" s="10">
        <f t="shared" si="0"/>
        <v>0.11699350832381769</v>
      </c>
      <c r="F12" s="10">
        <f t="shared" si="1"/>
        <v>0.11548726574699239</v>
      </c>
    </row>
    <row r="13" spans="1:6" x14ac:dyDescent="0.25">
      <c r="A13" s="1" t="s">
        <v>29</v>
      </c>
      <c r="B13" s="2">
        <v>3808993.7331722863</v>
      </c>
      <c r="C13" s="2">
        <v>3796724.980537001</v>
      </c>
      <c r="D13" s="2">
        <v>31822538.280074712</v>
      </c>
      <c r="E13" s="10">
        <f t="shared" si="0"/>
        <v>0.11969484331038548</v>
      </c>
      <c r="F13" s="10">
        <f t="shared" si="1"/>
        <v>0.11930930672850422</v>
      </c>
    </row>
    <row r="14" spans="1:6" x14ac:dyDescent="0.25">
      <c r="A14" s="1" t="s">
        <v>30</v>
      </c>
      <c r="B14" s="2">
        <v>44728.90476245631</v>
      </c>
      <c r="C14" s="2">
        <v>44196.7800531424</v>
      </c>
      <c r="D14" s="2">
        <v>382364.63295999862</v>
      </c>
      <c r="E14" s="10">
        <f t="shared" si="0"/>
        <v>0.11697971231333955</v>
      </c>
      <c r="F14" s="10">
        <f t="shared" si="1"/>
        <v>0.11558804409027569</v>
      </c>
    </row>
    <row r="15" spans="1:6" x14ac:dyDescent="0.25">
      <c r="A15" s="1" t="s">
        <v>31</v>
      </c>
      <c r="B15" s="2">
        <v>27692.432289570977</v>
      </c>
      <c r="C15" s="2">
        <v>27462.598938684707</v>
      </c>
      <c r="D15" s="2">
        <v>252098.39263140794</v>
      </c>
      <c r="E15" s="10">
        <f t="shared" si="0"/>
        <v>0.10984771461855361</v>
      </c>
      <c r="F15" s="10">
        <f t="shared" si="1"/>
        <v>0.10893603347498397</v>
      </c>
    </row>
    <row r="16" spans="1:6" x14ac:dyDescent="0.25">
      <c r="A16" s="1" t="s">
        <v>32</v>
      </c>
      <c r="B16" s="2">
        <v>483.94951675545599</v>
      </c>
      <c r="C16" s="2">
        <v>483.93937296542572</v>
      </c>
      <c r="D16" s="2">
        <v>94429.364575064479</v>
      </c>
      <c r="E16" s="10">
        <f t="shared" si="0"/>
        <v>5.1249896569064736E-3</v>
      </c>
      <c r="F16" s="10">
        <f t="shared" si="1"/>
        <v>5.124882234918875E-3</v>
      </c>
    </row>
    <row r="17" spans="1:6" x14ac:dyDescent="0.25">
      <c r="A17" s="1" t="s">
        <v>33</v>
      </c>
      <c r="B17" s="2">
        <v>5093.2503374022708</v>
      </c>
      <c r="C17" s="2">
        <v>5093.2503374022708</v>
      </c>
      <c r="D17" s="2">
        <v>45248.886072058092</v>
      </c>
      <c r="E17" s="10">
        <f t="shared" si="0"/>
        <v>0.11256078943670249</v>
      </c>
      <c r="F17" s="10">
        <f t="shared" si="1"/>
        <v>0.11256078943670249</v>
      </c>
    </row>
    <row r="18" spans="1:6" x14ac:dyDescent="0.25">
      <c r="A18" s="1" t="s">
        <v>34</v>
      </c>
      <c r="B18" s="2">
        <v>181346.89800379661</v>
      </c>
      <c r="C18" s="2">
        <v>180732.11396566898</v>
      </c>
      <c r="D18" s="2">
        <v>189766.47946549716</v>
      </c>
      <c r="E18" s="10">
        <f t="shared" si="0"/>
        <v>0.95563188248306319</v>
      </c>
      <c r="F18" s="10">
        <f t="shared" si="1"/>
        <v>0.95239219526401764</v>
      </c>
    </row>
    <row r="19" spans="1:6" x14ac:dyDescent="0.25">
      <c r="A19" s="1" t="s">
        <v>35</v>
      </c>
      <c r="B19" s="2">
        <v>5716.2956711267689</v>
      </c>
      <c r="C19" s="2">
        <v>5716.2956711267616</v>
      </c>
      <c r="D19" s="2">
        <v>53798.376400000001</v>
      </c>
      <c r="E19" s="10">
        <f t="shared" si="0"/>
        <v>0.1062540554871981</v>
      </c>
      <c r="F19" s="10">
        <f t="shared" si="1"/>
        <v>0.10625405548719796</v>
      </c>
    </row>
    <row r="21" spans="1:6" x14ac:dyDescent="0.25">
      <c r="A21" s="11" t="s">
        <v>3</v>
      </c>
      <c r="B21" s="12">
        <f>SUM(B4:B19)</f>
        <v>226315919.6264784</v>
      </c>
      <c r="C21" s="12">
        <f t="shared" ref="C21:D21" si="2">SUM(C4:C19)</f>
        <v>226315919.62647808</v>
      </c>
      <c r="D21" s="12">
        <f t="shared" si="2"/>
        <v>1868309992.7768986</v>
      </c>
      <c r="E21" s="13">
        <f>+B21/D21</f>
        <v>0.12113403048821758</v>
      </c>
      <c r="F21" s="13">
        <f>+C21/D21</f>
        <v>0.1211340304882174</v>
      </c>
    </row>
    <row r="24" spans="1:6" x14ac:dyDescent="0.25">
      <c r="A24" s="6" t="s">
        <v>14</v>
      </c>
      <c r="B24" s="7" t="s">
        <v>37</v>
      </c>
      <c r="C24" s="7" t="s">
        <v>38</v>
      </c>
      <c r="D24" s="7"/>
      <c r="E24" s="7" t="s">
        <v>37</v>
      </c>
      <c r="F24" s="7" t="s">
        <v>38</v>
      </c>
    </row>
    <row r="25" spans="1:6" x14ac:dyDescent="0.25">
      <c r="A25" s="6" t="s">
        <v>9</v>
      </c>
      <c r="B25" s="7" t="s">
        <v>20</v>
      </c>
      <c r="C25" s="7" t="s">
        <v>20</v>
      </c>
      <c r="D25" s="7" t="s">
        <v>8</v>
      </c>
      <c r="E25" s="7" t="s">
        <v>21</v>
      </c>
      <c r="F25" s="7" t="s">
        <v>21</v>
      </c>
    </row>
    <row r="27" spans="1:6" x14ac:dyDescent="0.25">
      <c r="A27" s="1" t="s">
        <v>22</v>
      </c>
      <c r="B27" s="2">
        <v>52779084.370406449</v>
      </c>
      <c r="C27" s="2">
        <v>53114591.434134543</v>
      </c>
      <c r="D27" s="2">
        <v>510989020.62198812</v>
      </c>
      <c r="E27" s="10">
        <f t="shared" ref="E27:E41" si="3">+B27/D27</f>
        <v>0.10328809864869988</v>
      </c>
      <c r="F27" s="10">
        <f t="shared" ref="F27:F41" si="4">+C27/D27</f>
        <v>0.10394468235243526</v>
      </c>
    </row>
    <row r="28" spans="1:6" x14ac:dyDescent="0.25">
      <c r="A28" s="1" t="s">
        <v>23</v>
      </c>
      <c r="B28" s="2">
        <v>11651506.324409634</v>
      </c>
      <c r="C28" s="2">
        <v>11677511.479476184</v>
      </c>
      <c r="D28" s="2">
        <v>172472835.8330875</v>
      </c>
      <c r="E28" s="10">
        <f t="shared" si="3"/>
        <v>6.7555602411996679E-2</v>
      </c>
      <c r="F28" s="10">
        <f t="shared" si="4"/>
        <v>6.7706380677692482E-2</v>
      </c>
    </row>
    <row r="29" spans="1:6" x14ac:dyDescent="0.25">
      <c r="A29" s="1" t="s">
        <v>24</v>
      </c>
      <c r="B29" s="2">
        <v>10291991.824194431</v>
      </c>
      <c r="C29" s="2">
        <v>10289724.837158471</v>
      </c>
      <c r="D29" s="2">
        <v>148430854.757292</v>
      </c>
      <c r="E29" s="10">
        <f t="shared" si="3"/>
        <v>6.9338628016549997E-2</v>
      </c>
      <c r="F29" s="10">
        <f t="shared" si="4"/>
        <v>6.9323354999092368E-2</v>
      </c>
    </row>
    <row r="30" spans="1:6" x14ac:dyDescent="0.25">
      <c r="A30" s="1" t="s">
        <v>25</v>
      </c>
      <c r="B30" s="2">
        <v>416854.86626745295</v>
      </c>
      <c r="C30" s="2">
        <v>415071.97606513463</v>
      </c>
      <c r="D30" s="2">
        <v>6429828.5637003491</v>
      </c>
      <c r="E30" s="10">
        <f t="shared" si="3"/>
        <v>6.4831412243369996E-2</v>
      </c>
      <c r="F30" s="10">
        <f t="shared" si="4"/>
        <v>6.4554127991596377E-2</v>
      </c>
    </row>
    <row r="31" spans="1:6" x14ac:dyDescent="0.25">
      <c r="A31" s="1" t="s">
        <v>26</v>
      </c>
      <c r="B31" s="2">
        <v>9736327.2185993642</v>
      </c>
      <c r="C31" s="2">
        <v>9688048.2598381788</v>
      </c>
      <c r="D31" s="2">
        <v>129996561.31590284</v>
      </c>
      <c r="E31" s="10">
        <f t="shared" si="3"/>
        <v>7.4896805885036069E-2</v>
      </c>
      <c r="F31" s="10">
        <f t="shared" si="4"/>
        <v>7.4525419455483799E-2</v>
      </c>
    </row>
    <row r="32" spans="1:6" x14ac:dyDescent="0.25">
      <c r="A32" s="1" t="s">
        <v>27</v>
      </c>
      <c r="B32" s="2">
        <v>11963995.350372851</v>
      </c>
      <c r="C32" s="2">
        <v>11784462.294799834</v>
      </c>
      <c r="D32" s="2">
        <v>152375559.75888637</v>
      </c>
      <c r="E32" s="10">
        <f t="shared" si="3"/>
        <v>7.8516498113636132E-2</v>
      </c>
      <c r="F32" s="10">
        <f t="shared" si="4"/>
        <v>7.7338270740052714E-2</v>
      </c>
    </row>
    <row r="33" spans="1:6" x14ac:dyDescent="0.25">
      <c r="A33" s="1" t="s">
        <v>28</v>
      </c>
      <c r="B33" s="2">
        <v>5331532.3959224969</v>
      </c>
      <c r="C33" s="2">
        <v>5231221.3710065931</v>
      </c>
      <c r="D33" s="2">
        <v>68267255.719511732</v>
      </c>
      <c r="E33" s="10">
        <f t="shared" si="3"/>
        <v>7.8097945196860613E-2</v>
      </c>
      <c r="F33" s="10">
        <f t="shared" si="4"/>
        <v>7.6628558096725086E-2</v>
      </c>
    </row>
    <row r="34" spans="1:6" x14ac:dyDescent="0.25">
      <c r="A34" s="1" t="s">
        <v>36</v>
      </c>
      <c r="B34" s="2">
        <v>415816.87296189833</v>
      </c>
      <c r="C34" s="2">
        <v>409577.55048025399</v>
      </c>
      <c r="D34" s="2">
        <v>4534483.7406811304</v>
      </c>
      <c r="E34" s="10">
        <f t="shared" si="3"/>
        <v>9.1701039576213797E-2</v>
      </c>
      <c r="F34" s="10">
        <f t="shared" si="4"/>
        <v>9.0325067615907001E-2</v>
      </c>
    </row>
    <row r="35" spans="1:6" x14ac:dyDescent="0.25">
      <c r="A35" s="1" t="s">
        <v>29</v>
      </c>
      <c r="B35" s="2">
        <v>2251233.4000901878</v>
      </c>
      <c r="C35" s="2">
        <v>2230487.9805896915</v>
      </c>
      <c r="D35" s="2">
        <v>23947842.442501761</v>
      </c>
      <c r="E35" s="10">
        <f t="shared" si="3"/>
        <v>9.4005687798195153E-2</v>
      </c>
      <c r="F35" s="10">
        <f t="shared" si="4"/>
        <v>9.3139412702628377E-2</v>
      </c>
    </row>
    <row r="36" spans="1:6" x14ac:dyDescent="0.25">
      <c r="A36" s="1" t="s">
        <v>30</v>
      </c>
      <c r="B36" s="2">
        <v>24684.310656974034</v>
      </c>
      <c r="C36" s="2">
        <v>23569.141588022816</v>
      </c>
      <c r="D36" s="2">
        <v>369589.22686359438</v>
      </c>
      <c r="E36" s="10">
        <f t="shared" si="3"/>
        <v>6.6788501565507918E-2</v>
      </c>
      <c r="F36" s="10">
        <f t="shared" si="4"/>
        <v>6.3771181286952291E-2</v>
      </c>
    </row>
    <row r="37" spans="1:6" x14ac:dyDescent="0.25">
      <c r="A37" s="1" t="s">
        <v>31</v>
      </c>
      <c r="B37" s="2">
        <v>27729.093258961628</v>
      </c>
      <c r="C37" s="2">
        <v>27363.948125290393</v>
      </c>
      <c r="D37" s="2">
        <v>366304.79163553286</v>
      </c>
      <c r="E37" s="10">
        <f t="shared" si="3"/>
        <v>7.5699510058693451E-2</v>
      </c>
      <c r="F37" s="10">
        <f t="shared" si="4"/>
        <v>7.4702675886689093E-2</v>
      </c>
    </row>
    <row r="38" spans="1:6" x14ac:dyDescent="0.25">
      <c r="A38" s="1" t="s">
        <v>32</v>
      </c>
      <c r="B38" s="2">
        <v>6.3233536109109991</v>
      </c>
      <c r="C38" s="2">
        <v>6.3224876628737547</v>
      </c>
      <c r="D38" s="2">
        <v>14320.74146608475</v>
      </c>
      <c r="E38" s="10">
        <f t="shared" si="3"/>
        <v>4.4155210998580969E-4</v>
      </c>
      <c r="F38" s="10">
        <f t="shared" si="4"/>
        <v>4.414916418850975E-4</v>
      </c>
    </row>
    <row r="39" spans="1:6" x14ac:dyDescent="0.25">
      <c r="A39" s="1" t="s">
        <v>33</v>
      </c>
      <c r="B39" s="2">
        <v>7375.4391578673967</v>
      </c>
      <c r="C39" s="2">
        <v>7375.4391578673967</v>
      </c>
      <c r="D39" s="2">
        <v>55251.074486755344</v>
      </c>
      <c r="E39" s="10">
        <f t="shared" si="3"/>
        <v>0.13348951538735088</v>
      </c>
      <c r="F39" s="10">
        <f t="shared" si="4"/>
        <v>0.13348951538735088</v>
      </c>
    </row>
    <row r="40" spans="1:6" x14ac:dyDescent="0.25">
      <c r="A40" s="1" t="s">
        <v>34</v>
      </c>
      <c r="B40" s="2">
        <v>134719.122483115</v>
      </c>
      <c r="C40" s="2">
        <v>133844.87722771184</v>
      </c>
      <c r="D40" s="2">
        <v>265393.57941610873</v>
      </c>
      <c r="E40" s="10">
        <f t="shared" si="3"/>
        <v>0.50762012698087866</v>
      </c>
      <c r="F40" s="10">
        <f t="shared" si="4"/>
        <v>0.50432598076480739</v>
      </c>
    </row>
    <row r="41" spans="1:6" x14ac:dyDescent="0.25">
      <c r="A41" s="1" t="s">
        <v>35</v>
      </c>
      <c r="B41" s="2">
        <v>2717.3235695141084</v>
      </c>
      <c r="C41" s="2">
        <v>2717.3235695141084</v>
      </c>
      <c r="D41" s="2">
        <v>8765.2771991506543</v>
      </c>
      <c r="E41" s="10">
        <f t="shared" si="3"/>
        <v>0.3100099982893198</v>
      </c>
      <c r="F41" s="10">
        <f t="shared" si="4"/>
        <v>0.3100099982893198</v>
      </c>
    </row>
    <row r="43" spans="1:6" x14ac:dyDescent="0.25">
      <c r="A43" s="11" t="s">
        <v>3</v>
      </c>
      <c r="B43" s="12">
        <f>SUM(B27:B41)</f>
        <v>105035574.23570482</v>
      </c>
      <c r="C43" s="12">
        <f t="shared" ref="C43" si="5">SUM(C27:C41)</f>
        <v>105035574.23570494</v>
      </c>
      <c r="D43" s="12">
        <f t="shared" ref="D43" si="6">SUM(D27:D41)</f>
        <v>1218523867.4446192</v>
      </c>
      <c r="E43" s="13">
        <f>+B43/D43</f>
        <v>8.6199029039928585E-2</v>
      </c>
      <c r="F43" s="13">
        <f>+C43/D43</f>
        <v>8.6199029039928682E-2</v>
      </c>
    </row>
  </sheetData>
  <pageMargins left="0.7" right="0.7" top="0.75" bottom="0.75" header="0.3" footer="0.3"/>
  <pageSetup orientation="portrait" r:id="rId1"/>
  <headerFooter>
    <oddFooter>&amp;L_x000D_&amp;1#&amp;"Calibri"&amp;14&amp;K000000 Business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60A5-308E-4A91-9A73-6DB82D8A9E8E}">
  <dimension ref="A1:F4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20.7109375" defaultRowHeight="15" x14ac:dyDescent="0.25"/>
  <cols>
    <col min="1" max="1" width="20.7109375" style="1"/>
    <col min="2" max="3" width="20.7109375" style="2"/>
    <col min="4" max="6" width="20.7109375" style="2" customWidth="1"/>
    <col min="7" max="16384" width="20.7109375" style="2"/>
  </cols>
  <sheetData>
    <row r="1" spans="1:6" x14ac:dyDescent="0.25">
      <c r="A1" s="6" t="s">
        <v>15</v>
      </c>
      <c r="B1" s="7" t="s">
        <v>39</v>
      </c>
      <c r="C1" s="7" t="s">
        <v>40</v>
      </c>
      <c r="D1" s="7"/>
      <c r="E1" s="7" t="s">
        <v>39</v>
      </c>
      <c r="F1" s="7" t="s">
        <v>40</v>
      </c>
    </row>
    <row r="2" spans="1:6" x14ac:dyDescent="0.25">
      <c r="A2" s="6" t="s">
        <v>9</v>
      </c>
      <c r="B2" s="7" t="s">
        <v>20</v>
      </c>
      <c r="C2" s="7" t="s">
        <v>20</v>
      </c>
      <c r="D2" s="7" t="s">
        <v>8</v>
      </c>
      <c r="E2" s="7" t="s">
        <v>21</v>
      </c>
      <c r="F2" s="7" t="s">
        <v>21</v>
      </c>
    </row>
    <row r="4" spans="1:6" x14ac:dyDescent="0.25">
      <c r="A4" s="1" t="s">
        <v>22</v>
      </c>
      <c r="B4" s="2">
        <v>104186935.16527534</v>
      </c>
      <c r="C4" s="2">
        <v>133044505.61192203</v>
      </c>
      <c r="D4" s="2">
        <v>741466479.21708632</v>
      </c>
      <c r="E4" s="10">
        <f t="shared" ref="E4:E19" si="0">+B4/D4</f>
        <v>0.14051469363158023</v>
      </c>
      <c r="F4" s="10">
        <f t="shared" ref="F4:F19" si="1">+C4/D4</f>
        <v>0.17943428238644529</v>
      </c>
    </row>
    <row r="5" spans="1:6" x14ac:dyDescent="0.25">
      <c r="A5" s="1" t="s">
        <v>23</v>
      </c>
      <c r="B5" s="2">
        <v>26744962.482046664</v>
      </c>
      <c r="C5" s="2">
        <v>14321680.335287869</v>
      </c>
      <c r="D5" s="2">
        <v>272241061.57512134</v>
      </c>
      <c r="E5" s="10">
        <f t="shared" si="0"/>
        <v>9.8240002177874056E-2</v>
      </c>
      <c r="F5" s="10">
        <f t="shared" si="1"/>
        <v>5.2606613610842054E-2</v>
      </c>
    </row>
    <row r="6" spans="1:6" x14ac:dyDescent="0.25">
      <c r="A6" s="2" t="s">
        <v>17</v>
      </c>
      <c r="B6" s="2">
        <v>1519895.6859523244</v>
      </c>
      <c r="C6" s="2">
        <v>1370760.2795098685</v>
      </c>
      <c r="D6" s="2">
        <v>13171291.150512312</v>
      </c>
      <c r="E6" s="10">
        <f t="shared" si="0"/>
        <v>0.11539458573833185</v>
      </c>
      <c r="F6" s="10">
        <f t="shared" si="1"/>
        <v>0.10407182286427183</v>
      </c>
    </row>
    <row r="7" spans="1:6" x14ac:dyDescent="0.25">
      <c r="A7" s="1" t="s">
        <v>24</v>
      </c>
      <c r="B7" s="2">
        <v>17648181.47326234</v>
      </c>
      <c r="C7" s="2">
        <v>9371038.6804088354</v>
      </c>
      <c r="D7" s="2">
        <v>179971469.04673809</v>
      </c>
      <c r="E7" s="10">
        <f t="shared" si="0"/>
        <v>9.8060995816393298E-2</v>
      </c>
      <c r="F7" s="10">
        <f t="shared" si="1"/>
        <v>5.2069579306346626E-2</v>
      </c>
    </row>
    <row r="8" spans="1:6" x14ac:dyDescent="0.25">
      <c r="A8" s="1" t="s">
        <v>25</v>
      </c>
      <c r="B8" s="2">
        <v>995692.14903238602</v>
      </c>
      <c r="C8" s="2">
        <v>521466.48985751718</v>
      </c>
      <c r="D8" s="2">
        <v>10183697.494955979</v>
      </c>
      <c r="E8" s="10">
        <f t="shared" si="0"/>
        <v>9.7773146691126259E-2</v>
      </c>
      <c r="F8" s="10">
        <f t="shared" si="1"/>
        <v>5.1206007456113201E-2</v>
      </c>
    </row>
    <row r="9" spans="1:6" x14ac:dyDescent="0.25">
      <c r="A9" s="1" t="s">
        <v>26</v>
      </c>
      <c r="B9" s="2">
        <v>18780067.693631798</v>
      </c>
      <c r="C9" s="2">
        <v>16672574.300747931</v>
      </c>
      <c r="D9" s="2">
        <v>163839994.74454051</v>
      </c>
      <c r="E9" s="10">
        <f t="shared" si="0"/>
        <v>0.11462444028342224</v>
      </c>
      <c r="F9" s="10">
        <f t="shared" si="1"/>
        <v>0.10176132101776386</v>
      </c>
    </row>
    <row r="10" spans="1:6" x14ac:dyDescent="0.25">
      <c r="A10" s="1" t="s">
        <v>27</v>
      </c>
      <c r="B10" s="2">
        <v>35383291.870627105</v>
      </c>
      <c r="C10" s="2">
        <v>31482350.937306345</v>
      </c>
      <c r="D10" s="2">
        <v>308400771.27230686</v>
      </c>
      <c r="E10" s="10">
        <f t="shared" si="0"/>
        <v>0.11473152847398337</v>
      </c>
      <c r="F10" s="10">
        <f t="shared" si="1"/>
        <v>0.10208259469464347</v>
      </c>
    </row>
    <row r="11" spans="1:6" x14ac:dyDescent="0.25">
      <c r="A11" s="1" t="s">
        <v>28</v>
      </c>
      <c r="B11" s="2">
        <v>14267780.316689461</v>
      </c>
      <c r="C11" s="2">
        <v>13026465.896426409</v>
      </c>
      <c r="D11" s="2">
        <v>122988078.06922567</v>
      </c>
      <c r="E11" s="10">
        <f t="shared" si="0"/>
        <v>0.11600945832049371</v>
      </c>
      <c r="F11" s="10">
        <f t="shared" si="1"/>
        <v>0.1059164928904269</v>
      </c>
    </row>
    <row r="12" spans="1:6" x14ac:dyDescent="0.25">
      <c r="A12" s="1" t="s">
        <v>16</v>
      </c>
      <c r="B12" s="2">
        <v>2715057.3262076229</v>
      </c>
      <c r="C12" s="2">
        <v>2526506.2814354561</v>
      </c>
      <c r="D12" s="2">
        <v>23206905.794232756</v>
      </c>
      <c r="E12" s="10">
        <f t="shared" si="0"/>
        <v>0.11699350832381769</v>
      </c>
      <c r="F12" s="10">
        <f t="shared" si="1"/>
        <v>0.10886872656945626</v>
      </c>
    </row>
    <row r="13" spans="1:6" x14ac:dyDescent="0.25">
      <c r="A13" s="1" t="s">
        <v>29</v>
      </c>
      <c r="B13" s="2">
        <v>3808993.7331722863</v>
      </c>
      <c r="C13" s="2">
        <v>3722376.5358621888</v>
      </c>
      <c r="D13" s="2">
        <v>31822538.280074712</v>
      </c>
      <c r="E13" s="10">
        <f t="shared" si="0"/>
        <v>0.11969484331038548</v>
      </c>
      <c r="F13" s="10">
        <f t="shared" si="1"/>
        <v>0.11697296121073122</v>
      </c>
    </row>
    <row r="14" spans="1:6" x14ac:dyDescent="0.25">
      <c r="A14" s="1" t="s">
        <v>30</v>
      </c>
      <c r="B14" s="2">
        <v>44728.90476245631</v>
      </c>
      <c r="C14" s="2">
        <v>41551.976074183534</v>
      </c>
      <c r="D14" s="2">
        <v>382364.63295999862</v>
      </c>
      <c r="E14" s="10">
        <f t="shared" si="0"/>
        <v>0.11697971231333955</v>
      </c>
      <c r="F14" s="10">
        <f t="shared" si="1"/>
        <v>0.10867107596358298</v>
      </c>
    </row>
    <row r="15" spans="1:6" x14ac:dyDescent="0.25">
      <c r="A15" s="1" t="s">
        <v>31</v>
      </c>
      <c r="B15" s="2">
        <v>27692.432289570977</v>
      </c>
      <c r="C15" s="2">
        <v>22001.908110625809</v>
      </c>
      <c r="D15" s="2">
        <v>252098.39263140794</v>
      </c>
      <c r="E15" s="10">
        <f t="shared" si="0"/>
        <v>0.10984771461855361</v>
      </c>
      <c r="F15" s="10">
        <f t="shared" si="1"/>
        <v>8.7275082879226099E-2</v>
      </c>
    </row>
    <row r="16" spans="1:6" x14ac:dyDescent="0.25">
      <c r="A16" s="1" t="s">
        <v>32</v>
      </c>
      <c r="B16" s="2">
        <v>483.94951675545599</v>
      </c>
      <c r="C16" s="2">
        <v>483.94951675545599</v>
      </c>
      <c r="D16" s="2">
        <v>94429.364575064479</v>
      </c>
      <c r="E16" s="10">
        <f t="shared" si="0"/>
        <v>5.1249896569064736E-3</v>
      </c>
      <c r="F16" s="10">
        <f t="shared" si="1"/>
        <v>5.1249896569064736E-3</v>
      </c>
    </row>
    <row r="17" spans="1:6" x14ac:dyDescent="0.25">
      <c r="A17" s="1" t="s">
        <v>33</v>
      </c>
      <c r="B17" s="2">
        <v>5093.2503374022708</v>
      </c>
      <c r="C17" s="2">
        <v>5093.2503374022708</v>
      </c>
      <c r="D17" s="2">
        <v>45248.886072058092</v>
      </c>
      <c r="E17" s="10">
        <f t="shared" si="0"/>
        <v>0.11256078943670249</v>
      </c>
      <c r="F17" s="10">
        <f t="shared" si="1"/>
        <v>0.11256078943670249</v>
      </c>
    </row>
    <row r="18" spans="1:6" x14ac:dyDescent="0.25">
      <c r="A18" s="1" t="s">
        <v>34</v>
      </c>
      <c r="B18" s="2">
        <v>181346.89800379661</v>
      </c>
      <c r="C18" s="2">
        <v>181346.89800379661</v>
      </c>
      <c r="D18" s="2">
        <v>189766.47946549716</v>
      </c>
      <c r="E18" s="10">
        <f t="shared" si="0"/>
        <v>0.95563188248306319</v>
      </c>
      <c r="F18" s="10">
        <f t="shared" si="1"/>
        <v>0.95563188248306319</v>
      </c>
    </row>
    <row r="19" spans="1:6" x14ac:dyDescent="0.25">
      <c r="A19" s="1" t="s">
        <v>35</v>
      </c>
      <c r="B19" s="2">
        <v>5716.2956711267689</v>
      </c>
      <c r="C19" s="2">
        <v>5716.2956711267689</v>
      </c>
      <c r="D19" s="2">
        <v>53798.376400000001</v>
      </c>
      <c r="E19" s="10">
        <f t="shared" si="0"/>
        <v>0.1062540554871981</v>
      </c>
      <c r="F19" s="10">
        <f t="shared" si="1"/>
        <v>0.1062540554871981</v>
      </c>
    </row>
    <row r="21" spans="1:6" x14ac:dyDescent="0.25">
      <c r="A21" s="11" t="s">
        <v>3</v>
      </c>
      <c r="B21" s="12">
        <f>SUM(B4:B19)</f>
        <v>226315919.6264784</v>
      </c>
      <c r="C21" s="12">
        <f t="shared" ref="C21:D21" si="2">SUM(C4:C19)</f>
        <v>226315919.62647831</v>
      </c>
      <c r="D21" s="12">
        <f t="shared" si="2"/>
        <v>1868309992.7768986</v>
      </c>
      <c r="E21" s="13">
        <f>+B21/D21</f>
        <v>0.12113403048821758</v>
      </c>
      <c r="F21" s="13">
        <f>+C21/D21</f>
        <v>0.12113403048821753</v>
      </c>
    </row>
    <row r="23" spans="1:6" x14ac:dyDescent="0.25">
      <c r="B23" s="4"/>
      <c r="C23" s="4"/>
      <c r="D23" s="4"/>
    </row>
    <row r="24" spans="1:6" x14ac:dyDescent="0.25">
      <c r="A24" s="6" t="s">
        <v>14</v>
      </c>
      <c r="B24" s="7" t="s">
        <v>39</v>
      </c>
      <c r="C24" s="7" t="s">
        <v>41</v>
      </c>
      <c r="D24" s="7"/>
      <c r="E24" s="7" t="s">
        <v>39</v>
      </c>
      <c r="F24" s="7" t="s">
        <v>41</v>
      </c>
    </row>
    <row r="25" spans="1:6" x14ac:dyDescent="0.25">
      <c r="A25" s="6" t="s">
        <v>9</v>
      </c>
      <c r="B25" s="7" t="s">
        <v>20</v>
      </c>
      <c r="C25" s="7" t="s">
        <v>20</v>
      </c>
      <c r="D25" s="7" t="s">
        <v>8</v>
      </c>
      <c r="E25" s="7" t="s">
        <v>21</v>
      </c>
      <c r="F25" s="7" t="s">
        <v>21</v>
      </c>
    </row>
    <row r="27" spans="1:6" x14ac:dyDescent="0.25">
      <c r="A27" s="1" t="s">
        <v>22</v>
      </c>
      <c r="B27" s="2">
        <v>52779084.370406449</v>
      </c>
      <c r="C27" s="2">
        <v>65950928.326323926</v>
      </c>
      <c r="D27" s="2">
        <v>510989020.62198812</v>
      </c>
      <c r="E27" s="10">
        <f t="shared" ref="E27:E41" si="3">+B27/D27</f>
        <v>0.10328809864869988</v>
      </c>
      <c r="F27" s="10">
        <f t="shared" ref="F27:F41" si="4">+C27/D27</f>
        <v>0.12906525515175821</v>
      </c>
    </row>
    <row r="28" spans="1:6" x14ac:dyDescent="0.25">
      <c r="A28" s="1" t="s">
        <v>23</v>
      </c>
      <c r="B28" s="2">
        <v>11651506.324409634</v>
      </c>
      <c r="C28" s="2">
        <v>6852453.6222667992</v>
      </c>
      <c r="D28" s="2">
        <v>172472835.8330875</v>
      </c>
      <c r="E28" s="10">
        <f t="shared" si="3"/>
        <v>6.7555602411996679E-2</v>
      </c>
      <c r="F28" s="10">
        <f t="shared" si="4"/>
        <v>3.973062534263852E-2</v>
      </c>
    </row>
    <row r="29" spans="1:6" x14ac:dyDescent="0.25">
      <c r="A29" s="1" t="s">
        <v>24</v>
      </c>
      <c r="B29" s="2">
        <v>10291991.824194431</v>
      </c>
      <c r="C29" s="2">
        <v>6558915.818544209</v>
      </c>
      <c r="D29" s="2">
        <v>148430854.757292</v>
      </c>
      <c r="E29" s="10">
        <f t="shared" si="3"/>
        <v>6.9338628016549997E-2</v>
      </c>
      <c r="F29" s="10">
        <f t="shared" si="4"/>
        <v>4.4188358473506585E-2</v>
      </c>
    </row>
    <row r="30" spans="1:6" x14ac:dyDescent="0.25">
      <c r="A30" s="1" t="s">
        <v>25</v>
      </c>
      <c r="B30" s="2">
        <v>416854.86626745295</v>
      </c>
      <c r="C30" s="2">
        <v>211669.25888887607</v>
      </c>
      <c r="D30" s="2">
        <v>6429828.5637003491</v>
      </c>
      <c r="E30" s="10">
        <f t="shared" si="3"/>
        <v>6.4831412243369996E-2</v>
      </c>
      <c r="F30" s="10">
        <f t="shared" si="4"/>
        <v>3.2919891532389625E-2</v>
      </c>
    </row>
    <row r="31" spans="1:6" x14ac:dyDescent="0.25">
      <c r="A31" s="1" t="s">
        <v>26</v>
      </c>
      <c r="B31" s="2">
        <v>9736327.2185993642</v>
      </c>
      <c r="C31" s="2">
        <v>7550763.2100626081</v>
      </c>
      <c r="D31" s="2">
        <v>129996561.31590284</v>
      </c>
      <c r="E31" s="10">
        <f t="shared" si="3"/>
        <v>7.4896805885036069E-2</v>
      </c>
      <c r="F31" s="10">
        <f t="shared" si="4"/>
        <v>5.8084330336350999E-2</v>
      </c>
    </row>
    <row r="32" spans="1:6" x14ac:dyDescent="0.25">
      <c r="A32" s="1" t="s">
        <v>27</v>
      </c>
      <c r="B32" s="2">
        <v>11963995.350372851</v>
      </c>
      <c r="C32" s="2">
        <v>10229566.236555189</v>
      </c>
      <c r="D32" s="2">
        <v>152375559.75888637</v>
      </c>
      <c r="E32" s="10">
        <f t="shared" si="3"/>
        <v>7.8516498113636132E-2</v>
      </c>
      <c r="F32" s="10">
        <f t="shared" si="4"/>
        <v>6.7133904234656053E-2</v>
      </c>
    </row>
    <row r="33" spans="1:6" x14ac:dyDescent="0.25">
      <c r="A33" s="1" t="s">
        <v>28</v>
      </c>
      <c r="B33" s="2">
        <v>5331532.3959224969</v>
      </c>
      <c r="C33" s="2">
        <v>4511611.0501476675</v>
      </c>
      <c r="D33" s="2">
        <v>68267255.719511732</v>
      </c>
      <c r="E33" s="10">
        <f t="shared" si="3"/>
        <v>7.8097945196860613E-2</v>
      </c>
      <c r="F33" s="10">
        <f t="shared" si="4"/>
        <v>6.6087482243089288E-2</v>
      </c>
    </row>
    <row r="34" spans="1:6" x14ac:dyDescent="0.25">
      <c r="A34" s="1" t="s">
        <v>36</v>
      </c>
      <c r="B34" s="2">
        <v>415816.87296189833</v>
      </c>
      <c r="C34" s="2">
        <v>453885.99002558272</v>
      </c>
      <c r="D34" s="2">
        <v>4534483.7406811304</v>
      </c>
      <c r="E34" s="10">
        <f t="shared" si="3"/>
        <v>9.1701039576213797E-2</v>
      </c>
      <c r="F34" s="10">
        <f t="shared" si="4"/>
        <v>0.10009650844120216</v>
      </c>
    </row>
    <row r="35" spans="1:6" x14ac:dyDescent="0.25">
      <c r="A35" s="1" t="s">
        <v>29</v>
      </c>
      <c r="B35" s="2">
        <v>2251233.4000901878</v>
      </c>
      <c r="C35" s="2">
        <v>2535079.0293424465</v>
      </c>
      <c r="D35" s="2">
        <v>23947842.442501761</v>
      </c>
      <c r="E35" s="10">
        <f t="shared" si="3"/>
        <v>9.4005687798195153E-2</v>
      </c>
      <c r="F35" s="10">
        <f t="shared" si="4"/>
        <v>0.10585834759140056</v>
      </c>
    </row>
    <row r="36" spans="1:6" x14ac:dyDescent="0.25">
      <c r="A36" s="1" t="s">
        <v>30</v>
      </c>
      <c r="B36" s="2">
        <v>24684.310656974034</v>
      </c>
      <c r="C36" s="2">
        <v>13923.427893545479</v>
      </c>
      <c r="D36" s="2">
        <v>369589.22686359438</v>
      </c>
      <c r="E36" s="10">
        <f t="shared" si="3"/>
        <v>6.6788501565507918E-2</v>
      </c>
      <c r="F36" s="10">
        <f t="shared" si="4"/>
        <v>3.767271035387687E-2</v>
      </c>
    </row>
    <row r="37" spans="1:6" x14ac:dyDescent="0.25">
      <c r="A37" s="1" t="s">
        <v>31</v>
      </c>
      <c r="B37" s="2">
        <v>27729.093258961628</v>
      </c>
      <c r="C37" s="2">
        <v>21960.057089919574</v>
      </c>
      <c r="D37" s="2">
        <v>366304.79163553286</v>
      </c>
      <c r="E37" s="10">
        <f t="shared" si="3"/>
        <v>7.5699510058693451E-2</v>
      </c>
      <c r="F37" s="10">
        <f t="shared" si="4"/>
        <v>5.9950231586840562E-2</v>
      </c>
    </row>
    <row r="38" spans="1:6" x14ac:dyDescent="0.25">
      <c r="A38" s="1" t="s">
        <v>32</v>
      </c>
      <c r="B38" s="2">
        <v>6.3233536109109991</v>
      </c>
      <c r="C38" s="2">
        <v>6.3233536109109991</v>
      </c>
      <c r="D38" s="2">
        <v>14320.74146608475</v>
      </c>
      <c r="E38" s="10">
        <f t="shared" si="3"/>
        <v>4.4155210998580969E-4</v>
      </c>
      <c r="F38" s="10">
        <f t="shared" si="4"/>
        <v>4.4155210998580969E-4</v>
      </c>
    </row>
    <row r="39" spans="1:6" x14ac:dyDescent="0.25">
      <c r="A39" s="1" t="s">
        <v>33</v>
      </c>
      <c r="B39" s="2">
        <v>7375.4391578673967</v>
      </c>
      <c r="C39" s="2">
        <v>7375.4391578673967</v>
      </c>
      <c r="D39" s="2">
        <v>55251.074486755344</v>
      </c>
      <c r="E39" s="10">
        <f t="shared" si="3"/>
        <v>0.13348951538735088</v>
      </c>
      <c r="F39" s="10">
        <f t="shared" si="4"/>
        <v>0.13348951538735088</v>
      </c>
    </row>
    <row r="40" spans="1:6" x14ac:dyDescent="0.25">
      <c r="A40" s="1" t="s">
        <v>34</v>
      </c>
      <c r="B40" s="2">
        <v>134719.122483115</v>
      </c>
      <c r="C40" s="2">
        <v>134719.122483115</v>
      </c>
      <c r="D40" s="2">
        <v>265393.57941610873</v>
      </c>
      <c r="E40" s="10">
        <f t="shared" si="3"/>
        <v>0.50762012698087866</v>
      </c>
      <c r="F40" s="10">
        <f t="shared" si="4"/>
        <v>0.50762012698087866</v>
      </c>
    </row>
    <row r="41" spans="1:6" x14ac:dyDescent="0.25">
      <c r="A41" s="1" t="s">
        <v>35</v>
      </c>
      <c r="B41" s="2">
        <v>2717.3235695141084</v>
      </c>
      <c r="C41" s="2">
        <v>2717.3235695141084</v>
      </c>
      <c r="D41" s="2">
        <v>8765.2771991506543</v>
      </c>
      <c r="E41" s="10">
        <f t="shared" si="3"/>
        <v>0.3100099982893198</v>
      </c>
      <c r="F41" s="10">
        <f t="shared" si="4"/>
        <v>0.3100099982893198</v>
      </c>
    </row>
    <row r="43" spans="1:6" x14ac:dyDescent="0.25">
      <c r="A43" s="11" t="s">
        <v>3</v>
      </c>
      <c r="B43" s="12">
        <f>SUM(B27:B41)</f>
        <v>105035574.23570482</v>
      </c>
      <c r="C43" s="12">
        <f t="shared" ref="C43" si="5">SUM(C27:C41)</f>
        <v>105035574.23570488</v>
      </c>
      <c r="D43" s="12">
        <f>SUM(D27:D41)</f>
        <v>1218523867.4446192</v>
      </c>
      <c r="E43" s="13">
        <f>+B43/D43</f>
        <v>8.6199029039928585E-2</v>
      </c>
      <c r="F43" s="13">
        <f>+C43/D43</f>
        <v>8.619902903992864E-2</v>
      </c>
    </row>
  </sheetData>
  <pageMargins left="0.7" right="0.7" top="0.75" bottom="0.75" header="0.3" footer="0.3"/>
  <pageSetup orientation="portrait" r:id="rId1"/>
  <headerFooter>
    <oddFooter>&amp;L_x000D_&amp;1#&amp;"Calibri"&amp;14&amp;K000000 Business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64C6-3B5E-4C55-82BD-AC85DDB2AE37}">
  <dimension ref="A1:J51"/>
  <sheetViews>
    <sheetView showGridLines="0" workbookViewId="0"/>
  </sheetViews>
  <sheetFormatPr defaultColWidth="16.7109375" defaultRowHeight="15" x14ac:dyDescent="0.25"/>
  <cols>
    <col min="1" max="1" width="6.7109375" style="38" customWidth="1"/>
    <col min="2" max="2" width="38.7109375" style="2" customWidth="1"/>
    <col min="3" max="3" width="16.7109375" style="2"/>
    <col min="4" max="4" width="6.7109375" style="2" customWidth="1"/>
    <col min="5" max="5" width="34.7109375" style="2" customWidth="1"/>
    <col min="6" max="16384" width="16.7109375" style="2"/>
  </cols>
  <sheetData>
    <row r="1" spans="1:10" x14ac:dyDescent="0.25">
      <c r="A1" s="18"/>
      <c r="B1" s="19"/>
      <c r="C1" s="19"/>
      <c r="D1" s="19"/>
      <c r="E1" s="53" t="s">
        <v>82</v>
      </c>
      <c r="F1" s="53"/>
      <c r="G1" s="53"/>
      <c r="H1" s="54"/>
    </row>
    <row r="2" spans="1:10" x14ac:dyDescent="0.25">
      <c r="A2" s="20" t="s">
        <v>45</v>
      </c>
      <c r="B2" s="21" t="s">
        <v>46</v>
      </c>
      <c r="C2" s="21" t="s">
        <v>47</v>
      </c>
      <c r="D2" s="22"/>
      <c r="E2" s="21" t="s">
        <v>46</v>
      </c>
      <c r="F2" s="21" t="s">
        <v>48</v>
      </c>
      <c r="G2" s="21" t="s">
        <v>49</v>
      </c>
      <c r="H2" s="23" t="s">
        <v>50</v>
      </c>
    </row>
    <row r="3" spans="1:10" x14ac:dyDescent="0.25">
      <c r="A3" s="24"/>
      <c r="B3" s="24"/>
      <c r="C3" s="24"/>
      <c r="E3" s="24"/>
      <c r="F3" s="24"/>
      <c r="G3" s="24"/>
      <c r="H3" s="24"/>
    </row>
    <row r="4" spans="1:10" x14ac:dyDescent="0.25">
      <c r="A4" s="24"/>
      <c r="B4" s="25" t="s">
        <v>51</v>
      </c>
      <c r="C4" s="24"/>
      <c r="E4" s="25" t="s">
        <v>52</v>
      </c>
      <c r="F4" s="24">
        <v>3962655520</v>
      </c>
      <c r="G4" s="24"/>
      <c r="H4" s="24"/>
    </row>
    <row r="5" spans="1:10" x14ac:dyDescent="0.25">
      <c r="A5" s="26">
        <v>1</v>
      </c>
      <c r="B5" s="2" t="s">
        <v>53</v>
      </c>
      <c r="C5" s="27">
        <v>149440951.86131668</v>
      </c>
    </row>
    <row r="6" spans="1:10" x14ac:dyDescent="0.25">
      <c r="A6" s="26">
        <f>IF(B6="","",MAX(A5:A$5)+1)</f>
        <v>2</v>
      </c>
      <c r="B6" s="2" t="s">
        <v>54</v>
      </c>
      <c r="C6" s="2">
        <v>109563197.62493171</v>
      </c>
    </row>
    <row r="7" spans="1:10" x14ac:dyDescent="0.25">
      <c r="A7" s="26">
        <f>IF(B7="","",MAX(A$5:A6)+1)</f>
        <v>3</v>
      </c>
      <c r="B7" s="2" t="s">
        <v>55</v>
      </c>
      <c r="C7" s="2">
        <v>44690153.877870448</v>
      </c>
    </row>
    <row r="8" spans="1:10" x14ac:dyDescent="0.25">
      <c r="A8" s="26">
        <f>IF(B8="","",MAX(A$5:A7)+1)</f>
        <v>4</v>
      </c>
      <c r="B8" s="2" t="s">
        <v>56</v>
      </c>
      <c r="C8" s="2">
        <v>11383990.415788876</v>
      </c>
    </row>
    <row r="9" spans="1:10" x14ac:dyDescent="0.25">
      <c r="A9" s="26">
        <f>IF(B9="","",MAX(A$5:A8)+1)</f>
        <v>5</v>
      </c>
      <c r="B9" s="2" t="s">
        <v>57</v>
      </c>
      <c r="C9" s="2">
        <v>9892782.9496719651</v>
      </c>
      <c r="E9" s="2" t="s">
        <v>58</v>
      </c>
      <c r="F9" s="27">
        <f>+C5</f>
        <v>149440951.86131668</v>
      </c>
    </row>
    <row r="10" spans="1:10" x14ac:dyDescent="0.25">
      <c r="A10" s="26">
        <f>IF(B10="","",MAX(A$5:A9)+1)</f>
        <v>6</v>
      </c>
      <c r="B10" s="2" t="s">
        <v>59</v>
      </c>
      <c r="C10" s="2">
        <v>1233566.6333279861</v>
      </c>
      <c r="E10" s="2" t="s">
        <v>60</v>
      </c>
      <c r="F10" s="2">
        <v>135304418</v>
      </c>
    </row>
    <row r="11" spans="1:10" x14ac:dyDescent="0.25">
      <c r="A11" s="26">
        <f>IF(B11="","",MAX(A$5:A10)+1)</f>
        <v>7</v>
      </c>
      <c r="B11" s="12" t="s">
        <v>3</v>
      </c>
      <c r="C11" s="28">
        <f>SUM(C5:C10)</f>
        <v>326204643.36290765</v>
      </c>
      <c r="E11" s="12" t="s">
        <v>61</v>
      </c>
      <c r="F11" s="28">
        <f>+F9-F10</f>
        <v>14136533.861316681</v>
      </c>
    </row>
    <row r="12" spans="1:10" x14ac:dyDescent="0.25">
      <c r="A12" s="26" t="str">
        <f>IF(B12="","",MAX(A$5:A11)+1)</f>
        <v/>
      </c>
    </row>
    <row r="13" spans="1:10" x14ac:dyDescent="0.25">
      <c r="A13" s="26" t="str">
        <f>IF(B13="","",MAX(A$5:A12)+1)</f>
        <v/>
      </c>
    </row>
    <row r="14" spans="1:10" x14ac:dyDescent="0.25">
      <c r="A14" s="26">
        <f>IF(B14="","",MAX(A$5:A13)+1)</f>
        <v>8</v>
      </c>
      <c r="B14" s="29" t="s">
        <v>62</v>
      </c>
      <c r="E14" s="30" t="s">
        <v>80</v>
      </c>
      <c r="F14" s="31" t="s">
        <v>47</v>
      </c>
      <c r="G14" s="31" t="s">
        <v>49</v>
      </c>
      <c r="H14" s="31" t="s">
        <v>79</v>
      </c>
      <c r="I14" s="31" t="s">
        <v>78</v>
      </c>
      <c r="J14" s="32" t="s">
        <v>64</v>
      </c>
    </row>
    <row r="15" spans="1:10" x14ac:dyDescent="0.25">
      <c r="A15" s="26">
        <f>IF(B15="","",MAX(A$5:A14)+1)</f>
        <v>9</v>
      </c>
      <c r="B15" s="2" t="s">
        <v>65</v>
      </c>
      <c r="C15" s="27">
        <v>149431740</v>
      </c>
      <c r="E15" s="2" t="s">
        <v>65</v>
      </c>
      <c r="F15" s="27">
        <f>+C15-F11</f>
        <v>135295206.13868332</v>
      </c>
      <c r="G15" s="2">
        <v>3962655520</v>
      </c>
      <c r="H15" s="33">
        <f>+F15/G15</f>
        <v>3.4142560577328035E-2</v>
      </c>
      <c r="I15" s="45">
        <v>3.771E-2</v>
      </c>
      <c r="J15" s="10">
        <f>+H15/I15-1</f>
        <v>-9.4601947034525735E-2</v>
      </c>
    </row>
    <row r="16" spans="1:10" x14ac:dyDescent="0.25">
      <c r="A16" s="26">
        <f>IF(B16="","",MAX(A$5:A15)+1)</f>
        <v>10</v>
      </c>
      <c r="B16" s="2" t="s">
        <v>66</v>
      </c>
      <c r="C16" s="2">
        <v>30931837</v>
      </c>
      <c r="D16" s="10">
        <f>+C16/SUM(C16:C18)</f>
        <v>0.16799065912268843</v>
      </c>
      <c r="E16" s="34" t="s">
        <v>66</v>
      </c>
      <c r="F16" s="34">
        <f>+C8+C9</f>
        <v>21276773.365460843</v>
      </c>
      <c r="G16" s="34">
        <v>10815328</v>
      </c>
      <c r="H16" s="35">
        <f t="shared" ref="H16:H19" si="0">+F16/G16</f>
        <v>1.9672795282270537</v>
      </c>
      <c r="I16" s="46">
        <v>2.86</v>
      </c>
      <c r="J16" s="36">
        <f>+H16/I16-1</f>
        <v>-0.3121400250954357</v>
      </c>
    </row>
    <row r="17" spans="1:10" x14ac:dyDescent="0.25">
      <c r="A17" s="26">
        <f>IF(B17="","",MAX(A$5:A16)+1)</f>
        <v>11</v>
      </c>
      <c r="B17" s="2" t="s">
        <v>67</v>
      </c>
      <c r="C17" s="2">
        <v>69024767</v>
      </c>
      <c r="D17" s="10">
        <f>+C17/SUM(C16:C18)</f>
        <v>0.37487318015156984</v>
      </c>
      <c r="E17" s="2" t="s">
        <v>67</v>
      </c>
      <c r="F17" s="2">
        <f>($C$20-SUM($F$15,$F$16,$F$19))*$C$23</f>
        <v>79939737.894717634</v>
      </c>
      <c r="G17" s="2">
        <v>8715966</v>
      </c>
      <c r="H17" s="33">
        <f t="shared" si="0"/>
        <v>9.1716440718926204</v>
      </c>
      <c r="I17" s="45">
        <v>7.94</v>
      </c>
      <c r="J17" s="10">
        <f>+H17/I17-1</f>
        <v>0.15511890074214363</v>
      </c>
    </row>
    <row r="18" spans="1:10" x14ac:dyDescent="0.25">
      <c r="A18" s="26">
        <f>IF(B18="","",MAX(A$5:A17)+1)</f>
        <v>12</v>
      </c>
      <c r="B18" s="2" t="s">
        <v>68</v>
      </c>
      <c r="C18" s="2">
        <v>84171711</v>
      </c>
      <c r="D18" s="10">
        <f>+C18/SUM(C16:C18)</f>
        <v>0.4571361607257417</v>
      </c>
      <c r="E18" s="34" t="s">
        <v>68</v>
      </c>
      <c r="F18" s="34">
        <f>($C$20-SUM($F$15,$F$16,$F$19))*$C$24</f>
        <v>97228337.601138204</v>
      </c>
      <c r="G18" s="34">
        <v>8580195</v>
      </c>
      <c r="H18" s="35">
        <f t="shared" si="0"/>
        <v>11.331716540374456</v>
      </c>
      <c r="I18" s="46">
        <v>9.81</v>
      </c>
      <c r="J18" s="36">
        <f>+H18/I18-1</f>
        <v>0.15511891339189154</v>
      </c>
    </row>
    <row r="19" spans="1:10" x14ac:dyDescent="0.25">
      <c r="A19" s="26">
        <f>IF(B19="","",MAX(A$5:A18)+1)</f>
        <v>13</v>
      </c>
      <c r="B19" s="2" t="s">
        <v>69</v>
      </c>
      <c r="C19" s="2">
        <v>1294947</v>
      </c>
      <c r="E19" s="2" t="s">
        <v>69</v>
      </c>
      <c r="F19" s="2">
        <f>+C19</f>
        <v>1294947</v>
      </c>
      <c r="G19" s="2">
        <v>97000</v>
      </c>
      <c r="H19" s="33">
        <f t="shared" si="0"/>
        <v>13.349969072164949</v>
      </c>
      <c r="I19" s="45">
        <v>13.35</v>
      </c>
      <c r="J19" s="10">
        <f>+H19/I19-1</f>
        <v>-2.3166917640926599E-6</v>
      </c>
    </row>
    <row r="20" spans="1:10" x14ac:dyDescent="0.25">
      <c r="A20" s="26">
        <f>IF(B20="","",MAX(A$5:A19)+1)</f>
        <v>14</v>
      </c>
      <c r="B20" s="12" t="s">
        <v>3</v>
      </c>
      <c r="C20" s="28">
        <v>335035002</v>
      </c>
      <c r="E20" s="12" t="s">
        <v>3</v>
      </c>
      <c r="F20" s="28">
        <f>SUM(F15:F19)</f>
        <v>335035002</v>
      </c>
      <c r="G20" s="12"/>
      <c r="H20" s="12"/>
      <c r="I20" s="12"/>
      <c r="J20" s="12"/>
    </row>
    <row r="21" spans="1:10" x14ac:dyDescent="0.25">
      <c r="A21" s="26" t="str">
        <f>IF(B21="","",MAX(A$5:A20)+1)</f>
        <v/>
      </c>
    </row>
    <row r="22" spans="1:10" x14ac:dyDescent="0.25">
      <c r="A22" s="26">
        <f>IF(B22="","",MAX(A$5:A21)+1)</f>
        <v>15</v>
      </c>
      <c r="B22" s="2" t="s">
        <v>70</v>
      </c>
      <c r="C22" s="2">
        <f>SUM(C17:C18)</f>
        <v>153196478</v>
      </c>
      <c r="E22" s="2" t="s">
        <v>76</v>
      </c>
      <c r="H22" s="40">
        <f>+H17/H16</f>
        <v>4.6620950100356424</v>
      </c>
      <c r="I22" s="40">
        <f>+I17/I16</f>
        <v>2.7762237762237767</v>
      </c>
      <c r="J22" s="3">
        <f>+H22/I22-1</f>
        <v>0.67929366860225882</v>
      </c>
    </row>
    <row r="23" spans="1:10" x14ac:dyDescent="0.25">
      <c r="A23" s="26">
        <f>IF(B23="","",MAX(A$5:A22)+1)</f>
        <v>16</v>
      </c>
      <c r="B23" s="2" t="s">
        <v>71</v>
      </c>
      <c r="C23" s="10">
        <v>0.45120847912911666</v>
      </c>
      <c r="E23" s="2" t="s">
        <v>77</v>
      </c>
      <c r="H23" s="40">
        <f>+H18/H16</f>
        <v>5.760094779508429</v>
      </c>
      <c r="I23" s="40">
        <f>+I18/I16</f>
        <v>3.4300699300699304</v>
      </c>
      <c r="J23" s="3">
        <f>+H23/I23-1</f>
        <v>0.67929368699226345</v>
      </c>
    </row>
    <row r="24" spans="1:10" x14ac:dyDescent="0.25">
      <c r="A24" s="26">
        <f>IF(B24="","",MAX(A$5:A23)+1)</f>
        <v>17</v>
      </c>
      <c r="B24" s="2" t="s">
        <v>72</v>
      </c>
      <c r="C24" s="10">
        <f>1-C23</f>
        <v>0.54879152087088334</v>
      </c>
    </row>
    <row r="27" spans="1:10" x14ac:dyDescent="0.25">
      <c r="A27" s="18"/>
      <c r="B27" s="19"/>
      <c r="C27" s="19"/>
      <c r="D27" s="19"/>
      <c r="E27" s="53" t="s">
        <v>83</v>
      </c>
      <c r="F27" s="53"/>
      <c r="G27" s="53"/>
      <c r="H27" s="54"/>
    </row>
    <row r="28" spans="1:10" x14ac:dyDescent="0.25">
      <c r="A28" s="20" t="s">
        <v>45</v>
      </c>
      <c r="B28" s="21" t="s">
        <v>46</v>
      </c>
      <c r="C28" s="21" t="s">
        <v>47</v>
      </c>
      <c r="D28" s="22"/>
      <c r="E28" s="21" t="s">
        <v>46</v>
      </c>
      <c r="F28" s="21" t="s">
        <v>48</v>
      </c>
      <c r="G28" s="21" t="s">
        <v>49</v>
      </c>
      <c r="H28" s="23" t="s">
        <v>50</v>
      </c>
    </row>
    <row r="29" spans="1:10" x14ac:dyDescent="0.25">
      <c r="A29" s="24"/>
      <c r="B29" s="24"/>
      <c r="C29" s="24"/>
      <c r="E29" s="24"/>
      <c r="F29" s="24"/>
      <c r="G29" s="24"/>
      <c r="H29" s="24"/>
    </row>
    <row r="30" spans="1:10" x14ac:dyDescent="0.25">
      <c r="A30" s="24"/>
      <c r="B30" s="25" t="s">
        <v>51</v>
      </c>
      <c r="C30" s="24"/>
      <c r="E30" s="25" t="s">
        <v>52</v>
      </c>
      <c r="F30" s="24">
        <v>3962655520</v>
      </c>
      <c r="G30" s="24"/>
      <c r="H30" s="24"/>
    </row>
    <row r="31" spans="1:10" x14ac:dyDescent="0.25">
      <c r="A31" s="26">
        <v>1</v>
      </c>
      <c r="B31" s="2" t="s">
        <v>53</v>
      </c>
      <c r="C31" s="27">
        <f>C5</f>
        <v>149440951.86131668</v>
      </c>
      <c r="D31" s="3">
        <f t="shared" ref="D31:D36" si="1">+C31/$C$37</f>
        <v>0.45812024721874156</v>
      </c>
    </row>
    <row r="32" spans="1:10" x14ac:dyDescent="0.25">
      <c r="A32" s="26">
        <f>IF(B32="","",MAX(A$31:A31)+1)</f>
        <v>2</v>
      </c>
      <c r="B32" s="2" t="s">
        <v>54</v>
      </c>
      <c r="C32" s="2">
        <f>C6</f>
        <v>109563197.62493171</v>
      </c>
      <c r="D32" s="3">
        <f t="shared" si="1"/>
        <v>0.33587258751262156</v>
      </c>
    </row>
    <row r="33" spans="1:10" x14ac:dyDescent="0.25">
      <c r="A33" s="26">
        <f>IF(B33="","",MAX(A$31:A32)+1)</f>
        <v>3</v>
      </c>
      <c r="B33" s="2" t="s">
        <v>55</v>
      </c>
      <c r="C33" s="2">
        <f t="shared" ref="C33:C36" si="2">C7</f>
        <v>44690153.877870448</v>
      </c>
      <c r="D33" s="3">
        <f t="shared" si="1"/>
        <v>0.13700036093033774</v>
      </c>
    </row>
    <row r="34" spans="1:10" x14ac:dyDescent="0.25">
      <c r="A34" s="26">
        <f>IF(B34="","",MAX(A$31:A33)+1)</f>
        <v>4</v>
      </c>
      <c r="B34" s="2" t="s">
        <v>56</v>
      </c>
      <c r="C34" s="2">
        <f t="shared" si="2"/>
        <v>11383990.415788876</v>
      </c>
      <c r="D34" s="3">
        <f t="shared" si="1"/>
        <v>3.4898308921752573E-2</v>
      </c>
    </row>
    <row r="35" spans="1:10" x14ac:dyDescent="0.25">
      <c r="A35" s="26">
        <f>IF(B35="","",MAX(A$31:A34)+1)</f>
        <v>5</v>
      </c>
      <c r="B35" s="2" t="s">
        <v>57</v>
      </c>
      <c r="C35" s="2">
        <f t="shared" si="2"/>
        <v>9892782.9496719651</v>
      </c>
      <c r="D35" s="3">
        <f t="shared" si="1"/>
        <v>3.0326922534533309E-2</v>
      </c>
      <c r="E35" s="2" t="s">
        <v>58</v>
      </c>
      <c r="F35" s="27">
        <f>+C31</f>
        <v>149440951.86131668</v>
      </c>
    </row>
    <row r="36" spans="1:10" x14ac:dyDescent="0.25">
      <c r="A36" s="26">
        <f>IF(B36="","",MAX(A$31:A35)+1)</f>
        <v>6</v>
      </c>
      <c r="B36" s="2" t="s">
        <v>59</v>
      </c>
      <c r="C36" s="2">
        <f t="shared" si="2"/>
        <v>1233566.6333279861</v>
      </c>
      <c r="D36" s="3">
        <f t="shared" si="1"/>
        <v>3.781572882013284E-3</v>
      </c>
      <c r="E36" s="2" t="s">
        <v>60</v>
      </c>
      <c r="F36" s="2">
        <v>135304418</v>
      </c>
      <c r="H36" s="10"/>
    </row>
    <row r="37" spans="1:10" x14ac:dyDescent="0.25">
      <c r="A37" s="26">
        <f>IF(B37="","",MAX(A$31:A36)+1)</f>
        <v>7</v>
      </c>
      <c r="B37" s="12" t="s">
        <v>3</v>
      </c>
      <c r="C37" s="28">
        <f>SUM(C31:C36)</f>
        <v>326204643.36290765</v>
      </c>
      <c r="E37" s="12" t="s">
        <v>61</v>
      </c>
      <c r="F37" s="28">
        <f>+F35-F36</f>
        <v>14136533.861316681</v>
      </c>
    </row>
    <row r="38" spans="1:10" x14ac:dyDescent="0.25">
      <c r="A38" s="26" t="str">
        <f>IF(B38="","",MAX(A$31:A37)+1)</f>
        <v/>
      </c>
    </row>
    <row r="39" spans="1:10" x14ac:dyDescent="0.25">
      <c r="A39" s="26" t="str">
        <f>IF(B39="","",MAX(A$31:A38)+1)</f>
        <v/>
      </c>
    </row>
    <row r="40" spans="1:10" x14ac:dyDescent="0.25">
      <c r="A40" s="26">
        <f>IF(B40="","",MAX(A$31:A39)+1)</f>
        <v>8</v>
      </c>
      <c r="B40" s="29" t="s">
        <v>62</v>
      </c>
      <c r="E40" s="30" t="s">
        <v>48</v>
      </c>
      <c r="F40" s="31" t="s">
        <v>47</v>
      </c>
      <c r="G40" s="31" t="s">
        <v>49</v>
      </c>
      <c r="H40" s="31" t="s">
        <v>84</v>
      </c>
      <c r="I40" s="31" t="s">
        <v>78</v>
      </c>
      <c r="J40" s="32" t="s">
        <v>64</v>
      </c>
    </row>
    <row r="41" spans="1:10" x14ac:dyDescent="0.25">
      <c r="A41" s="26">
        <f>IF(B41="","",MAX(A$31:A40)+1)</f>
        <v>9</v>
      </c>
      <c r="B41" s="2" t="s">
        <v>65</v>
      </c>
      <c r="C41" s="27">
        <f>C15</f>
        <v>149431740</v>
      </c>
      <c r="E41" s="2" t="s">
        <v>65</v>
      </c>
      <c r="F41" s="27">
        <f>C41</f>
        <v>149431740</v>
      </c>
      <c r="G41" s="2">
        <v>3962655520</v>
      </c>
      <c r="H41" s="33">
        <f>+F41/G41</f>
        <v>3.7710000086002934E-2</v>
      </c>
      <c r="I41" s="33">
        <f>I15</f>
        <v>3.771E-2</v>
      </c>
      <c r="J41" s="10">
        <f>+H41/I41-1</f>
        <v>2.2806398991548349E-9</v>
      </c>
    </row>
    <row r="42" spans="1:10" x14ac:dyDescent="0.25">
      <c r="A42" s="26">
        <f>IF(B42="","",MAX(A$31:A41)+1)</f>
        <v>10</v>
      </c>
      <c r="B42" s="2" t="s">
        <v>66</v>
      </c>
      <c r="C42" s="2">
        <f>C16</f>
        <v>30931837</v>
      </c>
      <c r="D42" s="10">
        <f>+C42/SUM(C42:C44)</f>
        <v>0.16799065912268843</v>
      </c>
      <c r="E42" s="34" t="s">
        <v>66</v>
      </c>
      <c r="F42" s="34">
        <f>+C33+C34+C35</f>
        <v>65966927.243331283</v>
      </c>
      <c r="G42" s="34">
        <v>10815328</v>
      </c>
      <c r="H42" s="35">
        <f t="shared" ref="H42:H45" si="3">+F42/G42</f>
        <v>6.0993921999713079</v>
      </c>
      <c r="I42" s="35">
        <f>I16</f>
        <v>2.86</v>
      </c>
      <c r="J42" s="36">
        <f>+H42/I42-1</f>
        <v>1.1326546153745833</v>
      </c>
    </row>
    <row r="43" spans="1:10" x14ac:dyDescent="0.25">
      <c r="A43" s="26">
        <f>IF(B43="","",MAX(A$31:A42)+1)</f>
        <v>11</v>
      </c>
      <c r="B43" s="2" t="s">
        <v>67</v>
      </c>
      <c r="C43" s="2">
        <f t="shared" ref="C43:C45" si="4">C17</f>
        <v>69024767</v>
      </c>
      <c r="D43" s="10">
        <f>+C43/SUM(C42:C44)</f>
        <v>0.37487318015156984</v>
      </c>
      <c r="E43" s="2" t="s">
        <v>67</v>
      </c>
      <c r="F43" s="2">
        <f>($C$46-SUM($F$41,$F$42,$F$45))*$C$49</f>
        <v>53396637.587715559</v>
      </c>
      <c r="G43" s="2">
        <v>8715966</v>
      </c>
      <c r="H43" s="33">
        <f t="shared" si="3"/>
        <v>6.1263017303779703</v>
      </c>
      <c r="I43" s="33">
        <f>I17</f>
        <v>7.94</v>
      </c>
      <c r="J43" s="10">
        <f>+H43/I43-1</f>
        <v>-0.22842547476347985</v>
      </c>
    </row>
    <row r="44" spans="1:10" x14ac:dyDescent="0.25">
      <c r="A44" s="26">
        <f>IF(B44="","",MAX(A$31:A43)+1)</f>
        <v>12</v>
      </c>
      <c r="B44" s="2" t="s">
        <v>68</v>
      </c>
      <c r="C44" s="2">
        <f t="shared" si="4"/>
        <v>84171711</v>
      </c>
      <c r="D44" s="10">
        <f>+C44/SUM(C42:C44)</f>
        <v>0.4571361607257417</v>
      </c>
      <c r="E44" s="34" t="s">
        <v>68</v>
      </c>
      <c r="F44" s="34">
        <f>($C$46-SUM($F$41,$F$42,$F$45))*$C$50</f>
        <v>64944750.168953158</v>
      </c>
      <c r="G44" s="34">
        <v>8580195</v>
      </c>
      <c r="H44" s="35">
        <f t="shared" si="3"/>
        <v>7.5691461754602498</v>
      </c>
      <c r="I44" s="35">
        <f>I18</f>
        <v>9.81</v>
      </c>
      <c r="J44" s="36">
        <f>+H44/I44-1</f>
        <v>-0.2284254663139399</v>
      </c>
    </row>
    <row r="45" spans="1:10" x14ac:dyDescent="0.25">
      <c r="A45" s="26">
        <f>IF(B45="","",MAX(A$31:A44)+1)</f>
        <v>13</v>
      </c>
      <c r="B45" s="2" t="s">
        <v>69</v>
      </c>
      <c r="C45" s="2">
        <f t="shared" si="4"/>
        <v>1294947</v>
      </c>
      <c r="E45" s="2" t="s">
        <v>69</v>
      </c>
      <c r="F45" s="2">
        <f>+C45</f>
        <v>1294947</v>
      </c>
      <c r="G45" s="2">
        <v>97000</v>
      </c>
      <c r="H45" s="33">
        <f t="shared" si="3"/>
        <v>13.349969072164949</v>
      </c>
      <c r="I45" s="33">
        <f>I19</f>
        <v>13.35</v>
      </c>
      <c r="J45" s="10">
        <f>+H45/I45-1</f>
        <v>-2.3166917640926599E-6</v>
      </c>
    </row>
    <row r="46" spans="1:10" x14ac:dyDescent="0.25">
      <c r="A46" s="26">
        <f>IF(B46="","",MAX(A$31:A45)+1)</f>
        <v>14</v>
      </c>
      <c r="B46" s="12" t="s">
        <v>3</v>
      </c>
      <c r="C46" s="28">
        <v>335035002</v>
      </c>
      <c r="E46" s="12" t="s">
        <v>3</v>
      </c>
      <c r="F46" s="28">
        <f>SUM(F41:F45)</f>
        <v>335035002</v>
      </c>
      <c r="G46" s="12"/>
      <c r="H46" s="12"/>
      <c r="I46" s="12"/>
      <c r="J46" s="12"/>
    </row>
    <row r="47" spans="1:10" x14ac:dyDescent="0.25">
      <c r="A47" s="26" t="str">
        <f>IF(B47="","",MAX(A$31:A46)+1)</f>
        <v/>
      </c>
    </row>
    <row r="48" spans="1:10" x14ac:dyDescent="0.25">
      <c r="A48" s="26">
        <f>IF(B48="","",MAX(A$31:A47)+1)</f>
        <v>15</v>
      </c>
      <c r="B48" s="2" t="s">
        <v>70</v>
      </c>
      <c r="C48" s="2">
        <f>SUM(C43:C44)</f>
        <v>153196478</v>
      </c>
      <c r="E48" s="2" t="s">
        <v>76</v>
      </c>
      <c r="H48" s="40">
        <f>+H43/H42</f>
        <v>1.0044118380199898</v>
      </c>
      <c r="I48" s="40">
        <f>+I43/I42</f>
        <v>2.7762237762237767</v>
      </c>
      <c r="J48" s="3">
        <f>+H48/I48-1</f>
        <v>-0.63820933794242185</v>
      </c>
    </row>
    <row r="49" spans="1:10" x14ac:dyDescent="0.25">
      <c r="A49" s="26">
        <f>IF(B49="","",MAX(A$31:A48)+1)</f>
        <v>16</v>
      </c>
      <c r="B49" s="2" t="s">
        <v>71</v>
      </c>
      <c r="C49" s="10">
        <f>C23</f>
        <v>0.45120847912911666</v>
      </c>
      <c r="E49" s="2" t="s">
        <v>77</v>
      </c>
      <c r="H49" s="40">
        <f>+H44/H42</f>
        <v>1.2409672844936674</v>
      </c>
      <c r="I49" s="40">
        <f>+I44/I42</f>
        <v>3.4300699300699304</v>
      </c>
      <c r="J49" s="3">
        <f>+H49/I49-1</f>
        <v>-0.63820933398043955</v>
      </c>
    </row>
    <row r="50" spans="1:10" x14ac:dyDescent="0.25">
      <c r="A50" s="26">
        <f>IF(B50="","",MAX(A$31:A49)+1)</f>
        <v>17</v>
      </c>
      <c r="B50" s="2" t="s">
        <v>72</v>
      </c>
      <c r="C50" s="10">
        <f>C24</f>
        <v>0.54879152087088334</v>
      </c>
    </row>
    <row r="51" spans="1:10" x14ac:dyDescent="0.25">
      <c r="C51" s="37"/>
    </row>
  </sheetData>
  <mergeCells count="2">
    <mergeCell ref="E1:H1"/>
    <mergeCell ref="E27:H27"/>
  </mergeCells>
  <pageMargins left="0.7" right="0.7" top="0.75" bottom="0.75" header="0.3" footer="0.3"/>
  <headerFooter>
    <oddFooter>&amp;L_x000D_&amp;1#&amp;"Calibri"&amp;14&amp;K000000 Business Use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B153-32E0-471F-9281-C5FA49CEAC97}">
  <dimension ref="A1:J51"/>
  <sheetViews>
    <sheetView showGridLines="0" workbookViewId="0"/>
  </sheetViews>
  <sheetFormatPr defaultColWidth="16.7109375" defaultRowHeight="15" x14ac:dyDescent="0.25"/>
  <cols>
    <col min="1" max="1" width="6.7109375" style="38" customWidth="1"/>
    <col min="2" max="2" width="38.7109375" style="2" customWidth="1"/>
    <col min="3" max="3" width="16.7109375" style="2"/>
    <col min="4" max="4" width="6.7109375" style="2" customWidth="1"/>
    <col min="5" max="5" width="34.7109375" style="2" customWidth="1"/>
    <col min="6" max="16384" width="16.7109375" style="2"/>
  </cols>
  <sheetData>
    <row r="1" spans="1:10" x14ac:dyDescent="0.25">
      <c r="A1" s="18"/>
      <c r="B1" s="19"/>
      <c r="C1" s="19"/>
      <c r="D1" s="19"/>
      <c r="E1" s="53" t="s">
        <v>44</v>
      </c>
      <c r="F1" s="53"/>
      <c r="G1" s="53"/>
      <c r="H1" s="54"/>
    </row>
    <row r="2" spans="1:10" x14ac:dyDescent="0.25">
      <c r="A2" s="20" t="s">
        <v>45</v>
      </c>
      <c r="B2" s="21" t="s">
        <v>46</v>
      </c>
      <c r="C2" s="21" t="s">
        <v>47</v>
      </c>
      <c r="D2" s="22"/>
      <c r="E2" s="21" t="s">
        <v>46</v>
      </c>
      <c r="F2" s="21" t="s">
        <v>48</v>
      </c>
      <c r="G2" s="21" t="s">
        <v>49</v>
      </c>
      <c r="H2" s="23" t="s">
        <v>50</v>
      </c>
    </row>
    <row r="3" spans="1:10" x14ac:dyDescent="0.25">
      <c r="A3" s="24"/>
      <c r="B3" s="24"/>
      <c r="C3" s="24"/>
      <c r="E3" s="24"/>
      <c r="F3" s="24"/>
      <c r="G3" s="24"/>
      <c r="H3" s="24"/>
    </row>
    <row r="4" spans="1:10" x14ac:dyDescent="0.25">
      <c r="A4" s="24"/>
      <c r="B4" s="25" t="s">
        <v>73</v>
      </c>
      <c r="C4" s="24"/>
      <c r="E4" s="25" t="s">
        <v>52</v>
      </c>
      <c r="F4" s="2">
        <v>1961477530</v>
      </c>
      <c r="G4" s="24"/>
      <c r="H4" s="24"/>
    </row>
    <row r="5" spans="1:10" x14ac:dyDescent="0.25">
      <c r="A5" s="26">
        <v>1</v>
      </c>
      <c r="B5" s="2" t="s">
        <v>53</v>
      </c>
      <c r="C5" s="27">
        <v>74471876.544682845</v>
      </c>
    </row>
    <row r="6" spans="1:10" x14ac:dyDescent="0.25">
      <c r="A6" s="26">
        <f>IF(B6="","",MAX(A5:A$5)+1)</f>
        <v>2</v>
      </c>
      <c r="B6" s="2" t="s">
        <v>54</v>
      </c>
      <c r="C6" s="2">
        <v>48081554.816597484</v>
      </c>
    </row>
    <row r="7" spans="1:10" x14ac:dyDescent="0.25">
      <c r="A7" s="26">
        <f>IF(B7="","",MAX(A$5:A6)+1)</f>
        <v>3</v>
      </c>
      <c r="B7" s="2" t="s">
        <v>55</v>
      </c>
      <c r="C7" s="2">
        <v>13751234.4562898</v>
      </c>
    </row>
    <row r="8" spans="1:10" x14ac:dyDescent="0.25">
      <c r="A8" s="26">
        <f>IF(B8="","",MAX(A$5:A7)+1)</f>
        <v>4</v>
      </c>
      <c r="B8" s="2" t="s">
        <v>56</v>
      </c>
      <c r="C8" s="2">
        <v>5107405.0379895531</v>
      </c>
    </row>
    <row r="9" spans="1:10" x14ac:dyDescent="0.25">
      <c r="A9" s="26">
        <f>IF(B9="","",MAX(A$5:A8)+1)</f>
        <v>5</v>
      </c>
      <c r="B9" s="2" t="s">
        <v>57</v>
      </c>
      <c r="C9" s="2">
        <v>11902485.76508522</v>
      </c>
      <c r="E9" s="2" t="s">
        <v>58</v>
      </c>
      <c r="F9" s="27">
        <f>+C5</f>
        <v>74471876.544682845</v>
      </c>
    </row>
    <row r="10" spans="1:10" x14ac:dyDescent="0.25">
      <c r="A10" s="26">
        <f>IF(B10="","",MAX(A$5:A9)+1)</f>
        <v>6</v>
      </c>
      <c r="B10" s="2" t="s">
        <v>59</v>
      </c>
      <c r="C10" s="2">
        <v>590923.74493153894</v>
      </c>
      <c r="E10" s="2" t="s">
        <v>60</v>
      </c>
      <c r="F10" s="2">
        <v>67537760</v>
      </c>
    </row>
    <row r="11" spans="1:10" x14ac:dyDescent="0.25">
      <c r="A11" s="26">
        <f>IF(B11="","",MAX(A$5:A10)+1)</f>
        <v>7</v>
      </c>
      <c r="B11" s="12" t="s">
        <v>3</v>
      </c>
      <c r="C11" s="28">
        <f>SUM(C5:C10)</f>
        <v>153905480.36557645</v>
      </c>
      <c r="E11" s="12" t="s">
        <v>61</v>
      </c>
      <c r="F11" s="28">
        <f>+F9-F10</f>
        <v>6934116.5446828455</v>
      </c>
    </row>
    <row r="12" spans="1:10" x14ac:dyDescent="0.25">
      <c r="A12" s="26" t="str">
        <f>IF(B12="","",MAX(A$5:A11)+1)</f>
        <v/>
      </c>
      <c r="I12" s="39"/>
    </row>
    <row r="13" spans="1:10" x14ac:dyDescent="0.25">
      <c r="A13" s="26" t="str">
        <f>IF(B13="","",MAX(A$5:A12)+1)</f>
        <v/>
      </c>
    </row>
    <row r="14" spans="1:10" x14ac:dyDescent="0.25">
      <c r="A14" s="26">
        <f>IF(B14="","",MAX(A$5:A13)+1)</f>
        <v>8</v>
      </c>
      <c r="B14" s="29" t="s">
        <v>74</v>
      </c>
      <c r="E14" s="30" t="s">
        <v>81</v>
      </c>
      <c r="F14" s="31" t="s">
        <v>47</v>
      </c>
      <c r="G14" s="31" t="s">
        <v>49</v>
      </c>
      <c r="H14" s="31" t="s">
        <v>63</v>
      </c>
      <c r="I14" s="31" t="s">
        <v>75</v>
      </c>
      <c r="J14" s="32" t="s">
        <v>64</v>
      </c>
    </row>
    <row r="15" spans="1:10" x14ac:dyDescent="0.25">
      <c r="A15" s="26">
        <f>IF(B15="","",MAX(A$5:A14)+1)</f>
        <v>9</v>
      </c>
      <c r="B15" s="2" t="s">
        <v>65</v>
      </c>
      <c r="C15" s="27">
        <v>74477302</v>
      </c>
      <c r="E15" s="41" t="s">
        <v>65</v>
      </c>
      <c r="F15" s="42">
        <f>+C15-F11</f>
        <v>67543185.455317155</v>
      </c>
      <c r="G15" s="41">
        <v>1961477530</v>
      </c>
      <c r="H15" s="44">
        <f>+F15/G15</f>
        <v>3.4434850474844417E-2</v>
      </c>
      <c r="I15" s="47">
        <v>3.7969999999999997E-2</v>
      </c>
      <c r="J15" s="43">
        <f>+H15/I15-1</f>
        <v>-9.3103753625377372E-2</v>
      </c>
    </row>
    <row r="16" spans="1:10" x14ac:dyDescent="0.25">
      <c r="A16" s="26">
        <f>IF(B16="","",MAX(A$5:A15)+1)</f>
        <v>10</v>
      </c>
      <c r="B16" s="2" t="s">
        <v>66</v>
      </c>
      <c r="C16" s="2">
        <v>12662928</v>
      </c>
      <c r="D16" s="10">
        <f>+C16/SUM(C16:C18)</f>
        <v>0.1453635747001519</v>
      </c>
      <c r="E16" s="34" t="s">
        <v>66</v>
      </c>
      <c r="F16" s="34">
        <f>+C8+C9</f>
        <v>17009890.803074773</v>
      </c>
      <c r="G16" s="34">
        <v>5168542</v>
      </c>
      <c r="H16" s="35">
        <f t="shared" ref="H16:H19" si="0">+F16/G16</f>
        <v>3.2910423874034058</v>
      </c>
      <c r="I16" s="46">
        <v>2.4500000000000002</v>
      </c>
      <c r="J16" s="36">
        <f>+H16/I16-1</f>
        <v>0.34328260710343095</v>
      </c>
    </row>
    <row r="17" spans="1:10" x14ac:dyDescent="0.25">
      <c r="A17" s="26">
        <f>IF(B17="","",MAX(A$5:A16)+1)</f>
        <v>11</v>
      </c>
      <c r="B17" s="2" t="s">
        <v>67</v>
      </c>
      <c r="C17" s="2">
        <v>32802649</v>
      </c>
      <c r="D17" s="10">
        <f>+C17/SUM(C16:C18)</f>
        <v>0.37655669512409479</v>
      </c>
      <c r="E17" s="41" t="s">
        <v>67</v>
      </c>
      <c r="F17" s="41">
        <f>($C$20-SUM($F$15,$F$16,$F$19))*$C$23</f>
        <v>33942560.391297579</v>
      </c>
      <c r="G17" s="41">
        <v>4265624</v>
      </c>
      <c r="H17" s="44">
        <f t="shared" si="0"/>
        <v>7.9572321403146598</v>
      </c>
      <c r="I17" s="47">
        <v>7.69</v>
      </c>
      <c r="J17" s="43">
        <f>+H17/I17-1</f>
        <v>3.4750603421932258E-2</v>
      </c>
    </row>
    <row r="18" spans="1:10" x14ac:dyDescent="0.25">
      <c r="A18" s="26">
        <f>IF(B18="","",MAX(A$5:A17)+1)</f>
        <v>12</v>
      </c>
      <c r="B18" s="2" t="s">
        <v>68</v>
      </c>
      <c r="C18" s="2">
        <v>41646535</v>
      </c>
      <c r="D18" s="10">
        <f>+C18/SUM(C16:C18)</f>
        <v>0.47807973017575328</v>
      </c>
      <c r="E18" s="34" t="s">
        <v>68</v>
      </c>
      <c r="F18" s="34">
        <f>($C$20-SUM($F$15,$F$16,$F$19))*$C$24</f>
        <v>43093776.35031049</v>
      </c>
      <c r="G18" s="34">
        <v>4189792</v>
      </c>
      <c r="H18" s="35">
        <f t="shared" si="0"/>
        <v>10.285421412401973</v>
      </c>
      <c r="I18" s="46">
        <v>9.94</v>
      </c>
      <c r="J18" s="36">
        <f>+H18/I18-1</f>
        <v>3.4750645110862566E-2</v>
      </c>
    </row>
    <row r="19" spans="1:10" x14ac:dyDescent="0.25">
      <c r="A19" s="26">
        <f>IF(B19="","",MAX(A$5:A18)+1)</f>
        <v>13</v>
      </c>
      <c r="B19" s="2" t="s">
        <v>69</v>
      </c>
      <c r="C19" s="2">
        <v>654740</v>
      </c>
      <c r="E19" s="2" t="s">
        <v>69</v>
      </c>
      <c r="F19" s="2">
        <v>654740</v>
      </c>
      <c r="G19" s="2">
        <v>49489</v>
      </c>
      <c r="H19" s="33">
        <f t="shared" si="0"/>
        <v>13.230010709450585</v>
      </c>
      <c r="I19" s="45">
        <v>13.23</v>
      </c>
      <c r="J19" s="10">
        <f>+H19/I19-1</f>
        <v>8.0948228164956504E-7</v>
      </c>
    </row>
    <row r="20" spans="1:10" x14ac:dyDescent="0.25">
      <c r="A20" s="26">
        <f>IF(B20="","",MAX(A$5:A19)+1)</f>
        <v>14</v>
      </c>
      <c r="B20" s="12" t="s">
        <v>3</v>
      </c>
      <c r="C20" s="28">
        <v>162244153</v>
      </c>
      <c r="E20" s="12" t="s">
        <v>3</v>
      </c>
      <c r="F20" s="28">
        <f>SUM(F15:F19)</f>
        <v>162244153</v>
      </c>
      <c r="G20" s="12"/>
      <c r="H20" s="12"/>
      <c r="I20" s="12"/>
      <c r="J20" s="12"/>
    </row>
    <row r="21" spans="1:10" x14ac:dyDescent="0.25">
      <c r="A21" s="26" t="str">
        <f>IF(B21="","",MAX(A$5:A20)+1)</f>
        <v/>
      </c>
    </row>
    <row r="22" spans="1:10" x14ac:dyDescent="0.25">
      <c r="A22" s="26">
        <f>IF(B22="","",MAX(A$5:A21)+1)</f>
        <v>15</v>
      </c>
      <c r="B22" s="2" t="s">
        <v>70</v>
      </c>
      <c r="C22" s="2">
        <f>SUM(C17:C18)</f>
        <v>74449184</v>
      </c>
      <c r="E22" s="2" t="s">
        <v>76</v>
      </c>
      <c r="H22" s="40">
        <f>+H17/H16</f>
        <v>2.4178455345246475</v>
      </c>
      <c r="I22" s="40">
        <f>+I17/I16</f>
        <v>3.1387755102040815</v>
      </c>
      <c r="J22" s="3">
        <f>+H22/I22-1</f>
        <v>-0.2296851027847352</v>
      </c>
    </row>
    <row r="23" spans="1:10" x14ac:dyDescent="0.25">
      <c r="A23" s="26">
        <f>IF(B23="","",MAX(A$5:A22)+1)</f>
        <v>16</v>
      </c>
      <c r="B23" s="2" t="s">
        <v>71</v>
      </c>
      <c r="C23" s="10">
        <v>0.44060454880073335</v>
      </c>
      <c r="E23" s="2" t="s">
        <v>77</v>
      </c>
      <c r="H23" s="40">
        <f>+H18/H16</f>
        <v>3.1252777089015407</v>
      </c>
      <c r="I23" s="40">
        <f>+I18/I16</f>
        <v>4.0571428571428569</v>
      </c>
      <c r="J23" s="3">
        <f>+H23/I23-1</f>
        <v>-0.22968507174962027</v>
      </c>
    </row>
    <row r="24" spans="1:10" x14ac:dyDescent="0.25">
      <c r="A24" s="26">
        <f>IF(B24="","",MAX(A$5:A23)+1)</f>
        <v>17</v>
      </c>
      <c r="B24" s="2" t="s">
        <v>72</v>
      </c>
      <c r="C24" s="10">
        <f>1-C23</f>
        <v>0.5593954511992667</v>
      </c>
    </row>
    <row r="27" spans="1:10" x14ac:dyDescent="0.25">
      <c r="A27" s="18"/>
      <c r="B27" s="19"/>
      <c r="C27" s="19"/>
      <c r="D27" s="19"/>
      <c r="E27" s="53" t="s">
        <v>83</v>
      </c>
      <c r="F27" s="53"/>
      <c r="G27" s="53"/>
      <c r="H27" s="54"/>
    </row>
    <row r="28" spans="1:10" x14ac:dyDescent="0.25">
      <c r="A28" s="20" t="s">
        <v>45</v>
      </c>
      <c r="B28" s="21" t="s">
        <v>46</v>
      </c>
      <c r="C28" s="21" t="s">
        <v>47</v>
      </c>
      <c r="D28" s="22"/>
      <c r="E28" s="21" t="s">
        <v>46</v>
      </c>
      <c r="F28" s="21" t="s">
        <v>48</v>
      </c>
      <c r="G28" s="21" t="s">
        <v>49</v>
      </c>
      <c r="H28" s="23" t="s">
        <v>50</v>
      </c>
    </row>
    <row r="29" spans="1:10" x14ac:dyDescent="0.25">
      <c r="A29" s="24"/>
      <c r="B29" s="24"/>
      <c r="C29" s="24"/>
      <c r="E29" s="24"/>
      <c r="F29" s="24"/>
      <c r="G29" s="24"/>
      <c r="H29" s="24"/>
    </row>
    <row r="30" spans="1:10" x14ac:dyDescent="0.25">
      <c r="A30" s="24"/>
      <c r="B30" s="25" t="s">
        <v>73</v>
      </c>
      <c r="C30" s="24"/>
      <c r="E30" s="25" t="s">
        <v>52</v>
      </c>
      <c r="F30" s="2">
        <v>1961477530</v>
      </c>
      <c r="G30" s="24"/>
      <c r="H30" s="24"/>
    </row>
    <row r="31" spans="1:10" x14ac:dyDescent="0.25">
      <c r="A31" s="26">
        <v>1</v>
      </c>
      <c r="B31" s="2" t="s">
        <v>53</v>
      </c>
      <c r="C31" s="27">
        <f>C5</f>
        <v>74471876.544682845</v>
      </c>
      <c r="D31" s="3">
        <f>+C31/$C$37</f>
        <v>0.48388060235273944</v>
      </c>
    </row>
    <row r="32" spans="1:10" x14ac:dyDescent="0.25">
      <c r="A32" s="26">
        <f>IF(B32="","",MAX(A$31:A31)+1)</f>
        <v>2</v>
      </c>
      <c r="B32" s="2" t="s">
        <v>54</v>
      </c>
      <c r="C32" s="2">
        <f>C6</f>
        <v>48081554.816597484</v>
      </c>
      <c r="D32" s="3">
        <f t="shared" ref="D32:D36" si="1">+C32/$C$37</f>
        <v>0.31240963416239553</v>
      </c>
    </row>
    <row r="33" spans="1:10" x14ac:dyDescent="0.25">
      <c r="A33" s="26">
        <f>IF(B33="","",MAX(A$31:A32)+1)</f>
        <v>3</v>
      </c>
      <c r="B33" s="2" t="s">
        <v>55</v>
      </c>
      <c r="C33" s="2">
        <f t="shared" ref="C33:C36" si="2">C7</f>
        <v>13751234.4562898</v>
      </c>
      <c r="D33" s="3">
        <f t="shared" si="1"/>
        <v>8.9348569158330601E-2</v>
      </c>
    </row>
    <row r="34" spans="1:10" x14ac:dyDescent="0.25">
      <c r="A34" s="26">
        <f>IF(B34="","",MAX(A$31:A33)+1)</f>
        <v>4</v>
      </c>
      <c r="B34" s="2" t="s">
        <v>56</v>
      </c>
      <c r="C34" s="2">
        <f t="shared" si="2"/>
        <v>5107405.0379895531</v>
      </c>
      <c r="D34" s="3">
        <f t="shared" si="1"/>
        <v>3.3185335738907903E-2</v>
      </c>
      <c r="H34" s="10"/>
    </row>
    <row r="35" spans="1:10" x14ac:dyDescent="0.25">
      <c r="A35" s="26">
        <f>IF(B35="","",MAX(A$31:A34)+1)</f>
        <v>5</v>
      </c>
      <c r="B35" s="2" t="s">
        <v>57</v>
      </c>
      <c r="C35" s="2">
        <f t="shared" si="2"/>
        <v>11902485.76508522</v>
      </c>
      <c r="D35" s="3">
        <f t="shared" si="1"/>
        <v>7.7336334851838134E-2</v>
      </c>
      <c r="E35" s="2" t="s">
        <v>58</v>
      </c>
      <c r="F35" s="27">
        <f>+C31</f>
        <v>74471876.544682845</v>
      </c>
    </row>
    <row r="36" spans="1:10" x14ac:dyDescent="0.25">
      <c r="A36" s="26">
        <f>IF(B36="","",MAX(A$31:A35)+1)</f>
        <v>6</v>
      </c>
      <c r="B36" s="2" t="s">
        <v>59</v>
      </c>
      <c r="C36" s="2">
        <f t="shared" si="2"/>
        <v>590923.74493153894</v>
      </c>
      <c r="D36" s="3">
        <f t="shared" si="1"/>
        <v>3.8395237357883522E-3</v>
      </c>
      <c r="E36" s="2" t="s">
        <v>60</v>
      </c>
      <c r="F36" s="2">
        <v>67543186</v>
      </c>
      <c r="H36" s="3"/>
    </row>
    <row r="37" spans="1:10" x14ac:dyDescent="0.25">
      <c r="A37" s="26">
        <f>IF(B37="","",MAX(A$31:A36)+1)</f>
        <v>7</v>
      </c>
      <c r="B37" s="12" t="s">
        <v>3</v>
      </c>
      <c r="C37" s="28">
        <f>SUM(C31:C36)</f>
        <v>153905480.36557645</v>
      </c>
      <c r="E37" s="12" t="s">
        <v>61</v>
      </c>
      <c r="F37" s="28">
        <f>+F35-F36</f>
        <v>6928690.5446828455</v>
      </c>
      <c r="I37" s="39"/>
    </row>
    <row r="38" spans="1:10" x14ac:dyDescent="0.25">
      <c r="A38" s="26" t="str">
        <f>IF(B38="","",MAX(A$31:A37)+1)</f>
        <v/>
      </c>
    </row>
    <row r="39" spans="1:10" x14ac:dyDescent="0.25">
      <c r="A39" s="26" t="str">
        <f>IF(B39="","",MAX(A$31:A38)+1)</f>
        <v/>
      </c>
    </row>
    <row r="40" spans="1:10" x14ac:dyDescent="0.25">
      <c r="A40" s="26">
        <f>IF(B40="","",MAX(A$31:A39)+1)</f>
        <v>8</v>
      </c>
      <c r="B40" s="29" t="s">
        <v>74</v>
      </c>
      <c r="E40" s="30" t="s">
        <v>48</v>
      </c>
      <c r="F40" s="31" t="s">
        <v>47</v>
      </c>
      <c r="G40" s="31" t="s">
        <v>49</v>
      </c>
      <c r="H40" s="31" t="s">
        <v>84</v>
      </c>
      <c r="I40" s="31" t="s">
        <v>75</v>
      </c>
      <c r="J40" s="32" t="s">
        <v>64</v>
      </c>
    </row>
    <row r="41" spans="1:10" x14ac:dyDescent="0.25">
      <c r="A41" s="26">
        <f>IF(B41="","",MAX(A$31:A40)+1)</f>
        <v>9</v>
      </c>
      <c r="B41" s="2" t="s">
        <v>65</v>
      </c>
      <c r="C41" s="27">
        <v>74477302</v>
      </c>
      <c r="E41" s="48" t="s">
        <v>65</v>
      </c>
      <c r="F41" s="49">
        <f>C41</f>
        <v>74477302</v>
      </c>
      <c r="G41" s="48">
        <v>1961477530</v>
      </c>
      <c r="H41" s="45">
        <f>+F41/G41</f>
        <v>3.797000009477549E-2</v>
      </c>
      <c r="I41" s="45">
        <f>I15</f>
        <v>3.7969999999999997E-2</v>
      </c>
      <c r="J41" s="50">
        <f>+H41/I41-1</f>
        <v>2.496062467827187E-9</v>
      </c>
    </row>
    <row r="42" spans="1:10" x14ac:dyDescent="0.25">
      <c r="A42" s="26">
        <f>IF(B42="","",MAX(A$31:A41)+1)</f>
        <v>10</v>
      </c>
      <c r="B42" s="2" t="s">
        <v>66</v>
      </c>
      <c r="C42" s="2">
        <v>12662928</v>
      </c>
      <c r="E42" s="51" t="s">
        <v>66</v>
      </c>
      <c r="F42" s="51">
        <f>+C33+C34+C35</f>
        <v>30761125.259364575</v>
      </c>
      <c r="G42" s="51">
        <v>5168542</v>
      </c>
      <c r="H42" s="46">
        <f t="shared" ref="H42:H45" si="3">+F42/G42</f>
        <v>5.951605938263552</v>
      </c>
      <c r="I42" s="46">
        <f>I16</f>
        <v>2.4500000000000002</v>
      </c>
      <c r="J42" s="52">
        <f>+H42/I42-1</f>
        <v>1.4292269135769597</v>
      </c>
    </row>
    <row r="43" spans="1:10" x14ac:dyDescent="0.25">
      <c r="A43" s="26">
        <f>IF(B43="","",MAX(A$31:A42)+1)</f>
        <v>11</v>
      </c>
      <c r="B43" s="2" t="s">
        <v>67</v>
      </c>
      <c r="C43" s="2">
        <v>32802649</v>
      </c>
      <c r="E43" s="48" t="s">
        <v>67</v>
      </c>
      <c r="F43" s="48">
        <f>($C$46-SUM($F$41,$F$42,$F$45))*$C$49</f>
        <v>24828500.646729231</v>
      </c>
      <c r="G43" s="48">
        <v>4265624</v>
      </c>
      <c r="H43" s="45">
        <f t="shared" si="3"/>
        <v>5.820602248751702</v>
      </c>
      <c r="I43" s="45">
        <f>I17</f>
        <v>7.69</v>
      </c>
      <c r="J43" s="50">
        <f>+H43/I43-1</f>
        <v>-0.24309463605309467</v>
      </c>
    </row>
    <row r="44" spans="1:10" x14ac:dyDescent="0.25">
      <c r="A44" s="26">
        <f>IF(B44="","",MAX(A$31:A43)+1)</f>
        <v>12</v>
      </c>
      <c r="B44" s="2" t="s">
        <v>68</v>
      </c>
      <c r="C44" s="2">
        <v>41646535</v>
      </c>
      <c r="E44" s="51" t="s">
        <v>68</v>
      </c>
      <c r="F44" s="51">
        <f>($C$46-SUM($F$41,$F$42,$F$45))*$C$50</f>
        <v>31522485.093906198</v>
      </c>
      <c r="G44" s="51">
        <v>4189792</v>
      </c>
      <c r="H44" s="46">
        <f t="shared" si="3"/>
        <v>7.5236396207511493</v>
      </c>
      <c r="I44" s="46">
        <f>I18</f>
        <v>9.94</v>
      </c>
      <c r="J44" s="52">
        <f>+H44/I44-1</f>
        <v>-0.24309460555823448</v>
      </c>
    </row>
    <row r="45" spans="1:10" x14ac:dyDescent="0.25">
      <c r="A45" s="26">
        <f>IF(B45="","",MAX(A$31:A44)+1)</f>
        <v>13</v>
      </c>
      <c r="B45" s="2" t="s">
        <v>69</v>
      </c>
      <c r="C45" s="2">
        <v>654740</v>
      </c>
      <c r="E45" s="48" t="s">
        <v>69</v>
      </c>
      <c r="F45" s="48">
        <f>+C45</f>
        <v>654740</v>
      </c>
      <c r="G45" s="48">
        <v>49489</v>
      </c>
      <c r="H45" s="45">
        <f t="shared" si="3"/>
        <v>13.230010709450585</v>
      </c>
      <c r="I45" s="45">
        <f>I19</f>
        <v>13.23</v>
      </c>
      <c r="J45" s="50">
        <f>+H45/I45-1</f>
        <v>8.0948228164956504E-7</v>
      </c>
    </row>
    <row r="46" spans="1:10" x14ac:dyDescent="0.25">
      <c r="A46" s="26">
        <f>IF(B46="","",MAX(A$31:A45)+1)</f>
        <v>14</v>
      </c>
      <c r="B46" s="12" t="s">
        <v>3</v>
      </c>
      <c r="C46" s="28">
        <v>162244153</v>
      </c>
      <c r="E46" s="12" t="s">
        <v>3</v>
      </c>
      <c r="F46" s="28">
        <f>SUM(F41:F45)</f>
        <v>162244153</v>
      </c>
      <c r="G46" s="12"/>
      <c r="H46" s="12"/>
      <c r="I46" s="12"/>
      <c r="J46" s="12"/>
    </row>
    <row r="47" spans="1:10" x14ac:dyDescent="0.25">
      <c r="A47" s="26" t="str">
        <f>IF(B47="","",MAX(A$31:A46)+1)</f>
        <v/>
      </c>
    </row>
    <row r="48" spans="1:10" x14ac:dyDescent="0.25">
      <c r="A48" s="26">
        <f>IF(B48="","",MAX(A$31:A47)+1)</f>
        <v>15</v>
      </c>
      <c r="B48" s="2" t="s">
        <v>70</v>
      </c>
      <c r="C48" s="2">
        <f>SUM(C43:C44)</f>
        <v>74449184</v>
      </c>
      <c r="E48" s="2" t="s">
        <v>76</v>
      </c>
      <c r="H48" s="40">
        <f>+H43/H42</f>
        <v>0.97798851421435473</v>
      </c>
      <c r="I48" s="40">
        <f>+I43/I42</f>
        <v>3.1387755102040815</v>
      </c>
      <c r="J48" s="3">
        <f>+H48/I48-1</f>
        <v>-0.68841718337774127</v>
      </c>
    </row>
    <row r="49" spans="1:10" x14ac:dyDescent="0.25">
      <c r="A49" s="26">
        <f>IF(B49="","",MAX(A$31:A48)+1)</f>
        <v>16</v>
      </c>
      <c r="B49" s="2" t="s">
        <v>71</v>
      </c>
      <c r="C49" s="10">
        <f>C23</f>
        <v>0.44060454880073335</v>
      </c>
      <c r="E49" s="2" t="s">
        <v>77</v>
      </c>
      <c r="H49" s="40">
        <f>+H44/H42</f>
        <v>1.2641360497980576</v>
      </c>
      <c r="I49" s="40">
        <f>+I44/I42</f>
        <v>4.0571428571428569</v>
      </c>
      <c r="J49" s="3">
        <f>+H49/I49-1</f>
        <v>-0.68841717082442244</v>
      </c>
    </row>
    <row r="50" spans="1:10" x14ac:dyDescent="0.25">
      <c r="A50" s="26">
        <f>IF(B50="","",MAX(A$31:A49)+1)</f>
        <v>17</v>
      </c>
      <c r="B50" s="2" t="s">
        <v>72</v>
      </c>
      <c r="C50" s="10">
        <f>C24</f>
        <v>0.5593954511992667</v>
      </c>
    </row>
    <row r="51" spans="1:10" x14ac:dyDescent="0.25">
      <c r="C51" s="37"/>
    </row>
  </sheetData>
  <mergeCells count="2">
    <mergeCell ref="E1:H1"/>
    <mergeCell ref="E27:H27"/>
  </mergeCells>
  <pageMargins left="0.7" right="0.7" top="0.75" bottom="0.75" header="0.3" footer="0.3"/>
  <headerFooter>
    <oddFooter>&amp;L_x000D_&amp;1#&amp;"Calibri"&amp;14&amp;K000000 Business Use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 xsi:nil="true"/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 xsi:nil="true"/>
    <Year xmlns="54fcda00-7b58-44a7-b108-8bd10a8a08ba">2025</Year>
    <Document_x0020_Type xmlns="54fcda00-7b58-44a7-b108-8bd10a8a08ba">Rebuttal Testimony</Document_x0020_Type>
    <Witness_x0020_Testimony xmlns="54fcda00-7b58-44a7-b108-8bd10a8a08ba">Lyons, Tim S. (ScottMadden Inc)</Witness_x0020_Testimony>
    <Intervemprs xmlns="54fcda00-7b58-44a7-b108-8bd10a8a08ba" xsi:nil="true"/>
    <Filed_x0020_Documents xmlns="54fcda00-7b58-44a7-b108-8bd10a8a08ba" xsi:nil="true"/>
    <Department xmlns="54fcda00-7b58-44a7-b108-8bd10a8a08ba" xsi:nil="true"/>
  </documentManagement>
</p:properties>
</file>

<file path=customXml/itemProps1.xml><?xml version="1.0" encoding="utf-8"?>
<ds:datastoreItem xmlns:ds="http://schemas.openxmlformats.org/officeDocument/2006/customXml" ds:itemID="{E81506E6-6322-42DC-8B8F-5F1EDAFC9CFE}"/>
</file>

<file path=customXml/itemProps2.xml><?xml version="1.0" encoding="utf-8"?>
<ds:datastoreItem xmlns:ds="http://schemas.openxmlformats.org/officeDocument/2006/customXml" ds:itemID="{364C6818-8D5E-4161-A82A-4B1A009AD849}"/>
</file>

<file path=customXml/itemProps3.xml><?xml version="1.0" encoding="utf-8"?>
<ds:datastoreItem xmlns:ds="http://schemas.openxmlformats.org/officeDocument/2006/customXml" ds:itemID="{6BF64CAA-F80E-41EF-9096-489EAC27C2E6}"/>
</file>

<file path=customXml/itemProps4.xml><?xml version="1.0" encoding="utf-8"?>
<ds:datastoreItem xmlns:ds="http://schemas.openxmlformats.org/officeDocument/2006/customXml" ds:itemID="{EB7119BB-D5FE-4A0C-9AC1-E7399EB1841A}"/>
</file>

<file path=customXml/itemProps5.xml><?xml version="1.0" encoding="utf-8"?>
<ds:datastoreItem xmlns:ds="http://schemas.openxmlformats.org/officeDocument/2006/customXml" ds:itemID="{2E6CAE17-CF5D-47A0-9536-4004F169E8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Class Alloc AG-KIUC</vt:lpstr>
      <vt:lpstr>FERC Accounts 512-514</vt:lpstr>
      <vt:lpstr>Class Alloc KU 30pct LGE 25pct</vt:lpstr>
      <vt:lpstr>KU DoD-FEA Rate Design</vt:lpstr>
      <vt:lpstr>LG&amp;E DoD-FEA Rate Design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Lyons</dc:creator>
  <cp:lastModifiedBy>Tieu, My</cp:lastModifiedBy>
  <dcterms:created xsi:type="dcterms:W3CDTF">2025-09-13T14:37:33Z</dcterms:created>
  <dcterms:modified xsi:type="dcterms:W3CDTF">2025-09-30T13:35:16Z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2025-09-30T13:34:49Z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9ec7e8e5-61ae-400b-8ff2-c4a2e967e0d6</vt:lpwstr>
  </property>
  <property fmtid="{D5CDD505-2E9C-101B-9397-08002B2CF9AE}" pid="8" name="MSIP_Label_e0c8e74a-db15-49f1-980d-3d74f2e3ff07_ContentBits">
    <vt:lpwstr>2</vt:lpwstr>
  </property>
  <property fmtid="{D5CDD505-2E9C-101B-9397-08002B2CF9AE}" pid="9" name="MSIP_Label_e0c8e74a-db15-49f1-980d-3d74f2e3ff07_Tag">
    <vt:lpwstr>10, 0, 1, 1</vt:lpwstr>
  </property>
  <property fmtid="{D5CDD505-2E9C-101B-9397-08002B2CF9AE}" pid="10" name="ContentTypeId">
    <vt:lpwstr>0x0101002D0103853DF7894DB347713A7250CD66</vt:lpwstr>
  </property>
</Properties>
</file>