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projects.sp.lgeenergy.int/sites/RegFilings/Rate Case Documents/"/>
    </mc:Choice>
  </mc:AlternateContent>
  <xr:revisionPtr revIDLastSave="0" documentId="14_{5B9C539D-A1BB-4EA4-AA34-C217C7F2A237}" xr6:coauthVersionLast="47" xr6:coauthVersionMax="47" xr10:uidLastSave="{00000000-0000-0000-0000-000000000000}"/>
  <bookViews>
    <workbookView xWindow="-108" yWindow="-108" windowWidth="23256" windowHeight="13896" xr2:uid="{00000000-000D-0000-FFFF-FFFF00000000}"/>
  </bookViews>
  <sheets>
    <sheet name="Pension" sheetId="7" r:id="rId1"/>
    <sheet name="OPEB" sheetId="8" r:id="rId2"/>
    <sheet name="LGE 254.11" sheetId="17" r:id="rId3"/>
    <sheet name="LGE 2018 Pension Contribution" sheetId="9" r:id="rId4"/>
    <sheet name="LGE 2018 Pension Contrib. Union" sheetId="10" r:id="rId5"/>
    <sheet name="LGE 2019 Pension Contribution" sheetId="11" r:id="rId6"/>
    <sheet name="LGE 2020 Pension Contribution" sheetId="12" r:id="rId7"/>
    <sheet name="LGE 2020 Pension Contribution 2" sheetId="13" r:id="rId8"/>
    <sheet name="KU 2018 Pension Contribution" sheetId="14" r:id="rId9"/>
    <sheet name="KU 2020 Pension Contribution" sheetId="15" r:id="rId10"/>
    <sheet name="KU 2020 Pension Contribution 2" sheetId="16" r:id="rId11"/>
  </sheets>
  <definedNames>
    <definedName name="_xlnm.Print_Area" localSheetId="0">Pension!$A$3:$P$36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8" l="1"/>
  <c r="N5" i="17"/>
  <c r="M5" i="17"/>
  <c r="L5" i="17"/>
  <c r="K5" i="17"/>
  <c r="J5" i="17"/>
  <c r="I5" i="17"/>
  <c r="H5" i="17"/>
  <c r="G5" i="17"/>
  <c r="F5" i="17"/>
  <c r="E5" i="17"/>
  <c r="D5" i="17"/>
  <c r="C5" i="17"/>
  <c r="B5" i="17"/>
  <c r="O5" i="17" s="1"/>
  <c r="O4" i="17"/>
  <c r="O3" i="17"/>
  <c r="I30" i="7" l="1"/>
  <c r="I30" i="8" l="1"/>
  <c r="I25" i="8"/>
  <c r="I12" i="8"/>
  <c r="I27" i="7"/>
  <c r="I26" i="7"/>
  <c r="I9" i="7" l="1"/>
  <c r="I8" i="7"/>
  <c r="K11" i="7"/>
  <c r="I11" i="7"/>
  <c r="I24" i="7"/>
  <c r="I10" i="7" l="1"/>
  <c r="I13" i="7"/>
  <c r="I12" i="7"/>
  <c r="K12" i="7"/>
  <c r="I28" i="7" l="1"/>
  <c r="I29" i="7" l="1"/>
  <c r="B16" i="8" l="1"/>
  <c r="I14" i="7"/>
  <c r="I14" i="8" l="1"/>
  <c r="B32" i="7"/>
  <c r="C16" i="7"/>
  <c r="B16" i="7"/>
  <c r="C32" i="8"/>
  <c r="B32" i="8"/>
  <c r="J14" i="8" l="1"/>
  <c r="J28" i="8"/>
  <c r="J13" i="8" l="1"/>
  <c r="I13" i="8"/>
  <c r="J29" i="8"/>
  <c r="I29" i="8"/>
  <c r="I28" i="8" l="1"/>
  <c r="B27" i="8" l="1"/>
  <c r="K27" i="8"/>
  <c r="J11" i="8"/>
  <c r="K11" i="8"/>
  <c r="J27" i="8"/>
  <c r="I11" i="8"/>
  <c r="I27" i="8"/>
  <c r="B28" i="8"/>
  <c r="N27" i="8" l="1"/>
  <c r="N28" i="8"/>
  <c r="N29" i="8"/>
  <c r="N30" i="8"/>
  <c r="B14" i="8" l="1"/>
  <c r="N14" i="8" l="1"/>
  <c r="N13" i="8"/>
  <c r="P13" i="8" s="1"/>
  <c r="N12" i="8"/>
  <c r="P12" i="8" s="1"/>
  <c r="N11" i="8"/>
  <c r="P11" i="8" s="1"/>
  <c r="N10" i="8"/>
  <c r="N9" i="8"/>
  <c r="L30" i="8"/>
  <c r="J30" i="8"/>
  <c r="P30" i="8" l="1"/>
  <c r="L29" i="8"/>
  <c r="J12" i="8" l="1"/>
  <c r="L28" i="8"/>
  <c r="L27" i="8" l="1"/>
  <c r="B11" i="8" l="1"/>
  <c r="L14" i="7" l="1"/>
  <c r="L13" i="7"/>
  <c r="L28" i="7"/>
  <c r="N30" i="7" l="1"/>
  <c r="N29" i="7"/>
  <c r="N28" i="7"/>
  <c r="N14" i="7"/>
  <c r="N13" i="7"/>
  <c r="N12" i="7"/>
  <c r="L27" i="7"/>
  <c r="K27" i="7"/>
  <c r="N11" i="7"/>
  <c r="E14" i="8"/>
  <c r="E30" i="8"/>
  <c r="B30" i="8"/>
  <c r="C30" i="7"/>
  <c r="B30" i="7"/>
  <c r="E30" i="7" s="1"/>
  <c r="E14" i="7"/>
  <c r="C14" i="7"/>
  <c r="B14" i="7"/>
  <c r="E13" i="8"/>
  <c r="B13" i="8"/>
  <c r="B29" i="8"/>
  <c r="E29" i="8"/>
  <c r="E28" i="8"/>
  <c r="C29" i="7"/>
  <c r="E29" i="7" s="1"/>
  <c r="C28" i="7"/>
  <c r="E13" i="7"/>
  <c r="C13" i="7"/>
  <c r="E28" i="7"/>
  <c r="E27" i="8"/>
  <c r="E11" i="8"/>
  <c r="E12" i="8"/>
  <c r="B12" i="8"/>
  <c r="N27" i="7" l="1"/>
  <c r="C12" i="7"/>
  <c r="E12" i="7" s="1"/>
  <c r="C27" i="7" l="1"/>
  <c r="E27" i="7" s="1"/>
  <c r="C11" i="7"/>
  <c r="E11" i="7" s="1"/>
  <c r="G13" i="7"/>
  <c r="P13" i="7" s="1"/>
  <c r="G14" i="7"/>
  <c r="P14" i="7" s="1"/>
  <c r="G29" i="7"/>
  <c r="P29" i="7" s="1"/>
  <c r="G30" i="7"/>
  <c r="P30" i="7" s="1"/>
  <c r="G28" i="8"/>
  <c r="P28" i="8" s="1"/>
  <c r="G29" i="8"/>
  <c r="P29" i="8" s="1"/>
  <c r="G30" i="8"/>
  <c r="G12" i="8"/>
  <c r="G13" i="8"/>
  <c r="G14" i="8"/>
  <c r="P14" i="8" s="1"/>
  <c r="G11" i="8"/>
  <c r="G12" i="7" l="1"/>
  <c r="P12" i="7" s="1"/>
  <c r="G28" i="7"/>
  <c r="P28" i="7" s="1"/>
  <c r="G27" i="8"/>
  <c r="P27" i="8" s="1"/>
  <c r="N24" i="8" l="1"/>
  <c r="N8" i="8"/>
  <c r="E7" i="8" l="1"/>
  <c r="E8" i="8"/>
  <c r="E9" i="8"/>
  <c r="E10" i="8"/>
  <c r="E16" i="8"/>
  <c r="E23" i="8"/>
  <c r="E24" i="8"/>
  <c r="E25" i="8"/>
  <c r="N25" i="8"/>
  <c r="E26" i="8"/>
  <c r="G26" i="8" s="1"/>
  <c r="N26" i="8"/>
  <c r="E32" i="8"/>
  <c r="C7" i="7"/>
  <c r="E7" i="7" s="1"/>
  <c r="C8" i="7"/>
  <c r="E8" i="7" s="1"/>
  <c r="N8" i="7"/>
  <c r="B9" i="7"/>
  <c r="C9" i="7"/>
  <c r="N9" i="7"/>
  <c r="C10" i="7"/>
  <c r="E10" i="7" s="1"/>
  <c r="G11" i="7" s="1"/>
  <c r="P11" i="7" s="1"/>
  <c r="K10" i="7"/>
  <c r="L10" i="7"/>
  <c r="E16" i="7"/>
  <c r="E23" i="7"/>
  <c r="E24" i="7"/>
  <c r="N24" i="7"/>
  <c r="E25" i="7"/>
  <c r="N25" i="7"/>
  <c r="E26" i="7"/>
  <c r="G27" i="7" s="1"/>
  <c r="P27" i="7" s="1"/>
  <c r="N26" i="7"/>
  <c r="E32" i="7"/>
  <c r="G25" i="7" l="1"/>
  <c r="P26" i="8"/>
  <c r="G9" i="8"/>
  <c r="P9" i="8" s="1"/>
  <c r="G8" i="8"/>
  <c r="P8" i="8" s="1"/>
  <c r="G25" i="8"/>
  <c r="P25" i="8" s="1"/>
  <c r="E9" i="7"/>
  <c r="G9" i="7" s="1"/>
  <c r="P9" i="7" s="1"/>
  <c r="N10" i="7"/>
  <c r="G8" i="7"/>
  <c r="P8" i="7" s="1"/>
  <c r="P25" i="7"/>
  <c r="G24" i="7"/>
  <c r="P24" i="7" s="1"/>
  <c r="G26" i="7"/>
  <c r="P26" i="7" s="1"/>
  <c r="G24" i="8"/>
  <c r="P24" i="8" s="1"/>
  <c r="G10" i="8"/>
  <c r="P10" i="8" s="1"/>
  <c r="G10" i="7" l="1"/>
  <c r="P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 Harder</author>
  </authors>
  <commentList>
    <comment ref="I14" authorId="0" shapeId="0" xr:uid="{E44509D6-010B-4BDD-9C0C-A587909D5B6A}">
      <text>
        <r>
          <rPr>
            <b/>
            <sz val="9"/>
            <color indexed="81"/>
            <rFont val="Tahoma"/>
            <family val="2"/>
          </rPr>
          <t>Tim Harder:</t>
        </r>
        <r>
          <rPr>
            <sz val="9"/>
            <color indexed="81"/>
            <rFont val="Tahoma"/>
            <family val="2"/>
          </rPr>
          <t xml:space="preserve">
$1,647 LG&amp;E Restitution payment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Tim Harder</author>
    <author>Garrett, Christopher</author>
  </authors>
  <commentList>
    <comment ref="C16" authorId="0" shapeId="0" xr:uid="{28BF638D-EDC2-43CE-8A0A-C910A4F2754C}">
      <text>
        <r>
          <rPr>
            <sz val="9"/>
            <color indexed="81"/>
            <rFont val="Tahoma"/>
            <family val="2"/>
          </rPr>
          <t xml:space="preserve">For LG&amp;E Electric and Gas, Account 254 was not provided in the Cash Working Capital Components Sch. B-5.2; Details on Tab LGE 254.11 tie to DR AG-KIUC 1-36
</t>
        </r>
      </text>
    </comment>
    <comment ref="D16" authorId="1" shapeId="0" xr:uid="{69900CE6-0DE6-4F33-BD13-FC8FA941DD9C}">
      <text>
        <r>
          <rPr>
            <sz val="9"/>
            <color indexed="81"/>
            <rFont val="Tahoma"/>
            <family val="2"/>
          </rPr>
          <t>Per cwcBS Schedule B Electric &amp; Gas and
AG-KIUC 1-85(a)</t>
        </r>
      </text>
    </comment>
    <comment ref="D32" authorId="1" shapeId="0" xr:uid="{D85B0B2A-6A90-463F-907F-CDBDCB1122DF}">
      <text>
        <r>
          <rPr>
            <b/>
            <sz val="9"/>
            <color indexed="81"/>
            <rFont val="Tahoma"/>
            <family val="2"/>
          </rPr>
          <t>Per BS, Schedule B 184.5</t>
        </r>
      </text>
    </comment>
  </commentList>
</comments>
</file>

<file path=xl/sharedStrings.xml><?xml version="1.0" encoding="utf-8"?>
<sst xmlns="http://schemas.openxmlformats.org/spreadsheetml/2006/main" count="129" uniqueCount="47">
  <si>
    <t>12/31 Balance</t>
  </si>
  <si>
    <t>Regulatory Asset/(Liability)</t>
  </si>
  <si>
    <t>Pension</t>
  </si>
  <si>
    <t>Prepaid/(Liability)</t>
  </si>
  <si>
    <t>OPEB</t>
  </si>
  <si>
    <t>Full-Year</t>
  </si>
  <si>
    <t>Contributions</t>
  </si>
  <si>
    <t>LG&amp;E</t>
  </si>
  <si>
    <t>KU</t>
  </si>
  <si>
    <t>Notes Receivable</t>
  </si>
  <si>
    <t>Cost/(Credit)</t>
  </si>
  <si>
    <t>Clearing</t>
  </si>
  <si>
    <t>Subsidy</t>
  </si>
  <si>
    <t>Accum. Pension</t>
  </si>
  <si>
    <t>LKS</t>
  </si>
  <si>
    <t xml:space="preserve">KU </t>
  </si>
  <si>
    <t>in excess of NPPC</t>
  </si>
  <si>
    <t>Change in Balance</t>
  </si>
  <si>
    <t>Annual Activity</t>
  </si>
  <si>
    <t>Check Digit</t>
  </si>
  <si>
    <t>Accum. OPEB</t>
  </si>
  <si>
    <t>(1) Utility payments to LKS to fund the difference between actuarial gains and losses amortization for GAAP (double corridor) and Kentucky ratemaking purposes (15 years).</t>
  </si>
  <si>
    <t>(2) KU intercompany payments to LG&amp;E for the difference between actuarial gains and losses amortization for GAAP (double corridor) and Kentucky ratemaking purposes (15 years).  These intercompany payments primarily relate to the joint ownership of Trimble Co. 2 and Cane Run 7.</t>
  </si>
  <si>
    <t>Pension Balances Rollforward</t>
  </si>
  <si>
    <t>OPEB Balances Rollforward</t>
  </si>
  <si>
    <r>
      <t xml:space="preserve">Fundings </t>
    </r>
    <r>
      <rPr>
        <vertAlign val="superscript"/>
        <sz val="11"/>
        <color theme="1"/>
        <rFont val="Calibri"/>
        <family val="2"/>
      </rPr>
      <t>(1)</t>
    </r>
  </si>
  <si>
    <r>
      <t xml:space="preserve">Fundings </t>
    </r>
    <r>
      <rPr>
        <vertAlign val="superscript"/>
        <sz val="11"/>
        <color theme="1"/>
        <rFont val="Calibri"/>
        <family val="2"/>
      </rPr>
      <t>(2)</t>
    </r>
  </si>
  <si>
    <t>13 Mo. Avg TYE 12/31/26</t>
  </si>
  <si>
    <t>FERC Balance Sheet ($)</t>
  </si>
  <si>
    <t>Dec - 2025</t>
  </si>
  <si>
    <t>Jan - 2026</t>
  </si>
  <si>
    <t>Feb - 2026</t>
  </si>
  <si>
    <t>Mar - 2026</t>
  </si>
  <si>
    <t>Apr - 2026</t>
  </si>
  <si>
    <t>May - 2026</t>
  </si>
  <si>
    <t>Jun - 2026</t>
  </si>
  <si>
    <t>Jul - 2026</t>
  </si>
  <si>
    <t>Aug - 2026</t>
  </si>
  <si>
    <t>Sep - 2026</t>
  </si>
  <si>
    <t>Oct - 2026</t>
  </si>
  <si>
    <t>Nov - 2026</t>
  </si>
  <si>
    <t>Dec - 2026</t>
  </si>
  <si>
    <t>13 mos avg</t>
  </si>
  <si>
    <t>254.11 - Other Reg Liab LT Postretirement</t>
  </si>
  <si>
    <t>LGE Electric</t>
  </si>
  <si>
    <t>LGE Gas</t>
  </si>
  <si>
    <t>Total LGE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</si>
</sst>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_);[Red]\(#,##0\);&quot; &quot;"/>
  </numFmts>
  <fonts count="8" x14ac:knownFonts="1">
    <font>
      <sz val="11"/>
      <color theme="1"/>
      <name val="Calibri"/>
      <family val="2"/>
      <scheme val="minor"/>
    </font>
    <font>
      <sz val="11"/>
      <color theme="1"/>
      <name val="Calibri"/>
      <family val="2"/>
      <scheme val="minor"/>
    </font>
    <font>
      <b/>
      <sz val="11"/>
      <color theme="1"/>
      <name val="Calibri"/>
      <family val="2"/>
      <scheme val="minor"/>
    </font>
    <font>
      <vertAlign val="superscript"/>
      <sz val="11"/>
      <color theme="1"/>
      <name val="Calibri"/>
      <family val="2"/>
    </font>
    <font>
      <sz val="11"/>
      <color indexed="8"/>
      <name val="Calibri"/>
      <family val="2"/>
      <scheme val="minor"/>
    </font>
    <font>
      <b/>
      <sz val="9"/>
      <color indexed="81"/>
      <name val="Tahoma"/>
      <family val="2"/>
    </font>
    <font>
      <sz val="9"/>
      <color indexed="81"/>
      <name val="Tahoma"/>
      <family val="2"/>
    </font>
    <font>
      <sz val="9"/>
      <name val="Calibri"/>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19">
    <xf numFmtId="0" fontId="0" fillId="0" borderId="0" xfId="0"/>
    <xf numFmtId="0" fontId="0" fillId="0" borderId="1" xfId="0" applyBorder="1" applyAlignment="1">
      <alignment horizontal="center"/>
    </xf>
    <xf numFmtId="164" fontId="0" fillId="0" borderId="0" xfId="0" applyNumberFormat="1"/>
    <xf numFmtId="164" fontId="2" fillId="0" borderId="0" xfId="1" applyNumberFormat="1" applyFont="1" applyFill="1" applyBorder="1"/>
    <xf numFmtId="164" fontId="0" fillId="0" borderId="0" xfId="1" applyNumberFormat="1" applyFont="1" applyFill="1"/>
    <xf numFmtId="0" fontId="0" fillId="0" borderId="0" xfId="0" applyAlignment="1">
      <alignment horizontal="left" indent="1"/>
    </xf>
    <xf numFmtId="0" fontId="2" fillId="0" borderId="0" xfId="0" applyFont="1"/>
    <xf numFmtId="0" fontId="0" fillId="0" borderId="0" xfId="0" quotePrefix="1" applyAlignment="1">
      <alignment horizontal="center"/>
    </xf>
    <xf numFmtId="0" fontId="0" fillId="0" borderId="0" xfId="0" applyAlignment="1">
      <alignment horizontal="center"/>
    </xf>
    <xf numFmtId="164" fontId="1" fillId="0" borderId="0" xfId="1" applyNumberFormat="1" applyFont="1" applyFill="1" applyBorder="1"/>
    <xf numFmtId="0" fontId="4" fillId="0" borderId="0" xfId="0" applyFont="1"/>
    <xf numFmtId="164" fontId="2" fillId="0" borderId="0" xfId="1" applyNumberFormat="1" applyFont="1" applyFill="1"/>
    <xf numFmtId="0" fontId="7" fillId="0" borderId="0" xfId="0" applyFont="1" applyAlignment="1">
      <alignment horizontal="center" vertical="center" wrapText="1"/>
    </xf>
    <xf numFmtId="0" fontId="7" fillId="0" borderId="0" xfId="0" applyFont="1" applyAlignment="1">
      <alignment horizontal="left" indent="1"/>
    </xf>
    <xf numFmtId="165" fontId="7" fillId="0" borderId="0" xfId="0" applyNumberFormat="1" applyFont="1" applyAlignment="1">
      <alignment horizontal="right"/>
    </xf>
    <xf numFmtId="165" fontId="7" fillId="0" borderId="2" xfId="2" applyNumberFormat="1" applyFont="1" applyBorder="1" applyAlignment="1">
      <alignment horizontal="right"/>
    </xf>
    <xf numFmtId="165" fontId="7" fillId="0" borderId="2" xfId="0" applyNumberFormat="1" applyFont="1" applyBorder="1" applyAlignment="1">
      <alignment horizontal="right"/>
    </xf>
    <xf numFmtId="0" fontId="0" fillId="0" borderId="0" xfId="0" applyAlignment="1">
      <alignment horizontal="left"/>
    </xf>
    <xf numFmtId="0" fontId="0" fillId="0" borderId="0" xfId="0" applyAlignment="1">
      <alignment horizontal="left" wrapText="1"/>
    </xf>
  </cellXfs>
  <cellStyles count="3">
    <cellStyle name="Comma" xfId="1" builtinId="3"/>
    <cellStyle name="Normal" xfId="0" builtinId="0"/>
    <cellStyle name="Normal 2" xfId="2" xr:uid="{6A217DE8-884D-4413-AB6A-A5CDF8C0D2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12</xdr:col>
      <xdr:colOff>482600</xdr:colOff>
      <xdr:row>33</xdr:row>
      <xdr:rowOff>50801</xdr:rowOff>
    </xdr:to>
    <xdr:pic>
      <xdr:nvPicPr>
        <xdr:cNvPr id="2" name="Picture 1">
          <a:extLst>
            <a:ext uri="{FF2B5EF4-FFF2-40B4-BE49-F238E27FC236}">
              <a16:creationId xmlns:a16="http://schemas.microsoft.com/office/drawing/2014/main" id="{9A1C4EBF-41FB-4E37-BBB8-BE3650B329B0}"/>
            </a:ext>
          </a:extLst>
        </xdr:cNvPr>
        <xdr:cNvPicPr>
          <a:picLocks noChangeAspect="1"/>
        </xdr:cNvPicPr>
      </xdr:nvPicPr>
      <xdr:blipFill>
        <a:blip xmlns:r="http://schemas.openxmlformats.org/officeDocument/2006/relationships" r:embed="rId1"/>
        <a:stretch>
          <a:fillRect/>
        </a:stretch>
      </xdr:blipFill>
      <xdr:spPr>
        <a:xfrm>
          <a:off x="0" y="1"/>
          <a:ext cx="7797800" cy="591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12</xdr:col>
      <xdr:colOff>508001</xdr:colOff>
      <xdr:row>33</xdr:row>
      <xdr:rowOff>50799</xdr:rowOff>
    </xdr:to>
    <xdr:pic>
      <xdr:nvPicPr>
        <xdr:cNvPr id="2" name="Picture 1">
          <a:extLst>
            <a:ext uri="{FF2B5EF4-FFF2-40B4-BE49-F238E27FC236}">
              <a16:creationId xmlns:a16="http://schemas.microsoft.com/office/drawing/2014/main" id="{01728A91-F8E7-4AFC-8D97-DE1393CD53CB}"/>
            </a:ext>
          </a:extLst>
        </xdr:cNvPr>
        <xdr:cNvPicPr>
          <a:picLocks noChangeAspect="1"/>
        </xdr:cNvPicPr>
      </xdr:nvPicPr>
      <xdr:blipFill>
        <a:blip xmlns:r="http://schemas.openxmlformats.org/officeDocument/2006/relationships" r:embed="rId1"/>
        <a:stretch>
          <a:fillRect/>
        </a:stretch>
      </xdr:blipFill>
      <xdr:spPr>
        <a:xfrm>
          <a:off x="1" y="0"/>
          <a:ext cx="7823200" cy="5918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12</xdr:col>
      <xdr:colOff>495301</xdr:colOff>
      <xdr:row>33</xdr:row>
      <xdr:rowOff>88900</xdr:rowOff>
    </xdr:to>
    <xdr:pic>
      <xdr:nvPicPr>
        <xdr:cNvPr id="2" name="Picture 1">
          <a:extLst>
            <a:ext uri="{FF2B5EF4-FFF2-40B4-BE49-F238E27FC236}">
              <a16:creationId xmlns:a16="http://schemas.microsoft.com/office/drawing/2014/main" id="{C51FF4FC-7527-4A4E-B9BE-D469D6E03067}"/>
            </a:ext>
          </a:extLst>
        </xdr:cNvPr>
        <xdr:cNvPicPr>
          <a:picLocks noChangeAspect="1"/>
        </xdr:cNvPicPr>
      </xdr:nvPicPr>
      <xdr:blipFill>
        <a:blip xmlns:r="http://schemas.openxmlformats.org/officeDocument/2006/relationships" r:embed="rId1"/>
        <a:stretch>
          <a:fillRect/>
        </a:stretch>
      </xdr:blipFill>
      <xdr:spPr>
        <a:xfrm>
          <a:off x="1" y="0"/>
          <a:ext cx="7810500" cy="5956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482600</xdr:colOff>
      <xdr:row>32</xdr:row>
      <xdr:rowOff>38099</xdr:rowOff>
    </xdr:to>
    <xdr:pic>
      <xdr:nvPicPr>
        <xdr:cNvPr id="2" name="Picture 1">
          <a:extLst>
            <a:ext uri="{FF2B5EF4-FFF2-40B4-BE49-F238E27FC236}">
              <a16:creationId xmlns:a16="http://schemas.microsoft.com/office/drawing/2014/main" id="{A9B7191C-5C3F-4C44-AA11-E6F31AEC1DE7}"/>
            </a:ext>
          </a:extLst>
        </xdr:cNvPr>
        <xdr:cNvPicPr>
          <a:picLocks noChangeAspect="1"/>
        </xdr:cNvPicPr>
      </xdr:nvPicPr>
      <xdr:blipFill>
        <a:blip xmlns:r="http://schemas.openxmlformats.org/officeDocument/2006/relationships" r:embed="rId1"/>
        <a:stretch>
          <a:fillRect/>
        </a:stretch>
      </xdr:blipFill>
      <xdr:spPr>
        <a:xfrm>
          <a:off x="0" y="0"/>
          <a:ext cx="7797800" cy="57276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12</xdr:col>
      <xdr:colOff>495301</xdr:colOff>
      <xdr:row>33</xdr:row>
      <xdr:rowOff>1</xdr:rowOff>
    </xdr:to>
    <xdr:pic>
      <xdr:nvPicPr>
        <xdr:cNvPr id="2" name="Picture 1">
          <a:extLst>
            <a:ext uri="{FF2B5EF4-FFF2-40B4-BE49-F238E27FC236}">
              <a16:creationId xmlns:a16="http://schemas.microsoft.com/office/drawing/2014/main" id="{FBF15DC2-6184-4BE4-9941-4DCE741967E9}"/>
            </a:ext>
          </a:extLst>
        </xdr:cNvPr>
        <xdr:cNvPicPr>
          <a:picLocks noChangeAspect="1"/>
        </xdr:cNvPicPr>
      </xdr:nvPicPr>
      <xdr:blipFill>
        <a:blip xmlns:r="http://schemas.openxmlformats.org/officeDocument/2006/relationships" r:embed="rId1"/>
        <a:stretch>
          <a:fillRect/>
        </a:stretch>
      </xdr:blipFill>
      <xdr:spPr>
        <a:xfrm>
          <a:off x="1" y="1"/>
          <a:ext cx="7810500" cy="5867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12</xdr:col>
      <xdr:colOff>495301</xdr:colOff>
      <xdr:row>33</xdr:row>
      <xdr:rowOff>88899</xdr:rowOff>
    </xdr:to>
    <xdr:pic>
      <xdr:nvPicPr>
        <xdr:cNvPr id="2" name="Picture 1">
          <a:extLst>
            <a:ext uri="{FF2B5EF4-FFF2-40B4-BE49-F238E27FC236}">
              <a16:creationId xmlns:a16="http://schemas.microsoft.com/office/drawing/2014/main" id="{B7D5DFA6-4DDA-4E07-8689-D97850F0A045}"/>
            </a:ext>
          </a:extLst>
        </xdr:cNvPr>
        <xdr:cNvPicPr>
          <a:picLocks noChangeAspect="1"/>
        </xdr:cNvPicPr>
      </xdr:nvPicPr>
      <xdr:blipFill>
        <a:blip xmlns:r="http://schemas.openxmlformats.org/officeDocument/2006/relationships" r:embed="rId1"/>
        <a:stretch>
          <a:fillRect/>
        </a:stretch>
      </xdr:blipFill>
      <xdr:spPr>
        <a:xfrm>
          <a:off x="1" y="0"/>
          <a:ext cx="7810500" cy="59562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12</xdr:col>
      <xdr:colOff>533401</xdr:colOff>
      <xdr:row>33</xdr:row>
      <xdr:rowOff>88900</xdr:rowOff>
    </xdr:to>
    <xdr:pic>
      <xdr:nvPicPr>
        <xdr:cNvPr id="2" name="Picture 1">
          <a:extLst>
            <a:ext uri="{FF2B5EF4-FFF2-40B4-BE49-F238E27FC236}">
              <a16:creationId xmlns:a16="http://schemas.microsoft.com/office/drawing/2014/main" id="{A9262FBE-280F-44CD-8DB5-A3EDACC1C423}"/>
            </a:ext>
          </a:extLst>
        </xdr:cNvPr>
        <xdr:cNvPicPr>
          <a:picLocks noChangeAspect="1"/>
        </xdr:cNvPicPr>
      </xdr:nvPicPr>
      <xdr:blipFill>
        <a:blip xmlns:r="http://schemas.openxmlformats.org/officeDocument/2006/relationships" r:embed="rId1"/>
        <a:stretch>
          <a:fillRect/>
        </a:stretch>
      </xdr:blipFill>
      <xdr:spPr>
        <a:xfrm>
          <a:off x="1" y="0"/>
          <a:ext cx="7848600" cy="5956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444500</xdr:colOff>
      <xdr:row>33</xdr:row>
      <xdr:rowOff>88900</xdr:rowOff>
    </xdr:to>
    <xdr:pic>
      <xdr:nvPicPr>
        <xdr:cNvPr id="2" name="Picture 1">
          <a:extLst>
            <a:ext uri="{FF2B5EF4-FFF2-40B4-BE49-F238E27FC236}">
              <a16:creationId xmlns:a16="http://schemas.microsoft.com/office/drawing/2014/main" id="{5AB9D64D-CD1C-409B-ABE8-8B570C3C0788}"/>
            </a:ext>
          </a:extLst>
        </xdr:cNvPr>
        <xdr:cNvPicPr>
          <a:picLocks noChangeAspect="1"/>
        </xdr:cNvPicPr>
      </xdr:nvPicPr>
      <xdr:blipFill>
        <a:blip xmlns:r="http://schemas.openxmlformats.org/officeDocument/2006/relationships" r:embed="rId1"/>
        <a:stretch>
          <a:fillRect/>
        </a:stretch>
      </xdr:blipFill>
      <xdr:spPr>
        <a:xfrm>
          <a:off x="0" y="0"/>
          <a:ext cx="7759700" cy="59563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6"/>
  <sheetViews>
    <sheetView tabSelected="1" zoomScale="115" zoomScaleNormal="115" workbookViewId="0"/>
  </sheetViews>
  <sheetFormatPr defaultColWidth="9.33203125" defaultRowHeight="14.4" x14ac:dyDescent="0.3"/>
  <cols>
    <col min="1" max="1" width="27.6640625" bestFit="1" customWidth="1"/>
    <col min="2" max="2" width="21.33203125" customWidth="1"/>
    <col min="3" max="3" width="25.6640625" bestFit="1" customWidth="1"/>
    <col min="4" max="4" width="14.33203125" bestFit="1" customWidth="1"/>
    <col min="5" max="5" width="16.6640625" customWidth="1"/>
    <col min="6" max="6" width="6.33203125" customWidth="1"/>
    <col min="7" max="7" width="16.6640625" customWidth="1"/>
    <col min="8" max="8" width="5.6640625" customWidth="1"/>
    <col min="9" max="12" width="14.33203125" customWidth="1"/>
    <col min="13" max="13" width="5.33203125" customWidth="1"/>
    <col min="14" max="14" width="14.33203125" customWidth="1"/>
    <col min="15" max="15" width="6.5546875" customWidth="1"/>
    <col min="16" max="16" width="13.33203125" bestFit="1" customWidth="1"/>
    <col min="17" max="17" width="12.5546875" bestFit="1" customWidth="1"/>
    <col min="18" max="18" width="13.33203125" bestFit="1" customWidth="1"/>
    <col min="19" max="19" width="16.5546875" bestFit="1" customWidth="1"/>
  </cols>
  <sheetData>
    <row r="1" spans="1:20" x14ac:dyDescent="0.3">
      <c r="A1" t="s">
        <v>23</v>
      </c>
    </row>
    <row r="3" spans="1:20" x14ac:dyDescent="0.3">
      <c r="A3" s="6" t="s">
        <v>7</v>
      </c>
    </row>
    <row r="4" spans="1:20" x14ac:dyDescent="0.3">
      <c r="B4" s="7" t="s">
        <v>0</v>
      </c>
      <c r="C4" s="7" t="s">
        <v>0</v>
      </c>
      <c r="E4" s="8" t="s">
        <v>13</v>
      </c>
      <c r="F4" s="8"/>
      <c r="G4" s="8"/>
      <c r="H4" s="8"/>
      <c r="I4" s="8" t="s">
        <v>5</v>
      </c>
      <c r="J4" s="8" t="s">
        <v>5</v>
      </c>
      <c r="K4" s="8"/>
      <c r="L4" s="8"/>
      <c r="M4" s="8"/>
      <c r="N4" s="8"/>
    </row>
    <row r="5" spans="1:20" x14ac:dyDescent="0.3">
      <c r="B5" s="7" t="s">
        <v>2</v>
      </c>
      <c r="C5" s="7" t="s">
        <v>2</v>
      </c>
      <c r="D5" s="8" t="s">
        <v>2</v>
      </c>
      <c r="E5" s="8" t="s">
        <v>6</v>
      </c>
      <c r="F5" s="8"/>
      <c r="G5" s="8"/>
      <c r="H5" s="8"/>
      <c r="I5" s="7" t="s">
        <v>2</v>
      </c>
      <c r="J5" s="7" t="s">
        <v>2</v>
      </c>
      <c r="K5" s="7" t="s">
        <v>14</v>
      </c>
      <c r="L5" s="8" t="s">
        <v>15</v>
      </c>
      <c r="M5" s="8"/>
    </row>
    <row r="6" spans="1:20" ht="16.2" x14ac:dyDescent="0.3">
      <c r="B6" s="1" t="s">
        <v>3</v>
      </c>
      <c r="C6" s="1" t="s">
        <v>1</v>
      </c>
      <c r="D6" s="1" t="s">
        <v>11</v>
      </c>
      <c r="E6" s="1" t="s">
        <v>16</v>
      </c>
      <c r="F6" s="1"/>
      <c r="G6" s="1" t="s">
        <v>17</v>
      </c>
      <c r="H6" s="8"/>
      <c r="I6" s="1" t="s">
        <v>10</v>
      </c>
      <c r="J6" s="1" t="s">
        <v>6</v>
      </c>
      <c r="K6" s="1" t="s">
        <v>25</v>
      </c>
      <c r="L6" s="1" t="s">
        <v>26</v>
      </c>
      <c r="M6" s="1"/>
      <c r="N6" s="1" t="s">
        <v>18</v>
      </c>
      <c r="P6" s="1" t="s">
        <v>19</v>
      </c>
    </row>
    <row r="7" spans="1:20" x14ac:dyDescent="0.3">
      <c r="A7">
        <v>2017</v>
      </c>
      <c r="B7" s="4">
        <v>-45332978</v>
      </c>
      <c r="C7" s="4">
        <f>18595167+207274703</f>
        <v>225869870</v>
      </c>
      <c r="D7" s="4">
        <v>0</v>
      </c>
      <c r="E7" s="3">
        <f t="shared" ref="E7:E11" si="0">SUM(B7:D7)</f>
        <v>180536892</v>
      </c>
      <c r="F7" s="3"/>
      <c r="G7" s="9"/>
      <c r="H7" s="3"/>
      <c r="I7" s="4"/>
      <c r="J7" s="4"/>
      <c r="K7" s="4"/>
      <c r="L7" s="4"/>
      <c r="M7" s="4"/>
      <c r="N7" s="2"/>
      <c r="P7" s="2"/>
      <c r="T7" s="4"/>
    </row>
    <row r="8" spans="1:20" x14ac:dyDescent="0.3">
      <c r="A8">
        <v>2018</v>
      </c>
      <c r="B8" s="4">
        <v>-10591371</v>
      </c>
      <c r="C8" s="4">
        <f>25151990+219690027</f>
        <v>244842017</v>
      </c>
      <c r="D8" s="4">
        <v>0</v>
      </c>
      <c r="E8" s="3">
        <f t="shared" si="0"/>
        <v>234250646</v>
      </c>
      <c r="F8" s="3"/>
      <c r="G8" s="9">
        <f t="shared" ref="G8:G14" si="1">E8-E7</f>
        <v>53713754</v>
      </c>
      <c r="H8" s="3"/>
      <c r="I8" s="4">
        <f>1822435-27512</f>
        <v>1794923</v>
      </c>
      <c r="J8" s="4">
        <v>54000000</v>
      </c>
      <c r="K8" s="4">
        <v>2184302</v>
      </c>
      <c r="L8" s="4">
        <v>-675626</v>
      </c>
      <c r="M8" s="4"/>
      <c r="N8" s="2">
        <f t="shared" ref="N8:N14" si="2">-I8+J8+K8+L8</f>
        <v>53713753</v>
      </c>
      <c r="P8" s="2">
        <f t="shared" ref="P8:P14" si="3">G8-N8</f>
        <v>1</v>
      </c>
      <c r="T8" s="4"/>
    </row>
    <row r="9" spans="1:20" x14ac:dyDescent="0.3">
      <c r="A9">
        <v>2019</v>
      </c>
      <c r="B9" s="4">
        <f>24223201+7391859</f>
        <v>31615060</v>
      </c>
      <c r="C9" s="4">
        <f>29253085+172525019</f>
        <v>201778104</v>
      </c>
      <c r="D9" s="4">
        <v>0</v>
      </c>
      <c r="E9" s="3">
        <f t="shared" si="0"/>
        <v>233393164</v>
      </c>
      <c r="F9" s="3"/>
      <c r="G9" s="9">
        <f t="shared" si="1"/>
        <v>-857482</v>
      </c>
      <c r="H9" s="3"/>
      <c r="I9" s="4">
        <f>1421153</f>
        <v>1421153</v>
      </c>
      <c r="J9" s="4">
        <v>622850</v>
      </c>
      <c r="K9" s="4">
        <v>563850</v>
      </c>
      <c r="L9" s="4">
        <v>-623028</v>
      </c>
      <c r="M9" s="4"/>
      <c r="N9" s="2">
        <f t="shared" si="2"/>
        <v>-857481</v>
      </c>
      <c r="P9" s="2">
        <f t="shared" si="3"/>
        <v>-1</v>
      </c>
      <c r="T9" s="4"/>
    </row>
    <row r="10" spans="1:20" x14ac:dyDescent="0.3">
      <c r="A10">
        <v>2020</v>
      </c>
      <c r="B10" s="4">
        <v>77847493</v>
      </c>
      <c r="C10" s="4">
        <f>44417827+120787681</f>
        <v>165205508</v>
      </c>
      <c r="D10" s="4">
        <v>0</v>
      </c>
      <c r="E10" s="3">
        <f t="shared" si="0"/>
        <v>243053001</v>
      </c>
      <c r="F10" s="3"/>
      <c r="G10" s="9">
        <f t="shared" si="1"/>
        <v>9659837</v>
      </c>
      <c r="H10" s="3"/>
      <c r="I10" s="4">
        <f>1624931</f>
        <v>1624931</v>
      </c>
      <c r="J10" s="4">
        <v>8000000</v>
      </c>
      <c r="K10" s="4">
        <f>3186095+1975396</f>
        <v>5161491</v>
      </c>
      <c r="L10" s="4">
        <f>-1130743-745980</f>
        <v>-1876723</v>
      </c>
      <c r="M10" s="4"/>
      <c r="N10" s="2">
        <f t="shared" si="2"/>
        <v>9659837</v>
      </c>
      <c r="P10" s="2">
        <f t="shared" si="3"/>
        <v>0</v>
      </c>
      <c r="T10" s="4"/>
    </row>
    <row r="11" spans="1:20" x14ac:dyDescent="0.3">
      <c r="A11">
        <v>2021</v>
      </c>
      <c r="B11" s="4">
        <v>84690591</v>
      </c>
      <c r="C11" s="4">
        <f>53918274+109443559</f>
        <v>163361833</v>
      </c>
      <c r="D11" s="4">
        <v>0</v>
      </c>
      <c r="E11" s="3">
        <f t="shared" si="0"/>
        <v>248052424</v>
      </c>
      <c r="F11" s="3"/>
      <c r="G11" s="9">
        <f t="shared" si="1"/>
        <v>4999423</v>
      </c>
      <c r="H11" s="3"/>
      <c r="I11" s="4">
        <f>-1252267</f>
        <v>-1252267</v>
      </c>
      <c r="J11" s="4">
        <v>0</v>
      </c>
      <c r="K11" s="4">
        <f>4662667-9642</f>
        <v>4653025</v>
      </c>
      <c r="L11" s="4">
        <v>-905869</v>
      </c>
      <c r="M11" s="4"/>
      <c r="N11" s="2">
        <f t="shared" si="2"/>
        <v>4999423</v>
      </c>
      <c r="P11" s="2">
        <f t="shared" si="3"/>
        <v>0</v>
      </c>
      <c r="T11" s="4"/>
    </row>
    <row r="12" spans="1:20" x14ac:dyDescent="0.3">
      <c r="A12">
        <v>2022</v>
      </c>
      <c r="B12" s="4">
        <v>40769397</v>
      </c>
      <c r="C12" s="4">
        <f>56581051+151334410</f>
        <v>207915461</v>
      </c>
      <c r="D12" s="4">
        <v>0</v>
      </c>
      <c r="E12" s="3">
        <f t="shared" ref="E12:E14" si="4">SUM(B12:D12)</f>
        <v>248684858</v>
      </c>
      <c r="F12" s="3"/>
      <c r="G12" s="9">
        <f t="shared" si="1"/>
        <v>632434</v>
      </c>
      <c r="H12" s="3"/>
      <c r="I12" s="4">
        <f>-1700455</f>
        <v>-1700455</v>
      </c>
      <c r="J12" s="4">
        <v>0</v>
      </c>
      <c r="K12" s="4">
        <f>-534014-11125</f>
        <v>-545139</v>
      </c>
      <c r="L12" s="4">
        <v>-522882</v>
      </c>
      <c r="M12" s="4"/>
      <c r="N12" s="2">
        <f t="shared" si="2"/>
        <v>632434</v>
      </c>
      <c r="P12" s="2">
        <f t="shared" si="3"/>
        <v>0</v>
      </c>
      <c r="T12" s="4"/>
    </row>
    <row r="13" spans="1:20" x14ac:dyDescent="0.3">
      <c r="A13">
        <v>2023</v>
      </c>
      <c r="B13" s="4">
        <v>33561846</v>
      </c>
      <c r="C13" s="4">
        <f>45740378+169547701</f>
        <v>215288079</v>
      </c>
      <c r="D13" s="4">
        <v>0</v>
      </c>
      <c r="E13" s="3">
        <f t="shared" si="4"/>
        <v>248849925</v>
      </c>
      <c r="F13" s="3"/>
      <c r="G13" s="9">
        <f t="shared" si="1"/>
        <v>165067</v>
      </c>
      <c r="H13" s="3"/>
      <c r="I13" s="4">
        <f>-2264785</f>
        <v>-2264785</v>
      </c>
      <c r="J13" s="4">
        <v>0</v>
      </c>
      <c r="K13" s="4">
        <v>-3375174</v>
      </c>
      <c r="L13" s="4">
        <f>1275457</f>
        <v>1275457</v>
      </c>
      <c r="M13" s="4"/>
      <c r="N13" s="2">
        <f t="shared" si="2"/>
        <v>165068</v>
      </c>
      <c r="P13" s="2">
        <f t="shared" si="3"/>
        <v>-1</v>
      </c>
      <c r="T13" s="4"/>
    </row>
    <row r="14" spans="1:20" x14ac:dyDescent="0.3">
      <c r="A14">
        <v>2024</v>
      </c>
      <c r="B14" s="4">
        <f>28753599</f>
        <v>28753599</v>
      </c>
      <c r="C14" s="4">
        <f>43519082+180683526</f>
        <v>224202608</v>
      </c>
      <c r="D14" s="4">
        <v>0</v>
      </c>
      <c r="E14" s="3">
        <f t="shared" si="4"/>
        <v>252956207</v>
      </c>
      <c r="F14" s="3"/>
      <c r="G14" s="9">
        <f t="shared" si="1"/>
        <v>4106282</v>
      </c>
      <c r="H14" s="3"/>
      <c r="I14" s="4">
        <f>-4550769+1647</f>
        <v>-4549122</v>
      </c>
      <c r="J14" s="4">
        <v>0</v>
      </c>
      <c r="K14" s="4">
        <v>-704205</v>
      </c>
      <c r="L14" s="4">
        <f>261365</f>
        <v>261365</v>
      </c>
      <c r="M14" s="4"/>
      <c r="N14" s="2">
        <f t="shared" si="2"/>
        <v>4106282</v>
      </c>
      <c r="P14" s="2">
        <f t="shared" si="3"/>
        <v>0</v>
      </c>
      <c r="T14" s="4"/>
    </row>
    <row r="15" spans="1:20" x14ac:dyDescent="0.3">
      <c r="B15" s="4"/>
      <c r="C15" s="4"/>
      <c r="D15" s="4"/>
      <c r="E15" s="3"/>
      <c r="F15" s="3"/>
      <c r="G15" s="9"/>
      <c r="H15" s="3"/>
      <c r="I15" s="4"/>
      <c r="J15" s="4"/>
      <c r="K15" s="4"/>
      <c r="L15" s="4"/>
      <c r="M15" s="4"/>
      <c r="N15" s="2"/>
      <c r="P15" s="2"/>
      <c r="T15" s="4"/>
    </row>
    <row r="16" spans="1:20" x14ac:dyDescent="0.3">
      <c r="A16" s="5" t="s">
        <v>27</v>
      </c>
      <c r="B16" s="4">
        <f>30740405+16980739</f>
        <v>47721144</v>
      </c>
      <c r="C16" s="4">
        <f>136140228+69044743</f>
        <v>205184971</v>
      </c>
      <c r="D16" s="4">
        <v>2461020</v>
      </c>
      <c r="E16" s="11">
        <f>SUM(B16:D16)</f>
        <v>255367135</v>
      </c>
      <c r="F16" s="3"/>
      <c r="G16" s="9"/>
      <c r="H16" s="3"/>
      <c r="I16" s="4"/>
      <c r="J16" s="4"/>
      <c r="K16" s="4"/>
      <c r="L16" s="2"/>
      <c r="M16" s="2"/>
      <c r="N16" s="4"/>
      <c r="P16" s="2"/>
      <c r="T16" s="4"/>
    </row>
    <row r="17" spans="1:16" x14ac:dyDescent="0.3">
      <c r="D17" s="2"/>
    </row>
    <row r="18" spans="1:16" x14ac:dyDescent="0.3">
      <c r="B18" s="2"/>
      <c r="C18" s="2"/>
      <c r="D18" s="2"/>
      <c r="E18" s="2"/>
      <c r="F18" s="2"/>
      <c r="G18" s="2"/>
      <c r="H18" s="2"/>
      <c r="J18" s="2"/>
      <c r="K18" s="2"/>
      <c r="L18" s="2"/>
      <c r="M18" s="2"/>
      <c r="N18" s="2"/>
    </row>
    <row r="19" spans="1:16" x14ac:dyDescent="0.3">
      <c r="A19" s="6" t="s">
        <v>8</v>
      </c>
    </row>
    <row r="20" spans="1:16" x14ac:dyDescent="0.3">
      <c r="B20" s="7" t="s">
        <v>0</v>
      </c>
      <c r="C20" s="7" t="s">
        <v>0</v>
      </c>
      <c r="E20" s="8" t="s">
        <v>13</v>
      </c>
      <c r="F20" s="8"/>
      <c r="G20" s="8"/>
      <c r="H20" s="8"/>
      <c r="I20" s="8" t="s">
        <v>5</v>
      </c>
      <c r="J20" s="8" t="s">
        <v>5</v>
      </c>
      <c r="K20" s="8"/>
      <c r="L20" s="8"/>
      <c r="M20" s="8"/>
      <c r="N20" s="8"/>
    </row>
    <row r="21" spans="1:16" x14ac:dyDescent="0.3">
      <c r="B21" s="7" t="s">
        <v>2</v>
      </c>
      <c r="C21" s="7" t="s">
        <v>2</v>
      </c>
      <c r="D21" s="8" t="s">
        <v>2</v>
      </c>
      <c r="E21" s="8" t="s">
        <v>6</v>
      </c>
      <c r="F21" s="8"/>
      <c r="G21" s="8"/>
      <c r="H21" s="8"/>
      <c r="I21" s="7" t="s">
        <v>2</v>
      </c>
      <c r="J21" s="7" t="s">
        <v>2</v>
      </c>
      <c r="K21" s="7" t="s">
        <v>14</v>
      </c>
      <c r="L21" s="8" t="s">
        <v>7</v>
      </c>
      <c r="M21" s="8"/>
    </row>
    <row r="22" spans="1:16" ht="16.2" x14ac:dyDescent="0.3">
      <c r="B22" s="1" t="s">
        <v>3</v>
      </c>
      <c r="C22" s="1" t="s">
        <v>1</v>
      </c>
      <c r="D22" s="1" t="s">
        <v>11</v>
      </c>
      <c r="E22" s="1" t="s">
        <v>16</v>
      </c>
      <c r="F22" s="1"/>
      <c r="G22" s="1" t="s">
        <v>17</v>
      </c>
      <c r="H22" s="8"/>
      <c r="I22" s="1" t="s">
        <v>10</v>
      </c>
      <c r="J22" s="1" t="s">
        <v>6</v>
      </c>
      <c r="K22" s="1" t="s">
        <v>25</v>
      </c>
      <c r="L22" s="1" t="s">
        <v>26</v>
      </c>
      <c r="M22" s="1"/>
      <c r="N22" s="1" t="s">
        <v>18</v>
      </c>
      <c r="P22" s="1" t="s">
        <v>19</v>
      </c>
    </row>
    <row r="23" spans="1:16" x14ac:dyDescent="0.3">
      <c r="A23">
        <v>2017</v>
      </c>
      <c r="B23" s="4">
        <v>-36241337</v>
      </c>
      <c r="C23" s="4">
        <v>141611446</v>
      </c>
      <c r="D23" s="4">
        <v>0</v>
      </c>
      <c r="E23" s="3">
        <f t="shared" ref="E23:E30" si="5">SUM(B23:D23)</f>
        <v>105370109</v>
      </c>
      <c r="F23" s="3"/>
      <c r="G23" s="9"/>
      <c r="H23" s="3"/>
      <c r="I23" s="4"/>
      <c r="J23" s="4"/>
      <c r="K23" s="4"/>
      <c r="L23" s="4"/>
      <c r="M23" s="4"/>
      <c r="N23" s="2"/>
      <c r="P23" s="2"/>
    </row>
    <row r="24" spans="1:16" x14ac:dyDescent="0.3">
      <c r="A24">
        <v>2018</v>
      </c>
      <c r="B24" s="4">
        <v>-1498578</v>
      </c>
      <c r="C24" s="4">
        <v>155911061</v>
      </c>
      <c r="D24" s="4">
        <v>0</v>
      </c>
      <c r="E24" s="3">
        <f t="shared" si="5"/>
        <v>154412483</v>
      </c>
      <c r="F24" s="3"/>
      <c r="G24" s="9">
        <f t="shared" ref="G24:G30" si="6">E24-E23</f>
        <v>49042374</v>
      </c>
      <c r="H24" s="3"/>
      <c r="I24" s="4">
        <f>-145977</f>
        <v>-145977</v>
      </c>
      <c r="J24" s="4">
        <v>46000000</v>
      </c>
      <c r="K24" s="4">
        <v>2220772</v>
      </c>
      <c r="L24" s="4">
        <v>675626</v>
      </c>
      <c r="M24" s="4"/>
      <c r="N24" s="2">
        <f t="shared" ref="N24:N30" si="7">-I24+J24+K24+L24</f>
        <v>49042375</v>
      </c>
      <c r="P24" s="2">
        <f t="shared" ref="P24:P30" si="8">G24-N24</f>
        <v>-1</v>
      </c>
    </row>
    <row r="25" spans="1:16" x14ac:dyDescent="0.3">
      <c r="A25">
        <v>2019</v>
      </c>
      <c r="B25" s="4">
        <v>30690208</v>
      </c>
      <c r="C25" s="4">
        <v>127086016</v>
      </c>
      <c r="D25" s="4">
        <v>0</v>
      </c>
      <c r="E25" s="3">
        <f t="shared" si="5"/>
        <v>157776224</v>
      </c>
      <c r="F25" s="3"/>
      <c r="G25" s="9">
        <f t="shared" si="6"/>
        <v>3363741</v>
      </c>
      <c r="H25" s="3"/>
      <c r="I25" s="4">
        <v>-2148626</v>
      </c>
      <c r="J25" s="4">
        <v>0</v>
      </c>
      <c r="K25" s="4">
        <v>592087</v>
      </c>
      <c r="L25" s="4">
        <v>623028</v>
      </c>
      <c r="M25" s="4"/>
      <c r="N25" s="2">
        <f t="shared" si="7"/>
        <v>3363741</v>
      </c>
      <c r="P25" s="2">
        <f t="shared" si="8"/>
        <v>0</v>
      </c>
    </row>
    <row r="26" spans="1:16" x14ac:dyDescent="0.3">
      <c r="A26">
        <v>2020</v>
      </c>
      <c r="B26" s="4">
        <v>61577246</v>
      </c>
      <c r="C26" s="4">
        <v>106102085</v>
      </c>
      <c r="D26" s="4">
        <v>0</v>
      </c>
      <c r="E26" s="3">
        <f t="shared" si="5"/>
        <v>167679331</v>
      </c>
      <c r="F26" s="3"/>
      <c r="G26" s="9">
        <f t="shared" si="6"/>
        <v>9903107</v>
      </c>
      <c r="H26" s="3"/>
      <c r="I26" s="4">
        <f>235890+85183</f>
        <v>321073</v>
      </c>
      <c r="J26" s="4">
        <v>3000000</v>
      </c>
      <c r="K26" s="4">
        <v>5347456</v>
      </c>
      <c r="L26" s="4">
        <v>1876723</v>
      </c>
      <c r="M26" s="4"/>
      <c r="N26" s="2">
        <f t="shared" si="7"/>
        <v>9903106</v>
      </c>
      <c r="P26" s="2">
        <f t="shared" si="8"/>
        <v>1</v>
      </c>
    </row>
    <row r="27" spans="1:16" x14ac:dyDescent="0.3">
      <c r="A27">
        <v>2021</v>
      </c>
      <c r="B27" s="4">
        <v>74517080</v>
      </c>
      <c r="C27" s="4">
        <f>44355272+58698986</f>
        <v>103054258</v>
      </c>
      <c r="D27" s="4">
        <v>0</v>
      </c>
      <c r="E27" s="3">
        <f t="shared" si="5"/>
        <v>177571338</v>
      </c>
      <c r="F27" s="3"/>
      <c r="G27" s="9">
        <f t="shared" si="6"/>
        <v>9892007</v>
      </c>
      <c r="H27" s="3"/>
      <c r="I27" s="4">
        <f>-4000355+55715-85183</f>
        <v>-4029823</v>
      </c>
      <c r="J27" s="4">
        <v>0</v>
      </c>
      <c r="K27" s="4">
        <f>4956314</f>
        <v>4956314</v>
      </c>
      <c r="L27" s="4">
        <f>905869</f>
        <v>905869</v>
      </c>
      <c r="M27" s="4"/>
      <c r="N27" s="2">
        <f t="shared" si="7"/>
        <v>9892006</v>
      </c>
      <c r="P27" s="2">
        <f t="shared" si="8"/>
        <v>1</v>
      </c>
    </row>
    <row r="28" spans="1:16" x14ac:dyDescent="0.3">
      <c r="A28">
        <v>2022</v>
      </c>
      <c r="B28" s="4">
        <v>44029759</v>
      </c>
      <c r="C28" s="4">
        <f>49618357+90020458</f>
        <v>139638815</v>
      </c>
      <c r="D28" s="4">
        <v>0</v>
      </c>
      <c r="E28" s="3">
        <f t="shared" si="5"/>
        <v>183668574</v>
      </c>
      <c r="F28" s="3"/>
      <c r="G28" s="9">
        <f t="shared" si="6"/>
        <v>6097236</v>
      </c>
      <c r="H28" s="3"/>
      <c r="I28" s="4">
        <f>-6024263-55715+109169</f>
        <v>-5970809</v>
      </c>
      <c r="J28" s="4">
        <v>0</v>
      </c>
      <c r="K28" s="4">
        <v>-396456</v>
      </c>
      <c r="L28" s="4">
        <f>522882</f>
        <v>522882</v>
      </c>
      <c r="M28" s="4"/>
      <c r="N28" s="2">
        <f t="shared" si="7"/>
        <v>6097235</v>
      </c>
      <c r="P28" s="2">
        <f t="shared" si="8"/>
        <v>1</v>
      </c>
    </row>
    <row r="29" spans="1:16" x14ac:dyDescent="0.3">
      <c r="A29">
        <v>2023</v>
      </c>
      <c r="B29" s="4">
        <v>50837957</v>
      </c>
      <c r="C29" s="4">
        <f>39897098+96091380</f>
        <v>135988478</v>
      </c>
      <c r="D29" s="4">
        <v>0</v>
      </c>
      <c r="E29" s="3">
        <f t="shared" si="5"/>
        <v>186826435</v>
      </c>
      <c r="F29" s="3"/>
      <c r="G29" s="9">
        <f t="shared" si="6"/>
        <v>3157861</v>
      </c>
      <c r="H29" s="3"/>
      <c r="I29" s="4">
        <f>-8376740-109169</f>
        <v>-8485909</v>
      </c>
      <c r="J29" s="4">
        <v>0</v>
      </c>
      <c r="K29" s="4">
        <v>-4052591</v>
      </c>
      <c r="L29" s="4">
        <v>-1275457</v>
      </c>
      <c r="M29" s="4"/>
      <c r="N29" s="2">
        <f t="shared" si="7"/>
        <v>3157861</v>
      </c>
      <c r="P29" s="2">
        <f t="shared" si="8"/>
        <v>0</v>
      </c>
    </row>
    <row r="30" spans="1:16" x14ac:dyDescent="0.3">
      <c r="A30">
        <v>2024</v>
      </c>
      <c r="B30" s="4">
        <f>46168956</f>
        <v>46168956</v>
      </c>
      <c r="C30" s="4">
        <f>35284981+113479424</f>
        <v>148764405</v>
      </c>
      <c r="D30" s="4">
        <v>0</v>
      </c>
      <c r="E30" s="3">
        <f t="shared" si="5"/>
        <v>194933361</v>
      </c>
      <c r="F30" s="3"/>
      <c r="G30" s="9">
        <f t="shared" si="6"/>
        <v>8106926</v>
      </c>
      <c r="H30" s="3"/>
      <c r="I30" s="4">
        <f>-9228261-12785</f>
        <v>-9241046</v>
      </c>
      <c r="J30" s="4">
        <v>0</v>
      </c>
      <c r="K30" s="4">
        <v>-872753</v>
      </c>
      <c r="L30" s="4">
        <v>-261365</v>
      </c>
      <c r="M30" s="4"/>
      <c r="N30" s="2">
        <f t="shared" si="7"/>
        <v>8106928</v>
      </c>
      <c r="P30" s="2">
        <f t="shared" si="8"/>
        <v>-2</v>
      </c>
    </row>
    <row r="31" spans="1:16" x14ac:dyDescent="0.3">
      <c r="B31" s="4"/>
      <c r="C31" s="4"/>
      <c r="D31" s="4"/>
      <c r="E31" s="3"/>
      <c r="F31" s="3"/>
      <c r="G31" s="9"/>
      <c r="H31" s="3"/>
      <c r="I31" s="4"/>
      <c r="J31" s="4"/>
      <c r="K31" s="4"/>
      <c r="L31" s="4"/>
      <c r="M31" s="4"/>
      <c r="N31" s="2"/>
      <c r="P31" s="2"/>
    </row>
    <row r="32" spans="1:16" x14ac:dyDescent="0.3">
      <c r="A32" s="5" t="s">
        <v>27</v>
      </c>
      <c r="B32" s="4">
        <f>64883641</f>
        <v>64883641</v>
      </c>
      <c r="C32" s="4">
        <v>138181177</v>
      </c>
      <c r="D32" s="4">
        <v>2207761</v>
      </c>
      <c r="E32" s="11">
        <f>SUM(B32:D32)</f>
        <v>205272579</v>
      </c>
      <c r="F32" s="3"/>
      <c r="G32" s="9"/>
      <c r="H32" s="3"/>
      <c r="I32" s="4"/>
      <c r="J32" s="4"/>
      <c r="K32" s="4"/>
      <c r="L32" s="2"/>
      <c r="M32" s="2"/>
      <c r="N32" s="4"/>
      <c r="P32" s="2"/>
    </row>
    <row r="33" spans="1:16" x14ac:dyDescent="0.3">
      <c r="D33" s="2"/>
    </row>
    <row r="35" spans="1:16" x14ac:dyDescent="0.3">
      <c r="A35" s="17" t="s">
        <v>21</v>
      </c>
      <c r="B35" s="17"/>
      <c r="C35" s="17"/>
      <c r="D35" s="17"/>
      <c r="E35" s="17"/>
      <c r="F35" s="17"/>
      <c r="G35" s="17"/>
      <c r="H35" s="17"/>
      <c r="I35" s="17"/>
      <c r="J35" s="17"/>
      <c r="K35" s="17"/>
      <c r="L35" s="17"/>
      <c r="M35" s="17"/>
      <c r="N35" s="17"/>
      <c r="O35" s="17"/>
      <c r="P35" s="17"/>
    </row>
    <row r="36" spans="1:16" ht="32.1" customHeight="1" x14ac:dyDescent="0.3">
      <c r="A36" s="18" t="s">
        <v>22</v>
      </c>
      <c r="B36" s="18"/>
      <c r="C36" s="18"/>
      <c r="D36" s="18"/>
      <c r="E36" s="18"/>
      <c r="F36" s="18"/>
      <c r="G36" s="18"/>
      <c r="H36" s="18"/>
      <c r="I36" s="18"/>
      <c r="J36" s="18"/>
      <c r="K36" s="18"/>
      <c r="L36" s="18"/>
      <c r="M36" s="18"/>
      <c r="N36" s="18"/>
      <c r="O36" s="18"/>
      <c r="P36" s="18"/>
    </row>
  </sheetData>
  <mergeCells count="2">
    <mergeCell ref="A35:P35"/>
    <mergeCell ref="A36:P36"/>
  </mergeCells>
  <pageMargins left="1" right="1" top="1" bottom="1.75" header="0.5" footer="0.5"/>
  <pageSetup scale="49" orientation="landscape" useFirstPageNumber="1" r:id="rId1"/>
  <headerFooter scaleWithDoc="0">
    <oddFooter xml:space="preserve">&amp;L
&amp;1#&amp;"Calibri,Regular"&amp;14&amp;K000000 Business Use&amp;R&amp;"Times New Roman,Bold"&amp;12Rebuttal Exhibit CMG-4
Page &amp;P of 10
</oddFooter>
  </headerFooter>
  <ignoredErrors>
    <ignoredError sqref="E23:E26" formulaRange="1"/>
  </ignoredError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3"/>
  <sheetViews>
    <sheetView zoomScaleNormal="100" workbookViewId="0"/>
  </sheetViews>
  <sheetFormatPr defaultRowHeight="14.4" x14ac:dyDescent="0.3"/>
  <sheetData>
    <row r="23" spans="1:1" x14ac:dyDescent="0.3">
      <c r="A23" s="10"/>
    </row>
  </sheetData>
  <pageMargins left="1" right="1" top="1" bottom="1.75" header="0.5" footer="0.5"/>
  <pageSetup scale="83" firstPageNumber="9" orientation="landscape" useFirstPageNumber="1" r:id="rId1"/>
  <headerFooter scaleWithDoc="0">
    <oddFooter xml:space="preserve">&amp;L
&amp;1#&amp;"Calibri,Regular"&amp;14&amp;K000000 Business Use&amp;R&amp;"Times New Roman,Bold"&amp;12Rebuttal Exhibit CMG-4
Page &amp;P of 10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3"/>
  <sheetViews>
    <sheetView zoomScaleNormal="100" workbookViewId="0"/>
  </sheetViews>
  <sheetFormatPr defaultRowHeight="14.4" x14ac:dyDescent="0.3"/>
  <sheetData>
    <row r="23" spans="1:1" x14ac:dyDescent="0.3">
      <c r="A23" s="10"/>
    </row>
  </sheetData>
  <pageMargins left="1" right="1" top="1" bottom="1.75" header="0.5" footer="0.5"/>
  <pageSetup scale="83" firstPageNumber="10" orientation="landscape" useFirstPageNumber="1" r:id="rId1"/>
  <headerFooter scaleWithDoc="0">
    <oddFooter xml:space="preserve">&amp;L
&amp;1#&amp;"Calibri,Regular"&amp;14&amp;K000000 Business Use&amp;R&amp;"Times New Roman,Bold"&amp;12Rebuttal Exhibit CMG-4
Page &amp;P of 10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32"/>
  <sheetViews>
    <sheetView zoomScale="115" zoomScaleNormal="115" workbookViewId="0">
      <selection activeCell="D28" sqref="D28"/>
    </sheetView>
  </sheetViews>
  <sheetFormatPr defaultColWidth="9.33203125" defaultRowHeight="14.4" x14ac:dyDescent="0.3"/>
  <cols>
    <col min="1" max="1" width="25.109375" bestFit="1" customWidth="1"/>
    <col min="2" max="2" width="21.33203125" customWidth="1"/>
    <col min="3" max="3" width="25.6640625" bestFit="1" customWidth="1"/>
    <col min="4" max="4" width="14.33203125" bestFit="1" customWidth="1"/>
    <col min="5" max="5" width="16.6640625" customWidth="1"/>
    <col min="6" max="6" width="6.33203125" customWidth="1"/>
    <col min="7" max="7" width="16.6640625" customWidth="1"/>
    <col min="8" max="8" width="5.6640625" customWidth="1"/>
    <col min="9" max="10" width="14.33203125" customWidth="1"/>
    <col min="11" max="11" width="16.5546875" bestFit="1" customWidth="1"/>
    <col min="12" max="12" width="14.33203125" customWidth="1"/>
    <col min="13" max="13" width="5.33203125" customWidth="1"/>
    <col min="14" max="14" width="14.33203125" customWidth="1"/>
    <col min="15" max="15" width="6.5546875" customWidth="1"/>
    <col min="16" max="16" width="13.33203125" bestFit="1" customWidth="1"/>
    <col min="17" max="17" width="12.5546875" bestFit="1" customWidth="1"/>
    <col min="18" max="18" width="13.33203125" bestFit="1" customWidth="1"/>
    <col min="19" max="19" width="16.5546875" bestFit="1" customWidth="1"/>
  </cols>
  <sheetData>
    <row r="1" spans="1:20" x14ac:dyDescent="0.3">
      <c r="A1" t="s">
        <v>24</v>
      </c>
    </row>
    <row r="3" spans="1:20" x14ac:dyDescent="0.3">
      <c r="A3" s="6" t="s">
        <v>7</v>
      </c>
    </row>
    <row r="4" spans="1:20" x14ac:dyDescent="0.3">
      <c r="B4" s="7" t="s">
        <v>0</v>
      </c>
      <c r="C4" s="7" t="s">
        <v>0</v>
      </c>
      <c r="E4" s="8" t="s">
        <v>20</v>
      </c>
      <c r="F4" s="8"/>
      <c r="G4" s="8"/>
      <c r="H4" s="8"/>
      <c r="I4" s="8" t="s">
        <v>5</v>
      </c>
      <c r="J4" s="8" t="s">
        <v>5</v>
      </c>
      <c r="K4" s="7" t="s">
        <v>0</v>
      </c>
      <c r="L4" s="8"/>
      <c r="M4" s="8"/>
      <c r="N4" s="8"/>
    </row>
    <row r="5" spans="1:20" x14ac:dyDescent="0.3">
      <c r="B5" s="7" t="s">
        <v>4</v>
      </c>
      <c r="C5" s="7" t="s">
        <v>4</v>
      </c>
      <c r="D5" s="7" t="s">
        <v>4</v>
      </c>
      <c r="E5" s="8" t="s">
        <v>6</v>
      </c>
      <c r="F5" s="8"/>
      <c r="G5" s="8"/>
      <c r="H5" s="8"/>
      <c r="I5" s="7" t="s">
        <v>4</v>
      </c>
      <c r="J5" s="7" t="s">
        <v>4</v>
      </c>
      <c r="K5" s="7" t="s">
        <v>4</v>
      </c>
      <c r="L5" s="7" t="s">
        <v>4</v>
      </c>
      <c r="M5" s="8"/>
    </row>
    <row r="6" spans="1:20" x14ac:dyDescent="0.3">
      <c r="B6" s="1" t="s">
        <v>3</v>
      </c>
      <c r="C6" s="1" t="s">
        <v>1</v>
      </c>
      <c r="D6" s="1" t="s">
        <v>11</v>
      </c>
      <c r="E6" s="1" t="s">
        <v>16</v>
      </c>
      <c r="F6" s="1"/>
      <c r="G6" s="1" t="s">
        <v>17</v>
      </c>
      <c r="H6" s="8"/>
      <c r="I6" s="1" t="s">
        <v>10</v>
      </c>
      <c r="J6" s="1" t="s">
        <v>6</v>
      </c>
      <c r="K6" s="1" t="s">
        <v>9</v>
      </c>
      <c r="L6" s="1" t="s">
        <v>12</v>
      </c>
      <c r="M6" s="1"/>
      <c r="N6" s="1" t="s">
        <v>18</v>
      </c>
      <c r="P6" s="1" t="s">
        <v>19</v>
      </c>
    </row>
    <row r="7" spans="1:20" x14ac:dyDescent="0.3">
      <c r="A7">
        <v>2017</v>
      </c>
      <c r="B7" s="4">
        <v>-78333908</v>
      </c>
      <c r="C7" s="4">
        <v>7928663</v>
      </c>
      <c r="D7" s="4">
        <v>0</v>
      </c>
      <c r="E7" s="3">
        <f t="shared" ref="E7:E14" si="0">SUM(B7:D7)</f>
        <v>-70405245</v>
      </c>
      <c r="F7" s="9"/>
      <c r="G7" s="9"/>
      <c r="H7" s="3"/>
      <c r="I7" s="4"/>
      <c r="J7" s="4"/>
      <c r="K7" s="4"/>
      <c r="L7" s="4"/>
      <c r="M7" s="4"/>
      <c r="N7" s="2"/>
      <c r="P7" s="2"/>
      <c r="T7" s="4"/>
    </row>
    <row r="8" spans="1:20" x14ac:dyDescent="0.3">
      <c r="A8">
        <v>2018</v>
      </c>
      <c r="B8" s="4">
        <v>-69178623</v>
      </c>
      <c r="C8" s="4">
        <v>2776074</v>
      </c>
      <c r="D8" s="4">
        <v>0</v>
      </c>
      <c r="E8" s="3">
        <f t="shared" si="0"/>
        <v>-66402549</v>
      </c>
      <c r="F8" s="9"/>
      <c r="G8" s="9">
        <f t="shared" ref="G8:G14" si="1">E8-E7</f>
        <v>4002696</v>
      </c>
      <c r="H8" s="3"/>
      <c r="I8" s="4">
        <v>3146396</v>
      </c>
      <c r="J8" s="4">
        <v>7159962</v>
      </c>
      <c r="K8" s="4">
        <v>0</v>
      </c>
      <c r="L8" s="4">
        <v>-10870</v>
      </c>
      <c r="M8" s="4"/>
      <c r="N8" s="2">
        <f t="shared" ref="N8:N14" si="2">-I8+J8-K8+L8</f>
        <v>4002696</v>
      </c>
      <c r="P8" s="2">
        <f t="shared" ref="P8:P14" si="3">G8-N8</f>
        <v>0</v>
      </c>
      <c r="T8" s="4"/>
    </row>
    <row r="9" spans="1:20" x14ac:dyDescent="0.3">
      <c r="A9">
        <v>2019</v>
      </c>
      <c r="B9" s="4">
        <v>-67095376</v>
      </c>
      <c r="C9" s="4">
        <v>3290667</v>
      </c>
      <c r="D9" s="4">
        <v>0</v>
      </c>
      <c r="E9" s="3">
        <f t="shared" si="0"/>
        <v>-63804709</v>
      </c>
      <c r="F9" s="9"/>
      <c r="G9" s="9">
        <f t="shared" si="1"/>
        <v>2597840</v>
      </c>
      <c r="H9" s="3"/>
      <c r="I9" s="4">
        <v>3070099</v>
      </c>
      <c r="J9" s="4">
        <v>6044999</v>
      </c>
      <c r="K9" s="4">
        <v>351900</v>
      </c>
      <c r="L9" s="4">
        <v>-25160</v>
      </c>
      <c r="M9" s="4"/>
      <c r="N9" s="2">
        <f t="shared" si="2"/>
        <v>2597840</v>
      </c>
      <c r="P9" s="2">
        <f t="shared" si="3"/>
        <v>0</v>
      </c>
      <c r="T9" s="4"/>
    </row>
    <row r="10" spans="1:20" x14ac:dyDescent="0.3">
      <c r="A10">
        <v>2020</v>
      </c>
      <c r="B10" s="4">
        <v>-71273331</v>
      </c>
      <c r="C10" s="4">
        <v>8136775</v>
      </c>
      <c r="D10" s="4">
        <v>0</v>
      </c>
      <c r="E10" s="3">
        <f t="shared" si="0"/>
        <v>-63136556</v>
      </c>
      <c r="F10" s="9"/>
      <c r="G10" s="9">
        <f t="shared" si="1"/>
        <v>668153</v>
      </c>
      <c r="H10" s="3"/>
      <c r="I10" s="4">
        <v>2641092</v>
      </c>
      <c r="J10" s="4">
        <v>3376801</v>
      </c>
      <c r="K10" s="4">
        <v>44540</v>
      </c>
      <c r="L10" s="4">
        <v>-23016</v>
      </c>
      <c r="M10" s="4"/>
      <c r="N10" s="2">
        <f t="shared" si="2"/>
        <v>668153</v>
      </c>
      <c r="P10" s="2">
        <f t="shared" si="3"/>
        <v>0</v>
      </c>
      <c r="T10" s="4"/>
    </row>
    <row r="11" spans="1:20" x14ac:dyDescent="0.3">
      <c r="A11">
        <v>2021</v>
      </c>
      <c r="B11" s="4">
        <f>-51040401-3266109</f>
        <v>-54306510</v>
      </c>
      <c r="C11" s="4">
        <v>-8385397</v>
      </c>
      <c r="D11" s="4">
        <v>0</v>
      </c>
      <c r="E11" s="3">
        <f t="shared" si="0"/>
        <v>-62691907</v>
      </c>
      <c r="F11" s="9"/>
      <c r="G11" s="9">
        <f t="shared" si="1"/>
        <v>444649</v>
      </c>
      <c r="H11" s="3"/>
      <c r="I11" s="4">
        <f>2408491-193385</f>
        <v>2215106</v>
      </c>
      <c r="J11" s="4">
        <f>4273742+72684</f>
        <v>4346426</v>
      </c>
      <c r="K11" s="4">
        <f>1667692</f>
        <v>1667692</v>
      </c>
      <c r="L11" s="4">
        <v>-18979</v>
      </c>
      <c r="M11" s="4"/>
      <c r="N11" s="2">
        <f t="shared" si="2"/>
        <v>444649</v>
      </c>
      <c r="P11" s="2">
        <f t="shared" si="3"/>
        <v>0</v>
      </c>
      <c r="T11" s="4"/>
    </row>
    <row r="12" spans="1:20" x14ac:dyDescent="0.3">
      <c r="A12">
        <v>2022</v>
      </c>
      <c r="B12" s="4">
        <f>-40730824-3266086</f>
        <v>-43996910</v>
      </c>
      <c r="C12" s="4">
        <v>-17864590</v>
      </c>
      <c r="D12" s="4">
        <v>0</v>
      </c>
      <c r="E12" s="3">
        <f t="shared" si="0"/>
        <v>-61861500</v>
      </c>
      <c r="F12" s="9"/>
      <c r="G12" s="9">
        <f t="shared" si="1"/>
        <v>830407</v>
      </c>
      <c r="H12" s="3"/>
      <c r="I12" s="4">
        <f>1671688-15823</f>
        <v>1655865</v>
      </c>
      <c r="J12" s="4">
        <f>1804626+697445-734224</f>
        <v>1767847</v>
      </c>
      <c r="K12" s="4">
        <v>-734224</v>
      </c>
      <c r="L12" s="4">
        <v>-15800</v>
      </c>
      <c r="M12" s="4"/>
      <c r="N12" s="2">
        <f t="shared" si="2"/>
        <v>830406</v>
      </c>
      <c r="P12" s="2">
        <f t="shared" si="3"/>
        <v>1</v>
      </c>
      <c r="T12" s="4"/>
    </row>
    <row r="13" spans="1:20" x14ac:dyDescent="0.3">
      <c r="A13">
        <v>2023</v>
      </c>
      <c r="B13" s="4">
        <f>-43896515-2780408</f>
        <v>-46676923</v>
      </c>
      <c r="C13" s="4">
        <v>-16599039</v>
      </c>
      <c r="D13" s="4">
        <v>0</v>
      </c>
      <c r="E13" s="3">
        <f t="shared" si="0"/>
        <v>-63275962</v>
      </c>
      <c r="F13" s="9"/>
      <c r="G13" s="9">
        <f t="shared" si="1"/>
        <v>-1414462</v>
      </c>
      <c r="H13" s="3"/>
      <c r="I13" s="4">
        <f>2849192-495577</f>
        <v>2353615</v>
      </c>
      <c r="J13" s="4">
        <f>-648134+267278</f>
        <v>-380856</v>
      </c>
      <c r="K13" s="4">
        <v>-1329908</v>
      </c>
      <c r="L13" s="4">
        <v>-9899</v>
      </c>
      <c r="M13" s="4"/>
      <c r="N13" s="2">
        <f t="shared" si="2"/>
        <v>-1414462</v>
      </c>
      <c r="P13" s="2">
        <f t="shared" si="3"/>
        <v>0</v>
      </c>
      <c r="T13" s="4"/>
    </row>
    <row r="14" spans="1:20" x14ac:dyDescent="0.3">
      <c r="A14">
        <v>2024</v>
      </c>
      <c r="B14" s="4">
        <f>-42644676-1440836-2281758</f>
        <v>-46367270</v>
      </c>
      <c r="C14" s="4">
        <v>-18923668</v>
      </c>
      <c r="D14" s="4">
        <v>0</v>
      </c>
      <c r="E14" s="3">
        <f t="shared" si="0"/>
        <v>-65290938</v>
      </c>
      <c r="F14" s="9"/>
      <c r="G14" s="9">
        <f t="shared" si="1"/>
        <v>-2014976</v>
      </c>
      <c r="H14" s="3"/>
      <c r="I14" s="4">
        <f>2746430-505087-9</f>
        <v>2241334</v>
      </c>
      <c r="J14" s="4">
        <f>-196146+427084+1857</f>
        <v>232795</v>
      </c>
      <c r="K14" s="4">
        <v>0</v>
      </c>
      <c r="L14" s="4">
        <v>-6437</v>
      </c>
      <c r="M14" s="4"/>
      <c r="N14" s="2">
        <f t="shared" si="2"/>
        <v>-2014976</v>
      </c>
      <c r="P14" s="2">
        <f t="shared" si="3"/>
        <v>0</v>
      </c>
      <c r="T14" s="4"/>
    </row>
    <row r="15" spans="1:20" x14ac:dyDescent="0.3">
      <c r="B15" s="4"/>
      <c r="C15" s="4"/>
      <c r="D15" s="4"/>
      <c r="E15" s="3"/>
      <c r="F15" s="9"/>
      <c r="G15" s="9"/>
      <c r="H15" s="3"/>
      <c r="I15" s="4"/>
      <c r="J15" s="4"/>
      <c r="K15" s="4"/>
      <c r="L15" s="4"/>
      <c r="M15" s="4"/>
      <c r="N15" s="2"/>
      <c r="P15" s="2"/>
      <c r="T15" s="4"/>
    </row>
    <row r="16" spans="1:20" x14ac:dyDescent="0.3">
      <c r="A16" s="5" t="s">
        <v>27</v>
      </c>
      <c r="B16" s="4">
        <f>-35600634-11880076</f>
        <v>-47480710</v>
      </c>
      <c r="C16" s="4">
        <f>-'LGE 254.11'!O5</f>
        <v>-18493096.156666666</v>
      </c>
      <c r="D16" s="4">
        <v>-550008</v>
      </c>
      <c r="E16" s="11">
        <f>SUM(B16:D16)</f>
        <v>-66523814.156666666</v>
      </c>
      <c r="F16" s="9"/>
      <c r="G16" s="9"/>
      <c r="H16" s="3"/>
      <c r="I16" s="4"/>
      <c r="J16" s="4"/>
      <c r="K16" s="4"/>
      <c r="L16" s="2"/>
      <c r="M16" s="2"/>
      <c r="N16" s="4"/>
      <c r="P16" s="2"/>
      <c r="T16" s="4"/>
    </row>
    <row r="17" spans="1:16" x14ac:dyDescent="0.3">
      <c r="C17" s="2"/>
      <c r="D17" s="2"/>
    </row>
    <row r="18" spans="1:16" x14ac:dyDescent="0.3">
      <c r="B18" s="2"/>
      <c r="C18" s="2"/>
      <c r="D18" s="2"/>
      <c r="E18" s="2"/>
      <c r="F18" s="2"/>
      <c r="G18" s="2"/>
      <c r="H18" s="2"/>
      <c r="J18" s="2"/>
      <c r="K18" s="2"/>
      <c r="L18" s="2"/>
      <c r="M18" s="2"/>
      <c r="N18" s="2"/>
    </row>
    <row r="19" spans="1:16" x14ac:dyDescent="0.3">
      <c r="A19" s="6" t="s">
        <v>8</v>
      </c>
    </row>
    <row r="20" spans="1:16" x14ac:dyDescent="0.3">
      <c r="B20" s="7" t="s">
        <v>0</v>
      </c>
      <c r="C20" s="7" t="s">
        <v>0</v>
      </c>
      <c r="E20" s="8" t="s">
        <v>20</v>
      </c>
      <c r="F20" s="8"/>
      <c r="G20" s="8"/>
      <c r="H20" s="8"/>
      <c r="I20" s="8" t="s">
        <v>5</v>
      </c>
      <c r="J20" s="8" t="s">
        <v>5</v>
      </c>
      <c r="K20" s="8" t="s">
        <v>0</v>
      </c>
      <c r="L20" s="8"/>
      <c r="M20" s="8"/>
      <c r="N20" s="8"/>
    </row>
    <row r="21" spans="1:16" x14ac:dyDescent="0.3">
      <c r="B21" s="7" t="s">
        <v>4</v>
      </c>
      <c r="C21" s="7" t="s">
        <v>4</v>
      </c>
      <c r="D21" s="7" t="s">
        <v>4</v>
      </c>
      <c r="E21" s="8" t="s">
        <v>6</v>
      </c>
      <c r="F21" s="8"/>
      <c r="G21" s="8"/>
      <c r="H21" s="8"/>
      <c r="I21" s="7" t="s">
        <v>4</v>
      </c>
      <c r="J21" s="7" t="s">
        <v>4</v>
      </c>
      <c r="K21" s="7" t="s">
        <v>4</v>
      </c>
      <c r="L21" s="8" t="s">
        <v>4</v>
      </c>
      <c r="M21" s="8"/>
    </row>
    <row r="22" spans="1:16" x14ac:dyDescent="0.3">
      <c r="B22" s="1" t="s">
        <v>3</v>
      </c>
      <c r="C22" s="1" t="s">
        <v>1</v>
      </c>
      <c r="D22" s="1" t="s">
        <v>11</v>
      </c>
      <c r="E22" s="1" t="s">
        <v>16</v>
      </c>
      <c r="F22" s="1"/>
      <c r="G22" s="1" t="s">
        <v>17</v>
      </c>
      <c r="H22" s="8"/>
      <c r="I22" s="1" t="s">
        <v>10</v>
      </c>
      <c r="J22" s="1" t="s">
        <v>6</v>
      </c>
      <c r="K22" s="1" t="s">
        <v>9</v>
      </c>
      <c r="L22" s="1" t="s">
        <v>12</v>
      </c>
      <c r="M22" s="1"/>
      <c r="N22" s="1" t="s">
        <v>18</v>
      </c>
      <c r="P22" s="1" t="s">
        <v>19</v>
      </c>
    </row>
    <row r="23" spans="1:16" x14ac:dyDescent="0.3">
      <c r="A23">
        <v>2017</v>
      </c>
      <c r="B23" s="4">
        <v>-38542805</v>
      </c>
      <c r="C23" s="4">
        <v>-27372613</v>
      </c>
      <c r="D23" s="4">
        <v>0</v>
      </c>
      <c r="E23" s="3">
        <f t="shared" ref="E23:E30" si="4">SUM(B23:D23)</f>
        <v>-65915418</v>
      </c>
      <c r="F23" s="3"/>
      <c r="G23" s="9"/>
      <c r="H23" s="3"/>
      <c r="I23" s="4"/>
      <c r="J23" s="4"/>
      <c r="K23" s="4"/>
      <c r="L23" s="4"/>
      <c r="M23" s="4"/>
      <c r="N23" s="2"/>
      <c r="P23" s="2"/>
    </row>
    <row r="24" spans="1:16" x14ac:dyDescent="0.3">
      <c r="A24">
        <v>2018</v>
      </c>
      <c r="B24" s="4">
        <v>-30701803</v>
      </c>
      <c r="C24" s="4">
        <v>-26417052</v>
      </c>
      <c r="D24" s="4">
        <v>0</v>
      </c>
      <c r="E24" s="3">
        <f t="shared" si="4"/>
        <v>-57118855</v>
      </c>
      <c r="F24" s="3"/>
      <c r="G24" s="9">
        <f t="shared" ref="G24:G30" si="5">E24-E23</f>
        <v>8796563</v>
      </c>
      <c r="H24" s="3"/>
      <c r="I24" s="4">
        <v>-500189</v>
      </c>
      <c r="J24" s="4">
        <v>8596485</v>
      </c>
      <c r="K24" s="4">
        <v>0</v>
      </c>
      <c r="L24" s="4">
        <v>-300111</v>
      </c>
      <c r="M24" s="4"/>
      <c r="N24" s="2">
        <f t="shared" ref="N24" si="6">-I24+J24-K24+L24</f>
        <v>8796563</v>
      </c>
      <c r="P24" s="2">
        <f t="shared" ref="P24:P30" si="7">G24-N24</f>
        <v>0</v>
      </c>
    </row>
    <row r="25" spans="1:16" x14ac:dyDescent="0.3">
      <c r="A25">
        <v>2019</v>
      </c>
      <c r="B25" s="4">
        <v>-20244990</v>
      </c>
      <c r="C25" s="4">
        <v>-34131728</v>
      </c>
      <c r="D25" s="4">
        <v>0</v>
      </c>
      <c r="E25" s="3">
        <f t="shared" si="4"/>
        <v>-54376718</v>
      </c>
      <c r="F25" s="3"/>
      <c r="G25" s="9">
        <f t="shared" si="5"/>
        <v>2742137</v>
      </c>
      <c r="H25" s="3"/>
      <c r="I25" s="4">
        <f>-221007</f>
        <v>-221007</v>
      </c>
      <c r="J25" s="4">
        <v>3525493</v>
      </c>
      <c r="K25" s="4">
        <v>700740</v>
      </c>
      <c r="L25" s="4">
        <v>-303622</v>
      </c>
      <c r="M25" s="4"/>
      <c r="N25" s="2">
        <f>-I25+J25-K25+L25</f>
        <v>2742138</v>
      </c>
      <c r="P25" s="2">
        <f t="shared" si="7"/>
        <v>-1</v>
      </c>
    </row>
    <row r="26" spans="1:16" x14ac:dyDescent="0.3">
      <c r="A26">
        <v>2020</v>
      </c>
      <c r="B26" s="4">
        <v>-21046810</v>
      </c>
      <c r="C26" s="4">
        <v>-33235019</v>
      </c>
      <c r="D26" s="4">
        <v>0</v>
      </c>
      <c r="E26" s="3">
        <f t="shared" si="4"/>
        <v>-54281829</v>
      </c>
      <c r="F26" s="3"/>
      <c r="G26" s="9">
        <f t="shared" si="5"/>
        <v>94889</v>
      </c>
      <c r="H26" s="3"/>
      <c r="I26" s="4">
        <v>-85435</v>
      </c>
      <c r="J26" s="4">
        <v>310216</v>
      </c>
      <c r="K26" s="4">
        <v>84880</v>
      </c>
      <c r="L26" s="4">
        <v>-215882</v>
      </c>
      <c r="M26" s="4"/>
      <c r="N26" s="2">
        <f>-I26+J26-K26+L26</f>
        <v>94889</v>
      </c>
      <c r="P26" s="2">
        <f t="shared" si="7"/>
        <v>0</v>
      </c>
    </row>
    <row r="27" spans="1:16" x14ac:dyDescent="0.3">
      <c r="A27">
        <v>2021</v>
      </c>
      <c r="B27" s="4">
        <f>-7467065+1679565-3384471</f>
        <v>-9171971</v>
      </c>
      <c r="C27" s="4">
        <v>-42922988</v>
      </c>
      <c r="D27" s="4">
        <v>0</v>
      </c>
      <c r="E27" s="3">
        <f t="shared" si="4"/>
        <v>-52094959</v>
      </c>
      <c r="F27" s="3"/>
      <c r="G27" s="9">
        <f t="shared" si="5"/>
        <v>2186870</v>
      </c>
      <c r="H27" s="3"/>
      <c r="I27" s="4">
        <f>-1249170-597737</f>
        <v>-1846907</v>
      </c>
      <c r="J27" s="4">
        <f>1105791-196666</f>
        <v>909125</v>
      </c>
      <c r="K27" s="4">
        <f>402959</f>
        <v>402959</v>
      </c>
      <c r="L27" s="4">
        <f>-144159-22044</f>
        <v>-166203</v>
      </c>
      <c r="M27" s="4"/>
      <c r="N27" s="2">
        <f t="shared" ref="N27:N30" si="8">-I27+J27-K27+L27</f>
        <v>2186870</v>
      </c>
      <c r="P27" s="2">
        <f t="shared" si="7"/>
        <v>0</v>
      </c>
    </row>
    <row r="28" spans="1:16" x14ac:dyDescent="0.3">
      <c r="A28">
        <v>2022</v>
      </c>
      <c r="B28" s="4">
        <f>-10172329+973687-4414633</f>
        <v>-13613275</v>
      </c>
      <c r="C28" s="4">
        <v>-37133637</v>
      </c>
      <c r="D28" s="4">
        <v>0</v>
      </c>
      <c r="E28" s="3">
        <f t="shared" si="4"/>
        <v>-50746912</v>
      </c>
      <c r="F28" s="3"/>
      <c r="G28" s="9">
        <f t="shared" si="5"/>
        <v>1348047</v>
      </c>
      <c r="H28" s="3"/>
      <c r="I28" s="4">
        <f>-1304258+1012212</f>
        <v>-292046</v>
      </c>
      <c r="J28" s="4">
        <f>374623+395155+3000</f>
        <v>772778</v>
      </c>
      <c r="K28" s="4">
        <v>-426027</v>
      </c>
      <c r="L28" s="4">
        <f>-124854-17950</f>
        <v>-142804</v>
      </c>
      <c r="M28" s="4"/>
      <c r="N28" s="2">
        <f t="shared" si="8"/>
        <v>1348047</v>
      </c>
      <c r="P28" s="2">
        <f t="shared" si="7"/>
        <v>0</v>
      </c>
    </row>
    <row r="29" spans="1:16" x14ac:dyDescent="0.3">
      <c r="A29">
        <v>2023</v>
      </c>
      <c r="B29" s="4">
        <f>-9690990+681539-4657284</f>
        <v>-13666735</v>
      </c>
      <c r="C29" s="4">
        <v>-37206778</v>
      </c>
      <c r="D29" s="4">
        <v>0</v>
      </c>
      <c r="E29" s="3">
        <f t="shared" si="4"/>
        <v>-50873513</v>
      </c>
      <c r="F29" s="3"/>
      <c r="G29" s="9">
        <f t="shared" si="5"/>
        <v>-126601</v>
      </c>
      <c r="H29" s="3"/>
      <c r="I29" s="4">
        <f>179788+232321</f>
        <v>412109</v>
      </c>
      <c r="J29" s="4">
        <f>-346398+1226</f>
        <v>-345172</v>
      </c>
      <c r="K29" s="4">
        <v>-762552</v>
      </c>
      <c r="L29" s="4">
        <f>-121542-10330</f>
        <v>-131872</v>
      </c>
      <c r="M29" s="4"/>
      <c r="N29" s="2">
        <f t="shared" si="8"/>
        <v>-126601</v>
      </c>
      <c r="P29" s="2">
        <f t="shared" si="7"/>
        <v>0</v>
      </c>
    </row>
    <row r="30" spans="1:16" x14ac:dyDescent="0.3">
      <c r="A30">
        <v>2024</v>
      </c>
      <c r="B30" s="4">
        <f>-9068305+658100-4142906</f>
        <v>-12553111</v>
      </c>
      <c r="C30" s="4">
        <v>-37404928</v>
      </c>
      <c r="D30" s="4">
        <v>0</v>
      </c>
      <c r="E30" s="3">
        <f t="shared" si="4"/>
        <v>-49958039</v>
      </c>
      <c r="F30" s="3"/>
      <c r="G30" s="9">
        <f t="shared" si="5"/>
        <v>915474</v>
      </c>
      <c r="H30" s="3"/>
      <c r="I30" s="4">
        <f>-207957-522221-12</f>
        <v>-730190</v>
      </c>
      <c r="J30" s="4">
        <f>137757+163654</f>
        <v>301411</v>
      </c>
      <c r="K30" s="4">
        <v>0</v>
      </c>
      <c r="L30" s="4">
        <f>-108284-7843</f>
        <v>-116127</v>
      </c>
      <c r="M30" s="4"/>
      <c r="N30" s="2">
        <f t="shared" si="8"/>
        <v>915474</v>
      </c>
      <c r="P30" s="2">
        <f t="shared" si="7"/>
        <v>0</v>
      </c>
    </row>
    <row r="31" spans="1:16" x14ac:dyDescent="0.3">
      <c r="A31" s="10"/>
      <c r="B31" s="4"/>
      <c r="C31" s="4"/>
      <c r="D31" s="4"/>
      <c r="E31" s="3"/>
      <c r="F31" s="3"/>
      <c r="G31" s="9"/>
      <c r="H31" s="3"/>
      <c r="I31" s="4"/>
      <c r="J31" s="4"/>
      <c r="K31" s="4"/>
      <c r="L31" s="4"/>
      <c r="M31" s="4"/>
      <c r="N31" s="2"/>
      <c r="P31" s="2"/>
    </row>
    <row r="32" spans="1:16" x14ac:dyDescent="0.3">
      <c r="A32" s="5" t="s">
        <v>27</v>
      </c>
      <c r="B32" s="4">
        <f>-12881941</f>
        <v>-12881941</v>
      </c>
      <c r="C32" s="4">
        <f>-36861113</f>
        <v>-36861113</v>
      </c>
      <c r="D32" s="4">
        <v>-37989</v>
      </c>
      <c r="E32" s="11">
        <f>SUM(B32:D32)</f>
        <v>-49781043</v>
      </c>
      <c r="F32" s="3"/>
      <c r="G32" s="9"/>
      <c r="H32" s="3"/>
      <c r="I32" s="4"/>
      <c r="J32" s="4"/>
      <c r="K32" s="4"/>
      <c r="L32" s="2"/>
      <c r="M32" s="2"/>
      <c r="N32" s="4"/>
      <c r="P32" s="2"/>
    </row>
  </sheetData>
  <pageMargins left="1" right="1" top="1" bottom="1.75" header="0.5" footer="0.5"/>
  <pageSetup scale="49" firstPageNumber="2" orientation="landscape" useFirstPageNumber="1" r:id="rId1"/>
  <headerFooter scaleWithDoc="0">
    <oddFooter xml:space="preserve">&amp;L
&amp;1#&amp;"Calibri,Regular"&amp;14&amp;K000000 Business Use&amp;R&amp;"Times New Roman,Bold"&amp;12Rebuttal Exhibit CMG-4
Page &amp;P of 10
</oddFooter>
  </headerFooter>
  <ignoredErrors>
    <ignoredError sqref="E7:E11 E23:E27" formulaRange="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741E-7EE4-418C-9463-335D09BBD5FD}">
  <sheetPr>
    <pageSetUpPr fitToPage="1"/>
  </sheetPr>
  <dimension ref="A1:O6"/>
  <sheetViews>
    <sheetView workbookViewId="0">
      <pane xSplit="1" ySplit="1" topLeftCell="B2" activePane="bottomRight" state="frozen"/>
      <selection pane="topRight" activeCell="B1" sqref="B1"/>
      <selection pane="bottomLeft" activeCell="A2" sqref="A2"/>
      <selection pane="bottomRight" activeCell="C8" sqref="C8"/>
    </sheetView>
  </sheetViews>
  <sheetFormatPr defaultRowHeight="14.4" x14ac:dyDescent="0.3"/>
  <cols>
    <col min="1" max="1" width="34.5546875" bestFit="1" customWidth="1"/>
    <col min="15" max="15" width="10.6640625" customWidth="1"/>
  </cols>
  <sheetData>
    <row r="1" spans="1:15" x14ac:dyDescent="0.3">
      <c r="A1" s="12" t="s">
        <v>28</v>
      </c>
      <c r="B1" s="12" t="s">
        <v>29</v>
      </c>
      <c r="C1" s="12" t="s">
        <v>30</v>
      </c>
      <c r="D1" s="12" t="s">
        <v>31</v>
      </c>
      <c r="E1" s="12" t="s">
        <v>32</v>
      </c>
      <c r="F1" s="12" t="s">
        <v>33</v>
      </c>
      <c r="G1" s="12" t="s">
        <v>34</v>
      </c>
      <c r="H1" s="12" t="s">
        <v>35</v>
      </c>
      <c r="I1" s="12" t="s">
        <v>36</v>
      </c>
      <c r="J1" s="12" t="s">
        <v>37</v>
      </c>
      <c r="K1" s="12" t="s">
        <v>38</v>
      </c>
      <c r="L1" s="12" t="s">
        <v>39</v>
      </c>
      <c r="M1" s="12" t="s">
        <v>40</v>
      </c>
      <c r="N1" s="12" t="s">
        <v>41</v>
      </c>
      <c r="O1" s="12" t="s">
        <v>42</v>
      </c>
    </row>
    <row r="2" spans="1:15" x14ac:dyDescent="0.3">
      <c r="A2" s="13" t="s">
        <v>43</v>
      </c>
      <c r="B2" s="12"/>
      <c r="C2" s="12"/>
      <c r="D2" s="12"/>
      <c r="E2" s="12"/>
      <c r="F2" s="12"/>
      <c r="G2" s="12"/>
      <c r="H2" s="12"/>
      <c r="I2" s="12"/>
      <c r="J2" s="12"/>
      <c r="K2" s="12"/>
      <c r="L2" s="12"/>
      <c r="M2" s="12"/>
      <c r="N2" s="12"/>
    </row>
    <row r="3" spans="1:15" x14ac:dyDescent="0.3">
      <c r="A3" s="13" t="s">
        <v>44</v>
      </c>
      <c r="B3" s="14">
        <v>12356566.288948333</v>
      </c>
      <c r="C3" s="14">
        <v>12342166.790781664</v>
      </c>
      <c r="D3" s="14">
        <v>12327767.292614998</v>
      </c>
      <c r="E3" s="14">
        <v>12313367.794448333</v>
      </c>
      <c r="F3" s="14">
        <v>12298968.296281664</v>
      </c>
      <c r="G3" s="14">
        <v>12284568.798114998</v>
      </c>
      <c r="H3" s="14">
        <v>12270169.299948333</v>
      </c>
      <c r="I3" s="14">
        <v>12255769.801781664</v>
      </c>
      <c r="J3" s="14">
        <v>12241370.303614998</v>
      </c>
      <c r="K3" s="14">
        <v>12226970.805448333</v>
      </c>
      <c r="L3" s="14">
        <v>12212571.307281664</v>
      </c>
      <c r="M3" s="14">
        <v>12198171.809114998</v>
      </c>
      <c r="N3" s="14">
        <v>12183772.310948333</v>
      </c>
      <c r="O3" s="14">
        <f>AVERAGE(B3:N3)</f>
        <v>12270169.299948333</v>
      </c>
    </row>
    <row r="4" spans="1:15" x14ac:dyDescent="0.3">
      <c r="A4" s="13" t="s">
        <v>45</v>
      </c>
      <c r="B4" s="14">
        <v>6266743.8677183334</v>
      </c>
      <c r="C4" s="14">
        <v>6259441.0325516667</v>
      </c>
      <c r="D4" s="14">
        <v>6252138.1973850001</v>
      </c>
      <c r="E4" s="14">
        <v>6244835.3622183334</v>
      </c>
      <c r="F4" s="14">
        <v>6237532.5270516668</v>
      </c>
      <c r="G4" s="14">
        <v>6230229.6918850001</v>
      </c>
      <c r="H4" s="14">
        <v>6222926.8567183334</v>
      </c>
      <c r="I4" s="14">
        <v>6215624.0215516668</v>
      </c>
      <c r="J4" s="14">
        <v>6208321.1863850001</v>
      </c>
      <c r="K4" s="14">
        <v>6201018.3512183335</v>
      </c>
      <c r="L4" s="14">
        <v>6193715.5160516668</v>
      </c>
      <c r="M4" s="14">
        <v>6186412.6808850002</v>
      </c>
      <c r="N4" s="14">
        <v>6179109.8457183335</v>
      </c>
      <c r="O4" s="14">
        <f>AVERAGE(B4:N4)</f>
        <v>6222926.8567183334</v>
      </c>
    </row>
    <row r="5" spans="1:15" ht="15" thickBot="1" x14ac:dyDescent="0.35">
      <c r="A5" s="13" t="s">
        <v>46</v>
      </c>
      <c r="B5" s="15">
        <f t="shared" ref="B5:N5" si="0">SUM(B3:B4)</f>
        <v>18623310.156666666</v>
      </c>
      <c r="C5" s="15">
        <f t="shared" si="0"/>
        <v>18601607.82333333</v>
      </c>
      <c r="D5" s="15">
        <f t="shared" si="0"/>
        <v>18579905.489999998</v>
      </c>
      <c r="E5" s="15">
        <f t="shared" si="0"/>
        <v>18558203.156666666</v>
      </c>
      <c r="F5" s="15">
        <f t="shared" si="0"/>
        <v>18536500.82333333</v>
      </c>
      <c r="G5" s="15">
        <f t="shared" si="0"/>
        <v>18514798.489999998</v>
      </c>
      <c r="H5" s="15">
        <f t="shared" si="0"/>
        <v>18493096.156666666</v>
      </c>
      <c r="I5" s="15">
        <f t="shared" si="0"/>
        <v>18471393.82333333</v>
      </c>
      <c r="J5" s="15">
        <f t="shared" si="0"/>
        <v>18449691.489999998</v>
      </c>
      <c r="K5" s="15">
        <f t="shared" si="0"/>
        <v>18427989.156666666</v>
      </c>
      <c r="L5" s="15">
        <f t="shared" si="0"/>
        <v>18406286.82333333</v>
      </c>
      <c r="M5" s="15">
        <f t="shared" si="0"/>
        <v>18384584.489999998</v>
      </c>
      <c r="N5" s="15">
        <f t="shared" si="0"/>
        <v>18362882.156666666</v>
      </c>
      <c r="O5" s="16">
        <f>AVERAGE(B5:N5)</f>
        <v>18493096.156666666</v>
      </c>
    </row>
    <row r="6" spans="1:15" ht="15" thickTop="1" x14ac:dyDescent="0.3"/>
  </sheetData>
  <pageMargins left="0.7" right="0.7" top="0.75" bottom="0.75" header="0.3" footer="0.3"/>
  <pageSetup scale="76" orientation="landscape" r:id="rId1"/>
  <headerFooter>
    <oddFooter>&amp;L_x000D_&amp;1#&amp;"Calibri"&amp;14&amp;K000000 Business Use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3"/>
  <sheetViews>
    <sheetView zoomScaleNormal="100" workbookViewId="0"/>
  </sheetViews>
  <sheetFormatPr defaultRowHeight="14.4" x14ac:dyDescent="0.3"/>
  <sheetData>
    <row r="23" spans="1:1" x14ac:dyDescent="0.3">
      <c r="A23" s="10"/>
    </row>
  </sheetData>
  <pageMargins left="1" right="1" top="1" bottom="1.75" header="0.5" footer="0.5"/>
  <pageSetup scale="83" firstPageNumber="3" orientation="landscape" useFirstPageNumber="1" r:id="rId1"/>
  <headerFooter scaleWithDoc="0">
    <oddFooter xml:space="preserve">&amp;L
&amp;1#&amp;"Calibri,Regular"&amp;14&amp;K000000 Business Use&amp;R&amp;"Times New Roman,Bold"&amp;12Rebuttal Exhibit CMG-4
Page &amp;P of 10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3"/>
  <sheetViews>
    <sheetView zoomScaleNormal="100" workbookViewId="0"/>
  </sheetViews>
  <sheetFormatPr defaultRowHeight="14.4" x14ac:dyDescent="0.3"/>
  <sheetData>
    <row r="23" spans="1:1" x14ac:dyDescent="0.3">
      <c r="A23" s="10"/>
    </row>
  </sheetData>
  <pageMargins left="1" right="1" top="1" bottom="1.75" header="0.5" footer="0.5"/>
  <pageSetup scale="83" firstPageNumber="4" orientation="landscape" useFirstPageNumber="1" r:id="rId1"/>
  <headerFooter scaleWithDoc="0">
    <oddFooter xml:space="preserve">&amp;L
&amp;1#&amp;"Calibri,Regular"&amp;14&amp;K000000 Business Use&amp;R&amp;"Times New Roman,Bold"&amp;12Rebuttal Exhibit CMG-4
Page &amp;P of 10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3"/>
  <sheetViews>
    <sheetView zoomScaleNormal="100" workbookViewId="0"/>
  </sheetViews>
  <sheetFormatPr defaultRowHeight="14.4" x14ac:dyDescent="0.3"/>
  <sheetData>
    <row r="23" spans="1:1" x14ac:dyDescent="0.3">
      <c r="A23" s="10"/>
    </row>
  </sheetData>
  <pageMargins left="1" right="1" top="1" bottom="1.75" header="0.5" footer="0.5"/>
  <pageSetup scale="83" firstPageNumber="5" orientation="landscape" useFirstPageNumber="1" r:id="rId1"/>
  <headerFooter scaleWithDoc="0">
    <oddFooter xml:space="preserve">&amp;L
&amp;1#&amp;"Calibri,Regular"&amp;14&amp;K000000 Business Use&amp;R&amp;"Times New Roman,Bold"&amp;12Rebuttal Exhibit CMG-4
Page &amp;P of 10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3"/>
  <sheetViews>
    <sheetView zoomScaleNormal="100" workbookViewId="0"/>
  </sheetViews>
  <sheetFormatPr defaultRowHeight="14.4" x14ac:dyDescent="0.3"/>
  <sheetData>
    <row r="23" spans="1:1" x14ac:dyDescent="0.3">
      <c r="A23" s="10"/>
    </row>
  </sheetData>
  <pageMargins left="1" right="1" top="1" bottom="1.75" header="0.5" footer="0.5"/>
  <pageSetup scale="86" firstPageNumber="6" orientation="landscape" useFirstPageNumber="1" r:id="rId1"/>
  <headerFooter scaleWithDoc="0">
    <oddFooter xml:space="preserve">&amp;L
&amp;1#&amp;"Calibri,Regular"&amp;14&amp;K000000 Business Use&amp;R&amp;"Times New Roman,Bold"&amp;12Rebuttal Exhibit CMG-4
Page &amp;P of 10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3"/>
  <sheetViews>
    <sheetView zoomScaleNormal="100" workbookViewId="0"/>
  </sheetViews>
  <sheetFormatPr defaultRowHeight="14.4" x14ac:dyDescent="0.3"/>
  <sheetData>
    <row r="23" spans="1:1" x14ac:dyDescent="0.3">
      <c r="A23" s="10"/>
    </row>
  </sheetData>
  <pageMargins left="1" right="1" top="1" bottom="1.75" header="0.5" footer="0.5"/>
  <pageSetup scale="83" firstPageNumber="7" orientation="landscape" useFirstPageNumber="1" r:id="rId1"/>
  <headerFooter scaleWithDoc="0">
    <oddFooter xml:space="preserve">&amp;L
&amp;1#&amp;"Calibri,Regular"&amp;14&amp;K000000 Business Use&amp;R&amp;"Times New Roman,Bold"&amp;12Rebuttal Exhibit CMG-4
Page &amp;P of 10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3"/>
  <sheetViews>
    <sheetView zoomScaleNormal="100" workbookViewId="0"/>
  </sheetViews>
  <sheetFormatPr defaultRowHeight="14.4" x14ac:dyDescent="0.3"/>
  <sheetData>
    <row r="23" spans="1:1" x14ac:dyDescent="0.3">
      <c r="A23" s="10"/>
    </row>
  </sheetData>
  <pageMargins left="1" right="1" top="1" bottom="1.75" header="0.5" footer="0.5"/>
  <pageSetup scale="83" firstPageNumber="8" orientation="landscape" useFirstPageNumber="1" r:id="rId1"/>
  <headerFooter scaleWithDoc="0">
    <oddFooter xml:space="preserve">&amp;L
&amp;1#&amp;"Calibri,Regular"&amp;14&amp;K000000 Business Use&amp;R&amp;"Times New Roman,Bold"&amp;12Rebuttal Exhibit CMG-4
Page &amp;P of 10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103853DF7894DB347713A7250CD66" ma:contentTypeVersion="71" ma:contentTypeDescription="Create a new document." ma:contentTypeScope="" ma:versionID="9e9e9aecc9497b4a3a259a1f9668c82b">
  <xsd:schema xmlns:xsd="http://www.w3.org/2001/XMLSchema" xmlns:xs="http://www.w3.org/2001/XMLSchema" xmlns:p="http://schemas.microsoft.com/office/2006/metadata/properties" xmlns:ns1="http://schemas.microsoft.com/sharepoint/v3" xmlns:ns2="54fcda00-7b58-44a7-b108-8bd10a8a08ba" targetNamespace="http://schemas.microsoft.com/office/2006/metadata/properties" ma:root="true" ma:fieldsID="3f131de501d1b4714f7781a87fcdd089" ns1:_="" ns2:_="">
    <xsd:import namespace="http://schemas.microsoft.com/sharepoint/v3"/>
    <xsd:import namespace="54fcda00-7b58-44a7-b108-8bd10a8a08ba"/>
    <xsd:element name="properties">
      <xsd:complexType>
        <xsd:sequence>
          <xsd:element name="documentManagement">
            <xsd:complexType>
              <xsd:all>
                <xsd:element ref="ns2:Company" minOccurs="0"/>
                <xsd:element ref="ns2:Year"/>
                <xsd:element ref="ns2:Document_x0020_Type"/>
                <xsd:element ref="ns2:Filing_x0020_Requirement" minOccurs="0"/>
                <xsd:element ref="ns2:Witness_x0020_Testimony" minOccurs="0"/>
                <xsd:element ref="ns2:Intervemprs" minOccurs="0"/>
                <xsd:element ref="ns2:Round" minOccurs="0"/>
                <xsd:element ref="ns2:Data_x0020_Request_x0020_Question_x0020_No_x002e_" minOccurs="0"/>
                <xsd:element ref="ns2:Tariff_x0020_Dev_x0020_Doc_x0020_Type" minOccurs="0"/>
                <xsd:element ref="ns2:Filed_x0020_Documents" minOccurs="0"/>
                <xsd:element ref="ns2:Department" minOccurs="0"/>
                <xsd:element ref="ns1:Form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19"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cda00-7b58-44a7-b108-8bd10a8a08ba" elementFormDefault="qualified">
    <xsd:import namespace="http://schemas.microsoft.com/office/2006/documentManagement/types"/>
    <xsd:import namespace="http://schemas.microsoft.com/office/infopath/2007/PartnerControls"/>
    <xsd:element name="Company" ma:index="2" nillable="true" ma:displayName="Company" ma:internalName="Company" ma:readOnly="false" ma:requiredMultiChoice="true">
      <xsd:complexType>
        <xsd:complexContent>
          <xsd:extension base="dms:MultiChoice">
            <xsd:sequence>
              <xsd:element name="Value" maxOccurs="unbounded" minOccurs="0" nillable="true">
                <xsd:simpleType>
                  <xsd:restriction base="dms:Choice">
                    <xsd:enumeration value="KU"/>
                    <xsd:enumeration value="LGE"/>
                    <xsd:enumeration value="ODP"/>
                  </xsd:restriction>
                </xsd:simpleType>
              </xsd:element>
            </xsd:sequence>
          </xsd:extension>
        </xsd:complexContent>
      </xsd:complexType>
    </xsd:element>
    <xsd:element name="Year" ma:index="3" ma:displayName="Year" ma:default="2025" ma:format="Dropdown" ma:indexed="true" ma:internalName="Year" ma:readOnly="false">
      <xsd:simpleType>
        <xsd:restriction base="dms:Choice">
          <xsd:enumeration value="2025"/>
          <xsd:enumeration value="2024"/>
          <xsd:enumeration value="2021"/>
          <xsd:enumeration value="2020"/>
          <xsd:enumeration value="2019"/>
          <xsd:enumeration value="2018"/>
          <xsd:enumeration value="2017"/>
          <xsd:enumeration value="2016"/>
          <xsd:enumeration value="2015"/>
          <xsd:enumeration value="2014"/>
        </xsd:restriction>
      </xsd:simpleType>
    </xsd:element>
    <xsd:element name="Document_x0020_Type" ma:index="4" ma:displayName="Document Type" ma:format="Dropdown" ma:indexed="true" ma:internalName="Document_x0020_Type" ma:readOnly="false">
      <xsd:simpleType>
        <xsd:restriction base="dms:Choice">
          <xsd:enumeration value="General Information"/>
          <xsd:enumeration value="Application"/>
          <xsd:enumeration value="Development"/>
          <xsd:enumeration value="Orders"/>
          <xsd:enumeration value="Direct Testimony"/>
          <xsd:enumeration value="Rebuttal Testimony"/>
          <xsd:enumeration value="Stipulation Testimony"/>
          <xsd:enumeration value="Supplemental Testimony"/>
          <xsd:enumeration value="Supplemental Rebuttal Testimony"/>
          <xsd:enumeration value="Sur-Rebuttal Testimony"/>
          <xsd:enumeration value="Superseded Testimony"/>
          <xsd:enumeration value="Intervenor Direct Testimony"/>
          <xsd:enumeration value="Intervenor Supplemental Testimony"/>
          <xsd:enumeration value="Intervenor Data Requests Issued"/>
          <xsd:enumeration value="Intervenor Data Requests Responses"/>
          <xsd:enumeration value="Data Requests"/>
          <xsd:enumeration value="Notices"/>
          <xsd:enumeration value="eFile/Filed Docs"/>
          <xsd:enumeration value="Filing Requirements"/>
          <xsd:enumeration value="Tariff Development"/>
          <xsd:enumeration value="Witness Prep"/>
          <xsd:enumeration value="Public Hearings"/>
          <xsd:enumeration value="Superseded"/>
          <xsd:enumeration value="Rate Case NMS/QF Tariffs"/>
          <xsd:enumeration value="Pre-Pay Program"/>
          <xsd:enumeration value="Grandfathering"/>
          <xsd:enumeration value="Net Metering"/>
          <xsd:enumeration value="Pre-Pay – Research"/>
          <xsd:enumeration value="Data Centers"/>
          <xsd:enumeration value="Settlement"/>
          <xsd:enumeration value="Guidance Sheets"/>
        </xsd:restriction>
      </xsd:simpleType>
    </xsd:element>
    <xsd:element name="Filing_x0020_Requirement" ma:index="5" nillable="true" ma:displayName="Filing Requirement" ma:format="Dropdown" ma:internalName="Filing_x0020_Requirement" ma:readOnly="false">
      <xsd:simpleType>
        <xsd:restriction base="dms:Choice">
          <xsd:enumeration value="Filing Requirements - Draft Responses"/>
          <xsd:enumeration value="Tab 01-Sec 14(2) Attachment Only"/>
          <xsd:enumeration value="Tab 03-Sec 16(1)(b)(2) Attachment Only"/>
          <xsd:enumeration value="Tab 04-Sec 16(1)(b)(3) Attachment Only"/>
          <xsd:enumeration value="Tab 05-Sec 16(1)(b)(4) Attachment Only"/>
          <xsd:enumeration value="Tab 06-Sec 16(1)(b)(5) Attachment Only"/>
          <xsd:enumeration value="Tab 07-Sec 16(2) Attachment Only"/>
          <xsd:enumeration value="Tab 13-Sec 16(6)(f) Attachment Only"/>
          <xsd:enumeration value="Tab 15-Sec 16(7)(b) Attachment Only"/>
          <xsd:enumeration value="Tab 16-Sec 16(7)(c) Attachment Only"/>
          <xsd:enumeration value="Tab 17-Sec 16(7)(d) Attachment Only"/>
          <xsd:enumeration value="Tab 18-Sec 16(7)(e) Attachment Only"/>
          <xsd:enumeration value="Tab 19-Sec 16(7)(f) Attachment Only"/>
          <xsd:enumeration value="Tab 20-Sec 16(7)(g) Attachment Only"/>
          <xsd:enumeration value="Tab 22-Sec 16(7)(h)(1) Attachment Only"/>
          <xsd:enumeration value="Tab 23-Sec 16(7)(h)(2) Attachment Only"/>
          <xsd:enumeration value="Tab 24-Sec 16(7)(h)(3) Attachment Only"/>
          <xsd:enumeration value="Tab 25-Sec 16(7)(h)(4) Attachment Only"/>
          <xsd:enumeration value="Tab 28-Sec 16(7)(h)(7) Attachment Only"/>
          <xsd:enumeration value="Tab 29-Sec 16(7)(h)(8) Attachment Only"/>
          <xsd:enumeration value="Tab 30-Sec 16(7)(h)(9) Attachment Only"/>
          <xsd:enumeration value="Tab 31-Sec 16(7)(h)(10) Attachment Only"/>
          <xsd:enumeration value="Tab 32-Sec 16(7)(h)(11) Attachment Only"/>
          <xsd:enumeration value="Tab 33-Sec 16(7)(h)(12) Attachment Only"/>
          <xsd:enumeration value="Tab 39-Sec 16(7)(i) Attachment Only"/>
          <xsd:enumeration value="Tab 40-Sec 16(7)(j) Attachment Only"/>
          <xsd:enumeration value="Tab 41-Sec 16(7)(k) Attachment Only"/>
          <xsd:enumeration value="Tab 43-Sec 16(7)(m) Attachment Only"/>
          <xsd:enumeration value="Tab 44-Sec 16(7)(n) Attachment Only"/>
          <xsd:enumeration value="Tab 45-Sec 16(7)(o) Attachment Only"/>
          <xsd:enumeration value="Tab 46-Sec 16(7)(p) Attachment Only"/>
          <xsd:enumeration value="Tab 50-Sec 16(7)(t) Attachment Only"/>
          <xsd:enumeration value="Tab 51-Sec 16(7)(u) Attachment Only"/>
          <xsd:enumeration value="Tab 54-Sec 16(8)(a) Attachment Only"/>
          <xsd:enumeration value="Tab 55-Sec 16(8)(b Attachment Only"/>
          <xsd:enumeration value="Tab 56-Sec 16(8)(c) Attachment Only"/>
          <xsd:enumeration value="Tab 57-Sec 16(8)(d) Attachment Only"/>
          <xsd:enumeration value="Tab 58-Sec 16(8)(e) Attachment Only"/>
          <xsd:enumeration value="Tab 59-Sec 16(8)(f) Attachment Only"/>
          <xsd:enumeration value="Tab 60-Sec 16(8)(g) Attachment Only"/>
          <xsd:enumeration value="Tab 61-Sec 16(8)(h) Attachment Only"/>
          <xsd:enumeration value="Tab 62-Sec 16(8)(i) Attachment Only"/>
          <xsd:enumeration value="Tab 63-Sec 16(8)(j) Attachment Only"/>
          <xsd:enumeration value="Tab 64-Sec 16(8)(k) Attachment Only"/>
          <xsd:enumeration value="Tab 66-Sec 16(8)(m) Attachment Only"/>
          <xsd:enumeration value="Tab 67-Sec 16(8)(n) Attachment Only"/>
          <xsd:enumeration value="Filing Requirements - Guidance Sheets"/>
          <xsd:enumeration value="Filing Requirements - Witness/Preparer Assignments"/>
          <xsd:enumeration value="Filing Requirements - eFiled"/>
          <xsd:enumeration value="Exempt Schedules 10_13_20_23_33_44-48"/>
          <xsd:enumeration value="Schedule 01-5_8-29_40-Revenue Requirements"/>
          <xsd:enumeration value="Schedule 08-14,16-28-Revenue Requirements"/>
          <xsd:enumeration value="Schedule 01-5-Financial Data"/>
          <xsd:enumeration value="Schedule 06-Annual Reports"/>
          <xsd:enumeration value="Schedule 07-Comparative Financial Statements"/>
          <xsd:enumeration value="Schedule 15-Regulatory Assets"/>
          <xsd:enumeration value="Schedule 17-Lead/Lag Cash Working Capital Calc - ET"/>
          <xsd:enumeration value="Schedule 27-Lead/Lag Cash Working Capital Calc - Adj."/>
          <xsd:enumeration value="Schedule 29-Workpapers for Adjustments"/>
          <xsd:enumeration value="Schedule 30-Revenue and Expense Analysis"/>
          <xsd:enumeration value="Schedule 31-Advertising"/>
          <xsd:enumeration value="Schedule 32-Storm Damage"/>
          <xsd:enumeration value="Schedule 34-Misc Expenses"/>
          <xsd:enumeration value="Schedule 35-Affiliate Services"/>
          <xsd:enumeration value="Schedule 36-Income Taxes"/>
          <xsd:enumeration value="Schedule 37-Organization"/>
          <xsd:enumeration value="Schedule 38-Changes in Acctg Procedures"/>
          <xsd:enumeration value="Schedule 39-Out of Period"/>
          <xsd:enumeration value="Schedule 40-Cost of Service"/>
          <xsd:enumeration value="Schedule 41-Present and Proposed Tariffs"/>
          <xsd:enumeration value="Schedule 42-Present and Proposed Revenues"/>
          <xsd:enumeration value="Schedule 43-Sample Bills"/>
          <xsd:enumeration value="Schedule 49-Other"/>
          <xsd:enumeration value="Schedule 50-Other"/>
        </xsd:restriction>
      </xsd:simpleType>
    </xsd:element>
    <xsd:element name="Witness_x0020_Testimony" ma:index="6" nillable="true" ma:displayName="Witness" ma:format="Dropdown" ma:internalName="Witness_x0020_Testimony" ma:readOnly="false">
      <xsd:simpleType>
        <xsd:restriction base="dms:Choice">
          <xsd:enumeration value="Baryenbruch, Patrick L. (Baryenbruch &amp; Company, LLC)"/>
          <xsd:enumeration value="Bellar, Lonnie E."/>
          <xsd:enumeration value="Bevington, John"/>
          <xsd:enumeration value="Burgos, Julissa"/>
          <xsd:enumeration value="Clements, Chad E."/>
          <xsd:enumeration value="Conroy, Robert M."/>
          <xsd:enumeration value="Crockett, John R."/>
          <xsd:enumeration value="Dylan W. D'Ascendis (ScottMadden, Inc.)"/>
          <xsd:enumeration value="Fackler, Andrea M."/>
          <xsd:enumeration value="Garrett, Christopher M."/>
          <xsd:enumeration value="Hornung, Michael E."/>
          <xsd:enumeration value="Johnson, Daniel"/>
          <xsd:enumeration value="Lovekamp, Rick E."/>
          <xsd:enumeration value="McCombs, Drew T."/>
          <xsd:enumeration value="McFarland, Elizabeth J."/>
          <xsd:enumeration value="McKenzie, Adrien M. (FINCAP, Inc.)"/>
          <xsd:enumeration value="Metts, Heather D."/>
          <xsd:enumeration value="Montgomery, Shannon L."/>
          <xsd:enumeration value="Poplaski, Vincent"/>
          <xsd:enumeration value="Rahn, Derek"/>
          <xsd:enumeration value="Rieth, Tom C."/>
          <xsd:enumeration value="Saunders, Eileen L."/>
          <xsd:enumeration value="Schram, Charles R."/>
          <xsd:enumeration value="Sinclair, David S."/>
          <xsd:enumeration value="Spanos, John J. (Gannett Fleming)"/>
          <xsd:enumeration value="Waldrab, Peter W."/>
          <xsd:enumeration value="Wilson, Stuart"/>
          <xsd:enumeration value="z - eFiled/Filed"/>
          <xsd:enumeration value="Arbough, Daniel K."/>
          <xsd:enumeration value="Blake, Kent W."/>
          <xsd:enumeration value="Leichty, Douglas A."/>
          <xsd:enumeration value="Meiman, Greg J."/>
          <xsd:enumeration value="Murphy, J. Clay"/>
          <xsd:enumeration value="Seelye, Steve (The Prime Group)"/>
          <xsd:enumeration value="Straight, Scott"/>
          <xsd:enumeration value="Thompson, Paul W."/>
          <xsd:enumeration value="Wolfe, John K."/>
          <xsd:enumeration value="Lyons, Tim S. (ScottMadden Inc)"/>
        </xsd:restriction>
      </xsd:simpleType>
    </xsd:element>
    <xsd:element name="Intervemprs" ma:index="7" nillable="true" ma:displayName="Data Request Party" ma:format="Dropdown" ma:internalName="Intervemprs" ma:readOnly="false">
      <xsd:simpleType>
        <xsd:restriction base="dms:Choice">
          <xsd:enumeration value="0-Data Response Tracking Sheet"/>
          <xsd:enumeration value="KY Public Service Commission - PSC"/>
          <xsd:enumeration value="VA State Corporation Commission - VASCC"/>
          <xsd:enumeration value="Appalachian Voices"/>
          <xsd:enumeration value="Association of Community Ministries - ACM"/>
          <xsd:enumeration value="Attorney General/KY Industrial Utility Customers - AG/KIUC"/>
          <xsd:enumeration value="Attorney General - AG"/>
          <xsd:enumeration value="AT&amp;T"/>
          <xsd:enumeration value="Charter Communications - Charter"/>
          <xsd:enumeration value="Community Action Council - CAC"/>
          <xsd:enumeration value="East Kentucky Power Cooperative - EKPC"/>
          <xsd:enumeration value="JBS Swift &amp; Co - JBS"/>
          <xsd:enumeration value="KY Broadband and Cable Association - KBCA"/>
          <xsd:enumeration value="KY Cable Telecomm. Assn - KCTA"/>
          <xsd:enumeration value="KY Industrial Utility Customers - KIUC"/>
          <xsd:enumeration value="Kentucky League of Cities - KLC"/>
          <xsd:enumeration value="Kroger"/>
          <xsd:enumeration value="Kroger/Wal-Mart"/>
          <xsd:enumeration value="KY School Boards Assn - KSBA"/>
          <xsd:enumeration value="KY Solar Industries Assn - KSIA"/>
          <xsd:enumeration value="Lexington-Fayette Urban County Govt - LFUCG"/>
          <xsd:enumeration value="Louisville Metro Government - METRO"/>
          <xsd:enumeration value="Metro. Housing Coalition - MHC"/>
          <xsd:enumeration value="Metro Housing Coalition/Kentuckians for the Commonwealth/Kentucky Solar Energy Society - MHC/KFTC/KSES"/>
          <xsd:enumeration value="Mountain Association/Kentuckians for the Commonwealth/Kentucky Solar Energy Society - MA/KFTC/KSES"/>
          <xsd:enumeration value="Sierra Club - SC"/>
          <xsd:enumeration value="U.S. Dept. of Defense/Federal Executive Agencies - DOD/FEA"/>
          <xsd:enumeration value="U.S. Dept. of Defense -  US DOD"/>
          <xsd:enumeration value="Wal-Mart"/>
        </xsd:restriction>
      </xsd:simpleType>
    </xsd:element>
    <xsd:element name="Round" ma:index="8" nillable="true" ma:displayName="Data Request Round" ma:format="Dropdown" ma:internalName="Round" ma:readOnly="false">
      <xsd:simpleType>
        <xsd:restriction base="dms:Choice">
          <xsd:enumeration value="On-Site Requests"/>
          <xsd:enumeration value="DR01"/>
          <xsd:enumeration value="DR01 Attachments"/>
          <xsd:enumeration value="DR01 eFiled/Filed"/>
          <xsd:enumeration value="DR02"/>
          <xsd:enumeration value="DR02 Attachments"/>
          <xsd:enumeration value="DR02 eFiled/Filed"/>
          <xsd:enumeration value="DR03"/>
          <xsd:enumeration value="DR03 Attachments"/>
          <xsd:enumeration value="DR03 eFiled/Filed"/>
          <xsd:enumeration value="DR04"/>
          <xsd:enumeration value="DR04 Attachments"/>
          <xsd:enumeration value="DR04 eFiled/Filed"/>
          <xsd:enumeration value="DR05"/>
          <xsd:enumeration value="DR05 Attachments"/>
          <xsd:enumeration value="DR05 eFiled/Filed"/>
          <xsd:enumeration value="DR06"/>
          <xsd:enumeration value="DR06 Attachments"/>
          <xsd:enumeration value="DR06 eFiled/Filed"/>
          <xsd:enumeration value="DR07"/>
          <xsd:enumeration value="DR07 Attachments"/>
          <xsd:enumeration value="DR07 eFiled/Filed"/>
          <xsd:enumeration value="DR08"/>
          <xsd:enumeration value="DR08 Attachments"/>
          <xsd:enumeration value="DR08 eFiled/Filed"/>
          <xsd:enumeration value="DR09"/>
          <xsd:enumeration value="DR09 Attachments"/>
          <xsd:enumeration value="DR09 eFiled/Filed"/>
          <xsd:enumeration value="DR10"/>
          <xsd:enumeration value="DR10 Attachments"/>
          <xsd:enumeration value="DR10 eFiled/Filed"/>
          <xsd:enumeration value="DR11"/>
          <xsd:enumeration value="DR11 Attachments"/>
          <xsd:enumeration value="DR11 eFiled/Filed"/>
          <xsd:enumeration value="DR12"/>
          <xsd:enumeration value="DR12 Attachments"/>
          <xsd:enumeration value="DR12 eFiled/Filed"/>
          <xsd:enumeration value="DR13"/>
          <xsd:enumeration value="DR13 Attachments"/>
          <xsd:enumeration value="DR13 eFiled/Filed"/>
          <xsd:enumeration value="DR14"/>
          <xsd:enumeration value="DR14 Attachments"/>
          <xsd:enumeration value="DR14 eFiled/Filed"/>
          <xsd:enumeration value="Post Hearing DR01"/>
          <xsd:enumeration value="Post Hearing DR01 Attachments"/>
          <xsd:enumeration value="Post Hearing DR01 eFiled/Filed"/>
          <xsd:enumeration value="Post Hearing DR02"/>
          <xsd:enumeration value="Post Hearing DR02 Attachments"/>
          <xsd:enumeration value="Post Hearing DR02 eFiled/Filed"/>
          <xsd:enumeration value="PSC DR02/Intervenors DR01"/>
          <xsd:enumeration value="PSC DR03/Intervenors DR02"/>
          <xsd:enumeration value="PSC DR04"/>
          <xsd:enumeration value="PSC DR05/Intervenors DR03"/>
          <xsd:enumeration value="PSC DR06"/>
        </xsd:restriction>
      </xsd:simpleType>
    </xsd:element>
    <xsd:element name="Data_x0020_Request_x0020_Question_x0020_No_x002e_" ma:index="9" nillable="true" ma:displayName="Data Request Question No." ma:format="Dropdown" ma:internalName="Data_x0020_Request_x0020_Question_x0020_No_x002e_" ma:readOnly="false">
      <xsd:simpleType>
        <xsd:restriction base="dms:Choice">
          <xsd:enumeration value="001"/>
          <xsd:enumeration value="002"/>
          <xsd:enumeration value="003"/>
          <xsd:enumeration value="004"/>
          <xsd:enumeration value="005"/>
          <xsd:enumeration value="006"/>
          <xsd:enumeration value="007"/>
          <xsd:enumeration value="008"/>
          <xsd:enumeration value="009"/>
          <xsd:enumeration value="010"/>
          <xsd:enumeration value="011"/>
          <xsd:enumeration value="012"/>
          <xsd:enumeration value="013"/>
          <xsd:enumeration value="014"/>
          <xsd:enumeration value="015"/>
          <xsd:enumeration value="016"/>
          <xsd:enumeration value="017"/>
          <xsd:enumeration value="018"/>
          <xsd:enumeration value="019"/>
          <xsd:enumeration value="020"/>
          <xsd:enumeration value="021"/>
          <xsd:enumeration value="022"/>
          <xsd:enumeration value="023"/>
          <xsd:enumeration value="024"/>
          <xsd:enumeration value="025"/>
          <xsd:enumeration value="026"/>
          <xsd:enumeration value="027"/>
          <xsd:enumeration value="028"/>
          <xsd:enumeration value="029"/>
          <xsd:enumeration value="030"/>
          <xsd:enumeration value="031"/>
          <xsd:enumeration value="032"/>
          <xsd:enumeration value="033"/>
          <xsd:enumeration value="034"/>
          <xsd:enumeration value="035"/>
          <xsd:enumeration value="036"/>
          <xsd:enumeration value="037"/>
          <xsd:enumeration value="038"/>
          <xsd:enumeration value="039"/>
          <xsd:enumeration value="040"/>
          <xsd:enumeration value="041"/>
          <xsd:enumeration value="042"/>
          <xsd:enumeration value="043"/>
          <xsd:enumeration value="044"/>
          <xsd:enumeration value="045"/>
          <xsd:enumeration value="046"/>
          <xsd:enumeration value="047"/>
          <xsd:enumeration value="048"/>
          <xsd:enumeration value="049"/>
          <xsd:enumeration value="050"/>
          <xsd:enumeration value="051"/>
          <xsd:enumeration value="052"/>
          <xsd:enumeration value="053"/>
          <xsd:enumeration value="054"/>
          <xsd:enumeration value="055"/>
          <xsd:enumeration value="056"/>
          <xsd:enumeration value="057"/>
          <xsd:enumeration value="058"/>
          <xsd:enumeration value="059"/>
          <xsd:enumeration value="060"/>
          <xsd:enumeration value="061"/>
          <xsd:enumeration value="062"/>
          <xsd:enumeration value="063"/>
          <xsd:enumeration value="064"/>
          <xsd:enumeration value="065"/>
          <xsd:enumeration value="066"/>
          <xsd:enumeration value="067"/>
          <xsd:enumeration value="068"/>
          <xsd:enumeration value="069"/>
          <xsd:enumeration value="070"/>
          <xsd:enumeration value="071"/>
          <xsd:enumeration value="072"/>
          <xsd:enumeration value="073"/>
          <xsd:enumeration value="074"/>
          <xsd:enumeration value="075"/>
          <xsd:enumeration value="076"/>
          <xsd:enumeration value="077"/>
          <xsd:enumeration value="078"/>
          <xsd:enumeration value="079"/>
          <xsd:enumeration value="080"/>
          <xsd:enumeration value="081"/>
          <xsd:enumeration value="082"/>
          <xsd:enumeration value="083"/>
          <xsd:enumeration value="084"/>
          <xsd:enumeration value="085"/>
          <xsd:enumeration value="086"/>
          <xsd:enumeration value="087"/>
          <xsd:enumeration value="088"/>
          <xsd:enumeration value="089"/>
          <xsd:enumeration value="090"/>
          <xsd:enumeration value="091"/>
          <xsd:enumeration value="092"/>
          <xsd:enumeration value="093"/>
          <xsd:enumeration value="094"/>
          <xsd:enumeration value="095"/>
          <xsd:enumeration value="096"/>
          <xsd:enumeration value="097"/>
          <xsd:enumeration value="098"/>
          <xsd:enumeration value="099"/>
          <xsd:enumeration value="100"/>
          <xsd:enumeration value="101"/>
          <xsd:enumeration value="102"/>
          <xsd:enumeration value="103"/>
          <xsd:enumeration value="104"/>
          <xsd:enumeration value="105"/>
          <xsd:enumeration value="106"/>
          <xsd:enumeration value="107"/>
          <xsd:enumeration value="108"/>
          <xsd:enumeration value="109"/>
          <xsd:enumeration value="110"/>
          <xsd:enumeration value="111"/>
          <xsd:enumeration value="112"/>
          <xsd:enumeration value="113"/>
          <xsd:enumeration value="114"/>
          <xsd:enumeration value="115"/>
          <xsd:enumeration value="116"/>
          <xsd:enumeration value="117"/>
          <xsd:enumeration value="118"/>
          <xsd:enumeration value="119"/>
          <xsd:enumeration value="120"/>
          <xsd:enumeration value="121"/>
          <xsd:enumeration value="122"/>
          <xsd:enumeration value="123"/>
          <xsd:enumeration value="124"/>
          <xsd:enumeration value="125"/>
          <xsd:enumeration value="126"/>
          <xsd:enumeration value="127"/>
          <xsd:enumeration value="128"/>
          <xsd:enumeration value="129"/>
          <xsd:enumeration value="130"/>
          <xsd:enumeration value="131"/>
          <xsd:enumeration value="132"/>
          <xsd:enumeration value="133"/>
          <xsd:enumeration value="134"/>
          <xsd:enumeration value="135"/>
          <xsd:enumeration value="136"/>
          <xsd:enumeration value="137"/>
          <xsd:enumeration value="138"/>
          <xsd:enumeration value="139"/>
          <xsd:enumeration value="140"/>
          <xsd:enumeration value="141"/>
          <xsd:enumeration value="142"/>
          <xsd:enumeration value="143"/>
          <xsd:enumeration value="144"/>
          <xsd:enumeration value="145"/>
          <xsd:enumeration value="146"/>
          <xsd:enumeration value="147"/>
          <xsd:enumeration value="148"/>
          <xsd:enumeration value="149"/>
          <xsd:enumeration value="150"/>
          <xsd:enumeration value="151"/>
          <xsd:enumeration value="152"/>
          <xsd:enumeration value="153"/>
          <xsd:enumeration value="154"/>
          <xsd:enumeration value="155"/>
          <xsd:enumeration value="156"/>
          <xsd:enumeration value="157"/>
          <xsd:enumeration value="158"/>
          <xsd:enumeration value="159"/>
          <xsd:enumeration value="160"/>
          <xsd:enumeration value="161"/>
          <xsd:enumeration value="162"/>
          <xsd:enumeration value="163"/>
          <xsd:enumeration value="164"/>
          <xsd:enumeration value="165"/>
          <xsd:enumeration value="166"/>
          <xsd:enumeration value="167"/>
          <xsd:enumeration value="168"/>
          <xsd:enumeration value="169"/>
          <xsd:enumeration value="170"/>
          <xsd:enumeration value="171"/>
          <xsd:enumeration value="172"/>
          <xsd:enumeration value="173"/>
          <xsd:enumeration value="174"/>
          <xsd:enumeration value="175"/>
          <xsd:enumeration value="176"/>
          <xsd:enumeration value="177"/>
          <xsd:enumeration value="178"/>
          <xsd:enumeration value="179"/>
          <xsd:enumeration value="180"/>
          <xsd:enumeration value="181"/>
          <xsd:enumeration value="182"/>
          <xsd:enumeration value="183"/>
          <xsd:enumeration value="184"/>
          <xsd:enumeration value="185"/>
          <xsd:enumeration value="186"/>
          <xsd:enumeration value="187"/>
          <xsd:enumeration value="188"/>
          <xsd:enumeration value="189"/>
          <xsd:enumeration value="190"/>
          <xsd:enumeration value="191"/>
          <xsd:enumeration value="192"/>
          <xsd:enumeration value="193"/>
          <xsd:enumeration value="194"/>
          <xsd:enumeration value="195"/>
          <xsd:enumeration value="196"/>
          <xsd:enumeration value="197"/>
          <xsd:enumeration value="198"/>
          <xsd:enumeration value="199"/>
          <xsd:enumeration value="200"/>
          <xsd:enumeration value="201"/>
          <xsd:enumeration value="202"/>
          <xsd:enumeration value="203"/>
          <xsd:enumeration value="204"/>
          <xsd:enumeration value="205"/>
          <xsd:enumeration value="206"/>
          <xsd:enumeration value="207"/>
          <xsd:enumeration value="208"/>
          <xsd:enumeration value="209"/>
          <xsd:enumeration value="210"/>
          <xsd:enumeration value="211"/>
          <xsd:enumeration value="212"/>
          <xsd:enumeration value="213"/>
          <xsd:enumeration value="214"/>
          <xsd:enumeration value="215"/>
          <xsd:enumeration value="216"/>
          <xsd:enumeration value="217"/>
          <xsd:enumeration value="218"/>
          <xsd:enumeration value="219"/>
          <xsd:enumeration value="220"/>
          <xsd:enumeration value="221"/>
          <xsd:enumeration value="222"/>
          <xsd:enumeration value="223"/>
          <xsd:enumeration value="224"/>
          <xsd:enumeration value="225"/>
          <xsd:enumeration value="226"/>
          <xsd:enumeration value="227"/>
          <xsd:enumeration value="228"/>
          <xsd:enumeration value="229"/>
          <xsd:enumeration value="230"/>
          <xsd:enumeration value="231"/>
          <xsd:enumeration value="232"/>
          <xsd:enumeration value="233"/>
          <xsd:enumeration value="234"/>
          <xsd:enumeration value="235"/>
          <xsd:enumeration value="236"/>
          <xsd:enumeration value="237"/>
          <xsd:enumeration value="238"/>
          <xsd:enumeration value="239"/>
          <xsd:enumeration value="240"/>
          <xsd:enumeration value="241"/>
          <xsd:enumeration value="242"/>
          <xsd:enumeration value="243"/>
          <xsd:enumeration value="244"/>
          <xsd:enumeration value="245"/>
          <xsd:enumeration value="246"/>
          <xsd:enumeration value="247"/>
          <xsd:enumeration value="248"/>
          <xsd:enumeration value="249"/>
          <xsd:enumeration value="250"/>
          <xsd:enumeration value="251"/>
          <xsd:enumeration value="252"/>
          <xsd:enumeration value="253"/>
          <xsd:enumeration value="254"/>
          <xsd:enumeration value="255"/>
          <xsd:enumeration value="256"/>
          <xsd:enumeration value="257"/>
          <xsd:enumeration value="258"/>
          <xsd:enumeration value="259"/>
          <xsd:enumeration value="260"/>
          <xsd:enumeration value="261"/>
          <xsd:enumeration value="262"/>
          <xsd:enumeration value="263"/>
          <xsd:enumeration value="264"/>
          <xsd:enumeration value="265"/>
          <xsd:enumeration value="266"/>
          <xsd:enumeration value="267"/>
          <xsd:enumeration value="268"/>
          <xsd:enumeration value="269"/>
          <xsd:enumeration value="270"/>
          <xsd:enumeration value="271"/>
          <xsd:enumeration value="272"/>
          <xsd:enumeration value="273"/>
          <xsd:enumeration value="274"/>
          <xsd:enumeration value="275"/>
          <xsd:enumeration value="276"/>
          <xsd:enumeration value="277"/>
          <xsd:enumeration value="278"/>
          <xsd:enumeration value="279"/>
          <xsd:enumeration value="280"/>
          <xsd:enumeration value="281"/>
          <xsd:enumeration value="282"/>
          <xsd:enumeration value="283"/>
          <xsd:enumeration value="284"/>
          <xsd:enumeration value="285"/>
          <xsd:enumeration value="286"/>
          <xsd:enumeration value="287"/>
          <xsd:enumeration value="288"/>
          <xsd:enumeration value="289"/>
          <xsd:enumeration value="290"/>
          <xsd:enumeration value="291"/>
          <xsd:enumeration value="292"/>
          <xsd:enumeration value="293"/>
          <xsd:enumeration value="294"/>
          <xsd:enumeration value="295"/>
          <xsd:enumeration value="296"/>
          <xsd:enumeration value="297"/>
          <xsd:enumeration value="298"/>
          <xsd:enumeration value="299"/>
          <xsd:enumeration value="300"/>
          <xsd:enumeration value="301"/>
          <xsd:enumeration value="302"/>
          <xsd:enumeration value="303"/>
          <xsd:enumeration value="304"/>
          <xsd:enumeration value="305"/>
          <xsd:enumeration value="306"/>
          <xsd:enumeration value="307"/>
          <xsd:enumeration value="308"/>
          <xsd:enumeration value="309"/>
          <xsd:enumeration value="310"/>
          <xsd:enumeration value="311"/>
          <xsd:enumeration value="312"/>
          <xsd:enumeration value="313"/>
          <xsd:enumeration value="314"/>
          <xsd:enumeration value="315"/>
          <xsd:enumeration value="316"/>
          <xsd:enumeration value="317"/>
          <xsd:enumeration value="318"/>
          <xsd:enumeration value="319"/>
          <xsd:enumeration value="320"/>
          <xsd:enumeration value="321"/>
          <xsd:enumeration value="322"/>
          <xsd:enumeration value="323"/>
          <xsd:enumeration value="324"/>
          <xsd:enumeration value="325"/>
          <xsd:enumeration value="326"/>
          <xsd:enumeration value="327"/>
          <xsd:enumeration value="328"/>
          <xsd:enumeration value="329"/>
          <xsd:enumeration value="330"/>
          <xsd:enumeration value="331"/>
          <xsd:enumeration value="332"/>
          <xsd:enumeration value="333"/>
          <xsd:enumeration value="334"/>
          <xsd:enumeration value="335"/>
          <xsd:enumeration value="336"/>
          <xsd:enumeration value="337"/>
          <xsd:enumeration value="338"/>
          <xsd:enumeration value="339"/>
          <xsd:enumeration value="340"/>
          <xsd:enumeration value="341"/>
          <xsd:enumeration value="342"/>
          <xsd:enumeration value="343"/>
          <xsd:enumeration value="344"/>
          <xsd:enumeration value="345"/>
          <xsd:enumeration value="346"/>
          <xsd:enumeration value="347"/>
          <xsd:enumeration value="348"/>
          <xsd:enumeration value="349"/>
          <xsd:enumeration value="350"/>
          <xsd:enumeration value="351"/>
          <xsd:enumeration value="352"/>
          <xsd:enumeration value="353"/>
          <xsd:enumeration value="354"/>
          <xsd:enumeration value="355"/>
          <xsd:enumeration value="356"/>
          <xsd:enumeration value="357"/>
          <xsd:enumeration value="358"/>
          <xsd:enumeration value="359"/>
          <xsd:enumeration value="360"/>
          <xsd:enumeration value="361"/>
          <xsd:enumeration value="362"/>
          <xsd:enumeration value="363"/>
          <xsd:enumeration value="364"/>
          <xsd:enumeration value="365"/>
          <xsd:enumeration value="366"/>
          <xsd:enumeration value="367"/>
          <xsd:enumeration value="368"/>
          <xsd:enumeration value="369"/>
          <xsd:enumeration value="370"/>
          <xsd:enumeration value="371"/>
          <xsd:enumeration value="372"/>
          <xsd:enumeration value="373"/>
          <xsd:enumeration value="374"/>
          <xsd:enumeration value="375"/>
          <xsd:enumeration value="376"/>
          <xsd:enumeration value="377"/>
          <xsd:enumeration value="378"/>
          <xsd:enumeration value="379"/>
          <xsd:enumeration value="380"/>
          <xsd:enumeration value="381"/>
          <xsd:enumeration value="382"/>
          <xsd:enumeration value="383"/>
          <xsd:enumeration value="384"/>
          <xsd:enumeration value="385"/>
          <xsd:enumeration value="386"/>
          <xsd:enumeration value="387"/>
          <xsd:enumeration value="388"/>
          <xsd:enumeration value="389"/>
          <xsd:enumeration value="390"/>
          <xsd:enumeration value="391"/>
          <xsd:enumeration value="392"/>
          <xsd:enumeration value="393"/>
          <xsd:enumeration value="394"/>
          <xsd:enumeration value="395"/>
          <xsd:enumeration value="396"/>
          <xsd:enumeration value="397"/>
          <xsd:enumeration value="398"/>
          <xsd:enumeration value="399"/>
          <xsd:enumeration value="400"/>
          <xsd:enumeration value="401"/>
          <xsd:enumeration value="402"/>
          <xsd:enumeration value="403"/>
          <xsd:enumeration value="404"/>
          <xsd:enumeration value="405"/>
          <xsd:enumeration value="406"/>
          <xsd:enumeration value="407"/>
          <xsd:enumeration value="408"/>
          <xsd:enumeration value="409"/>
          <xsd:enumeration value="410"/>
          <xsd:enumeration value="411"/>
          <xsd:enumeration value="412"/>
          <xsd:enumeration value="413"/>
          <xsd:enumeration value="414"/>
          <xsd:enumeration value="415"/>
          <xsd:enumeration value="416"/>
          <xsd:enumeration value="417"/>
          <xsd:enumeration value="418"/>
          <xsd:enumeration value="419"/>
          <xsd:enumeration value="420"/>
          <xsd:enumeration value="421"/>
          <xsd:enumeration value="422"/>
          <xsd:enumeration value="423"/>
          <xsd:enumeration value="424"/>
          <xsd:enumeration value="425"/>
          <xsd:enumeration value="426"/>
          <xsd:enumeration value="427"/>
          <xsd:enumeration value="428"/>
          <xsd:enumeration value="429"/>
          <xsd:enumeration value="430"/>
          <xsd:enumeration value="431"/>
          <xsd:enumeration value="432"/>
          <xsd:enumeration value="433"/>
          <xsd:enumeration value="434"/>
          <xsd:enumeration value="435"/>
          <xsd:enumeration value="436"/>
          <xsd:enumeration value="437"/>
          <xsd:enumeration value="438"/>
          <xsd:enumeration value="439"/>
          <xsd:enumeration value="440"/>
          <xsd:enumeration value="441"/>
        </xsd:restriction>
      </xsd:simpleType>
    </xsd:element>
    <xsd:element name="Tariff_x0020_Dev_x0020_Doc_x0020_Type" ma:index="10" nillable="true" ma:displayName="Tariff Dev Doc Type" ma:format="Dropdown" ma:internalName="Tariff_x0020_Dev_x0020_Doc_x0020_Type">
      <xsd:simpleType>
        <xsd:restriction base="dms:Choice">
          <xsd:enumeration value="Rate Case Documents"/>
          <xsd:enumeration value="Pre-Pay Program"/>
          <xsd:enumeration value="Support"/>
        </xsd:restriction>
      </xsd:simpleType>
    </xsd:element>
    <xsd:element name="Filed_x0020_Documents" ma:index="11" nillable="true" ma:displayName="Filed Documents (Internal Use Only)" ma:format="Dropdown" ma:internalName="Filed_x0020_Documents" ma:readOnly="false">
      <xsd:simpleType>
        <xsd:restriction base="dms:Choice">
          <xsd:enumeration value="Application/Filing Requirements/Testimony"/>
          <xsd:enumeration value="PSC DR 01"/>
          <xsd:enumeration value="PSC DR 02/Intervenor DR 01"/>
          <xsd:enumeration value="PSC DR 03/Intervenor DR 02"/>
          <xsd:enumeration value="PSC DR 04"/>
          <xsd:enumeration value="PSC DR 05"/>
          <xsd:enumeration value="PSC DR 06"/>
          <xsd:enumeration value="PSC Post Hearing DR01"/>
          <xsd:enumeration value="PSC Post Hearing DR02"/>
          <xsd:enumeration value="VSCC DR01"/>
          <xsd:enumeration value="VSCC DR02"/>
          <xsd:enumeration value="VSCC DR03"/>
          <xsd:enumeration value="VSCC DR04"/>
          <xsd:enumeration value="VSCC DR05"/>
          <xsd:enumeration value="VSCC DR06"/>
          <xsd:enumeration value="VSCC DR07"/>
          <xsd:enumeration value="VSCC DR08"/>
          <xsd:enumeration value="VSCC DR09"/>
          <xsd:enumeration value="VSCC DR10"/>
          <xsd:enumeration value="VSCC DR11"/>
          <xsd:enumeration value="VSCC DR12"/>
          <xsd:enumeration value="VSCC DR13"/>
          <xsd:enumeration value="VSCC DR14"/>
          <xsd:enumeration value="Supplemental Testimony"/>
          <xsd:enumeration value="Rebuttal Testimony"/>
          <xsd:enumeration value="Settlement Agreement"/>
          <xsd:enumeration value="Stipulation Testimony"/>
          <xsd:enumeration value="Post Hearing Briefs"/>
        </xsd:restriction>
      </xsd:simpleType>
    </xsd:element>
    <xsd:element name="Department" ma:index="18" nillable="true" ma:displayName="Department/Purpose" ma:format="Dropdown" ma:internalName="Department" ma:readOnly="false">
      <xsd:simpleType>
        <xsd:restriction base="dms:Choice">
          <xsd:enumeration value="Billing Determinants"/>
          <xsd:enumeration value="Cost of Service"/>
          <xsd:enumeration value="Jurisdictional Separation Study"/>
          <xsd:enumeration value="Lead-Lag Study"/>
          <xsd:enumeration value="Revenue Requirement"/>
          <xsd:enumeration value="Testimony"/>
          <xsd:enumeration value="Errata"/>
          <xsd:enumeration value="Base Period Update - Jurisdictional Separation Study"/>
          <xsd:enumeration value="Base Period Update - Revenue Requirement"/>
          <xsd:enumeration value="Financial Planning &amp; Analysis"/>
          <xsd:enumeration value="Financial Planning &amp; Analysis - TEST FILES"/>
          <xsd:enumeration value="Financial Reporting"/>
          <xsd:enumeration value="Sales Analysis &amp; Forecasting"/>
          <xsd:enumeration value="State Regulation &amp; Rates"/>
          <xsd:enumeration value="Tax Accounting &amp; Complianc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Display>DocumentLibraryForm</Display>
  <Edit>DocumentLibraryForm</Edit>
  <New>DocumentLibraryForm</New>
  <MobileDisplayFormUrl/>
  <MobileEditFormUrl/>
  <MobileNewFormUrl/>
</FormTemplates>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5.xml><?xml version="1.0" encoding="utf-8"?>
<p:properties xmlns:p="http://schemas.microsoft.com/office/2006/metadata/properties" xmlns:xsi="http://www.w3.org/2001/XMLSchema-instance" xmlns:pc="http://schemas.microsoft.com/office/infopath/2007/PartnerControls">
  <documentManagement>
    <Company xmlns="54fcda00-7b58-44a7-b108-8bd10a8a08ba">
      <Value>KU</Value>
      <Value>LGE</Value>
    </Company>
    <Tariff_x0020_Dev_x0020_Doc_x0020_Type xmlns="54fcda00-7b58-44a7-b108-8bd10a8a08ba" xsi:nil="true"/>
    <Filing_x0020_Requirement xmlns="54fcda00-7b58-44a7-b108-8bd10a8a08ba" xsi:nil="true"/>
    <Round xmlns="54fcda00-7b58-44a7-b108-8bd10a8a08ba" xsi:nil="true"/>
    <FormData xmlns="http://schemas.microsoft.com/sharepoint/v3">&lt;?xml version="1.0" encoding="utf-8"?&gt;&lt;FormVariables&gt;&lt;Version /&gt;&lt;/FormVariables&gt;</FormData>
    <Data_x0020_Request_x0020_Question_x0020_No_x002e_ xmlns="54fcda00-7b58-44a7-b108-8bd10a8a08ba" xsi:nil="true"/>
    <Year xmlns="54fcda00-7b58-44a7-b108-8bd10a8a08ba">2025</Year>
    <Document_x0020_Type xmlns="54fcda00-7b58-44a7-b108-8bd10a8a08ba">Rebuttal Testimony</Document_x0020_Type>
    <Witness_x0020_Testimony xmlns="54fcda00-7b58-44a7-b108-8bd10a8a08ba">Garrett, Christopher M.</Witness_x0020_Testimony>
    <Intervemprs xmlns="54fcda00-7b58-44a7-b108-8bd10a8a08ba" xsi:nil="true"/>
    <Filed_x0020_Documents xmlns="54fcda00-7b58-44a7-b108-8bd10a8a08ba" xsi:nil="true"/>
    <Department xmlns="54fcda00-7b58-44a7-b108-8bd10a8a08ba" xsi:nil="true"/>
  </documentManagement>
</p:properties>
</file>

<file path=customXml/itemProps1.xml><?xml version="1.0" encoding="utf-8"?>
<ds:datastoreItem xmlns:ds="http://schemas.openxmlformats.org/officeDocument/2006/customXml" ds:itemID="{DFF31A42-F48B-425C-9FF4-0A16814A6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4fcda00-7b58-44a7-b108-8bd10a8a08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D617D3-E9A4-4DDC-AE3A-8F8540E71114}">
  <ds:schemaRefs/>
</ds:datastoreItem>
</file>

<file path=customXml/itemProps3.xml><?xml version="1.0" encoding="utf-8"?>
<ds:datastoreItem xmlns:ds="http://schemas.openxmlformats.org/officeDocument/2006/customXml" ds:itemID="{A865E53C-89A2-4CD6-B35C-8DD3859378D0}">
  <ds:schemaRefs>
    <ds:schemaRef ds:uri="http://schemas.microsoft.com/sharepoint/v3/contenttype/forms"/>
  </ds:schemaRefs>
</ds:datastoreItem>
</file>

<file path=customXml/itemProps4.xml><?xml version="1.0" encoding="utf-8"?>
<ds:datastoreItem xmlns:ds="http://schemas.openxmlformats.org/officeDocument/2006/customXml" ds:itemID="{F8A2584C-6450-4A20-87FB-8F7CEE487DF1}">
  <ds:schemaRefs>
    <ds:schemaRef ds:uri="http://schemas.microsoft.com/sharepoint/v3/contenttype/forms/url"/>
  </ds:schemaRefs>
</ds:datastoreItem>
</file>

<file path=customXml/itemProps5.xml><?xml version="1.0" encoding="utf-8"?>
<ds:datastoreItem xmlns:ds="http://schemas.openxmlformats.org/officeDocument/2006/customXml" ds:itemID="{A54DCD67-CE52-4B88-8E8D-FF5554DFCD74}">
  <ds:schemaRefs>
    <ds:schemaRef ds:uri="http://purl.org/dc/terms/"/>
    <ds:schemaRef ds:uri="54fcda00-7b58-44a7-b108-8bd10a8a08ba"/>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schemas.microsoft.com/sharepoint/v3"/>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Pension</vt:lpstr>
      <vt:lpstr>OPEB</vt:lpstr>
      <vt:lpstr>LGE 254.11</vt:lpstr>
      <vt:lpstr>LGE 2018 Pension Contribution</vt:lpstr>
      <vt:lpstr>LGE 2018 Pension Contrib. Union</vt:lpstr>
      <vt:lpstr>LGE 2019 Pension Contribution</vt:lpstr>
      <vt:lpstr>LGE 2020 Pension Contribution</vt:lpstr>
      <vt:lpstr>LGE 2020 Pension Contribution 2</vt:lpstr>
      <vt:lpstr>KU 2018 Pension Contribution</vt:lpstr>
      <vt:lpstr>KU 2020 Pension Contribution</vt:lpstr>
      <vt:lpstr>KU 2020 Pension Contribution 2</vt:lpstr>
      <vt:lpstr>Pension!Print_Area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Kugler, Jeanne</dc:creator>
  <cp:lastModifiedBy>Garrett, Christopher</cp:lastModifiedBy>
  <cp:lastPrinted>2025-09-19T20:58:22Z</cp:lastPrinted>
  <dcterms:created xsi:type="dcterms:W3CDTF">2021-03-10T17:55:07Z</dcterms:created>
  <dcterms:modified xsi:type="dcterms:W3CDTF">2025-09-19T20:58:44Z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dee1c6-0c13-46fe-9f7d-d5b32ad2c571_Enabled">
    <vt:lpwstr>true</vt:lpwstr>
  </property>
  <property fmtid="{D5CDD505-2E9C-101B-9397-08002B2CF9AE}" pid="3" name="MSIP_Label_0adee1c6-0c13-46fe-9f7d-d5b32ad2c571_SetDate">
    <vt:lpwstr>2021-03-10T18:03:22Z</vt:lpwstr>
  </property>
  <property fmtid="{D5CDD505-2E9C-101B-9397-08002B2CF9AE}" pid="4" name="MSIP_Label_0adee1c6-0c13-46fe-9f7d-d5b32ad2c571_Method">
    <vt:lpwstr>Privileged</vt:lpwstr>
  </property>
  <property fmtid="{D5CDD505-2E9C-101B-9397-08002B2CF9AE}" pid="5" name="MSIP_Label_0adee1c6-0c13-46fe-9f7d-d5b32ad2c571_Name">
    <vt:lpwstr>0adee1c6-0c13-46fe-9f7d-d5b32ad2c571</vt:lpwstr>
  </property>
  <property fmtid="{D5CDD505-2E9C-101B-9397-08002B2CF9AE}" pid="6" name="MSIP_Label_0adee1c6-0c13-46fe-9f7d-d5b32ad2c571_SiteId">
    <vt:lpwstr>5ee3b0ba-a559-45ee-a69e-6d3e963a3e72</vt:lpwstr>
  </property>
  <property fmtid="{D5CDD505-2E9C-101B-9397-08002B2CF9AE}" pid="7" name="MSIP_Label_0adee1c6-0c13-46fe-9f7d-d5b32ad2c571_ActionId">
    <vt:lpwstr>406edf79-98e1-4d3c-9d1e-2422dc93f011</vt:lpwstr>
  </property>
  <property fmtid="{D5CDD505-2E9C-101B-9397-08002B2CF9AE}" pid="8" name="MSIP_Label_0adee1c6-0c13-46fe-9f7d-d5b32ad2c571_ContentBits">
    <vt:lpwstr>0</vt:lpwstr>
  </property>
  <property fmtid="{D5CDD505-2E9C-101B-9397-08002B2CF9AE}" pid="9" name="ContentTypeId">
    <vt:lpwstr>0x0101002D0103853DF7894DB347713A7250CD66</vt:lpwstr>
  </property>
  <property fmtid="{D5CDD505-2E9C-101B-9397-08002B2CF9AE}" pid="10" name="MSIP_Label_e0c8e74a-db15-49f1-980d-3d74f2e3ff07_Enabled">
    <vt:lpwstr>true</vt:lpwstr>
  </property>
  <property fmtid="{D5CDD505-2E9C-101B-9397-08002B2CF9AE}" pid="11" name="MSIP_Label_e0c8e74a-db15-49f1-980d-3d74f2e3ff07_SetDate">
    <vt:lpwstr>2025-09-19T12:20:47Z</vt:lpwstr>
  </property>
  <property fmtid="{D5CDD505-2E9C-101B-9397-08002B2CF9AE}" pid="12" name="MSIP_Label_e0c8e74a-db15-49f1-980d-3d74f2e3ff07_Method">
    <vt:lpwstr>Privileged</vt:lpwstr>
  </property>
  <property fmtid="{D5CDD505-2E9C-101B-9397-08002B2CF9AE}" pid="13" name="MSIP_Label_e0c8e74a-db15-49f1-980d-3d74f2e3ff07_Name">
    <vt:lpwstr>376d9127-3fad-41bb7-827b-657efc89d923</vt:lpwstr>
  </property>
  <property fmtid="{D5CDD505-2E9C-101B-9397-08002B2CF9AE}" pid="14" name="MSIP_Label_e0c8e74a-db15-49f1-980d-3d74f2e3ff07_SiteId">
    <vt:lpwstr>25b79aa0-07c6-4d65-9c80-df92aacdc157</vt:lpwstr>
  </property>
  <property fmtid="{D5CDD505-2E9C-101B-9397-08002B2CF9AE}" pid="15" name="MSIP_Label_e0c8e74a-db15-49f1-980d-3d74f2e3ff07_ActionId">
    <vt:lpwstr>944c2fa5-a7c9-4706-982e-9803483271c6</vt:lpwstr>
  </property>
  <property fmtid="{D5CDD505-2E9C-101B-9397-08002B2CF9AE}" pid="16" name="MSIP_Label_e0c8e74a-db15-49f1-980d-3d74f2e3ff07_ContentBits">
    <vt:lpwstr>2</vt:lpwstr>
  </property>
  <property fmtid="{D5CDD505-2E9C-101B-9397-08002B2CF9AE}" pid="17" name="MSIP_Label_e0c8e74a-db15-49f1-980d-3d74f2e3ff07_Tag">
    <vt:lpwstr>10, 0, 1, 1</vt:lpwstr>
  </property>
</Properties>
</file>